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00.xml" ContentType="application/vnd.ms-office.chartcolorstyle+xml"/>
  <Override PartName="/xl/charts/colors101.xml" ContentType="application/vnd.ms-office.chartcolorstyle+xml"/>
  <Override PartName="/xl/charts/colors102.xml" ContentType="application/vnd.ms-office.chartcolorstyle+xml"/>
  <Override PartName="/xl/charts/colors103.xml" ContentType="application/vnd.ms-office.chartcolorstyle+xml"/>
  <Override PartName="/xl/charts/colors104.xml" ContentType="application/vnd.ms-office.chartcolorstyle+xml"/>
  <Override PartName="/xl/charts/colors105.xml" ContentType="application/vnd.ms-office.chartcolorstyle+xml"/>
  <Override PartName="/xl/charts/colors106.xml" ContentType="application/vnd.ms-office.chartcolorstyle+xml"/>
  <Override PartName="/xl/charts/colors107.xml" ContentType="application/vnd.ms-office.chartcolorstyle+xml"/>
  <Override PartName="/xl/charts/colors108.xml" ContentType="application/vnd.ms-office.chartcolorstyle+xml"/>
  <Override PartName="/xl/charts/colors109.xml" ContentType="application/vnd.ms-office.chartcolorstyle+xml"/>
  <Override PartName="/xl/charts/colors11.xml" ContentType="application/vnd.ms-office.chartcolorstyle+xml"/>
  <Override PartName="/xl/charts/colors110.xml" ContentType="application/vnd.ms-office.chartcolorstyle+xml"/>
  <Override PartName="/xl/charts/colors111.xml" ContentType="application/vnd.ms-office.chartcolorstyle+xml"/>
  <Override PartName="/xl/charts/colors112.xml" ContentType="application/vnd.ms-office.chartcolorstyle+xml"/>
  <Override PartName="/xl/charts/colors113.xml" ContentType="application/vnd.ms-office.chartcolorstyle+xml"/>
  <Override PartName="/xl/charts/colors114.xml" ContentType="application/vnd.ms-office.chartcolorstyle+xml"/>
  <Override PartName="/xl/charts/colors115.xml" ContentType="application/vnd.ms-office.chartcolorstyle+xml"/>
  <Override PartName="/xl/charts/colors116.xml" ContentType="application/vnd.ms-office.chartcolorstyle+xml"/>
  <Override PartName="/xl/charts/colors117.xml" ContentType="application/vnd.ms-office.chartcolorstyle+xml"/>
  <Override PartName="/xl/charts/colors118.xml" ContentType="application/vnd.ms-office.chartcolorstyle+xml"/>
  <Override PartName="/xl/charts/colors119.xml" ContentType="application/vnd.ms-office.chartcolorstyle+xml"/>
  <Override PartName="/xl/charts/colors12.xml" ContentType="application/vnd.ms-office.chartcolorstyle+xml"/>
  <Override PartName="/xl/charts/colors120.xml" ContentType="application/vnd.ms-office.chartcolorstyle+xml"/>
  <Override PartName="/xl/charts/colors121.xml" ContentType="application/vnd.ms-office.chartcolorstyle+xml"/>
  <Override PartName="/xl/charts/colors122.xml" ContentType="application/vnd.ms-office.chartcolorstyle+xml"/>
  <Override PartName="/xl/charts/colors123.xml" ContentType="application/vnd.ms-office.chartcolorstyle+xml"/>
  <Override PartName="/xl/charts/colors124.xml" ContentType="application/vnd.ms-office.chartcolorstyle+xml"/>
  <Override PartName="/xl/charts/colors125.xml" ContentType="application/vnd.ms-office.chartcolorstyle+xml"/>
  <Override PartName="/xl/charts/colors126.xml" ContentType="application/vnd.ms-office.chartcolorstyle+xml"/>
  <Override PartName="/xl/charts/colors127.xml" ContentType="application/vnd.ms-office.chartcolorstyle+xml"/>
  <Override PartName="/xl/charts/colors128.xml" ContentType="application/vnd.ms-office.chartcolorstyle+xml"/>
  <Override PartName="/xl/charts/colors129.xml" ContentType="application/vnd.ms-office.chartcolorstyle+xml"/>
  <Override PartName="/xl/charts/colors13.xml" ContentType="application/vnd.ms-office.chartcolorstyle+xml"/>
  <Override PartName="/xl/charts/colors130.xml" ContentType="application/vnd.ms-office.chartcolorstyle+xml"/>
  <Override PartName="/xl/charts/colors131.xml" ContentType="application/vnd.ms-office.chartcolorstyle+xml"/>
  <Override PartName="/xl/charts/colors132.xml" ContentType="application/vnd.ms-office.chartcolorstyle+xml"/>
  <Override PartName="/xl/charts/colors133.xml" ContentType="application/vnd.ms-office.chartcolorstyle+xml"/>
  <Override PartName="/xl/charts/colors134.xml" ContentType="application/vnd.ms-office.chartcolorstyle+xml"/>
  <Override PartName="/xl/charts/colors135.xml" ContentType="application/vnd.ms-office.chartcolorstyle+xml"/>
  <Override PartName="/xl/charts/colors136.xml" ContentType="application/vnd.ms-office.chartcolorstyle+xml"/>
  <Override PartName="/xl/charts/colors137.xml" ContentType="application/vnd.ms-office.chartcolorstyle+xml"/>
  <Override PartName="/xl/charts/colors138.xml" ContentType="application/vnd.ms-office.chartcolorstyle+xml"/>
  <Override PartName="/xl/charts/colors139.xml" ContentType="application/vnd.ms-office.chartcolorstyle+xml"/>
  <Override PartName="/xl/charts/colors14.xml" ContentType="application/vnd.ms-office.chartcolorstyle+xml"/>
  <Override PartName="/xl/charts/colors140.xml" ContentType="application/vnd.ms-office.chartcolorstyle+xml"/>
  <Override PartName="/xl/charts/colors141.xml" ContentType="application/vnd.ms-office.chartcolorstyle+xml"/>
  <Override PartName="/xl/charts/colors142.xml" ContentType="application/vnd.ms-office.chartcolorstyle+xml"/>
  <Override PartName="/xl/charts/colors143.xml" ContentType="application/vnd.ms-office.chartcolorstyle+xml"/>
  <Override PartName="/xl/charts/colors144.xml" ContentType="application/vnd.ms-office.chartcolorstyle+xml"/>
  <Override PartName="/xl/charts/colors145.xml" ContentType="application/vnd.ms-office.chartcolorstyle+xml"/>
  <Override PartName="/xl/charts/colors146.xml" ContentType="application/vnd.ms-office.chartcolorstyle+xml"/>
  <Override PartName="/xl/charts/colors147.xml" ContentType="application/vnd.ms-office.chartcolorstyle+xml"/>
  <Override PartName="/xl/charts/colors148.xml" ContentType="application/vnd.ms-office.chartcolorstyle+xml"/>
  <Override PartName="/xl/charts/colors149.xml" ContentType="application/vnd.ms-office.chartcolorstyle+xml"/>
  <Override PartName="/xl/charts/colors15.xml" ContentType="application/vnd.ms-office.chartcolorstyle+xml"/>
  <Override PartName="/xl/charts/colors150.xml" ContentType="application/vnd.ms-office.chartcolorstyle+xml"/>
  <Override PartName="/xl/charts/colors151.xml" ContentType="application/vnd.ms-office.chartcolorstyle+xml"/>
  <Override PartName="/xl/charts/colors152.xml" ContentType="application/vnd.ms-office.chartcolorstyle+xml"/>
  <Override PartName="/xl/charts/colors153.xml" ContentType="application/vnd.ms-office.chartcolorstyle+xml"/>
  <Override PartName="/xl/charts/colors154.xml" ContentType="application/vnd.ms-office.chartcolorstyle+xml"/>
  <Override PartName="/xl/charts/colors155.xml" ContentType="application/vnd.ms-office.chartcolorstyle+xml"/>
  <Override PartName="/xl/charts/colors156.xml" ContentType="application/vnd.ms-office.chartcolorstyle+xml"/>
  <Override PartName="/xl/charts/colors157.xml" ContentType="application/vnd.ms-office.chartcolorstyle+xml"/>
  <Override PartName="/xl/charts/colors158.xml" ContentType="application/vnd.ms-office.chartcolorstyle+xml"/>
  <Override PartName="/xl/charts/colors159.xml" ContentType="application/vnd.ms-office.chartcolorstyle+xml"/>
  <Override PartName="/xl/charts/colors16.xml" ContentType="application/vnd.ms-office.chartcolorstyle+xml"/>
  <Override PartName="/xl/charts/colors160.xml" ContentType="application/vnd.ms-office.chartcolorstyle+xml"/>
  <Override PartName="/xl/charts/colors161.xml" ContentType="application/vnd.ms-office.chartcolorstyle+xml"/>
  <Override PartName="/xl/charts/colors162.xml" ContentType="application/vnd.ms-office.chartcolorstyle+xml"/>
  <Override PartName="/xl/charts/colors163.xml" ContentType="application/vnd.ms-office.chartcolorstyle+xml"/>
  <Override PartName="/xl/charts/colors164.xml" ContentType="application/vnd.ms-office.chartcolorstyle+xml"/>
  <Override PartName="/xl/charts/colors165.xml" ContentType="application/vnd.ms-office.chartcolorstyle+xml"/>
  <Override PartName="/xl/charts/colors166.xml" ContentType="application/vnd.ms-office.chartcolorstyle+xml"/>
  <Override PartName="/xl/charts/colors167.xml" ContentType="application/vnd.ms-office.chartcolorstyle+xml"/>
  <Override PartName="/xl/charts/colors168.xml" ContentType="application/vnd.ms-office.chartcolorstyle+xml"/>
  <Override PartName="/xl/charts/colors169.xml" ContentType="application/vnd.ms-office.chartcolorstyle+xml"/>
  <Override PartName="/xl/charts/colors17.xml" ContentType="application/vnd.ms-office.chartcolorstyle+xml"/>
  <Override PartName="/xl/charts/colors170.xml" ContentType="application/vnd.ms-office.chartcolorstyle+xml"/>
  <Override PartName="/xl/charts/colors171.xml" ContentType="application/vnd.ms-office.chartcolorstyle+xml"/>
  <Override PartName="/xl/charts/colors172.xml" ContentType="application/vnd.ms-office.chartcolorstyle+xml"/>
  <Override PartName="/xl/charts/colors173.xml" ContentType="application/vnd.ms-office.chartcolorstyle+xml"/>
  <Override PartName="/xl/charts/colors174.xml" ContentType="application/vnd.ms-office.chartcolorstyle+xml"/>
  <Override PartName="/xl/charts/colors175.xml" ContentType="application/vnd.ms-office.chartcolorstyle+xml"/>
  <Override PartName="/xl/charts/colors176.xml" ContentType="application/vnd.ms-office.chartcolorstyle+xml"/>
  <Override PartName="/xl/charts/colors177.xml" ContentType="application/vnd.ms-office.chartcolorstyle+xml"/>
  <Override PartName="/xl/charts/colors178.xml" ContentType="application/vnd.ms-office.chartcolorstyle+xml"/>
  <Override PartName="/xl/charts/colors179.xml" ContentType="application/vnd.ms-office.chartcolorstyle+xml"/>
  <Override PartName="/xl/charts/colors18.xml" ContentType="application/vnd.ms-office.chartcolorstyle+xml"/>
  <Override PartName="/xl/charts/colors180.xml" ContentType="application/vnd.ms-office.chartcolorstyle+xml"/>
  <Override PartName="/xl/charts/colors181.xml" ContentType="application/vnd.ms-office.chartcolorstyle+xml"/>
  <Override PartName="/xl/charts/colors182.xml" ContentType="application/vnd.ms-office.chartcolorstyle+xml"/>
  <Override PartName="/xl/charts/colors183.xml" ContentType="application/vnd.ms-office.chartcolorstyle+xml"/>
  <Override PartName="/xl/charts/colors184.xml" ContentType="application/vnd.ms-office.chartcolorstyle+xml"/>
  <Override PartName="/xl/charts/colors185.xml" ContentType="application/vnd.ms-office.chartcolorstyle+xml"/>
  <Override PartName="/xl/charts/colors186.xml" ContentType="application/vnd.ms-office.chartcolorstyle+xml"/>
  <Override PartName="/xl/charts/colors187.xml" ContentType="application/vnd.ms-office.chartcolorstyle+xml"/>
  <Override PartName="/xl/charts/colors188.xml" ContentType="application/vnd.ms-office.chartcolorstyle+xml"/>
  <Override PartName="/xl/charts/colors189.xml" ContentType="application/vnd.ms-office.chartcolorstyle+xml"/>
  <Override PartName="/xl/charts/colors19.xml" ContentType="application/vnd.ms-office.chartcolorstyle+xml"/>
  <Override PartName="/xl/charts/colors190.xml" ContentType="application/vnd.ms-office.chartcolorstyle+xml"/>
  <Override PartName="/xl/charts/colors191.xml" ContentType="application/vnd.ms-office.chartcolorstyle+xml"/>
  <Override PartName="/xl/charts/colors192.xml" ContentType="application/vnd.ms-office.chartcolorstyle+xml"/>
  <Override PartName="/xl/charts/colors193.xml" ContentType="application/vnd.ms-office.chartcolorstyle+xml"/>
  <Override PartName="/xl/charts/colors194.xml" ContentType="application/vnd.ms-office.chartcolorstyle+xml"/>
  <Override PartName="/xl/charts/colors195.xml" ContentType="application/vnd.ms-office.chartcolorstyle+xml"/>
  <Override PartName="/xl/charts/colors196.xml" ContentType="application/vnd.ms-office.chartcolorstyle+xml"/>
  <Override PartName="/xl/charts/colors197.xml" ContentType="application/vnd.ms-office.chartcolorstyle+xml"/>
  <Override PartName="/xl/charts/colors198.xml" ContentType="application/vnd.ms-office.chartcolorstyle+xml"/>
  <Override PartName="/xl/charts/colors19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00.xml" ContentType="application/vnd.ms-office.chartcolorstyle+xml"/>
  <Override PartName="/xl/charts/colors201.xml" ContentType="application/vnd.ms-office.chartcolorstyle+xml"/>
  <Override PartName="/xl/charts/colors202.xml" ContentType="application/vnd.ms-office.chartcolorstyle+xml"/>
  <Override PartName="/xl/charts/colors203.xml" ContentType="application/vnd.ms-office.chartcolorstyle+xml"/>
  <Override PartName="/xl/charts/colors204.xml" ContentType="application/vnd.ms-office.chartcolorstyle+xml"/>
  <Override PartName="/xl/charts/colors205.xml" ContentType="application/vnd.ms-office.chartcolorstyle+xml"/>
  <Override PartName="/xl/charts/colors206.xml" ContentType="application/vnd.ms-office.chartcolorstyle+xml"/>
  <Override PartName="/xl/charts/colors207.xml" ContentType="application/vnd.ms-office.chartcolorstyle+xml"/>
  <Override PartName="/xl/charts/colors208.xml" ContentType="application/vnd.ms-office.chartcolorstyle+xml"/>
  <Override PartName="/xl/charts/colors209.xml" ContentType="application/vnd.ms-office.chartcolorstyle+xml"/>
  <Override PartName="/xl/charts/colors21.xml" ContentType="application/vnd.ms-office.chartcolorstyle+xml"/>
  <Override PartName="/xl/charts/colors210.xml" ContentType="application/vnd.ms-office.chartcolorstyle+xml"/>
  <Override PartName="/xl/charts/colors211.xml" ContentType="application/vnd.ms-office.chartcolorstyle+xml"/>
  <Override PartName="/xl/charts/colors212.xml" ContentType="application/vnd.ms-office.chartcolorstyle+xml"/>
  <Override PartName="/xl/charts/colors213.xml" ContentType="application/vnd.ms-office.chartcolorstyle+xml"/>
  <Override PartName="/xl/charts/colors214.xml" ContentType="application/vnd.ms-office.chartcolorstyle+xml"/>
  <Override PartName="/xl/charts/colors215.xml" ContentType="application/vnd.ms-office.chartcolorstyle+xml"/>
  <Override PartName="/xl/charts/colors216.xml" ContentType="application/vnd.ms-office.chartcolorstyle+xml"/>
  <Override PartName="/xl/charts/colors217.xml" ContentType="application/vnd.ms-office.chartcolorstyle+xml"/>
  <Override PartName="/xl/charts/colors218.xml" ContentType="application/vnd.ms-office.chartcolorstyle+xml"/>
  <Override PartName="/xl/charts/colors219.xml" ContentType="application/vnd.ms-office.chartcolorstyle+xml"/>
  <Override PartName="/xl/charts/colors22.xml" ContentType="application/vnd.ms-office.chartcolorstyle+xml"/>
  <Override PartName="/xl/charts/colors220.xml" ContentType="application/vnd.ms-office.chartcolorstyle+xml"/>
  <Override PartName="/xl/charts/colors221.xml" ContentType="application/vnd.ms-office.chartcolorstyle+xml"/>
  <Override PartName="/xl/charts/colors222.xml" ContentType="application/vnd.ms-office.chartcolorstyle+xml"/>
  <Override PartName="/xl/charts/colors223.xml" ContentType="application/vnd.ms-office.chartcolorstyle+xml"/>
  <Override PartName="/xl/charts/colors224.xml" ContentType="application/vnd.ms-office.chartcolorstyle+xml"/>
  <Override PartName="/xl/charts/colors225.xml" ContentType="application/vnd.ms-office.chartcolorstyle+xml"/>
  <Override PartName="/xl/charts/colors226.xml" ContentType="application/vnd.ms-office.chartcolorstyle+xml"/>
  <Override PartName="/xl/charts/colors227.xml" ContentType="application/vnd.ms-office.chartcolorstyle+xml"/>
  <Override PartName="/xl/charts/colors228.xml" ContentType="application/vnd.ms-office.chartcolorstyle+xml"/>
  <Override PartName="/xl/charts/colors229.xml" ContentType="application/vnd.ms-office.chartcolorstyle+xml"/>
  <Override PartName="/xl/charts/colors23.xml" ContentType="application/vnd.ms-office.chartcolorstyle+xml"/>
  <Override PartName="/xl/charts/colors230.xml" ContentType="application/vnd.ms-office.chartcolorstyle+xml"/>
  <Override PartName="/xl/charts/colors231.xml" ContentType="application/vnd.ms-office.chartcolorstyle+xml"/>
  <Override PartName="/xl/charts/colors232.xml" ContentType="application/vnd.ms-office.chartcolorstyle+xml"/>
  <Override PartName="/xl/charts/colors233.xml" ContentType="application/vnd.ms-office.chartcolorstyle+xml"/>
  <Override PartName="/xl/charts/colors234.xml" ContentType="application/vnd.ms-office.chartcolorstyle+xml"/>
  <Override PartName="/xl/charts/colors235.xml" ContentType="application/vnd.ms-office.chartcolorstyle+xml"/>
  <Override PartName="/xl/charts/colors236.xml" ContentType="application/vnd.ms-office.chartcolorstyle+xml"/>
  <Override PartName="/xl/charts/colors237.xml" ContentType="application/vnd.ms-office.chartcolorstyle+xml"/>
  <Override PartName="/xl/charts/colors238.xml" ContentType="application/vnd.ms-office.chartcolorstyle+xml"/>
  <Override PartName="/xl/charts/colors239.xml" ContentType="application/vnd.ms-office.chartcolorstyle+xml"/>
  <Override PartName="/xl/charts/colors24.xml" ContentType="application/vnd.ms-office.chartcolorstyle+xml"/>
  <Override PartName="/xl/charts/colors240.xml" ContentType="application/vnd.ms-office.chartcolorstyle+xml"/>
  <Override PartName="/xl/charts/colors241.xml" ContentType="application/vnd.ms-office.chartcolorstyle+xml"/>
  <Override PartName="/xl/charts/colors242.xml" ContentType="application/vnd.ms-office.chartcolorstyle+xml"/>
  <Override PartName="/xl/charts/colors243.xml" ContentType="application/vnd.ms-office.chartcolorstyle+xml"/>
  <Override PartName="/xl/charts/colors244.xml" ContentType="application/vnd.ms-office.chartcolorstyle+xml"/>
  <Override PartName="/xl/charts/colors245.xml" ContentType="application/vnd.ms-office.chartcolorstyle+xml"/>
  <Override PartName="/xl/charts/colors246.xml" ContentType="application/vnd.ms-office.chartcolorstyle+xml"/>
  <Override PartName="/xl/charts/colors247.xml" ContentType="application/vnd.ms-office.chartcolorstyle+xml"/>
  <Override PartName="/xl/charts/colors248.xml" ContentType="application/vnd.ms-office.chartcolorstyle+xml"/>
  <Override PartName="/xl/charts/colors249.xml" ContentType="application/vnd.ms-office.chartcolorstyle+xml"/>
  <Override PartName="/xl/charts/colors25.xml" ContentType="application/vnd.ms-office.chartcolorstyle+xml"/>
  <Override PartName="/xl/charts/colors250.xml" ContentType="application/vnd.ms-office.chartcolorstyle+xml"/>
  <Override PartName="/xl/charts/colors251.xml" ContentType="application/vnd.ms-office.chartcolorstyle+xml"/>
  <Override PartName="/xl/charts/colors252.xml" ContentType="application/vnd.ms-office.chartcolorstyle+xml"/>
  <Override PartName="/xl/charts/colors253.xml" ContentType="application/vnd.ms-office.chartcolorstyle+xml"/>
  <Override PartName="/xl/charts/colors254.xml" ContentType="application/vnd.ms-office.chartcolorstyle+xml"/>
  <Override PartName="/xl/charts/colors255.xml" ContentType="application/vnd.ms-office.chartcolorstyle+xml"/>
  <Override PartName="/xl/charts/colors256.xml" ContentType="application/vnd.ms-office.chartcolorstyle+xml"/>
  <Override PartName="/xl/charts/colors257.xml" ContentType="application/vnd.ms-office.chartcolorstyle+xml"/>
  <Override PartName="/xl/charts/colors258.xml" ContentType="application/vnd.ms-office.chartcolorstyle+xml"/>
  <Override PartName="/xl/charts/colors259.xml" ContentType="application/vnd.ms-office.chartcolorstyle+xml"/>
  <Override PartName="/xl/charts/colors26.xml" ContentType="application/vnd.ms-office.chartcolorstyle+xml"/>
  <Override PartName="/xl/charts/colors260.xml" ContentType="application/vnd.ms-office.chartcolorstyle+xml"/>
  <Override PartName="/xl/charts/colors261.xml" ContentType="application/vnd.ms-office.chartcolorstyle+xml"/>
  <Override PartName="/xl/charts/colors262.xml" ContentType="application/vnd.ms-office.chartcolorstyle+xml"/>
  <Override PartName="/xl/charts/colors263.xml" ContentType="application/vnd.ms-office.chartcolorstyle+xml"/>
  <Override PartName="/xl/charts/colors264.xml" ContentType="application/vnd.ms-office.chartcolorstyle+xml"/>
  <Override PartName="/xl/charts/colors265.xml" ContentType="application/vnd.ms-office.chartcolorstyle+xml"/>
  <Override PartName="/xl/charts/colors266.xml" ContentType="application/vnd.ms-office.chartcolorstyle+xml"/>
  <Override PartName="/xl/charts/colors267.xml" ContentType="application/vnd.ms-office.chartcolorstyle+xml"/>
  <Override PartName="/xl/charts/colors268.xml" ContentType="application/vnd.ms-office.chartcolorstyle+xml"/>
  <Override PartName="/xl/charts/colors269.xml" ContentType="application/vnd.ms-office.chartcolorstyle+xml"/>
  <Override PartName="/xl/charts/colors27.xml" ContentType="application/vnd.ms-office.chartcolorstyle+xml"/>
  <Override PartName="/xl/charts/colors270.xml" ContentType="application/vnd.ms-office.chartcolorstyle+xml"/>
  <Override PartName="/xl/charts/colors271.xml" ContentType="application/vnd.ms-office.chartcolorstyle+xml"/>
  <Override PartName="/xl/charts/colors272.xml" ContentType="application/vnd.ms-office.chartcolorstyle+xml"/>
  <Override PartName="/xl/charts/colors273.xml" ContentType="application/vnd.ms-office.chartcolorstyle+xml"/>
  <Override PartName="/xl/charts/colors274.xml" ContentType="application/vnd.ms-office.chartcolorstyle+xml"/>
  <Override PartName="/xl/charts/colors275.xml" ContentType="application/vnd.ms-office.chartcolorstyle+xml"/>
  <Override PartName="/xl/charts/colors276.xml" ContentType="application/vnd.ms-office.chartcolorstyle+xml"/>
  <Override PartName="/xl/charts/colors277.xml" ContentType="application/vnd.ms-office.chartcolorstyle+xml"/>
  <Override PartName="/xl/charts/colors278.xml" ContentType="application/vnd.ms-office.chartcolorstyle+xml"/>
  <Override PartName="/xl/charts/colors279.xml" ContentType="application/vnd.ms-office.chartcolorstyle+xml"/>
  <Override PartName="/xl/charts/colors28.xml" ContentType="application/vnd.ms-office.chartcolorstyle+xml"/>
  <Override PartName="/xl/charts/colors280.xml" ContentType="application/vnd.ms-office.chartcolorstyle+xml"/>
  <Override PartName="/xl/charts/colors281.xml" ContentType="application/vnd.ms-office.chartcolorstyle+xml"/>
  <Override PartName="/xl/charts/colors282.xml" ContentType="application/vnd.ms-office.chartcolorstyle+xml"/>
  <Override PartName="/xl/charts/colors283.xml" ContentType="application/vnd.ms-office.chartcolorstyle+xml"/>
  <Override PartName="/xl/charts/colors284.xml" ContentType="application/vnd.ms-office.chartcolorstyle+xml"/>
  <Override PartName="/xl/charts/colors285.xml" ContentType="application/vnd.ms-office.chartcolorstyle+xml"/>
  <Override PartName="/xl/charts/colors286.xml" ContentType="application/vnd.ms-office.chartcolorstyle+xml"/>
  <Override PartName="/xl/charts/colors287.xml" ContentType="application/vnd.ms-office.chartcolorstyle+xml"/>
  <Override PartName="/xl/charts/colors288.xml" ContentType="application/vnd.ms-office.chartcolorstyle+xml"/>
  <Override PartName="/xl/charts/colors289.xml" ContentType="application/vnd.ms-office.chartcolorstyle+xml"/>
  <Override PartName="/xl/charts/colors29.xml" ContentType="application/vnd.ms-office.chartcolorstyle+xml"/>
  <Override PartName="/xl/charts/colors290.xml" ContentType="application/vnd.ms-office.chartcolorstyle+xml"/>
  <Override PartName="/xl/charts/colors291.xml" ContentType="application/vnd.ms-office.chartcolorstyle+xml"/>
  <Override PartName="/xl/charts/colors292.xml" ContentType="application/vnd.ms-office.chartcolorstyle+xml"/>
  <Override PartName="/xl/charts/colors293.xml" ContentType="application/vnd.ms-office.chartcolorstyle+xml"/>
  <Override PartName="/xl/charts/colors294.xml" ContentType="application/vnd.ms-office.chartcolorstyle+xml"/>
  <Override PartName="/xl/charts/colors295.xml" ContentType="application/vnd.ms-office.chartcolorstyle+xml"/>
  <Override PartName="/xl/charts/colors296.xml" ContentType="application/vnd.ms-office.chartcolorstyle+xml"/>
  <Override PartName="/xl/charts/colors297.xml" ContentType="application/vnd.ms-office.chartcolorstyle+xml"/>
  <Override PartName="/xl/charts/colors298.xml" ContentType="application/vnd.ms-office.chartcolorstyle+xml"/>
  <Override PartName="/xl/charts/colors29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00.xml" ContentType="application/vnd.ms-office.chartcolorstyle+xml"/>
  <Override PartName="/xl/charts/colors301.xml" ContentType="application/vnd.ms-office.chartcolorstyle+xml"/>
  <Override PartName="/xl/charts/colors302.xml" ContentType="application/vnd.ms-office.chartcolorstyle+xml"/>
  <Override PartName="/xl/charts/colors303.xml" ContentType="application/vnd.ms-office.chartcolorstyle+xml"/>
  <Override PartName="/xl/charts/colors304.xml" ContentType="application/vnd.ms-office.chartcolorstyle+xml"/>
  <Override PartName="/xl/charts/colors305.xml" ContentType="application/vnd.ms-office.chartcolorstyle+xml"/>
  <Override PartName="/xl/charts/colors306.xml" ContentType="application/vnd.ms-office.chartcolorstyle+xml"/>
  <Override PartName="/xl/charts/colors307.xml" ContentType="application/vnd.ms-office.chartcolorstyle+xml"/>
  <Override PartName="/xl/charts/colors308.xml" ContentType="application/vnd.ms-office.chartcolorstyle+xml"/>
  <Override PartName="/xl/charts/colors309.xml" ContentType="application/vnd.ms-office.chartcolorstyle+xml"/>
  <Override PartName="/xl/charts/colors31.xml" ContentType="application/vnd.ms-office.chartcolorstyle+xml"/>
  <Override PartName="/xl/charts/colors310.xml" ContentType="application/vnd.ms-office.chartcolorstyle+xml"/>
  <Override PartName="/xl/charts/colors311.xml" ContentType="application/vnd.ms-office.chartcolorstyle+xml"/>
  <Override PartName="/xl/charts/colors312.xml" ContentType="application/vnd.ms-office.chartcolorstyle+xml"/>
  <Override PartName="/xl/charts/colors313.xml" ContentType="application/vnd.ms-office.chartcolorstyle+xml"/>
  <Override PartName="/xl/charts/colors314.xml" ContentType="application/vnd.ms-office.chartcolorstyle+xml"/>
  <Override PartName="/xl/charts/colors315.xml" ContentType="application/vnd.ms-office.chartcolorstyle+xml"/>
  <Override PartName="/xl/charts/colors316.xml" ContentType="application/vnd.ms-office.chartcolorstyle+xml"/>
  <Override PartName="/xl/charts/colors317.xml" ContentType="application/vnd.ms-office.chartcolorstyle+xml"/>
  <Override PartName="/xl/charts/colors318.xml" ContentType="application/vnd.ms-office.chartcolorstyle+xml"/>
  <Override PartName="/xl/charts/colors319.xml" ContentType="application/vnd.ms-office.chartcolorstyle+xml"/>
  <Override PartName="/xl/charts/colors32.xml" ContentType="application/vnd.ms-office.chartcolorstyle+xml"/>
  <Override PartName="/xl/charts/colors320.xml" ContentType="application/vnd.ms-office.chartcolorstyle+xml"/>
  <Override PartName="/xl/charts/colors321.xml" ContentType="application/vnd.ms-office.chartcolorstyle+xml"/>
  <Override PartName="/xl/charts/colors322.xml" ContentType="application/vnd.ms-office.chartcolorstyle+xml"/>
  <Override PartName="/xl/charts/colors323.xml" ContentType="application/vnd.ms-office.chartcolorstyle+xml"/>
  <Override PartName="/xl/charts/colors324.xml" ContentType="application/vnd.ms-office.chartcolorstyle+xml"/>
  <Override PartName="/xl/charts/colors325.xml" ContentType="application/vnd.ms-office.chartcolorstyle+xml"/>
  <Override PartName="/xl/charts/colors326.xml" ContentType="application/vnd.ms-office.chartcolorstyle+xml"/>
  <Override PartName="/xl/charts/colors327.xml" ContentType="application/vnd.ms-office.chartcolorstyle+xml"/>
  <Override PartName="/xl/charts/colors328.xml" ContentType="application/vnd.ms-office.chartcolorstyle+xml"/>
  <Override PartName="/xl/charts/colors329.xml" ContentType="application/vnd.ms-office.chartcolorstyle+xml"/>
  <Override PartName="/xl/charts/colors33.xml" ContentType="application/vnd.ms-office.chartcolorstyle+xml"/>
  <Override PartName="/xl/charts/colors330.xml" ContentType="application/vnd.ms-office.chartcolorstyle+xml"/>
  <Override PartName="/xl/charts/colors331.xml" ContentType="application/vnd.ms-office.chartcolorstyle+xml"/>
  <Override PartName="/xl/charts/colors332.xml" ContentType="application/vnd.ms-office.chartcolorstyle+xml"/>
  <Override PartName="/xl/charts/colors333.xml" ContentType="application/vnd.ms-office.chartcolorstyle+xml"/>
  <Override PartName="/xl/charts/colors334.xml" ContentType="application/vnd.ms-office.chartcolorstyle+xml"/>
  <Override PartName="/xl/charts/colors335.xml" ContentType="application/vnd.ms-office.chartcolorstyle+xml"/>
  <Override PartName="/xl/charts/colors336.xml" ContentType="application/vnd.ms-office.chartcolorstyle+xml"/>
  <Override PartName="/xl/charts/colors337.xml" ContentType="application/vnd.ms-office.chartcolorstyle+xml"/>
  <Override PartName="/xl/charts/colors338.xml" ContentType="application/vnd.ms-office.chartcolorstyle+xml"/>
  <Override PartName="/xl/charts/colors339.xml" ContentType="application/vnd.ms-office.chartcolorstyle+xml"/>
  <Override PartName="/xl/charts/colors34.xml" ContentType="application/vnd.ms-office.chartcolorstyle+xml"/>
  <Override PartName="/xl/charts/colors340.xml" ContentType="application/vnd.ms-office.chartcolorstyle+xml"/>
  <Override PartName="/xl/charts/colors341.xml" ContentType="application/vnd.ms-office.chartcolorstyle+xml"/>
  <Override PartName="/xl/charts/colors342.xml" ContentType="application/vnd.ms-office.chartcolorstyle+xml"/>
  <Override PartName="/xl/charts/colors343.xml" ContentType="application/vnd.ms-office.chartcolorstyle+xml"/>
  <Override PartName="/xl/charts/colors344.xml" ContentType="application/vnd.ms-office.chartcolorstyle+xml"/>
  <Override PartName="/xl/charts/colors345.xml" ContentType="application/vnd.ms-office.chartcolorstyle+xml"/>
  <Override PartName="/xl/charts/colors346.xml" ContentType="application/vnd.ms-office.chartcolorstyle+xml"/>
  <Override PartName="/xl/charts/colors347.xml" ContentType="application/vnd.ms-office.chartcolorstyle+xml"/>
  <Override PartName="/xl/charts/colors348.xml" ContentType="application/vnd.ms-office.chartcolorstyle+xml"/>
  <Override PartName="/xl/charts/colors349.xml" ContentType="application/vnd.ms-office.chartcolorstyle+xml"/>
  <Override PartName="/xl/charts/colors35.xml" ContentType="application/vnd.ms-office.chartcolorstyle+xml"/>
  <Override PartName="/xl/charts/colors350.xml" ContentType="application/vnd.ms-office.chartcolorstyle+xml"/>
  <Override PartName="/xl/charts/colors351.xml" ContentType="application/vnd.ms-office.chartcolorstyle+xml"/>
  <Override PartName="/xl/charts/colors352.xml" ContentType="application/vnd.ms-office.chartcolorstyle+xml"/>
  <Override PartName="/xl/charts/colors353.xml" ContentType="application/vnd.ms-office.chartcolorstyle+xml"/>
  <Override PartName="/xl/charts/colors354.xml" ContentType="application/vnd.ms-office.chartcolorstyle+xml"/>
  <Override PartName="/xl/charts/colors355.xml" ContentType="application/vnd.ms-office.chartcolorstyle+xml"/>
  <Override PartName="/xl/charts/colors356.xml" ContentType="application/vnd.ms-office.chartcolorstyle+xml"/>
  <Override PartName="/xl/charts/colors357.xml" ContentType="application/vnd.ms-office.chartcolorstyle+xml"/>
  <Override PartName="/xl/charts/colors358.xml" ContentType="application/vnd.ms-office.chartcolorstyle+xml"/>
  <Override PartName="/xl/charts/colors359.xml" ContentType="application/vnd.ms-office.chartcolorstyle+xml"/>
  <Override PartName="/xl/charts/colors36.xml" ContentType="application/vnd.ms-office.chartcolorstyle+xml"/>
  <Override PartName="/xl/charts/colors360.xml" ContentType="application/vnd.ms-office.chartcolorstyle+xml"/>
  <Override PartName="/xl/charts/colors361.xml" ContentType="application/vnd.ms-office.chartcolorstyle+xml"/>
  <Override PartName="/xl/charts/colors362.xml" ContentType="application/vnd.ms-office.chartcolorstyle+xml"/>
  <Override PartName="/xl/charts/colors363.xml" ContentType="application/vnd.ms-office.chartcolorstyle+xml"/>
  <Override PartName="/xl/charts/colors364.xml" ContentType="application/vnd.ms-office.chartcolorstyle+xml"/>
  <Override PartName="/xl/charts/colors365.xml" ContentType="application/vnd.ms-office.chartcolorstyle+xml"/>
  <Override PartName="/xl/charts/colors366.xml" ContentType="application/vnd.ms-office.chartcolorstyle+xml"/>
  <Override PartName="/xl/charts/colors367.xml" ContentType="application/vnd.ms-office.chartcolorstyle+xml"/>
  <Override PartName="/xl/charts/colors368.xml" ContentType="application/vnd.ms-office.chartcolorstyle+xml"/>
  <Override PartName="/xl/charts/colors369.xml" ContentType="application/vnd.ms-office.chartcolorstyle+xml"/>
  <Override PartName="/xl/charts/colors37.xml" ContentType="application/vnd.ms-office.chartcolorstyle+xml"/>
  <Override PartName="/xl/charts/colors370.xml" ContentType="application/vnd.ms-office.chartcolorstyle+xml"/>
  <Override PartName="/xl/charts/colors371.xml" ContentType="application/vnd.ms-office.chartcolorstyle+xml"/>
  <Override PartName="/xl/charts/colors372.xml" ContentType="application/vnd.ms-office.chartcolorstyle+xml"/>
  <Override PartName="/xl/charts/colors373.xml" ContentType="application/vnd.ms-office.chartcolorstyle+xml"/>
  <Override PartName="/xl/charts/colors374.xml" ContentType="application/vnd.ms-office.chartcolorstyle+xml"/>
  <Override PartName="/xl/charts/colors375.xml" ContentType="application/vnd.ms-office.chartcolorstyle+xml"/>
  <Override PartName="/xl/charts/colors376.xml" ContentType="application/vnd.ms-office.chartcolorstyle+xml"/>
  <Override PartName="/xl/charts/colors377.xml" ContentType="application/vnd.ms-office.chartcolorstyle+xml"/>
  <Override PartName="/xl/charts/colors378.xml" ContentType="application/vnd.ms-office.chartcolorstyle+xml"/>
  <Override PartName="/xl/charts/colors379.xml" ContentType="application/vnd.ms-office.chartcolorstyle+xml"/>
  <Override PartName="/xl/charts/colors38.xml" ContentType="application/vnd.ms-office.chartcolorstyle+xml"/>
  <Override PartName="/xl/charts/colors380.xml" ContentType="application/vnd.ms-office.chartcolorstyle+xml"/>
  <Override PartName="/xl/charts/colors381.xml" ContentType="application/vnd.ms-office.chartcolorstyle+xml"/>
  <Override PartName="/xl/charts/colors382.xml" ContentType="application/vnd.ms-office.chartcolorstyle+xml"/>
  <Override PartName="/xl/charts/colors383.xml" ContentType="application/vnd.ms-office.chartcolorstyle+xml"/>
  <Override PartName="/xl/charts/colors384.xml" ContentType="application/vnd.ms-office.chartcolorstyle+xml"/>
  <Override PartName="/xl/charts/colors385.xml" ContentType="application/vnd.ms-office.chartcolorstyle+xml"/>
  <Override PartName="/xl/charts/colors386.xml" ContentType="application/vnd.ms-office.chartcolorstyle+xml"/>
  <Override PartName="/xl/charts/colors387.xml" ContentType="application/vnd.ms-office.chartcolorstyle+xml"/>
  <Override PartName="/xl/charts/colors388.xml" ContentType="application/vnd.ms-office.chartcolorstyle+xml"/>
  <Override PartName="/xl/charts/colors389.xml" ContentType="application/vnd.ms-office.chartcolorstyle+xml"/>
  <Override PartName="/xl/charts/colors39.xml" ContentType="application/vnd.ms-office.chartcolorstyle+xml"/>
  <Override PartName="/xl/charts/colors390.xml" ContentType="application/vnd.ms-office.chartcolorstyle+xml"/>
  <Override PartName="/xl/charts/colors391.xml" ContentType="application/vnd.ms-office.chartcolorstyle+xml"/>
  <Override PartName="/xl/charts/colors392.xml" ContentType="application/vnd.ms-office.chartcolorstyle+xml"/>
  <Override PartName="/xl/charts/colors393.xml" ContentType="application/vnd.ms-office.chartcolorstyle+xml"/>
  <Override PartName="/xl/charts/colors394.xml" ContentType="application/vnd.ms-office.chartcolorstyle+xml"/>
  <Override PartName="/xl/charts/colors395.xml" ContentType="application/vnd.ms-office.chartcolorstyle+xml"/>
  <Override PartName="/xl/charts/colors396.xml" ContentType="application/vnd.ms-office.chartcolorstyle+xml"/>
  <Override PartName="/xl/charts/colors397.xml" ContentType="application/vnd.ms-office.chartcolorstyle+xml"/>
  <Override PartName="/xl/charts/colors398.xml" ContentType="application/vnd.ms-office.chartcolorstyle+xml"/>
  <Override PartName="/xl/charts/colors39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00.xml" ContentType="application/vnd.ms-office.chartcolorstyle+xml"/>
  <Override PartName="/xl/charts/colors401.xml" ContentType="application/vnd.ms-office.chartcolorstyle+xml"/>
  <Override PartName="/xl/charts/colors402.xml" ContentType="application/vnd.ms-office.chartcolorstyle+xml"/>
  <Override PartName="/xl/charts/colors403.xml" ContentType="application/vnd.ms-office.chartcolorstyle+xml"/>
  <Override PartName="/xl/charts/colors404.xml" ContentType="application/vnd.ms-office.chartcolorstyle+xml"/>
  <Override PartName="/xl/charts/colors405.xml" ContentType="application/vnd.ms-office.chartcolorstyle+xml"/>
  <Override PartName="/xl/charts/colors406.xml" ContentType="application/vnd.ms-office.chartcolorstyle+xml"/>
  <Override PartName="/xl/charts/colors407.xml" ContentType="application/vnd.ms-office.chartcolorstyle+xml"/>
  <Override PartName="/xl/charts/colors408.xml" ContentType="application/vnd.ms-office.chartcolorstyle+xml"/>
  <Override PartName="/xl/charts/colors409.xml" ContentType="application/vnd.ms-office.chartcolorstyle+xml"/>
  <Override PartName="/xl/charts/colors41.xml" ContentType="application/vnd.ms-office.chartcolorstyle+xml"/>
  <Override PartName="/xl/charts/colors410.xml" ContentType="application/vnd.ms-office.chartcolorstyle+xml"/>
  <Override PartName="/xl/charts/colors411.xml" ContentType="application/vnd.ms-office.chartcolorstyle+xml"/>
  <Override PartName="/xl/charts/colors412.xml" ContentType="application/vnd.ms-office.chartcolorstyle+xml"/>
  <Override PartName="/xl/charts/colors413.xml" ContentType="application/vnd.ms-office.chartcolorstyle+xml"/>
  <Override PartName="/xl/charts/colors414.xml" ContentType="application/vnd.ms-office.chartcolorstyle+xml"/>
  <Override PartName="/xl/charts/colors415.xml" ContentType="application/vnd.ms-office.chartcolorstyle+xml"/>
  <Override PartName="/xl/charts/colors416.xml" ContentType="application/vnd.ms-office.chartcolorstyle+xml"/>
  <Override PartName="/xl/charts/colors417.xml" ContentType="application/vnd.ms-office.chartcolorstyle+xml"/>
  <Override PartName="/xl/charts/colors418.xml" ContentType="application/vnd.ms-office.chartcolorstyle+xml"/>
  <Override PartName="/xl/charts/colors419.xml" ContentType="application/vnd.ms-office.chartcolorstyle+xml"/>
  <Override PartName="/xl/charts/colors42.xml" ContentType="application/vnd.ms-office.chartcolorstyle+xml"/>
  <Override PartName="/xl/charts/colors420.xml" ContentType="application/vnd.ms-office.chartcolorstyle+xml"/>
  <Override PartName="/xl/charts/colors421.xml" ContentType="application/vnd.ms-office.chartcolorstyle+xml"/>
  <Override PartName="/xl/charts/colors42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65.xml" ContentType="application/vnd.ms-office.chartcolorstyle+xml"/>
  <Override PartName="/xl/charts/colors66.xml" ContentType="application/vnd.ms-office.chartcolorstyle+xml"/>
  <Override PartName="/xl/charts/colors67.xml" ContentType="application/vnd.ms-office.chartcolorstyle+xml"/>
  <Override PartName="/xl/charts/colors68.xml" ContentType="application/vnd.ms-office.chartcolorstyle+xml"/>
  <Override PartName="/xl/charts/colors69.xml" ContentType="application/vnd.ms-office.chartcolorstyle+xml"/>
  <Override PartName="/xl/charts/colors7.xml" ContentType="application/vnd.ms-office.chartcolorstyle+xml"/>
  <Override PartName="/xl/charts/colors70.xml" ContentType="application/vnd.ms-office.chartcolorstyle+xml"/>
  <Override PartName="/xl/charts/colors71.xml" ContentType="application/vnd.ms-office.chartcolorstyle+xml"/>
  <Override PartName="/xl/charts/colors72.xml" ContentType="application/vnd.ms-office.chartcolorstyle+xml"/>
  <Override PartName="/xl/charts/colors73.xml" ContentType="application/vnd.ms-office.chartcolorstyle+xml"/>
  <Override PartName="/xl/charts/colors74.xml" ContentType="application/vnd.ms-office.chartcolorstyle+xml"/>
  <Override PartName="/xl/charts/colors75.xml" ContentType="application/vnd.ms-office.chartcolorstyle+xml"/>
  <Override PartName="/xl/charts/colors76.xml" ContentType="application/vnd.ms-office.chartcolorstyle+xml"/>
  <Override PartName="/xl/charts/colors77.xml" ContentType="application/vnd.ms-office.chartcolorstyle+xml"/>
  <Override PartName="/xl/charts/colors78.xml" ContentType="application/vnd.ms-office.chartcolorstyle+xml"/>
  <Override PartName="/xl/charts/colors79.xml" ContentType="application/vnd.ms-office.chartcolorstyle+xml"/>
  <Override PartName="/xl/charts/colors8.xml" ContentType="application/vnd.ms-office.chartcolorstyle+xml"/>
  <Override PartName="/xl/charts/colors80.xml" ContentType="application/vnd.ms-office.chartcolorstyle+xml"/>
  <Override PartName="/xl/charts/colors81.xml" ContentType="application/vnd.ms-office.chartcolorstyle+xml"/>
  <Override PartName="/xl/charts/colors82.xml" ContentType="application/vnd.ms-office.chartcolorstyle+xml"/>
  <Override PartName="/xl/charts/colors83.xml" ContentType="application/vnd.ms-office.chartcolorstyle+xml"/>
  <Override PartName="/xl/charts/colors84.xml" ContentType="application/vnd.ms-office.chartcolorstyle+xml"/>
  <Override PartName="/xl/charts/colors85.xml" ContentType="application/vnd.ms-office.chartcolorstyle+xml"/>
  <Override PartName="/xl/charts/colors86.xml" ContentType="application/vnd.ms-office.chartcolorstyle+xml"/>
  <Override PartName="/xl/charts/colors87.xml" ContentType="application/vnd.ms-office.chartcolorstyle+xml"/>
  <Override PartName="/xl/charts/colors88.xml" ContentType="application/vnd.ms-office.chartcolorstyle+xml"/>
  <Override PartName="/xl/charts/colors89.xml" ContentType="application/vnd.ms-office.chartcolorstyle+xml"/>
  <Override PartName="/xl/charts/colors9.xml" ContentType="application/vnd.ms-office.chartcolorstyle+xml"/>
  <Override PartName="/xl/charts/colors90.xml" ContentType="application/vnd.ms-office.chartcolorstyle+xml"/>
  <Override PartName="/xl/charts/colors91.xml" ContentType="application/vnd.ms-office.chartcolorstyle+xml"/>
  <Override PartName="/xl/charts/colors92.xml" ContentType="application/vnd.ms-office.chartcolorstyle+xml"/>
  <Override PartName="/xl/charts/colors93.xml" ContentType="application/vnd.ms-office.chartcolorstyle+xml"/>
  <Override PartName="/xl/charts/colors94.xml" ContentType="application/vnd.ms-office.chartcolorstyle+xml"/>
  <Override PartName="/xl/charts/colors95.xml" ContentType="application/vnd.ms-office.chartcolorstyle+xml"/>
  <Override PartName="/xl/charts/colors96.xml" ContentType="application/vnd.ms-office.chartcolorstyle+xml"/>
  <Override PartName="/xl/charts/colors97.xml" ContentType="application/vnd.ms-office.chartcolorstyle+xml"/>
  <Override PartName="/xl/charts/colors98.xml" ContentType="application/vnd.ms-office.chartcolorstyle+xml"/>
  <Override PartName="/xl/charts/colors9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00.xml" ContentType="application/vnd.ms-office.chartstyle+xml"/>
  <Override PartName="/xl/charts/style101.xml" ContentType="application/vnd.ms-office.chartstyle+xml"/>
  <Override PartName="/xl/charts/style102.xml" ContentType="application/vnd.ms-office.chartstyle+xml"/>
  <Override PartName="/xl/charts/style103.xml" ContentType="application/vnd.ms-office.chartstyle+xml"/>
  <Override PartName="/xl/charts/style104.xml" ContentType="application/vnd.ms-office.chartstyle+xml"/>
  <Override PartName="/xl/charts/style105.xml" ContentType="application/vnd.ms-office.chartstyle+xml"/>
  <Override PartName="/xl/charts/style106.xml" ContentType="application/vnd.ms-office.chartstyle+xml"/>
  <Override PartName="/xl/charts/style107.xml" ContentType="application/vnd.ms-office.chartstyle+xml"/>
  <Override PartName="/xl/charts/style108.xml" ContentType="application/vnd.ms-office.chartstyle+xml"/>
  <Override PartName="/xl/charts/style109.xml" ContentType="application/vnd.ms-office.chartstyle+xml"/>
  <Override PartName="/xl/charts/style11.xml" ContentType="application/vnd.ms-office.chartstyle+xml"/>
  <Override PartName="/xl/charts/style110.xml" ContentType="application/vnd.ms-office.chartstyle+xml"/>
  <Override PartName="/xl/charts/style111.xml" ContentType="application/vnd.ms-office.chartstyle+xml"/>
  <Override PartName="/xl/charts/style112.xml" ContentType="application/vnd.ms-office.chartstyle+xml"/>
  <Override PartName="/xl/charts/style113.xml" ContentType="application/vnd.ms-office.chartstyle+xml"/>
  <Override PartName="/xl/charts/style114.xml" ContentType="application/vnd.ms-office.chartstyle+xml"/>
  <Override PartName="/xl/charts/style115.xml" ContentType="application/vnd.ms-office.chartstyle+xml"/>
  <Override PartName="/xl/charts/style116.xml" ContentType="application/vnd.ms-office.chartstyle+xml"/>
  <Override PartName="/xl/charts/style117.xml" ContentType="application/vnd.ms-office.chartstyle+xml"/>
  <Override PartName="/xl/charts/style118.xml" ContentType="application/vnd.ms-office.chartstyle+xml"/>
  <Override PartName="/xl/charts/style119.xml" ContentType="application/vnd.ms-office.chartstyle+xml"/>
  <Override PartName="/xl/charts/style12.xml" ContentType="application/vnd.ms-office.chartstyle+xml"/>
  <Override PartName="/xl/charts/style120.xml" ContentType="application/vnd.ms-office.chartstyle+xml"/>
  <Override PartName="/xl/charts/style121.xml" ContentType="application/vnd.ms-office.chartstyle+xml"/>
  <Override PartName="/xl/charts/style122.xml" ContentType="application/vnd.ms-office.chartstyle+xml"/>
  <Override PartName="/xl/charts/style123.xml" ContentType="application/vnd.ms-office.chartstyle+xml"/>
  <Override PartName="/xl/charts/style124.xml" ContentType="application/vnd.ms-office.chartstyle+xml"/>
  <Override PartName="/xl/charts/style125.xml" ContentType="application/vnd.ms-office.chartstyle+xml"/>
  <Override PartName="/xl/charts/style126.xml" ContentType="application/vnd.ms-office.chartstyle+xml"/>
  <Override PartName="/xl/charts/style127.xml" ContentType="application/vnd.ms-office.chartstyle+xml"/>
  <Override PartName="/xl/charts/style128.xml" ContentType="application/vnd.ms-office.chartstyle+xml"/>
  <Override PartName="/xl/charts/style129.xml" ContentType="application/vnd.ms-office.chartstyle+xml"/>
  <Override PartName="/xl/charts/style13.xml" ContentType="application/vnd.ms-office.chartstyle+xml"/>
  <Override PartName="/xl/charts/style130.xml" ContentType="application/vnd.ms-office.chartstyle+xml"/>
  <Override PartName="/xl/charts/style131.xml" ContentType="application/vnd.ms-office.chartstyle+xml"/>
  <Override PartName="/xl/charts/style132.xml" ContentType="application/vnd.ms-office.chartstyle+xml"/>
  <Override PartName="/xl/charts/style133.xml" ContentType="application/vnd.ms-office.chartstyle+xml"/>
  <Override PartName="/xl/charts/style134.xml" ContentType="application/vnd.ms-office.chartstyle+xml"/>
  <Override PartName="/xl/charts/style135.xml" ContentType="application/vnd.ms-office.chartstyle+xml"/>
  <Override PartName="/xl/charts/style136.xml" ContentType="application/vnd.ms-office.chartstyle+xml"/>
  <Override PartName="/xl/charts/style137.xml" ContentType="application/vnd.ms-office.chartstyle+xml"/>
  <Override PartName="/xl/charts/style138.xml" ContentType="application/vnd.ms-office.chartstyle+xml"/>
  <Override PartName="/xl/charts/style139.xml" ContentType="application/vnd.ms-office.chartstyle+xml"/>
  <Override PartName="/xl/charts/style14.xml" ContentType="application/vnd.ms-office.chartstyle+xml"/>
  <Override PartName="/xl/charts/style140.xml" ContentType="application/vnd.ms-office.chartstyle+xml"/>
  <Override PartName="/xl/charts/style141.xml" ContentType="application/vnd.ms-office.chartstyle+xml"/>
  <Override PartName="/xl/charts/style142.xml" ContentType="application/vnd.ms-office.chartstyle+xml"/>
  <Override PartName="/xl/charts/style143.xml" ContentType="application/vnd.ms-office.chartstyle+xml"/>
  <Override PartName="/xl/charts/style144.xml" ContentType="application/vnd.ms-office.chartstyle+xml"/>
  <Override PartName="/xl/charts/style145.xml" ContentType="application/vnd.ms-office.chartstyle+xml"/>
  <Override PartName="/xl/charts/style146.xml" ContentType="application/vnd.ms-office.chartstyle+xml"/>
  <Override PartName="/xl/charts/style147.xml" ContentType="application/vnd.ms-office.chartstyle+xml"/>
  <Override PartName="/xl/charts/style148.xml" ContentType="application/vnd.ms-office.chartstyle+xml"/>
  <Override PartName="/xl/charts/style149.xml" ContentType="application/vnd.ms-office.chartstyle+xml"/>
  <Override PartName="/xl/charts/style15.xml" ContentType="application/vnd.ms-office.chartstyle+xml"/>
  <Override PartName="/xl/charts/style150.xml" ContentType="application/vnd.ms-office.chartstyle+xml"/>
  <Override PartName="/xl/charts/style151.xml" ContentType="application/vnd.ms-office.chartstyle+xml"/>
  <Override PartName="/xl/charts/style152.xml" ContentType="application/vnd.ms-office.chartstyle+xml"/>
  <Override PartName="/xl/charts/style153.xml" ContentType="application/vnd.ms-office.chartstyle+xml"/>
  <Override PartName="/xl/charts/style154.xml" ContentType="application/vnd.ms-office.chartstyle+xml"/>
  <Override PartName="/xl/charts/style155.xml" ContentType="application/vnd.ms-office.chartstyle+xml"/>
  <Override PartName="/xl/charts/style156.xml" ContentType="application/vnd.ms-office.chartstyle+xml"/>
  <Override PartName="/xl/charts/style157.xml" ContentType="application/vnd.ms-office.chartstyle+xml"/>
  <Override PartName="/xl/charts/style158.xml" ContentType="application/vnd.ms-office.chartstyle+xml"/>
  <Override PartName="/xl/charts/style159.xml" ContentType="application/vnd.ms-office.chartstyle+xml"/>
  <Override PartName="/xl/charts/style16.xml" ContentType="application/vnd.ms-office.chartstyle+xml"/>
  <Override PartName="/xl/charts/style160.xml" ContentType="application/vnd.ms-office.chartstyle+xml"/>
  <Override PartName="/xl/charts/style161.xml" ContentType="application/vnd.ms-office.chartstyle+xml"/>
  <Override PartName="/xl/charts/style162.xml" ContentType="application/vnd.ms-office.chartstyle+xml"/>
  <Override PartName="/xl/charts/style163.xml" ContentType="application/vnd.ms-office.chartstyle+xml"/>
  <Override PartName="/xl/charts/style164.xml" ContentType="application/vnd.ms-office.chartstyle+xml"/>
  <Override PartName="/xl/charts/style165.xml" ContentType="application/vnd.ms-office.chartstyle+xml"/>
  <Override PartName="/xl/charts/style166.xml" ContentType="application/vnd.ms-office.chartstyle+xml"/>
  <Override PartName="/xl/charts/style167.xml" ContentType="application/vnd.ms-office.chartstyle+xml"/>
  <Override PartName="/xl/charts/style168.xml" ContentType="application/vnd.ms-office.chartstyle+xml"/>
  <Override PartName="/xl/charts/style169.xml" ContentType="application/vnd.ms-office.chartstyle+xml"/>
  <Override PartName="/xl/charts/style17.xml" ContentType="application/vnd.ms-office.chartstyle+xml"/>
  <Override PartName="/xl/charts/style170.xml" ContentType="application/vnd.ms-office.chartstyle+xml"/>
  <Override PartName="/xl/charts/style171.xml" ContentType="application/vnd.ms-office.chartstyle+xml"/>
  <Override PartName="/xl/charts/style172.xml" ContentType="application/vnd.ms-office.chartstyle+xml"/>
  <Override PartName="/xl/charts/style173.xml" ContentType="application/vnd.ms-office.chartstyle+xml"/>
  <Override PartName="/xl/charts/style174.xml" ContentType="application/vnd.ms-office.chartstyle+xml"/>
  <Override PartName="/xl/charts/style175.xml" ContentType="application/vnd.ms-office.chartstyle+xml"/>
  <Override PartName="/xl/charts/style176.xml" ContentType="application/vnd.ms-office.chartstyle+xml"/>
  <Override PartName="/xl/charts/style177.xml" ContentType="application/vnd.ms-office.chartstyle+xml"/>
  <Override PartName="/xl/charts/style178.xml" ContentType="application/vnd.ms-office.chartstyle+xml"/>
  <Override PartName="/xl/charts/style179.xml" ContentType="application/vnd.ms-office.chartstyle+xml"/>
  <Override PartName="/xl/charts/style18.xml" ContentType="application/vnd.ms-office.chartstyle+xml"/>
  <Override PartName="/xl/charts/style180.xml" ContentType="application/vnd.ms-office.chartstyle+xml"/>
  <Override PartName="/xl/charts/style181.xml" ContentType="application/vnd.ms-office.chartstyle+xml"/>
  <Override PartName="/xl/charts/style182.xml" ContentType="application/vnd.ms-office.chartstyle+xml"/>
  <Override PartName="/xl/charts/style183.xml" ContentType="application/vnd.ms-office.chartstyle+xml"/>
  <Override PartName="/xl/charts/style184.xml" ContentType="application/vnd.ms-office.chartstyle+xml"/>
  <Override PartName="/xl/charts/style185.xml" ContentType="application/vnd.ms-office.chartstyle+xml"/>
  <Override PartName="/xl/charts/style186.xml" ContentType="application/vnd.ms-office.chartstyle+xml"/>
  <Override PartName="/xl/charts/style187.xml" ContentType="application/vnd.ms-office.chartstyle+xml"/>
  <Override PartName="/xl/charts/style188.xml" ContentType="application/vnd.ms-office.chartstyle+xml"/>
  <Override PartName="/xl/charts/style189.xml" ContentType="application/vnd.ms-office.chartstyle+xml"/>
  <Override PartName="/xl/charts/style19.xml" ContentType="application/vnd.ms-office.chartstyle+xml"/>
  <Override PartName="/xl/charts/style190.xml" ContentType="application/vnd.ms-office.chartstyle+xml"/>
  <Override PartName="/xl/charts/style191.xml" ContentType="application/vnd.ms-office.chartstyle+xml"/>
  <Override PartName="/xl/charts/style192.xml" ContentType="application/vnd.ms-office.chartstyle+xml"/>
  <Override PartName="/xl/charts/style193.xml" ContentType="application/vnd.ms-office.chartstyle+xml"/>
  <Override PartName="/xl/charts/style194.xml" ContentType="application/vnd.ms-office.chartstyle+xml"/>
  <Override PartName="/xl/charts/style195.xml" ContentType="application/vnd.ms-office.chartstyle+xml"/>
  <Override PartName="/xl/charts/style196.xml" ContentType="application/vnd.ms-office.chartstyle+xml"/>
  <Override PartName="/xl/charts/style197.xml" ContentType="application/vnd.ms-office.chartstyle+xml"/>
  <Override PartName="/xl/charts/style198.xml" ContentType="application/vnd.ms-office.chartstyle+xml"/>
  <Override PartName="/xl/charts/style19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00.xml" ContentType="application/vnd.ms-office.chartstyle+xml"/>
  <Override PartName="/xl/charts/style201.xml" ContentType="application/vnd.ms-office.chartstyle+xml"/>
  <Override PartName="/xl/charts/style202.xml" ContentType="application/vnd.ms-office.chartstyle+xml"/>
  <Override PartName="/xl/charts/style203.xml" ContentType="application/vnd.ms-office.chartstyle+xml"/>
  <Override PartName="/xl/charts/style204.xml" ContentType="application/vnd.ms-office.chartstyle+xml"/>
  <Override PartName="/xl/charts/style205.xml" ContentType="application/vnd.ms-office.chartstyle+xml"/>
  <Override PartName="/xl/charts/style206.xml" ContentType="application/vnd.ms-office.chartstyle+xml"/>
  <Override PartName="/xl/charts/style207.xml" ContentType="application/vnd.ms-office.chartstyle+xml"/>
  <Override PartName="/xl/charts/style208.xml" ContentType="application/vnd.ms-office.chartstyle+xml"/>
  <Override PartName="/xl/charts/style209.xml" ContentType="application/vnd.ms-office.chartstyle+xml"/>
  <Override PartName="/xl/charts/style21.xml" ContentType="application/vnd.ms-office.chartstyle+xml"/>
  <Override PartName="/xl/charts/style210.xml" ContentType="application/vnd.ms-office.chartstyle+xml"/>
  <Override PartName="/xl/charts/style211.xml" ContentType="application/vnd.ms-office.chartstyle+xml"/>
  <Override PartName="/xl/charts/style212.xml" ContentType="application/vnd.ms-office.chartstyle+xml"/>
  <Override PartName="/xl/charts/style213.xml" ContentType="application/vnd.ms-office.chartstyle+xml"/>
  <Override PartName="/xl/charts/style214.xml" ContentType="application/vnd.ms-office.chartstyle+xml"/>
  <Override PartName="/xl/charts/style215.xml" ContentType="application/vnd.ms-office.chartstyle+xml"/>
  <Override PartName="/xl/charts/style216.xml" ContentType="application/vnd.ms-office.chartstyle+xml"/>
  <Override PartName="/xl/charts/style217.xml" ContentType="application/vnd.ms-office.chartstyle+xml"/>
  <Override PartName="/xl/charts/style218.xml" ContentType="application/vnd.ms-office.chartstyle+xml"/>
  <Override PartName="/xl/charts/style219.xml" ContentType="application/vnd.ms-office.chartstyle+xml"/>
  <Override PartName="/xl/charts/style22.xml" ContentType="application/vnd.ms-office.chartstyle+xml"/>
  <Override PartName="/xl/charts/style220.xml" ContentType="application/vnd.ms-office.chartstyle+xml"/>
  <Override PartName="/xl/charts/style221.xml" ContentType="application/vnd.ms-office.chartstyle+xml"/>
  <Override PartName="/xl/charts/style222.xml" ContentType="application/vnd.ms-office.chartstyle+xml"/>
  <Override PartName="/xl/charts/style223.xml" ContentType="application/vnd.ms-office.chartstyle+xml"/>
  <Override PartName="/xl/charts/style224.xml" ContentType="application/vnd.ms-office.chartstyle+xml"/>
  <Override PartName="/xl/charts/style225.xml" ContentType="application/vnd.ms-office.chartstyle+xml"/>
  <Override PartName="/xl/charts/style226.xml" ContentType="application/vnd.ms-office.chartstyle+xml"/>
  <Override PartName="/xl/charts/style227.xml" ContentType="application/vnd.ms-office.chartstyle+xml"/>
  <Override PartName="/xl/charts/style228.xml" ContentType="application/vnd.ms-office.chartstyle+xml"/>
  <Override PartName="/xl/charts/style229.xml" ContentType="application/vnd.ms-office.chartstyle+xml"/>
  <Override PartName="/xl/charts/style23.xml" ContentType="application/vnd.ms-office.chartstyle+xml"/>
  <Override PartName="/xl/charts/style230.xml" ContentType="application/vnd.ms-office.chartstyle+xml"/>
  <Override PartName="/xl/charts/style231.xml" ContentType="application/vnd.ms-office.chartstyle+xml"/>
  <Override PartName="/xl/charts/style232.xml" ContentType="application/vnd.ms-office.chartstyle+xml"/>
  <Override PartName="/xl/charts/style233.xml" ContentType="application/vnd.ms-office.chartstyle+xml"/>
  <Override PartName="/xl/charts/style234.xml" ContentType="application/vnd.ms-office.chartstyle+xml"/>
  <Override PartName="/xl/charts/style235.xml" ContentType="application/vnd.ms-office.chartstyle+xml"/>
  <Override PartName="/xl/charts/style236.xml" ContentType="application/vnd.ms-office.chartstyle+xml"/>
  <Override PartName="/xl/charts/style237.xml" ContentType="application/vnd.ms-office.chartstyle+xml"/>
  <Override PartName="/xl/charts/style238.xml" ContentType="application/vnd.ms-office.chartstyle+xml"/>
  <Override PartName="/xl/charts/style239.xml" ContentType="application/vnd.ms-office.chartstyle+xml"/>
  <Override PartName="/xl/charts/style24.xml" ContentType="application/vnd.ms-office.chartstyle+xml"/>
  <Override PartName="/xl/charts/style240.xml" ContentType="application/vnd.ms-office.chartstyle+xml"/>
  <Override PartName="/xl/charts/style241.xml" ContentType="application/vnd.ms-office.chartstyle+xml"/>
  <Override PartName="/xl/charts/style242.xml" ContentType="application/vnd.ms-office.chartstyle+xml"/>
  <Override PartName="/xl/charts/style243.xml" ContentType="application/vnd.ms-office.chartstyle+xml"/>
  <Override PartName="/xl/charts/style244.xml" ContentType="application/vnd.ms-office.chartstyle+xml"/>
  <Override PartName="/xl/charts/style245.xml" ContentType="application/vnd.ms-office.chartstyle+xml"/>
  <Override PartName="/xl/charts/style246.xml" ContentType="application/vnd.ms-office.chartstyle+xml"/>
  <Override PartName="/xl/charts/style247.xml" ContentType="application/vnd.ms-office.chartstyle+xml"/>
  <Override PartName="/xl/charts/style248.xml" ContentType="application/vnd.ms-office.chartstyle+xml"/>
  <Override PartName="/xl/charts/style249.xml" ContentType="application/vnd.ms-office.chartstyle+xml"/>
  <Override PartName="/xl/charts/style25.xml" ContentType="application/vnd.ms-office.chartstyle+xml"/>
  <Override PartName="/xl/charts/style250.xml" ContentType="application/vnd.ms-office.chartstyle+xml"/>
  <Override PartName="/xl/charts/style251.xml" ContentType="application/vnd.ms-office.chartstyle+xml"/>
  <Override PartName="/xl/charts/style252.xml" ContentType="application/vnd.ms-office.chartstyle+xml"/>
  <Override PartName="/xl/charts/style253.xml" ContentType="application/vnd.ms-office.chartstyle+xml"/>
  <Override PartName="/xl/charts/style254.xml" ContentType="application/vnd.ms-office.chartstyle+xml"/>
  <Override PartName="/xl/charts/style255.xml" ContentType="application/vnd.ms-office.chartstyle+xml"/>
  <Override PartName="/xl/charts/style256.xml" ContentType="application/vnd.ms-office.chartstyle+xml"/>
  <Override PartName="/xl/charts/style257.xml" ContentType="application/vnd.ms-office.chartstyle+xml"/>
  <Override PartName="/xl/charts/style258.xml" ContentType="application/vnd.ms-office.chartstyle+xml"/>
  <Override PartName="/xl/charts/style259.xml" ContentType="application/vnd.ms-office.chartstyle+xml"/>
  <Override PartName="/xl/charts/style26.xml" ContentType="application/vnd.ms-office.chartstyle+xml"/>
  <Override PartName="/xl/charts/style260.xml" ContentType="application/vnd.ms-office.chartstyle+xml"/>
  <Override PartName="/xl/charts/style261.xml" ContentType="application/vnd.ms-office.chartstyle+xml"/>
  <Override PartName="/xl/charts/style262.xml" ContentType="application/vnd.ms-office.chartstyle+xml"/>
  <Override PartName="/xl/charts/style263.xml" ContentType="application/vnd.ms-office.chartstyle+xml"/>
  <Override PartName="/xl/charts/style264.xml" ContentType="application/vnd.ms-office.chartstyle+xml"/>
  <Override PartName="/xl/charts/style265.xml" ContentType="application/vnd.ms-office.chartstyle+xml"/>
  <Override PartName="/xl/charts/style266.xml" ContentType="application/vnd.ms-office.chartstyle+xml"/>
  <Override PartName="/xl/charts/style267.xml" ContentType="application/vnd.ms-office.chartstyle+xml"/>
  <Override PartName="/xl/charts/style268.xml" ContentType="application/vnd.ms-office.chartstyle+xml"/>
  <Override PartName="/xl/charts/style269.xml" ContentType="application/vnd.ms-office.chartstyle+xml"/>
  <Override PartName="/xl/charts/style27.xml" ContentType="application/vnd.ms-office.chartstyle+xml"/>
  <Override PartName="/xl/charts/style270.xml" ContentType="application/vnd.ms-office.chartstyle+xml"/>
  <Override PartName="/xl/charts/style271.xml" ContentType="application/vnd.ms-office.chartstyle+xml"/>
  <Override PartName="/xl/charts/style272.xml" ContentType="application/vnd.ms-office.chartstyle+xml"/>
  <Override PartName="/xl/charts/style273.xml" ContentType="application/vnd.ms-office.chartstyle+xml"/>
  <Override PartName="/xl/charts/style274.xml" ContentType="application/vnd.ms-office.chartstyle+xml"/>
  <Override PartName="/xl/charts/style275.xml" ContentType="application/vnd.ms-office.chartstyle+xml"/>
  <Override PartName="/xl/charts/style276.xml" ContentType="application/vnd.ms-office.chartstyle+xml"/>
  <Override PartName="/xl/charts/style277.xml" ContentType="application/vnd.ms-office.chartstyle+xml"/>
  <Override PartName="/xl/charts/style278.xml" ContentType="application/vnd.ms-office.chartstyle+xml"/>
  <Override PartName="/xl/charts/style279.xml" ContentType="application/vnd.ms-office.chartstyle+xml"/>
  <Override PartName="/xl/charts/style28.xml" ContentType="application/vnd.ms-office.chartstyle+xml"/>
  <Override PartName="/xl/charts/style280.xml" ContentType="application/vnd.ms-office.chartstyle+xml"/>
  <Override PartName="/xl/charts/style281.xml" ContentType="application/vnd.ms-office.chartstyle+xml"/>
  <Override PartName="/xl/charts/style282.xml" ContentType="application/vnd.ms-office.chartstyle+xml"/>
  <Override PartName="/xl/charts/style283.xml" ContentType="application/vnd.ms-office.chartstyle+xml"/>
  <Override PartName="/xl/charts/style284.xml" ContentType="application/vnd.ms-office.chartstyle+xml"/>
  <Override PartName="/xl/charts/style285.xml" ContentType="application/vnd.ms-office.chartstyle+xml"/>
  <Override PartName="/xl/charts/style286.xml" ContentType="application/vnd.ms-office.chartstyle+xml"/>
  <Override PartName="/xl/charts/style287.xml" ContentType="application/vnd.ms-office.chartstyle+xml"/>
  <Override PartName="/xl/charts/style288.xml" ContentType="application/vnd.ms-office.chartstyle+xml"/>
  <Override PartName="/xl/charts/style289.xml" ContentType="application/vnd.ms-office.chartstyle+xml"/>
  <Override PartName="/xl/charts/style29.xml" ContentType="application/vnd.ms-office.chartstyle+xml"/>
  <Override PartName="/xl/charts/style290.xml" ContentType="application/vnd.ms-office.chartstyle+xml"/>
  <Override PartName="/xl/charts/style291.xml" ContentType="application/vnd.ms-office.chartstyle+xml"/>
  <Override PartName="/xl/charts/style292.xml" ContentType="application/vnd.ms-office.chartstyle+xml"/>
  <Override PartName="/xl/charts/style293.xml" ContentType="application/vnd.ms-office.chartstyle+xml"/>
  <Override PartName="/xl/charts/style294.xml" ContentType="application/vnd.ms-office.chartstyle+xml"/>
  <Override PartName="/xl/charts/style295.xml" ContentType="application/vnd.ms-office.chartstyle+xml"/>
  <Override PartName="/xl/charts/style296.xml" ContentType="application/vnd.ms-office.chartstyle+xml"/>
  <Override PartName="/xl/charts/style297.xml" ContentType="application/vnd.ms-office.chartstyle+xml"/>
  <Override PartName="/xl/charts/style298.xml" ContentType="application/vnd.ms-office.chartstyle+xml"/>
  <Override PartName="/xl/charts/style29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00.xml" ContentType="application/vnd.ms-office.chartstyle+xml"/>
  <Override PartName="/xl/charts/style301.xml" ContentType="application/vnd.ms-office.chartstyle+xml"/>
  <Override PartName="/xl/charts/style302.xml" ContentType="application/vnd.ms-office.chartstyle+xml"/>
  <Override PartName="/xl/charts/style303.xml" ContentType="application/vnd.ms-office.chartstyle+xml"/>
  <Override PartName="/xl/charts/style304.xml" ContentType="application/vnd.ms-office.chartstyle+xml"/>
  <Override PartName="/xl/charts/style305.xml" ContentType="application/vnd.ms-office.chartstyle+xml"/>
  <Override PartName="/xl/charts/style306.xml" ContentType="application/vnd.ms-office.chartstyle+xml"/>
  <Override PartName="/xl/charts/style307.xml" ContentType="application/vnd.ms-office.chartstyle+xml"/>
  <Override PartName="/xl/charts/style308.xml" ContentType="application/vnd.ms-office.chartstyle+xml"/>
  <Override PartName="/xl/charts/style309.xml" ContentType="application/vnd.ms-office.chartstyle+xml"/>
  <Override PartName="/xl/charts/style31.xml" ContentType="application/vnd.ms-office.chartstyle+xml"/>
  <Override PartName="/xl/charts/style310.xml" ContentType="application/vnd.ms-office.chartstyle+xml"/>
  <Override PartName="/xl/charts/style311.xml" ContentType="application/vnd.ms-office.chartstyle+xml"/>
  <Override PartName="/xl/charts/style312.xml" ContentType="application/vnd.ms-office.chartstyle+xml"/>
  <Override PartName="/xl/charts/style313.xml" ContentType="application/vnd.ms-office.chartstyle+xml"/>
  <Override PartName="/xl/charts/style314.xml" ContentType="application/vnd.ms-office.chartstyle+xml"/>
  <Override PartName="/xl/charts/style315.xml" ContentType="application/vnd.ms-office.chartstyle+xml"/>
  <Override PartName="/xl/charts/style316.xml" ContentType="application/vnd.ms-office.chartstyle+xml"/>
  <Override PartName="/xl/charts/style317.xml" ContentType="application/vnd.ms-office.chartstyle+xml"/>
  <Override PartName="/xl/charts/style318.xml" ContentType="application/vnd.ms-office.chartstyle+xml"/>
  <Override PartName="/xl/charts/style319.xml" ContentType="application/vnd.ms-office.chartstyle+xml"/>
  <Override PartName="/xl/charts/style32.xml" ContentType="application/vnd.ms-office.chartstyle+xml"/>
  <Override PartName="/xl/charts/style320.xml" ContentType="application/vnd.ms-office.chartstyle+xml"/>
  <Override PartName="/xl/charts/style321.xml" ContentType="application/vnd.ms-office.chartstyle+xml"/>
  <Override PartName="/xl/charts/style322.xml" ContentType="application/vnd.ms-office.chartstyle+xml"/>
  <Override PartName="/xl/charts/style323.xml" ContentType="application/vnd.ms-office.chartstyle+xml"/>
  <Override PartName="/xl/charts/style324.xml" ContentType="application/vnd.ms-office.chartstyle+xml"/>
  <Override PartName="/xl/charts/style325.xml" ContentType="application/vnd.ms-office.chartstyle+xml"/>
  <Override PartName="/xl/charts/style326.xml" ContentType="application/vnd.ms-office.chartstyle+xml"/>
  <Override PartName="/xl/charts/style327.xml" ContentType="application/vnd.ms-office.chartstyle+xml"/>
  <Override PartName="/xl/charts/style328.xml" ContentType="application/vnd.ms-office.chartstyle+xml"/>
  <Override PartName="/xl/charts/style329.xml" ContentType="application/vnd.ms-office.chartstyle+xml"/>
  <Override PartName="/xl/charts/style33.xml" ContentType="application/vnd.ms-office.chartstyle+xml"/>
  <Override PartName="/xl/charts/style330.xml" ContentType="application/vnd.ms-office.chartstyle+xml"/>
  <Override PartName="/xl/charts/style331.xml" ContentType="application/vnd.ms-office.chartstyle+xml"/>
  <Override PartName="/xl/charts/style332.xml" ContentType="application/vnd.ms-office.chartstyle+xml"/>
  <Override PartName="/xl/charts/style333.xml" ContentType="application/vnd.ms-office.chartstyle+xml"/>
  <Override PartName="/xl/charts/style334.xml" ContentType="application/vnd.ms-office.chartstyle+xml"/>
  <Override PartName="/xl/charts/style335.xml" ContentType="application/vnd.ms-office.chartstyle+xml"/>
  <Override PartName="/xl/charts/style336.xml" ContentType="application/vnd.ms-office.chartstyle+xml"/>
  <Override PartName="/xl/charts/style337.xml" ContentType="application/vnd.ms-office.chartstyle+xml"/>
  <Override PartName="/xl/charts/style338.xml" ContentType="application/vnd.ms-office.chartstyle+xml"/>
  <Override PartName="/xl/charts/style339.xml" ContentType="application/vnd.ms-office.chartstyle+xml"/>
  <Override PartName="/xl/charts/style34.xml" ContentType="application/vnd.ms-office.chartstyle+xml"/>
  <Override PartName="/xl/charts/style340.xml" ContentType="application/vnd.ms-office.chartstyle+xml"/>
  <Override PartName="/xl/charts/style341.xml" ContentType="application/vnd.ms-office.chartstyle+xml"/>
  <Override PartName="/xl/charts/style342.xml" ContentType="application/vnd.ms-office.chartstyle+xml"/>
  <Override PartName="/xl/charts/style343.xml" ContentType="application/vnd.ms-office.chartstyle+xml"/>
  <Override PartName="/xl/charts/style344.xml" ContentType="application/vnd.ms-office.chartstyle+xml"/>
  <Override PartName="/xl/charts/style345.xml" ContentType="application/vnd.ms-office.chartstyle+xml"/>
  <Override PartName="/xl/charts/style346.xml" ContentType="application/vnd.ms-office.chartstyle+xml"/>
  <Override PartName="/xl/charts/style347.xml" ContentType="application/vnd.ms-office.chartstyle+xml"/>
  <Override PartName="/xl/charts/style348.xml" ContentType="application/vnd.ms-office.chartstyle+xml"/>
  <Override PartName="/xl/charts/style349.xml" ContentType="application/vnd.ms-office.chartstyle+xml"/>
  <Override PartName="/xl/charts/style35.xml" ContentType="application/vnd.ms-office.chartstyle+xml"/>
  <Override PartName="/xl/charts/style350.xml" ContentType="application/vnd.ms-office.chartstyle+xml"/>
  <Override PartName="/xl/charts/style351.xml" ContentType="application/vnd.ms-office.chartstyle+xml"/>
  <Override PartName="/xl/charts/style352.xml" ContentType="application/vnd.ms-office.chartstyle+xml"/>
  <Override PartName="/xl/charts/style353.xml" ContentType="application/vnd.ms-office.chartstyle+xml"/>
  <Override PartName="/xl/charts/style354.xml" ContentType="application/vnd.ms-office.chartstyle+xml"/>
  <Override PartName="/xl/charts/style355.xml" ContentType="application/vnd.ms-office.chartstyle+xml"/>
  <Override PartName="/xl/charts/style356.xml" ContentType="application/vnd.ms-office.chartstyle+xml"/>
  <Override PartName="/xl/charts/style357.xml" ContentType="application/vnd.ms-office.chartstyle+xml"/>
  <Override PartName="/xl/charts/style358.xml" ContentType="application/vnd.ms-office.chartstyle+xml"/>
  <Override PartName="/xl/charts/style359.xml" ContentType="application/vnd.ms-office.chartstyle+xml"/>
  <Override PartName="/xl/charts/style36.xml" ContentType="application/vnd.ms-office.chartstyle+xml"/>
  <Override PartName="/xl/charts/style360.xml" ContentType="application/vnd.ms-office.chartstyle+xml"/>
  <Override PartName="/xl/charts/style361.xml" ContentType="application/vnd.ms-office.chartstyle+xml"/>
  <Override PartName="/xl/charts/style362.xml" ContentType="application/vnd.ms-office.chartstyle+xml"/>
  <Override PartName="/xl/charts/style363.xml" ContentType="application/vnd.ms-office.chartstyle+xml"/>
  <Override PartName="/xl/charts/style364.xml" ContentType="application/vnd.ms-office.chartstyle+xml"/>
  <Override PartName="/xl/charts/style365.xml" ContentType="application/vnd.ms-office.chartstyle+xml"/>
  <Override PartName="/xl/charts/style366.xml" ContentType="application/vnd.ms-office.chartstyle+xml"/>
  <Override PartName="/xl/charts/style367.xml" ContentType="application/vnd.ms-office.chartstyle+xml"/>
  <Override PartName="/xl/charts/style368.xml" ContentType="application/vnd.ms-office.chartstyle+xml"/>
  <Override PartName="/xl/charts/style369.xml" ContentType="application/vnd.ms-office.chartstyle+xml"/>
  <Override PartName="/xl/charts/style37.xml" ContentType="application/vnd.ms-office.chartstyle+xml"/>
  <Override PartName="/xl/charts/style370.xml" ContentType="application/vnd.ms-office.chartstyle+xml"/>
  <Override PartName="/xl/charts/style371.xml" ContentType="application/vnd.ms-office.chartstyle+xml"/>
  <Override PartName="/xl/charts/style372.xml" ContentType="application/vnd.ms-office.chartstyle+xml"/>
  <Override PartName="/xl/charts/style373.xml" ContentType="application/vnd.ms-office.chartstyle+xml"/>
  <Override PartName="/xl/charts/style374.xml" ContentType="application/vnd.ms-office.chartstyle+xml"/>
  <Override PartName="/xl/charts/style375.xml" ContentType="application/vnd.ms-office.chartstyle+xml"/>
  <Override PartName="/xl/charts/style376.xml" ContentType="application/vnd.ms-office.chartstyle+xml"/>
  <Override PartName="/xl/charts/style377.xml" ContentType="application/vnd.ms-office.chartstyle+xml"/>
  <Override PartName="/xl/charts/style378.xml" ContentType="application/vnd.ms-office.chartstyle+xml"/>
  <Override PartName="/xl/charts/style379.xml" ContentType="application/vnd.ms-office.chartstyle+xml"/>
  <Override PartName="/xl/charts/style38.xml" ContentType="application/vnd.ms-office.chartstyle+xml"/>
  <Override PartName="/xl/charts/style380.xml" ContentType="application/vnd.ms-office.chartstyle+xml"/>
  <Override PartName="/xl/charts/style381.xml" ContentType="application/vnd.ms-office.chartstyle+xml"/>
  <Override PartName="/xl/charts/style382.xml" ContentType="application/vnd.ms-office.chartstyle+xml"/>
  <Override PartName="/xl/charts/style383.xml" ContentType="application/vnd.ms-office.chartstyle+xml"/>
  <Override PartName="/xl/charts/style384.xml" ContentType="application/vnd.ms-office.chartstyle+xml"/>
  <Override PartName="/xl/charts/style385.xml" ContentType="application/vnd.ms-office.chartstyle+xml"/>
  <Override PartName="/xl/charts/style386.xml" ContentType="application/vnd.ms-office.chartstyle+xml"/>
  <Override PartName="/xl/charts/style387.xml" ContentType="application/vnd.ms-office.chartstyle+xml"/>
  <Override PartName="/xl/charts/style388.xml" ContentType="application/vnd.ms-office.chartstyle+xml"/>
  <Override PartName="/xl/charts/style389.xml" ContentType="application/vnd.ms-office.chartstyle+xml"/>
  <Override PartName="/xl/charts/style39.xml" ContentType="application/vnd.ms-office.chartstyle+xml"/>
  <Override PartName="/xl/charts/style390.xml" ContentType="application/vnd.ms-office.chartstyle+xml"/>
  <Override PartName="/xl/charts/style391.xml" ContentType="application/vnd.ms-office.chartstyle+xml"/>
  <Override PartName="/xl/charts/style392.xml" ContentType="application/vnd.ms-office.chartstyle+xml"/>
  <Override PartName="/xl/charts/style393.xml" ContentType="application/vnd.ms-office.chartstyle+xml"/>
  <Override PartName="/xl/charts/style394.xml" ContentType="application/vnd.ms-office.chartstyle+xml"/>
  <Override PartName="/xl/charts/style395.xml" ContentType="application/vnd.ms-office.chartstyle+xml"/>
  <Override PartName="/xl/charts/style396.xml" ContentType="application/vnd.ms-office.chartstyle+xml"/>
  <Override PartName="/xl/charts/style397.xml" ContentType="application/vnd.ms-office.chartstyle+xml"/>
  <Override PartName="/xl/charts/style398.xml" ContentType="application/vnd.ms-office.chartstyle+xml"/>
  <Override PartName="/xl/charts/style39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00.xml" ContentType="application/vnd.ms-office.chartstyle+xml"/>
  <Override PartName="/xl/charts/style401.xml" ContentType="application/vnd.ms-office.chartstyle+xml"/>
  <Override PartName="/xl/charts/style402.xml" ContentType="application/vnd.ms-office.chartstyle+xml"/>
  <Override PartName="/xl/charts/style403.xml" ContentType="application/vnd.ms-office.chartstyle+xml"/>
  <Override PartName="/xl/charts/style404.xml" ContentType="application/vnd.ms-office.chartstyle+xml"/>
  <Override PartName="/xl/charts/style405.xml" ContentType="application/vnd.ms-office.chartstyle+xml"/>
  <Override PartName="/xl/charts/style406.xml" ContentType="application/vnd.ms-office.chartstyle+xml"/>
  <Override PartName="/xl/charts/style407.xml" ContentType="application/vnd.ms-office.chartstyle+xml"/>
  <Override PartName="/xl/charts/style408.xml" ContentType="application/vnd.ms-office.chartstyle+xml"/>
  <Override PartName="/xl/charts/style409.xml" ContentType="application/vnd.ms-office.chartstyle+xml"/>
  <Override PartName="/xl/charts/style41.xml" ContentType="application/vnd.ms-office.chartstyle+xml"/>
  <Override PartName="/xl/charts/style410.xml" ContentType="application/vnd.ms-office.chartstyle+xml"/>
  <Override PartName="/xl/charts/style411.xml" ContentType="application/vnd.ms-office.chartstyle+xml"/>
  <Override PartName="/xl/charts/style412.xml" ContentType="application/vnd.ms-office.chartstyle+xml"/>
  <Override PartName="/xl/charts/style413.xml" ContentType="application/vnd.ms-office.chartstyle+xml"/>
  <Override PartName="/xl/charts/style414.xml" ContentType="application/vnd.ms-office.chartstyle+xml"/>
  <Override PartName="/xl/charts/style415.xml" ContentType="application/vnd.ms-office.chartstyle+xml"/>
  <Override PartName="/xl/charts/style416.xml" ContentType="application/vnd.ms-office.chartstyle+xml"/>
  <Override PartName="/xl/charts/style417.xml" ContentType="application/vnd.ms-office.chartstyle+xml"/>
  <Override PartName="/xl/charts/style418.xml" ContentType="application/vnd.ms-office.chartstyle+xml"/>
  <Override PartName="/xl/charts/style419.xml" ContentType="application/vnd.ms-office.chartstyle+xml"/>
  <Override PartName="/xl/charts/style42.xml" ContentType="application/vnd.ms-office.chartstyle+xml"/>
  <Override PartName="/xl/charts/style420.xml" ContentType="application/vnd.ms-office.chartstyle+xml"/>
  <Override PartName="/xl/charts/style421.xml" ContentType="application/vnd.ms-office.chartstyle+xml"/>
  <Override PartName="/xl/charts/style42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65.xml" ContentType="application/vnd.ms-office.chartstyle+xml"/>
  <Override PartName="/xl/charts/style66.xml" ContentType="application/vnd.ms-office.chartstyle+xml"/>
  <Override PartName="/xl/charts/style67.xml" ContentType="application/vnd.ms-office.chartstyle+xml"/>
  <Override PartName="/xl/charts/style68.xml" ContentType="application/vnd.ms-office.chartstyle+xml"/>
  <Override PartName="/xl/charts/style69.xml" ContentType="application/vnd.ms-office.chartstyle+xml"/>
  <Override PartName="/xl/charts/style7.xml" ContentType="application/vnd.ms-office.chartstyle+xml"/>
  <Override PartName="/xl/charts/style70.xml" ContentType="application/vnd.ms-office.chartstyle+xml"/>
  <Override PartName="/xl/charts/style71.xml" ContentType="application/vnd.ms-office.chartstyle+xml"/>
  <Override PartName="/xl/charts/style72.xml" ContentType="application/vnd.ms-office.chartstyle+xml"/>
  <Override PartName="/xl/charts/style73.xml" ContentType="application/vnd.ms-office.chartstyle+xml"/>
  <Override PartName="/xl/charts/style74.xml" ContentType="application/vnd.ms-office.chartstyle+xml"/>
  <Override PartName="/xl/charts/style75.xml" ContentType="application/vnd.ms-office.chartstyle+xml"/>
  <Override PartName="/xl/charts/style76.xml" ContentType="application/vnd.ms-office.chartstyle+xml"/>
  <Override PartName="/xl/charts/style77.xml" ContentType="application/vnd.ms-office.chartstyle+xml"/>
  <Override PartName="/xl/charts/style78.xml" ContentType="application/vnd.ms-office.chartstyle+xml"/>
  <Override PartName="/xl/charts/style79.xml" ContentType="application/vnd.ms-office.chartstyle+xml"/>
  <Override PartName="/xl/charts/style8.xml" ContentType="application/vnd.ms-office.chartstyle+xml"/>
  <Override PartName="/xl/charts/style80.xml" ContentType="application/vnd.ms-office.chartstyle+xml"/>
  <Override PartName="/xl/charts/style81.xml" ContentType="application/vnd.ms-office.chartstyle+xml"/>
  <Override PartName="/xl/charts/style82.xml" ContentType="application/vnd.ms-office.chartstyle+xml"/>
  <Override PartName="/xl/charts/style83.xml" ContentType="application/vnd.ms-office.chartstyle+xml"/>
  <Override PartName="/xl/charts/style84.xml" ContentType="application/vnd.ms-office.chartstyle+xml"/>
  <Override PartName="/xl/charts/style85.xml" ContentType="application/vnd.ms-office.chartstyle+xml"/>
  <Override PartName="/xl/charts/style86.xml" ContentType="application/vnd.ms-office.chartstyle+xml"/>
  <Override PartName="/xl/charts/style87.xml" ContentType="application/vnd.ms-office.chartstyle+xml"/>
  <Override PartName="/xl/charts/style88.xml" ContentType="application/vnd.ms-office.chartstyle+xml"/>
  <Override PartName="/xl/charts/style89.xml" ContentType="application/vnd.ms-office.chartstyle+xml"/>
  <Override PartName="/xl/charts/style9.xml" ContentType="application/vnd.ms-office.chartstyle+xml"/>
  <Override PartName="/xl/charts/style90.xml" ContentType="application/vnd.ms-office.chartstyle+xml"/>
  <Override PartName="/xl/charts/style91.xml" ContentType="application/vnd.ms-office.chartstyle+xml"/>
  <Override PartName="/xl/charts/style92.xml" ContentType="application/vnd.ms-office.chartstyle+xml"/>
  <Override PartName="/xl/charts/style93.xml" ContentType="application/vnd.ms-office.chartstyle+xml"/>
  <Override PartName="/xl/charts/style94.xml" ContentType="application/vnd.ms-office.chartstyle+xml"/>
  <Override PartName="/xl/charts/style95.xml" ContentType="application/vnd.ms-office.chartstyle+xml"/>
  <Override PartName="/xl/charts/style96.xml" ContentType="application/vnd.ms-office.chartstyle+xml"/>
  <Override PartName="/xl/charts/style97.xml" ContentType="application/vnd.ms-office.chartstyle+xml"/>
  <Override PartName="/xl/charts/style98.xml" ContentType="application/vnd.ms-office.chartstyle+xml"/>
  <Override PartName="/xl/charts/style9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63.xml" ContentType="application/vnd.openxmlformats-officedocument.drawing+xml"/>
  <Override PartName="/xl/drawings/drawing164.xml" ContentType="application/vnd.openxmlformats-officedocument.drawing+xml"/>
  <Override PartName="/xl/drawings/drawing165.xml" ContentType="application/vnd.openxmlformats-officedocument.drawing+xml"/>
  <Override PartName="/xl/drawings/drawing166.xml" ContentType="application/vnd.openxmlformats-officedocument.drawing+xml"/>
  <Override PartName="/xl/drawings/drawing167.xml" ContentType="application/vnd.openxmlformats-officedocument.drawing+xml"/>
  <Override PartName="/xl/drawings/drawing168.xml" ContentType="application/vnd.openxmlformats-officedocument.drawing+xml"/>
  <Override PartName="/xl/drawings/drawing169.xml" ContentType="application/vnd.openxmlformats-officedocument.drawing+xml"/>
  <Override PartName="/xl/drawings/drawing17.xml" ContentType="application/vnd.openxmlformats-officedocument.drawing+xml"/>
  <Override PartName="/xl/drawings/drawing170.xml" ContentType="application/vnd.openxmlformats-officedocument.drawing+xml"/>
  <Override PartName="/xl/drawings/drawing171.xml" ContentType="application/vnd.openxmlformats-officedocument.drawing+xml"/>
  <Override PartName="/xl/drawings/drawing172.xml" ContentType="application/vnd.openxmlformats-officedocument.drawing+xml"/>
  <Override PartName="/xl/drawings/drawing173.xml" ContentType="application/vnd.openxmlformats-officedocument.drawing+xml"/>
  <Override PartName="/xl/drawings/drawing174.xml" ContentType="application/vnd.openxmlformats-officedocument.drawing+xml"/>
  <Override PartName="/xl/drawings/drawing175.xml" ContentType="application/vnd.openxmlformats-officedocument.drawing+xml"/>
  <Override PartName="/xl/drawings/drawing176.xml" ContentType="application/vnd.openxmlformats-officedocument.drawing+xml"/>
  <Override PartName="/xl/drawings/drawing17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 firstSheet="177" activeTab="184"/>
  </bookViews>
  <sheets>
    <sheet name="2021.9.24" sheetId="1" r:id="rId1"/>
    <sheet name="2021.9.25" sheetId="2" r:id="rId2"/>
    <sheet name="2021.9.26" sheetId="3" r:id="rId3"/>
    <sheet name="2021.9.27" sheetId="4" r:id="rId4"/>
    <sheet name="2021.9.28" sheetId="5" r:id="rId5"/>
    <sheet name="2021.9.29" sheetId="6" r:id="rId6"/>
    <sheet name="2021.9.30" sheetId="7" r:id="rId7"/>
    <sheet name="2021.10.1" sheetId="8" r:id="rId8"/>
    <sheet name="2021.10.2" sheetId="11" r:id="rId9"/>
    <sheet name="2021.10.3" sheetId="10" r:id="rId10"/>
    <sheet name="2021.10.4" sheetId="12" r:id="rId11"/>
    <sheet name="2021.10.5" sheetId="13" r:id="rId12"/>
    <sheet name="2021.10.6" sheetId="14" r:id="rId13"/>
    <sheet name="2021.10.7" sheetId="15" r:id="rId14"/>
    <sheet name="2021.10.8" sheetId="17" r:id="rId15"/>
    <sheet name="2021.10.9" sheetId="18" r:id="rId16"/>
    <sheet name="2021.10.10" sheetId="20" r:id="rId17"/>
    <sheet name="2021.10.11" sheetId="22" r:id="rId18"/>
    <sheet name="2021.10.12" sheetId="23" r:id="rId19"/>
    <sheet name="2021.10.13" sheetId="24" r:id="rId20"/>
    <sheet name="2021.10.14" sheetId="25" r:id="rId21"/>
    <sheet name="2021.10.15" sheetId="26" r:id="rId22"/>
    <sheet name="2021.10.16" sheetId="28" r:id="rId23"/>
    <sheet name="2021.10.17" sheetId="29" r:id="rId24"/>
    <sheet name="2021.10.18" sheetId="30" r:id="rId25"/>
    <sheet name="2021.10.19" sheetId="31" r:id="rId26"/>
    <sheet name="2021.10.20" sheetId="32" r:id="rId27"/>
    <sheet name="2021.10.21" sheetId="33" r:id="rId28"/>
    <sheet name="2021.10.22" sheetId="34" r:id="rId29"/>
    <sheet name="2021.10.23" sheetId="35" r:id="rId30"/>
    <sheet name="2021.10.24" sheetId="36" r:id="rId31"/>
    <sheet name="2021.10.25" sheetId="37" r:id="rId32"/>
    <sheet name="2021.10.26" sheetId="38" r:id="rId33"/>
    <sheet name="2021.10.27" sheetId="39" r:id="rId34"/>
    <sheet name="2021.10.28" sheetId="40" r:id="rId35"/>
    <sheet name="2021.10.29" sheetId="41" r:id="rId36"/>
    <sheet name="2021.10.30" sheetId="42" r:id="rId37"/>
    <sheet name="2021.10.31" sheetId="43" r:id="rId38"/>
    <sheet name="2021.11.1" sheetId="44" r:id="rId39"/>
    <sheet name="2021.11.2" sheetId="45" r:id="rId40"/>
    <sheet name="2021.11.3" sheetId="46" r:id="rId41"/>
    <sheet name="2021.11.4" sheetId="47" r:id="rId42"/>
    <sheet name="2021.11.5" sheetId="48" r:id="rId43"/>
    <sheet name="2021.11.6" sheetId="49" r:id="rId44"/>
    <sheet name="2021.11.7" sheetId="50" r:id="rId45"/>
    <sheet name="2021.11.8" sheetId="51" r:id="rId46"/>
    <sheet name="2021.11.9" sheetId="52" r:id="rId47"/>
    <sheet name="2021.11.10" sheetId="53" r:id="rId48"/>
    <sheet name="2021.11.11" sheetId="54" r:id="rId49"/>
    <sheet name="2021.11.12" sheetId="55" r:id="rId50"/>
    <sheet name="2021.11.13" sheetId="56" r:id="rId51"/>
    <sheet name="2021.11.14" sheetId="57" r:id="rId52"/>
    <sheet name="2021.11.15" sheetId="58" r:id="rId53"/>
    <sheet name="2021.11.16" sheetId="59" r:id="rId54"/>
    <sheet name="2021.11.17" sheetId="60" r:id="rId55"/>
    <sheet name="2021.11.18" sheetId="61" r:id="rId56"/>
    <sheet name="2021.11.19" sheetId="62" r:id="rId57"/>
    <sheet name="2021.11.20" sheetId="63" r:id="rId58"/>
    <sheet name="2021.11.21" sheetId="64" r:id="rId59"/>
    <sheet name="2021.11.22" sheetId="65" r:id="rId60"/>
    <sheet name="2021.11.23" sheetId="66" r:id="rId61"/>
    <sheet name="2021.11.24" sheetId="67" r:id="rId62"/>
    <sheet name="2021.11.25" sheetId="68" r:id="rId63"/>
    <sheet name="2021.11.26" sheetId="69" r:id="rId64"/>
    <sheet name="2021.11.27" sheetId="70" r:id="rId65"/>
    <sheet name="2021.11.28" sheetId="71" r:id="rId66"/>
    <sheet name="2021.11.29" sheetId="72" r:id="rId67"/>
    <sheet name="2021.11.30" sheetId="73" r:id="rId68"/>
    <sheet name="2021.12.1" sheetId="74" r:id="rId69"/>
    <sheet name="2021.12.2" sheetId="75" r:id="rId70"/>
    <sheet name="2021.12.3" sheetId="76" r:id="rId71"/>
    <sheet name="2021.12.4" sheetId="77" r:id="rId72"/>
    <sheet name="2021.12.5" sheetId="78" r:id="rId73"/>
    <sheet name="2021.12.6" sheetId="79" r:id="rId74"/>
    <sheet name="2021.12.7" sheetId="80" r:id="rId75"/>
    <sheet name="2021.12.8" sheetId="81" r:id="rId76"/>
    <sheet name="2021.12.9" sheetId="82" r:id="rId77"/>
    <sheet name="2021.12.10" sheetId="83" r:id="rId78"/>
    <sheet name="2021.12.11" sheetId="84" r:id="rId79"/>
    <sheet name="2021.12.12" sheetId="85" r:id="rId80"/>
    <sheet name="2021.12.13" sheetId="86" r:id="rId81"/>
    <sheet name="2021.12.14" sheetId="87" r:id="rId82"/>
    <sheet name="2021.12.15" sheetId="88" r:id="rId83"/>
    <sheet name="2021.12.16" sheetId="89" r:id="rId84"/>
    <sheet name="2021.12.17" sheetId="90" r:id="rId85"/>
    <sheet name="2021.12.18" sheetId="91" r:id="rId86"/>
    <sheet name="2021.12.19" sheetId="92" r:id="rId87"/>
    <sheet name="2021.12.20" sheetId="93" r:id="rId88"/>
    <sheet name="2021.12.21" sheetId="94" r:id="rId89"/>
    <sheet name="2021.12.22" sheetId="95" r:id="rId90"/>
    <sheet name="2021.12.23" sheetId="96" r:id="rId91"/>
    <sheet name="2021.12.24" sheetId="97" r:id="rId92"/>
    <sheet name="2021.12.25" sheetId="98" r:id="rId93"/>
    <sheet name="2021.12.26" sheetId="99" r:id="rId94"/>
    <sheet name="2021.12.27" sheetId="100" r:id="rId95"/>
    <sheet name="2021.12.28" sheetId="101" r:id="rId96"/>
    <sheet name="2021.12.29" sheetId="102" r:id="rId97"/>
    <sheet name="2021.12.30" sheetId="103" r:id="rId98"/>
    <sheet name="2021.12.31" sheetId="104" r:id="rId99"/>
    <sheet name="2022.1.1" sheetId="105" r:id="rId100"/>
    <sheet name="2022.1.2" sheetId="106" r:id="rId101"/>
    <sheet name="2022.1.3" sheetId="107" r:id="rId102"/>
    <sheet name="2022.1.4" sheetId="108" r:id="rId103"/>
    <sheet name="2022.1.5" sheetId="109" r:id="rId104"/>
    <sheet name="2022.1.6" sheetId="110" r:id="rId105"/>
    <sheet name="2022.1.7" sheetId="111" r:id="rId106"/>
    <sheet name="2022.1.8" sheetId="112" r:id="rId107"/>
    <sheet name="2022.1.9" sheetId="113" r:id="rId108"/>
    <sheet name="2022.1.10" sheetId="114" r:id="rId109"/>
    <sheet name="2022.1.11" sheetId="115" r:id="rId110"/>
    <sheet name="2022.1.12" sheetId="116" r:id="rId111"/>
    <sheet name="2022.1.13" sheetId="117" r:id="rId112"/>
    <sheet name="2022.1.14" sheetId="118" r:id="rId113"/>
    <sheet name="2022.1.15" sheetId="119" r:id="rId114"/>
    <sheet name="2022.1.16" sheetId="120" r:id="rId115"/>
    <sheet name="2022.1.17" sheetId="121" r:id="rId116"/>
    <sheet name="2022.1.18" sheetId="122" r:id="rId117"/>
    <sheet name="2022.1.19" sheetId="123" r:id="rId118"/>
    <sheet name="2022.1.20" sheetId="124" r:id="rId119"/>
    <sheet name="2022.1.21" sheetId="125" r:id="rId120"/>
    <sheet name="2022.1.22" sheetId="126" r:id="rId121"/>
    <sheet name="2022.2.9" sheetId="127" r:id="rId122"/>
    <sheet name="2022.2.10" sheetId="128" r:id="rId123"/>
    <sheet name="2022.2.11" sheetId="129" r:id="rId124"/>
    <sheet name="2022.2.12" sheetId="130" r:id="rId125"/>
    <sheet name="2022.2.13" sheetId="131" r:id="rId126"/>
    <sheet name="2022.2.14" sheetId="132" r:id="rId127"/>
    <sheet name="2022.2.15" sheetId="133" r:id="rId128"/>
    <sheet name="2022.2.16" sheetId="134" r:id="rId129"/>
    <sheet name="2022.2.17" sheetId="135" r:id="rId130"/>
    <sheet name="2022.2.18" sheetId="136" r:id="rId131"/>
    <sheet name="2022.2.19" sheetId="137" r:id="rId132"/>
    <sheet name="2022.2.20" sheetId="138" r:id="rId133"/>
    <sheet name="2022.2.21" sheetId="139" r:id="rId134"/>
    <sheet name="2022.2.22" sheetId="140" r:id="rId135"/>
    <sheet name="2022.2.23" sheetId="141" r:id="rId136"/>
    <sheet name="2022.2.24" sheetId="142" r:id="rId137"/>
    <sheet name="2022.2.25" sheetId="143" r:id="rId138"/>
    <sheet name="2022.2.26" sheetId="144" r:id="rId139"/>
    <sheet name="2022.2.27" sheetId="145" r:id="rId140"/>
    <sheet name="2022.2.28" sheetId="146" r:id="rId141"/>
    <sheet name="2022.3.1" sheetId="147" r:id="rId142"/>
    <sheet name="2022.3.2" sheetId="148" r:id="rId143"/>
    <sheet name="2022.3.3" sheetId="149" r:id="rId144"/>
    <sheet name="2022.3.4" sheetId="150" r:id="rId145"/>
    <sheet name="2022.3.5" sheetId="151" r:id="rId146"/>
    <sheet name="2022.3.6" sheetId="152" r:id="rId147"/>
    <sheet name="2022.3.7" sheetId="153" r:id="rId148"/>
    <sheet name="2022.3.8" sheetId="154" r:id="rId149"/>
    <sheet name="2022.3.9" sheetId="155" r:id="rId150"/>
    <sheet name="2022.3.10" sheetId="156" r:id="rId151"/>
    <sheet name="2022.3.11" sheetId="157" r:id="rId152"/>
    <sheet name="2022.3.12" sheetId="158" r:id="rId153"/>
    <sheet name="2022.3.13" sheetId="159" r:id="rId154"/>
    <sheet name="2022.3.14" sheetId="160" r:id="rId155"/>
    <sheet name="2022.3.15" sheetId="161" r:id="rId156"/>
    <sheet name="2022.3.16" sheetId="162" r:id="rId157"/>
    <sheet name="2022.3.17" sheetId="163" r:id="rId158"/>
    <sheet name="2022.3.18" sheetId="164" r:id="rId159"/>
    <sheet name="2022.3.19" sheetId="165" r:id="rId160"/>
    <sheet name="2022.3.20" sheetId="166" r:id="rId161"/>
    <sheet name="2022.3.21" sheetId="167" r:id="rId162"/>
    <sheet name="2022.3.22" sheetId="168" r:id="rId163"/>
    <sheet name="2022.3.23" sheetId="169" r:id="rId164"/>
    <sheet name="2022.3.24" sheetId="170" r:id="rId165"/>
    <sheet name="2022.3.25" sheetId="171" r:id="rId166"/>
    <sheet name="2022.3.26" sheetId="172" r:id="rId167"/>
    <sheet name="2022.3.27" sheetId="173" r:id="rId168"/>
    <sheet name="2022.3.28" sheetId="174" r:id="rId169"/>
    <sheet name="2022.3.29" sheetId="175" r:id="rId170"/>
    <sheet name="2022.3.30" sheetId="176" r:id="rId171"/>
    <sheet name="2022.3.31" sheetId="177" r:id="rId172"/>
    <sheet name="2022.4.1" sheetId="178" r:id="rId173"/>
    <sheet name="2022.4.2" sheetId="179" r:id="rId174"/>
    <sheet name="2022.4.3" sheetId="180" r:id="rId175"/>
    <sheet name="2022.4.4" sheetId="181" r:id="rId176"/>
    <sheet name="2022.4.5" sheetId="182" r:id="rId177"/>
    <sheet name="2022.4.6" sheetId="183" r:id="rId178"/>
    <sheet name="2022.4.7" sheetId="184" r:id="rId179"/>
    <sheet name="2022.4.8" sheetId="185" r:id="rId180"/>
    <sheet name="2022.4.9" sheetId="186" r:id="rId181"/>
    <sheet name="2022.4.10" sheetId="187" r:id="rId182"/>
    <sheet name="2022.4.11" sheetId="188" r:id="rId183"/>
    <sheet name="2022.4.12" sheetId="189" r:id="rId184"/>
    <sheet name="2022.4.13" sheetId="190" r:id="rId185"/>
  </sheets>
  <definedNames>
    <definedName name="_xlnm.Print_Area" localSheetId="47">'2021.11.10'!$A$1:$F$43</definedName>
    <definedName name="_xlnm.Print_Area" localSheetId="48">'2021.11.11'!$A$1:$F$43</definedName>
    <definedName name="_xlnm.Print_Area" localSheetId="49">'2021.11.12'!$A$1:$F$43</definedName>
    <definedName name="_xlnm.Print_Area" localSheetId="50">'2021.11.13'!$A$1:$F$43</definedName>
    <definedName name="_xlnm.Print_Area" localSheetId="51">'2021.11.14'!$A$1:$F$43</definedName>
    <definedName name="_xlnm.Print_Area" localSheetId="52">'2021.11.15'!$A$1:$F$44</definedName>
    <definedName name="_xlnm.Print_Area" localSheetId="53">'2021.11.16'!$A$1:$F$44</definedName>
    <definedName name="_xlnm.Print_Area" localSheetId="54">'2021.11.17'!$A$1:$F$46</definedName>
    <definedName name="_xlnm.Print_Area" localSheetId="55">'2021.11.18'!$A$1:$F$46</definedName>
    <definedName name="_xlnm.Print_Area" localSheetId="56">'2021.11.19'!$A$1:$F$46</definedName>
    <definedName name="_xlnm.Print_Area" localSheetId="57">'2021.11.20'!$A$1:$F$46</definedName>
    <definedName name="_xlnm.Print_Area" localSheetId="58">'2021.11.21'!$A$1:$F$46</definedName>
    <definedName name="_xlnm.Print_Area" localSheetId="59">'2021.11.22'!$A$1:$F$46</definedName>
    <definedName name="_xlnm.Print_Area" localSheetId="60">'2021.11.23'!$A$1:$F$46</definedName>
    <definedName name="_xlnm.Print_Area" localSheetId="61">'2021.11.24'!$A$1:$F$46</definedName>
    <definedName name="_xlnm.Print_Area" localSheetId="62">'2021.11.25'!$A$1:$F$46</definedName>
    <definedName name="_xlnm.Print_Area" localSheetId="63">'2021.11.26'!$A$1:$F$46</definedName>
    <definedName name="_xlnm.Print_Area" localSheetId="64">'2021.11.27'!$A$1:$F$46</definedName>
    <definedName name="_xlnm.Print_Area" localSheetId="65">'2021.11.28'!$A$1:$F$46</definedName>
    <definedName name="_xlnm.Print_Area" localSheetId="66">'2021.11.29'!$A$1:$F$46</definedName>
    <definedName name="_xlnm.Print_Area" localSheetId="40">'2021.11.3'!$A$1:$F$43</definedName>
    <definedName name="_xlnm.Print_Area" localSheetId="67">'2021.11.30'!$A$1:$F$46</definedName>
    <definedName name="_xlnm.Print_Area" localSheetId="41">'2021.11.4'!$A$1:$F$43</definedName>
    <definedName name="_xlnm.Print_Area" localSheetId="42">'2021.11.5'!$A$1:$F$43</definedName>
    <definedName name="_xlnm.Print_Area" localSheetId="43">'2021.11.6'!$A$1:$F$43</definedName>
    <definedName name="_xlnm.Print_Area" localSheetId="44">'2021.11.7'!$A$1:$F$43</definedName>
    <definedName name="_xlnm.Print_Area" localSheetId="45">'2021.11.8'!$A$1:$F$43</definedName>
    <definedName name="_xlnm.Print_Area" localSheetId="46">'2021.11.9'!$A$1:$F$43</definedName>
    <definedName name="_xlnm.Print_Area" localSheetId="68">'2021.12.1'!$A$1:$F$46</definedName>
    <definedName name="_xlnm.Print_Area" localSheetId="77">'2021.12.10'!$A$1:$F$49</definedName>
    <definedName name="_xlnm.Print_Area" localSheetId="78">'2021.12.11'!$A$1:$F$49</definedName>
    <definedName name="_xlnm.Print_Area" localSheetId="79">'2021.12.12'!$A$1:$F$49</definedName>
    <definedName name="_xlnm.Print_Area" localSheetId="80">'2021.12.13'!$A$1:$F$49</definedName>
    <definedName name="_xlnm.Print_Area" localSheetId="81">'2021.12.14'!$A$1:$F$49</definedName>
    <definedName name="_xlnm.Print_Area" localSheetId="82">'2021.12.15'!$A$1:$F$49</definedName>
    <definedName name="_xlnm.Print_Area" localSheetId="83">'2021.12.16'!$A$1:$F$49</definedName>
    <definedName name="_xlnm.Print_Area" localSheetId="84">'2021.12.17'!$A$1:$F$50</definedName>
    <definedName name="_xlnm.Print_Area" localSheetId="85">'2021.12.18'!$A$1:$F$50</definedName>
    <definedName name="_xlnm.Print_Area" localSheetId="86">'2021.12.19'!$A$1:$F$50</definedName>
    <definedName name="_xlnm.Print_Area" localSheetId="69">'2021.12.2'!$A$1:$F$49</definedName>
    <definedName name="_xlnm.Print_Area" localSheetId="87">'2021.12.20'!$A$1:$F$50</definedName>
    <definedName name="_xlnm.Print_Area" localSheetId="88">'2021.12.21'!$A$1:$F$50</definedName>
    <definedName name="_xlnm.Print_Area" localSheetId="89">'2021.12.22'!$A$1:$F$50</definedName>
    <definedName name="_xlnm.Print_Area" localSheetId="90">'2021.12.23'!$A$1:$F$50</definedName>
    <definedName name="_xlnm.Print_Area" localSheetId="91">'2021.12.24'!$A$1:$F$50</definedName>
    <definedName name="_xlnm.Print_Area" localSheetId="92">'2021.12.25'!$A$1:$F$50</definedName>
    <definedName name="_xlnm.Print_Area" localSheetId="93">'2021.12.26'!$A$1:$F$50</definedName>
    <definedName name="_xlnm.Print_Area" localSheetId="94">'2021.12.27'!$A$1:$F$50</definedName>
    <definedName name="_xlnm.Print_Area" localSheetId="95">'2021.12.28'!$A$1:$F$52</definedName>
    <definedName name="_xlnm.Print_Area" localSheetId="96">'2021.12.29'!$A$1:$F$52</definedName>
    <definedName name="_xlnm.Print_Area" localSheetId="70">'2021.12.3'!$A$1:$F$49</definedName>
    <definedName name="_xlnm.Print_Area" localSheetId="97">'2021.12.30'!$A$1:$F$52</definedName>
    <definedName name="_xlnm.Print_Area" localSheetId="98">'2021.12.31'!$A$1:$F$52</definedName>
    <definedName name="_xlnm.Print_Area" localSheetId="71">'2021.12.4'!$A$1:$F$49</definedName>
    <definedName name="_xlnm.Print_Area" localSheetId="72">'2021.12.5'!$A$1:$F$50</definedName>
    <definedName name="_xlnm.Print_Area" localSheetId="73">'2021.12.6'!$A$1:$F$50</definedName>
    <definedName name="_xlnm.Print_Area" localSheetId="74">'2021.12.7'!$A$1:$F$49</definedName>
    <definedName name="_xlnm.Print_Area" localSheetId="75">'2021.12.8'!$A$1:$F$50</definedName>
    <definedName name="_xlnm.Print_Area" localSheetId="76">'2021.12.9'!$A$1:$F$49</definedName>
    <definedName name="_xlnm.Print_Area" localSheetId="99">'2022.1.1'!$A$1:$F$52</definedName>
    <definedName name="_xlnm.Print_Area" localSheetId="108">'2022.1.10'!$A$1:$F$52</definedName>
    <definedName name="_xlnm.Print_Area" localSheetId="109">'2022.1.11'!$A$1:$F$52</definedName>
    <definedName name="_xlnm.Print_Area" localSheetId="110">'2022.1.12'!$A$1:$F$52</definedName>
    <definedName name="_xlnm.Print_Area" localSheetId="111">'2022.1.13'!$A$1:$F$52</definedName>
    <definedName name="_xlnm.Print_Area" localSheetId="112">'2022.1.14'!$A$1:$F$52</definedName>
    <definedName name="_xlnm.Print_Area" localSheetId="113">'2022.1.15'!$A$1:$F$52</definedName>
    <definedName name="_xlnm.Print_Area" localSheetId="114">'2022.1.16'!$A$1:$F$52</definedName>
    <definedName name="_xlnm.Print_Area" localSheetId="115">'2022.1.17'!$A$1:$F$52</definedName>
    <definedName name="_xlnm.Print_Area" localSheetId="116">'2022.1.18'!$A$1:$F$52</definedName>
    <definedName name="_xlnm.Print_Area" localSheetId="117">'2022.1.19'!$A$1:$F$52</definedName>
    <definedName name="_xlnm.Print_Area" localSheetId="100">'2022.1.2'!$A$1:$F$52</definedName>
    <definedName name="_xlnm.Print_Area" localSheetId="118">'2022.1.20'!$A$1:$F$52</definedName>
    <definedName name="_xlnm.Print_Area" localSheetId="119">'2022.1.21'!$A$1:$F$52</definedName>
    <definedName name="_xlnm.Print_Area" localSheetId="120">'2022.1.22'!$A$1:$F$52</definedName>
    <definedName name="_xlnm.Print_Area" localSheetId="101">'2022.1.3'!$A$1:$F$52</definedName>
    <definedName name="_xlnm.Print_Area" localSheetId="102">'2022.1.4'!$A$1:$F$52</definedName>
    <definedName name="_xlnm.Print_Area" localSheetId="103">'2022.1.5'!$A$1:$F$52</definedName>
    <definedName name="_xlnm.Print_Area" localSheetId="104">'2022.1.6'!$A$1:$F$52</definedName>
    <definedName name="_xlnm.Print_Area" localSheetId="105">'2022.1.7'!$A$1:$F$52</definedName>
    <definedName name="_xlnm.Print_Area" localSheetId="106">'2022.1.8'!$A$1:$F$52</definedName>
    <definedName name="_xlnm.Print_Area" localSheetId="107">'2022.1.9'!$A$1:$F$52</definedName>
    <definedName name="_xlnm.Print_Area" localSheetId="122">'2022.2.10'!$A$1:$F$52</definedName>
    <definedName name="_xlnm.Print_Area" localSheetId="123">'2022.2.11'!$A$1:$F$52</definedName>
    <definedName name="_xlnm.Print_Area" localSheetId="124">'2022.2.12'!$A$1:$F$52</definedName>
    <definedName name="_xlnm.Print_Area" localSheetId="125">'2022.2.13'!$A$1:$F$52</definedName>
    <definedName name="_xlnm.Print_Area" localSheetId="126">'2022.2.14'!$A$1:$F$52</definedName>
    <definedName name="_xlnm.Print_Area" localSheetId="127">'2022.2.15'!$A$1:$F$52</definedName>
    <definedName name="_xlnm.Print_Area" localSheetId="128">'2022.2.16'!$A$1:$F$52</definedName>
    <definedName name="_xlnm.Print_Area" localSheetId="129">'2022.2.17'!$A$1:$F$52</definedName>
    <definedName name="_xlnm.Print_Area" localSheetId="130">'2022.2.18'!$A$1:$F$52</definedName>
    <definedName name="_xlnm.Print_Area" localSheetId="131">'2022.2.19'!$A$1:$F$52</definedName>
    <definedName name="_xlnm.Print_Area" localSheetId="132">'2022.2.20'!$A$1:$F$52</definedName>
    <definedName name="_xlnm.Print_Area" localSheetId="133">'2022.2.21'!$A$1:$F$52</definedName>
    <definedName name="_xlnm.Print_Area" localSheetId="134">'2022.2.22'!$A$1:$F$52</definedName>
    <definedName name="_xlnm.Print_Area" localSheetId="135">'2022.2.23'!$A$1:$F$52</definedName>
    <definedName name="_xlnm.Print_Area" localSheetId="136">'2022.2.24'!$A$1:$F$52</definedName>
    <definedName name="_xlnm.Print_Area" localSheetId="137">'2022.2.25'!$A$1:$F$52</definedName>
    <definedName name="_xlnm.Print_Area" localSheetId="138">'2022.2.26'!$A$1:$F$52</definedName>
    <definedName name="_xlnm.Print_Area" localSheetId="139">'2022.2.27'!$A$1:$F$52</definedName>
    <definedName name="_xlnm.Print_Area" localSheetId="140">'2022.2.28'!$A$1:$F$52</definedName>
    <definedName name="_xlnm.Print_Area" localSheetId="121">'2022.2.9'!$A$1:$F$52</definedName>
    <definedName name="_xlnm.Print_Area" localSheetId="141">'2022.3.1'!$A$1:$F$52</definedName>
    <definedName name="_xlnm.Print_Area" localSheetId="142">'2022.3.2'!$A$1:$F$52</definedName>
    <definedName name="_xlnm.Print_Area" localSheetId="143">'2022.3.3'!$A$1:$F$52</definedName>
    <definedName name="_xlnm.Print_Area" localSheetId="144">'2022.3.4'!$A$1:$F$52</definedName>
    <definedName name="_xlnm.Print_Area" localSheetId="145">'2022.3.5'!$A$1:$F$52</definedName>
    <definedName name="_xlnm.Print_Area" localSheetId="146">'2022.3.6'!$A$1:$F$52</definedName>
    <definedName name="_xlnm.Print_Area" localSheetId="147">'2022.3.7'!$A$1:$F$52</definedName>
    <definedName name="_xlnm.Print_Area" localSheetId="148">'2022.3.8'!$A$1:$F$52</definedName>
    <definedName name="_xlnm.Print_Area" localSheetId="149">'2022.3.9'!$A$1:$F$52</definedName>
    <definedName name="_xlnm.Print_Area" localSheetId="150">'2022.3.10'!$A$1:$F$52</definedName>
    <definedName name="_xlnm.Print_Area" localSheetId="151">'2022.3.11'!$A$1:$F$52</definedName>
    <definedName name="_xlnm.Print_Area" localSheetId="152">'2022.3.12'!$A$1:$F$52</definedName>
    <definedName name="_xlnm.Print_Area" localSheetId="153">'2022.3.13'!$A$1:$F$52</definedName>
    <definedName name="_xlnm.Print_Area" localSheetId="154">'2022.3.14'!$A$1:$F$52</definedName>
    <definedName name="_xlnm.Print_Area" localSheetId="155">'2022.3.15'!$A$1:$F$52</definedName>
    <definedName name="_xlnm.Print_Area" localSheetId="156">'2022.3.16'!$A$1:$F$52</definedName>
    <definedName name="_xlnm.Print_Area" localSheetId="157">'2022.3.17'!$A$1:$F$52</definedName>
    <definedName name="_xlnm.Print_Area" localSheetId="158">'2022.3.18'!$A$1:$F$52</definedName>
    <definedName name="_xlnm.Print_Area" localSheetId="159">'2022.3.19'!$A$1:$F$52</definedName>
    <definedName name="_xlnm.Print_Area" localSheetId="160">'2022.3.20'!$A$1:$F$52</definedName>
    <definedName name="_xlnm.Print_Area" localSheetId="161">'2022.3.21'!$A$1:$F$52</definedName>
    <definedName name="_xlnm.Print_Area" localSheetId="162">'2022.3.22'!$A$1:$F$52</definedName>
    <definedName name="_xlnm.Print_Area" localSheetId="163">'2022.3.23'!$A$1:$F$52</definedName>
    <definedName name="_xlnm.Print_Area" localSheetId="164">'2022.3.24'!$A$1:$F$52</definedName>
    <definedName name="_xlnm.Print_Area" localSheetId="165">'2022.3.25'!$A$1:$F$52</definedName>
    <definedName name="_xlnm.Print_Area" localSheetId="166">'2022.3.26'!$A$1:$F$52</definedName>
    <definedName name="_xlnm.Print_Area" localSheetId="167">'2022.3.27'!$A$1:$F$52</definedName>
    <definedName name="_xlnm.Print_Area" localSheetId="168">'2022.3.28'!$A$1:$F$52</definedName>
    <definedName name="_xlnm.Print_Area" localSheetId="169">'2022.3.29'!$A$1:$F$52</definedName>
    <definedName name="_xlnm.Print_Area" localSheetId="170">'2022.3.30'!$A$1:$F$52</definedName>
    <definedName name="_xlnm.Print_Area" localSheetId="171">'2022.3.31'!$A$1:$F$52</definedName>
    <definedName name="_xlnm.Print_Area" localSheetId="172">'2022.4.1'!$A$1:$F$52</definedName>
    <definedName name="_xlnm.Print_Area" localSheetId="173">'2022.4.2'!$A$1:$F$52</definedName>
    <definedName name="_xlnm.Print_Area" localSheetId="174">'2022.4.3'!$A$1:$F$52</definedName>
    <definedName name="_xlnm.Print_Area" localSheetId="175">'2022.4.4'!$A$1:$F$52</definedName>
    <definedName name="_xlnm.Print_Area" localSheetId="176">'2022.4.5'!$A$1:$F$52</definedName>
    <definedName name="_xlnm.Print_Area" localSheetId="177">'2022.4.6'!$A$1:$F$52</definedName>
    <definedName name="_xlnm.Print_Area" localSheetId="178">'2022.4.7'!$A$1:$F$52</definedName>
    <definedName name="_xlnm.Print_Area" localSheetId="179">'2022.4.8'!$A$1:$F$52</definedName>
    <definedName name="_xlnm.Print_Area" localSheetId="180">'2022.4.9'!$A$1:$F$52</definedName>
    <definedName name="_xlnm.Print_Area" localSheetId="181">'2022.4.10'!$A$1:$F$52</definedName>
    <definedName name="_xlnm.Print_Area" localSheetId="182">'2022.4.11'!$A$1:$F$52</definedName>
    <definedName name="_xlnm.Print_Area" localSheetId="183">'2022.4.12'!$A$1:$F$52</definedName>
    <definedName name="_xlnm.Print_Area" localSheetId="184">'2022.4.13'!$A$1:$F$52</definedName>
  </definedNames>
  <calcPr calcId="144525"/>
</workbook>
</file>

<file path=xl/sharedStrings.xml><?xml version="1.0" encoding="utf-8"?>
<sst xmlns="http://schemas.openxmlformats.org/spreadsheetml/2006/main" count="19274" uniqueCount="422">
  <si>
    <t>宁攀高速ZCB1-19总产值日报表</t>
  </si>
  <si>
    <t>日期</t>
  </si>
  <si>
    <t>工区</t>
  </si>
  <si>
    <t>100章总则</t>
  </si>
  <si>
    <t>400章桥梁</t>
  </si>
  <si>
    <t>合计产值</t>
  </si>
  <si>
    <t>备注</t>
  </si>
  <si>
    <t>1#智慧梁场</t>
  </si>
  <si>
    <t>1#梁场今日完成万红1＃左幅10-2浇筑，万红2＃左幅2-1钢筋绑扎。
2#梁场今日完成主线路硬化200平。</t>
  </si>
  <si>
    <t>2#智慧梁场</t>
  </si>
  <si>
    <t>今日合计</t>
  </si>
  <si>
    <t>自年初完成产值</t>
  </si>
  <si>
    <t>自开工完成产值</t>
  </si>
  <si>
    <t>宁攀高速ZCB1-19 400章桥梁日报表</t>
  </si>
  <si>
    <t>25mT梁</t>
  </si>
  <si>
    <t>40mT梁</t>
  </si>
  <si>
    <t>数量</t>
  </si>
  <si>
    <t>产值</t>
  </si>
  <si>
    <t>合计数量</t>
  </si>
  <si>
    <t>1#梁场今日完成1#梁场今日完成万红1#左幅10-4钢筋绑扎，万红2#左幅2-5钢筋绑扎。
2#梁场今日完成暂无。</t>
  </si>
  <si>
    <t xml:space="preserve"> </t>
  </si>
  <si>
    <t>1#梁场今日完成万红2＃左幅1-2、1-4、3-2t梁张拉，万红1＃左幅10-4钢筋绑扎。
2#梁场今日完成B匝道中桥1-1T梁浇筑。</t>
  </si>
  <si>
    <t>宁攀高速ZCB1-19总产值日报表     
                                                                                                                         单位：万元</t>
  </si>
  <si>
    <t>1#梁场今日完成万红2＃左幅2-4、2-2、2-3、3-3张拉。
2#梁场今日完成暂无。</t>
  </si>
  <si>
    <t>1#梁场今日完成万红1＃左幅10-4浇筑，万红1＃左幅9-3钢筋绑扎。
2#梁场今日完成暂无。</t>
  </si>
  <si>
    <t>1#l梁厂万红2#左幅1-5t梁浇筑，左幅1-3t梁架设安装，万红1#左幅9-4钢筋绑扎，万红2#1-2、1-4、2-3、2-2、2-4、3-3、3-2、3-4、4-3、4-2 t梁压浆
2#梁厂今日完成小石桥大桥左幅9-1T梁预制，小石桥大桥左幅9-2T梁预制。</t>
  </si>
  <si>
    <t>今日梁片实际产值为23.45万元，9/15前梁片少报差值为7.8万元，调整后为31.25万元</t>
  </si>
  <si>
    <t>1#l梁厂今日完成万红2#大桥左幅2-5T梁浇筑。
2#梁厂今日完成主线硬化250平。</t>
  </si>
  <si>
    <t>1#l梁厂今日完成万红2＃左幅1-1 、万红1＃左幅9-3t梁浇筑，万红1＃左幅9-2 万红2＃右幅1-4钢筋绑扎。
2#梁厂今日完成暂无。</t>
  </si>
  <si>
    <t>1#l梁厂今日完成万红2＃左幅2-1浇筑，万红2＃右幅1-4浇筑，万红2＃右幅1-5绑扎。
2#梁厂今日完成主线硬化450平。</t>
  </si>
  <si>
    <t>过去10天产值信息</t>
  </si>
  <si>
    <t>梁片预制数量汇总信息</t>
  </si>
  <si>
    <t>1#梁厂</t>
  </si>
  <si>
    <t>2#梁厂</t>
  </si>
  <si>
    <t>1#梁厂今日完成万红1＃左幅9-2T梁浇筑，万红1＃右幅9-4绑扎。
2#梁厂今日完成小石桥大桥左幅9-4、8-1T梁预制。</t>
  </si>
  <si>
    <t>1#梁厂今日完成万红1＃9-4绑扎，万红2＃左幅1-5t梁横隔板浇筑。
2#梁厂今日完成主线硬化450平。</t>
  </si>
  <si>
    <t>1#梁厂今日完成万红2＃右幅2-3，万红1＃左幅9-4t梁浇筑，万红2＃左幅2-5t梁横隔板浇筑，万红2＃右幅2-4钢筋绑扎。
2#梁厂今日完成小石桥大桥左幅8-5T梁预制，主线硬化450平。</t>
  </si>
  <si>
    <t>1#梁厂今日完成万红2#大桥右幅1-5、2-2、2-4T梁浇筑。
2#梁厂今日完成暂无。</t>
  </si>
  <si>
    <t>1#梁厂今日完成万红2#右幅1-2横隔板浇筑。
2#梁厂今日完成小石桥大桥左幅9-3T梁横隔板浇筑，8-4T梁预制。</t>
  </si>
  <si>
    <t>1#梁厂今日完成万红2#左幅1-1横隔板浇筑，万红2#左幅1-2 1-4 1-5t梁架设。
2#梁厂今日完成暂无。</t>
  </si>
  <si>
    <t>1#梁厂今日完成万红1#左幅1-5T梁浇筑。
2#梁厂今日完成小石桥大桥左幅8-6T梁预制。</t>
  </si>
  <si>
    <t>1#梁厂今日完成万红2#右幅1-1T梁浇筑，万红2#右幅1-5横隔板浇筑。
2#梁厂今日完成暂无。</t>
  </si>
  <si>
    <t>1#梁厂今日完成万红2#大桥左幅2-1t梁横隔板浇筑，万红2#大桥右幅2-1t梁浇筑。
2#梁厂今日完成小石桥大桥左幅8-3、8-7T梁浇筑。</t>
  </si>
  <si>
    <t>1#梁厂今日完成万红2＃右幅3-3t梁浇筑，万红1＃左幅10-1浇筑，万红2＃右幅1-1横隔板浇筑。
2#梁厂今日完成小石桥大桥9-5T梁预制。主线硬化500平。</t>
  </si>
  <si>
    <t>1#梁厂今日完成万红2＃右幅3-1t梁浇筑，万红2＃右幅1-4横隔板浇筑，万红1＃左幅10-5t梁浇筑。
2#梁厂今日完成小石桥大桥右幅8-3T梁预制。</t>
  </si>
  <si>
    <t>1#梁厂今日完成万红2#大桥右幅2-5t梁浇筑，万红1#大桥左幅10-1#T梁横隔板浇筑，万红2#大桥右幅1-3t梁浇筑。
2#梁厂今日完成B匝道中桥1-4T梁浇筑，小石桥大桥左幅8-2T梁浇筑。</t>
  </si>
  <si>
    <t>1#梁厂今日完成万红2#左幅3-5、右幅3-4、3-5T梁浇筑，万红2#右幅2-3横隔板、万红1#左幅10-4#横隔板浇筑。
2#梁厂今日完成小石桥大桥左幅8-8T梁浇筑。</t>
  </si>
  <si>
    <t>1#梁厂今日完成万红2#右幅3-2t梁浇筑,万红1＃左幅9-3t梁横隔板浇筑,万红2＃左幅3-1t梁浇筑。
2#梁厂今日完成暂无。</t>
  </si>
  <si>
    <t>1#梁厂今日完成万红2＃左幅4-1t梁浇筑，万红2＃右幅3-1横隔板浇筑，万红2＃右幅2-1横隔板浇筑，万红1＃左幅10-3横隔板浇筑，万红2#第1跨全部安装。
2#梁厂今日完成小石桥大桥左幅7-1，7-2，右幅8-2T梁浇筑。</t>
  </si>
  <si>
    <t>1#梁厂今日完成万红2#右幅4-5T梁浇筑，右幅2-4、左幅9-2横隔板浇筑。
2#梁厂今日完成小石桥大桥左幅7-3T梁预制。</t>
  </si>
  <si>
    <t>1#梁厂今日完成暂无（停电）。
2#梁厂今日完成小石桥大桥右幅9-5T梁预制。</t>
  </si>
  <si>
    <t>1#梁厂今日完成万红1#左幅9-1T梁浇筑。
2#梁厂今日完成B匝道中桥1-1、1-2，小石桥大桥9-1、9-2、9-3、9-4、9-5T梁安装。</t>
  </si>
  <si>
    <t>1#梁厂今日完成万红2#大桥左幅2-1、2-2、2-3T梁安装。
2#梁厂今日完成小石桥大桥左幅8-9T梁预制、小石桥大桥右幅9-1、8-4T梁预制。</t>
  </si>
  <si>
    <t>1#梁厂今日完成万红2#大桥2-4、2-5，右幅2-1T梁安装。
2#梁厂今日完成小石桥大桥大桥左幅7-4T梁浇筑，主线硬化1000平。</t>
  </si>
  <si>
    <t>1#梁厂今日完成万红1#大桥左幅8-2T梁浇筑。
2#梁厂今日完成小石桥大桥右幅8-1T梁浇筑，B匝道中桥1-3、1-4T梁安装。主线硬化700平。</t>
  </si>
  <si>
    <t>1#梁厂今日完成万红1#左线大桥8-1、7-5、8-3T梁预制，万红2#大桥左幅3-1、3-2、3-3、3-4、3-5T梁安装。
2#梁厂今日完成小石桥大桥右幅8-5T梁预制，小石桥大桥右幅9-2、9-3T梁安装。</t>
  </si>
  <si>
    <t>1#梁厂今日完成万红2#大桥7-1、8-4、6-5T梁预制，万红1#大桥左幅10-4、10-5T梁安装。
2#梁厂今日完成小石桥大桥左幅7-5T梁预制。</t>
  </si>
  <si>
    <t>1#梁厂今日完成万红1#大桥左幅6-1、5-5、7-2T梁预制。
2#梁厂今日完成今日暂无。</t>
  </si>
  <si>
    <t>1#梁厂今日完成万红1号左线大桥第10跨10-1、10-2、10-3T梁安装，万红1#大桥左线7-3、5-1、山北村左线大桥左幅21-1T梁浇筑。
2#梁厂今日完成小石桥大桥左幅7-6T梁浇筑。</t>
  </si>
  <si>
    <t>梁片数量汇总信息</t>
  </si>
  <si>
    <t>今日数量</t>
  </si>
  <si>
    <t>梁片预制</t>
  </si>
  <si>
    <t>梁片安装</t>
  </si>
  <si>
    <t>1#梁厂今日完成万红1#大桥左幅7-4T梁浇筑，万红2#大桥左幅4-3、4-4、4-5T梁安装。
2#梁厂今日完成小石桥大桥左幅7-7T梁浇筑，小石桥大桥左幅8-1、8-2、8-5、9-5、9-4、9-1T梁安装。</t>
  </si>
  <si>
    <t>1#梁厂今日完成万红1#左幅大桥6-2T梁浇筑，万红2#左幅4-1T梁安装。
2#梁厂今日完成小石桥大桥左幅7-9T梁浇筑。</t>
  </si>
  <si>
    <t>1#梁厂今日完成万红1#大桥左幅6-3、4-5T梁浇筑，山北村左线大桥20-1T梁浇筑，万红2#大桥左幅4-2T梁安装。
2#梁厂今日完成小石桥大桥右幅7-3T梁浇筑。</t>
  </si>
  <si>
    <t>1#梁厂今日完成万红1#左线大桥9-5、山北村左线大桥20-2T梁浇筑，万红1#左线大桥9-1、9-2、9-3、9-4、9-5T梁安装。
2#梁厂今日完成小石桥大桥左幅7-2、右幅7-2T梁浇筑，小石桥大桥左幅8-4、8-3、右幅8-3、8-2、8-1T梁安装。</t>
  </si>
  <si>
    <t>2#梁厂C20面板浇筑：</t>
  </si>
  <si>
    <t>浇筑总数：</t>
  </si>
  <si>
    <t>安装总数：</t>
  </si>
  <si>
    <t>1#梁厂今日完成万红1#大桥左线6-4、5-2、3-5T梁浇筑。
2#梁厂今日完成小石桥大桥右幅7-1T梁浇筑。小石桥大桥右幅8-5、8-4T梁安装。</t>
  </si>
  <si>
    <t>1#梁厂今日完成万红2号大桥右幅3-1、山北村左线大桥20-3T梁浇筑。万红2号大桥右幅3-1、3-2、3-3、3-4、3-5T梁安装。
2#梁厂今日完成小石桥大桥右幅6-3T梁浇筑，小石桥大桥左幅7-1、7-2T梁安装。</t>
  </si>
  <si>
    <t>宁攀高速ZCB1-19总产值日报表     
                                                                                                             单位：万元</t>
  </si>
  <si>
    <t>1#梁厂今日完成万红1#左幅5-4、5-3、2-5、山北村左线大桥20-4T梁浇筑。
2#梁厂今日完成小石桥大桥右幅7-5T梁浇筑。</t>
  </si>
  <si>
    <t>1#浇筑</t>
  </si>
  <si>
    <t>1#安装</t>
  </si>
  <si>
    <t>2#浇筑</t>
  </si>
  <si>
    <t>2#安装</t>
  </si>
  <si>
    <t>剩余数</t>
  </si>
  <si>
    <t>剩余安装</t>
  </si>
  <si>
    <t>计划数</t>
  </si>
  <si>
    <t>计划安装</t>
  </si>
  <si>
    <t>1#梁厂今日完成万红1#大桥4-4、4-2T梁浇筑，安装万红1号左线大桥第8跨8-1、8-2、8-3、8-4、8-5。
2#梁厂今日完成小石桥大桥右幅6-4、6-2、6-1。</t>
  </si>
  <si>
    <t>1#梁厂今日完成万红1#大桥左幅4-1、4-3、3-2、山北村左线大桥21-2T梁浇筑。万红1左线7-1、7-2、7-3T梁安装。
2#梁厂今日完成小石桥大桥左幅6-1、6-2、6-3、6-5T梁浇筑。小石桥大桥左幅7-3、7-4、7-5、7-6、7-7、8-6、8-7、8-8、8-9T梁安装。</t>
  </si>
  <si>
    <t>1#梁厂今日完成万红1#左线大桥左幅3-3T梁浇筑，万红1#左线大桥7-5、7-4T梁安装。
2#梁厂今日完成小石桥大桥左幅6-4、6-7、6-8T梁浇筑。</t>
  </si>
  <si>
    <t>1#梁厂今日完成万红1#大桥左幅3-1、2-3、山北村大桥左线21-3T梁浇筑，万红1号左线大桥第6跨6-1、6-2、6-3、6-4、6-5T梁安装。
2#梁厂今日完成小石桥大桥左幅6-6、5-4、5-3、5-2T梁浇筑。</t>
  </si>
  <si>
    <t>1#梁厂今日完成万红1#左线大桥2-2、2-4、山北村左线大桥21-4T梁浇筑。
2#梁厂今日完成小石桥大桥左幅5-8、5-6、4-2、4-3T梁浇筑。</t>
  </si>
  <si>
    <t>1#梁厂今日完成万红1#左幅3-4、2-1、1-3、1-2T梁浇筑，万红1#左幅5-3、5-2、5-1T梁安装。
2#梁厂今日完成小石桥大桥左幅5-7、4-5、4-4、4-1T梁浇筑。</t>
  </si>
  <si>
    <t>1#梁厂今日完成万红1#左幅1-4、右幅1-2、山北村左线21-5T梁浇筑，万红1#左幅4-3、5-4、5-5T梁安装。
2#梁厂今日完成小石桥大桥左幅3-3、4-6、右幅5-5T梁浇筑。</t>
  </si>
  <si>
    <t>1#梁厂今日完成万红1#右线大桥1-4、1-5、2-5T梁浇筑，万红1#左线4-4、4-5T梁安装。
2#梁厂今日完成小石桥大桥左幅3-1、3-2、3-4、3-6T梁浇筑。</t>
  </si>
  <si>
    <t>1#梁厂今日完成万红1#右线大桥2-5、2-4、1-3T梁浇筑、万红1#大桥左幅4-1、4-2T梁安装。
2#梁厂今日完成小石桥大桥右幅3-1、3-2、3-3T梁浇筑。</t>
  </si>
  <si>
    <t>过去10天产值信息（万元）</t>
  </si>
  <si>
    <r>
      <rPr>
        <b/>
        <sz val="11"/>
        <color rgb="FFFF0000"/>
        <rFont val="等线"/>
        <charset val="134"/>
        <scheme val="minor"/>
      </rPr>
      <t>梁片数量汇总信息（</t>
    </r>
    <r>
      <rPr>
        <b/>
        <sz val="11"/>
        <color rgb="FF00B0F0"/>
        <rFont val="等线"/>
        <charset val="134"/>
        <scheme val="minor"/>
      </rPr>
      <t>浇筑</t>
    </r>
    <r>
      <rPr>
        <b/>
        <sz val="11"/>
        <color rgb="FF7030A0"/>
        <rFont val="等线"/>
        <charset val="134"/>
        <scheme val="minor"/>
      </rPr>
      <t>安装</t>
    </r>
    <r>
      <rPr>
        <b/>
        <sz val="11"/>
        <color rgb="FFFF0000"/>
        <rFont val="等线"/>
        <charset val="134"/>
        <scheme val="minor"/>
      </rPr>
      <t>）</t>
    </r>
  </si>
  <si>
    <t>2#梁厂C20面板浇筑㎡：</t>
  </si>
  <si>
    <t>1#梁厂今日完成万红1#左线1-1、右线3-2、3-3T梁浇筑，万红1#左幅3-1、3-2、3-3T梁安装。
2#梁厂今日完成小石桥大桥右幅7-4、6-5、3-4T梁浇筑，小石桥左右幅6跨13片，7跨7片共20片T梁安安装。</t>
  </si>
  <si>
    <t>1#梁厂今日完成万红1#大桥右幅3-4、3-3T梁浇筑。
2#梁厂今日完成小石桥大桥左幅4-7、右幅5-3、4-3T梁浇筑，小石桥大桥左幅5-8、5-7、5-6、5-4、5-3、5-2T梁安装。</t>
  </si>
  <si>
    <t>1#梁厂今日完成万红1#右线大桥4-5、4-2、3-5、1-1T梁浇筑，万红1#左线大桥2-1、2-2、2-3、2-4、2-5、3-4、3-5T梁安装。
2#梁厂今日完成小石桥大桥左幅5-1、5-5T梁安装，小石桥大桥左幅5-5、5-1、左幅5-2、5-1、2-3T梁浇筑。</t>
  </si>
  <si>
    <t>今日</t>
  </si>
  <si>
    <t>共计</t>
  </si>
  <si>
    <t>湿接缝(m)：</t>
  </si>
  <si>
    <t>2#梁厂C20面板浇筑(㎡)：</t>
  </si>
  <si>
    <t>梁片预制（片）</t>
  </si>
  <si>
    <t>梁片安装（片）</t>
  </si>
  <si>
    <t>湿接缝（米）</t>
  </si>
  <si>
    <t>1#梁厂今日完成万红1#右线大桥4-3、2-1T梁浇筑，万红1#左线大桥1-5、1-4、1-3、1-1T梁安装。
2#梁厂今日完成小石桥大桥左幅4-1、4-3、4-5T梁安装，小石桥大桥左幅3-7、右幅4-2、4-5T梁浇筑。</t>
  </si>
  <si>
    <t>1#梁厂今日完成万红1#右线大桥3-1、4-4、5-5T梁浇筑，万红1#左线大桥1-2T梁安装。万红2#大桥左幅第1跨湿接缝。
2#梁厂今日完成小石桥大桥左幅2-4、右幅5-4、2-2T梁浇筑。B匝道中桥第1跨湿接缝。</t>
  </si>
  <si>
    <t>桥面系相关</t>
  </si>
  <si>
    <t>合计</t>
  </si>
  <si>
    <t>桥面铺装(㎡):</t>
  </si>
  <si>
    <t>防撞护栏(ｍ)：</t>
  </si>
  <si>
    <t>梁片预制(片)</t>
  </si>
  <si>
    <t>梁片安装(片)</t>
  </si>
  <si>
    <t>湿接缝(米)</t>
  </si>
  <si>
    <t>防撞护栏(米)</t>
  </si>
  <si>
    <t>桥面铺装(平米)</t>
  </si>
  <si>
    <t>1#梁厂今日完成万红1#右线大桥6-5、5-3、4-1T梁浇筑。万红2#左幅第2跨湿接缝。
2#梁厂今日完成小石桥大桥左幅2-3、2-2、右幅4-4、4-1、3-5、2-5、2-1、1-3T梁浇筑。</t>
  </si>
  <si>
    <t>1#梁厂今日完成万红1#右线大桥5-2、5-1T梁浇筑。万红2#大桥左幅第3跨湿接缝。
2#梁厂今日完成冯家湾大桥左幅1-3、小石桥大桥右幅1-2、左幅2-7、2-5、2-1T梁浇筑。</t>
  </si>
  <si>
    <t>1#梁厂今日完成万红1#右线大桥7-5、5-4T梁浇筑。
2#梁厂今日完成小石桥大桥左幅2-6、右幅1-5、1-4、1-1T梁浇筑。</t>
  </si>
  <si>
    <t>1#梁厂今日完成万红1#右线6-3、6-1T梁浇筑。万红2#大桥左幅第4跨湿接缝。
2#梁厂今日完成小石桥大桥左幅1-2、1-3、1-5、右幅2-4T梁浇筑，小石桥大桥左幅3-1、3-2、3-3、3-4、3-5、3-6、3-7、4-2、4-4、4-6、4-7T梁安装。</t>
  </si>
  <si>
    <t>1#梁厂今日完成万红1#右线大桥8-5、6-2T梁浇筑，万红1#右线大桥1-3T梁安装。
2#梁厂今日完成小石桥大桥左幅1-7、1-6、1-4、1-1、石榴园大桥左幅3-3、冯家湾大桥左幅1-4T梁浇筑。</t>
  </si>
  <si>
    <t>1#梁厂今日完成万红1#右线大桥6-4T梁浇筑。
2#梁厂今日完成小石桥大桥左幅1-7、石榴园大桥右幅3-1、3-2、3-4T梁浇筑。</t>
  </si>
  <si>
    <t>1#梁厂今日完成万红1#右线大桥7-3、7-1T梁浇筑，山北村左线大桥21-5、万红1#右线1-2T梁安装。
2#梁厂今日完成石榴园大桥左幅1-4T梁浇筑。</t>
  </si>
  <si>
    <t>1#梁厂今日完成万红1#右线7-2、10-1、山北村大桥左幅19-5T梁浇筑。万红1#右线大桥2-5、2-4、2-3、2-2、2-1T梁安装。
2#梁厂今日完成石榴园大桥左幅1-5、1-2、1-1、右幅3-5T梁浇筑。</t>
  </si>
  <si>
    <t>1#梁厂今日完成万红1#右线7-4、11-1、山北村左线大桥19-3T梁浇筑，山北村大桥左幅21-4、21-2、21-1T梁安装。
2#梁厂今日完成石榴园大桥左幅3-6、3-5、3-1、1-7、冯家湾大桥左幅2-2T梁浇筑。</t>
  </si>
  <si>
    <t>1#梁厂今日完成万红1右线大桥8-1、山北村大桥左幅19-2T梁浇筑。
2#梁厂今日完成石榴园大桥左幅3-4、3-3、20-2、冯家湾大桥左幅1-2T梁浇筑。小石桥大桥右幅2、4、3、5、左幅2跨T梁全部安装。</t>
  </si>
  <si>
    <t>1#梁厂今日完成万红1#右线大桥8-3、山北村大桥左幅18-5T梁浇筑，万红1#右线大桥3-4、3-5T梁安装。
2#梁厂今日完成石榴园大桥左幅3-7、3-2、20-5、20-1、冯家湾大桥左幅2-4、2-3、1-1T梁浇筑。</t>
  </si>
  <si>
    <t>1#梁厂今日完成万红1#右幅9-1、8-2、山北村大桥左幅19-1T梁预制，山北村大桥左幅20-3T梁安装。
2#梁厂今日完成石榴园大桥左幅20-3、20-4、19-1、19-2、19-3、19-5T梁预制。</t>
  </si>
  <si>
    <t>1#梁厂今日完成万红1#右线9-3、山北村大桥左幅19-4、18-1T梁浇筑，万红1#大桥左幅第7跨湿接缝。
2#梁厂今日完成石榴园大桥左幅1-6、18-5、18-3、18-1、冯家湾大桥左幅2-1T梁浇筑。</t>
  </si>
  <si>
    <t>1#梁厂今日完成山北村大桥左幅18-2、18-3T梁浇筑，万红1#左线第6跨湿接缝。
2#梁厂今日完成石榴园大桥左幅19-4、18-2、17-5、17-4、17-3、17-1、冯家湾大桥左幅5-3T梁浇筑。</t>
  </si>
  <si>
    <t>宁攀高速ZCB1-19总产值日报表     
                                                                                                     单位：万元</t>
  </si>
  <si>
    <t>1#梁厂今日完成万红1#右线大桥9-2、山北村左幅大桥18-4T梁浇筑，山北村大桥左幅20-1、20-2、20-4T梁安装。万红1#大桥左幅第5跨湿接缝。
2#梁厂今日完成石榴园大桥左幅18-4、17-2、16-5、16-3、16-2、16-1T梁浇筑。</t>
  </si>
  <si>
    <t>梁片相关</t>
  </si>
  <si>
    <t>1#智慧梁厂</t>
  </si>
  <si>
    <t>2#智慧梁厂</t>
  </si>
  <si>
    <t>梁厂产值</t>
  </si>
  <si>
    <t>浇筑</t>
  </si>
  <si>
    <t>安装</t>
  </si>
  <si>
    <t>1#梁厂今日完成万红1#右线大桥9-5、9-4、山北村大桥左幅17-3、17-1T梁浇筑，万红1#右幅大桥第4跨T梁安装。
2#梁厂今日完成石榴园大桥左幅15-5、15-3、15-1、冯家湾大桥左幅5-2T梁浇筑。</t>
  </si>
  <si>
    <t>今日数量
信息汇总</t>
  </si>
  <si>
    <t>1#梁厂今日完成万红1#右线大桥10-3、山北村左线大桥16-1T梁浇筑。
2#梁厂今日完成石榴园大桥左幅1-8、1-3、16-4、15-2、14-5、14-4、14-1冯家湾大桥左幅5-4、5-1、小石桥大桥9、8、7、6跨湿接缝。</t>
  </si>
  <si>
    <t>1#梁厂今日完成万红1#右线大桥8-4、10-4、山北村左线大桥17-4T梁浇筑，万红1#右幅第3跨湿接缝，万红1#右幅第5跨T梁安装。
2#梁厂今日完成石榴园大桥左幅14-3、14-2、13-5、13-1、12-3、冯家湾大桥左幅4-1T梁浇筑。</t>
  </si>
  <si>
    <t>12月5日T梁安装总数存在误差，今日数据已核对校正！</t>
  </si>
  <si>
    <t>1#梁厂今日完成万红1#右线11-2、10-5、10-2、山北村左线17-2T梁浇筑，万红1右线第6跨、山北村左线19-4T梁安装，万红1#左线第3跨防撞护栏，万红1左幅第2跨湿接缝。
2#梁厂今日完成石榴园大桥左幅13-4、13-2、12-5、12-2、12-1、11-5、冯家湾大桥左幅3-2T梁浇筑。</t>
  </si>
  <si>
    <t>1#梁厂今日完成万红1#右线11-3T梁浇筑，山北村19跨、万红1#右线7-3T梁安装、万红1#左幅第1跨湿接缝。
2#梁厂今日完成石榴园大桥左幅13-3、11-1、冯家湾大桥左幅3-3T梁浇筑。</t>
  </si>
  <si>
    <t>1#梁厂今日完成万红1#右幅11-4、山北村大桥左幅17-5、16-4、16-3T梁浇筑，万红1#右幅第7跨T梁安装。
2#梁厂今日完成石榴园大桥左幅12-4、11-4、11-3、11-2、10-5、10-1T梁浇筑，小石桥大桥第4、5跨湿接缝。石榴园大桥19、20、18跨T梁安装。</t>
  </si>
  <si>
    <t>12月7日1#梁厂T梁存在误差，今日数据已核对校正！</t>
  </si>
  <si>
    <t>1#梁厂今日完成万红1#右线大桥11-5、山北村左线16-5、15-3、马许大桥左幅1-3T梁浇筑，山北村左线大桥第18跨T梁安装。
2#梁厂今日完成石榴园大桥左幅2-6、10-3、右幅20-1T梁浇筑。</t>
  </si>
  <si>
    <t>1#梁厂今日完成山北村大桥左幅15-2、马许大桥左幅1-4T梁浇筑，万红1#右线大桥第8跨T梁安装，万红1#右线第1跨湿接缝，万红1#左线第2联防撞护栏。
2#梁厂今日完成石榴园大桥左幅9-5、2-8、2-7、10-4、10-2、右幅20-5、20-2、20-3T梁浇筑。</t>
  </si>
  <si>
    <t>1#梁厂今日完成山北村左线大桥15-4、15-1、马许大桥左幅2-4、1-2、1-1T梁浇筑，山北村大桥左幅17-1、17-3T梁安装。万红右幅第2跨湿接缝。
2#梁厂今日完成石榴园大桥左幅9-3、9-2、9-1、2-1、右幅19-5、19-1T梁浇筑。</t>
  </si>
  <si>
    <t>1#梁厂今日完成马许大桥左幅2-2、3-3、山北村左线大桥左幅14-1、15-5T梁浇筑，山北村左线17-2、万红1#右线第9跨T梁安装、万红1#右线第3跨湿接缝。
2#梁厂今日完成石榴园大桥右幅14-2、20-4、2-5、石榴园大桥左幅2-5、8-5、9-4T梁浇筑。</t>
  </si>
  <si>
    <t>1#梁厂今日完成马许大桥左幅3-4、4-3、山北村左线大桥左幅13-1、14-5T梁浇筑T梁浇筑，山北村大桥左幅17-4、17-5T梁安装、万红1右幅第4跨湿接缝。
2#梁厂今日完成石榴园大桥右幅18-1、19-3、19-4、石榴园大桥左幅8-1、8-3、8-4T梁浇筑T梁浇筑。</t>
  </si>
  <si>
    <t>1#梁厂今日完成马许大桥左幅3-2、4-2、山北村左线大桥左幅13-5、14-3T梁浇筑、山北村大桥16-3T梁安装、万红1左线第1联防撞护栏。
2#梁厂今日完成石榴园大桥右幅18-2、18-3、18-5、2-1、石榴园大桥左幅2-4、7-1、7-5、8-2T梁浇筑。小石桥第1、2、3跨湿接缝。</t>
  </si>
  <si>
    <t>1#梁厂今日完成马许大桥左幅5-3、山北村左线大桥左幅14-2、14-4、16-2、石榴园大桥左幅7-3T梁浇筑、山北村大桥左幅16跨T梁安装。
2#梁厂今日完成石榴园大桥右幅17-1、17-3、18-4、石榴园大桥左幅2-3、7-2、7-4T梁浇筑、小石桥大桥第1、2、3联防撞护栏。</t>
  </si>
  <si>
    <t>1#梁厂今日完成马许大桥左幅5-2、山北村左线大桥左幅12-1、13-3T梁浇筑、万红#右幅第10跨T梁安装，万红1#右线第5跨湿接缝。
2#梁厂今日完成石榴园大桥右幅17-2、17-4、17-5、17-6、石榴园大桥左幅2-2、6-1T梁浇筑。</t>
  </si>
  <si>
    <t>1#梁厂今日完成马许大桥左幅2-1、2-3、4-4、5-4、6-2、万红1#右线(幅)大桥右幅12-5T梁浇筑、山北村大桥左线15-1、15-2、15-3T梁安装。
2#梁厂今日完成石榴园大桥左幅15-4、5-3、5-4、5-5、5-6、6-5、6-6T梁浇筑、石榴园大桥左幅11、16、10跨T梁安装。</t>
  </si>
  <si>
    <t>今日1、2#梁厂T梁浇筑数量已核对校正！</t>
  </si>
  <si>
    <t>1#梁厂今日完成马许大桥左幅3-1、6-3、山北村左线大桥左幅13-2、13-4T梁浇筑、山北村左线15-4、15-5T梁安装、万红1#右线第6跨湿接缝。
2#梁厂今日完成石榴园大桥右幅2-3、石榴园大桥左幅4-1、4-3、4-4、5-1、5-2T梁浇筑、石榴园大桥第15、19、12、13、14跨T梁安装。</t>
  </si>
  <si>
    <t>工区/类型</t>
  </si>
  <si>
    <t>1#梁厂今日完成万红1#右线(幅)大桥右幅12-2、12-4、山北村左线大桥左幅11-1T梁浇筑、万红1#右线11跨T梁安装、万红1#右幅第7跨湿接缝。
2#梁厂今日完成冯家湾大桥左幅1-5、石榴园大桥右幅2-2、石榴园大桥左幅4-2、4-5、4-6、4-7、6-3T梁浇筑、石榴园大桥左幅15、17、18、8、右幅11、20跨T梁安装。</t>
  </si>
  <si>
    <t>1#梁厂今日完成马许大桥左幅6-4、万红1#右线(幅)大桥右幅12-3T梁浇筑、山北村左线大桥14-3T梁安装、万红1#右线第8跨湿接缝、万红1#右线第1联防撞护栏。
2#梁厂今日完成石榴园大桥右幅16-6、19-2、石榴园大桥左幅6-4T梁浇筑、石榴园大桥右幅18、17、左幅7、左幅6-1T梁安装。</t>
  </si>
  <si>
    <t>1#梁厂今日完成马许大桥左幅4-1、万红1#右线(幅)大桥右幅12-1、山北村左线大桥左幅12-3T梁浇筑、山北村大桥左旋14-5、14-4、14-2、14-1T梁安装、山北村左线大桥21跨湿接缝。
2#梁厂今日完成冯家湾大桥左幅2-5、石榴园大桥右幅15-1、15-7、16-1、16-2、16-3、16-4、16-5、石榴园大桥左幅6-2T梁浇筑。</t>
  </si>
  <si>
    <t>1#梁厂今日完成马许大桥左幅7-2、7-3、山北村左线大桥左幅12-5T梁浇筑、山北村大桥左幅13-5、13-3T梁安装。
2#梁厂今日完成冯家湾大桥左幅3-4、石榴园大桥右幅15-3、15-4、15-6、2-4T梁浇筑、石榴园大桥第5跨T梁安装。</t>
  </si>
  <si>
    <t>1#梁厂今日完成山北村左线大桥左幅12-4T梁浇筑、山北村左线大桥左幅13-4、13-2、13-1T梁安装。山北村左幅第20跨湿接缝。
2#梁厂今日完成冯家湾大桥左幅3-5、4-2、石榴园大桥右幅14-1、14-4、14-7、15-2、15-5T梁浇筑。</t>
  </si>
  <si>
    <t>1#梁厂今日完成马许大桥左幅7-4、山北村左线大桥左幅10-1、11-3T梁浇筑。
2#梁厂今日完成冯家湾大桥左幅4-3、4-5、石榴园大桥右幅13-1、13-7、14-3、14-5、14-6T梁浇筑、石榴园大桥左幅4跨、16-1T梁安装。</t>
  </si>
  <si>
    <t>1#梁厂今日完成马许大桥左幅8-3、山北村左线大桥左幅11-2、11-5T梁浇筑、山北村大桥左幅19跨湿接缝。
2#梁厂今日完成冯家湾大桥左幅4-4、6-2、石榴园大桥右幅12-1、13-2、13-3、13-4、13-5、13-6T梁浇筑</t>
  </si>
  <si>
    <t>1#梁厂今日完成马许大桥左幅5-1、8-4、山北村左线大桥左幅10-5、12-2、9-1T梁浇筑
2#梁厂今日完成石榴园大桥右幅11-1、12-3、12-4、12-5、12-6、12-7T梁浇筑、石榴园大桥右幅第3、16跨T梁安装。</t>
  </si>
  <si>
    <t>1#梁厂今日完成马许大桥左幅6-1、8-2、9-3、山北村左线大桥左幅11-4T梁浇筑、山北村大桥左幅18跨湿接缝，万红1#右线第2联防撞护栏。
2#梁厂今日完成冯家湾大桥左幅13-4、5-5、石榴园大桥右幅11-2、11-3、11-4、11-7、12-2T梁浇筑。</t>
  </si>
  <si>
    <t>1#梁厂今日完成马许大桥左幅9-2、9-4、山北村左线大桥左幅8-1、9-5T梁浇筑、万红1#右线大桥12跨T两安装、山北村左线大桥第17跨湿接缝。
2#梁厂今日完成冯家湾大桥左幅13-2、13-3、石榴园大桥右幅10-4、10-5、10-8、11-5、11-6T梁浇筑、石榴园大桥右幅第3、15跨T梁安装，右幅14-1T梁安装。</t>
  </si>
  <si>
    <t>1#梁厂今日完成马许大桥左幅10-2、10-3、山北村左线大桥左幅10-2、10-3T梁浇筑、山北村大桥左幅12-1、12-2、12-3T梁安装，山北村大桥第16跨湿接缝。
2#梁厂今日完成冯家湾大桥左幅12-3、3-1、石榴园大桥右幅10-1、10-6、9-4T梁浇筑、石榴园大桥第14跨、左幅2-1T梁安装。</t>
  </si>
  <si>
    <t>25mT梁安装</t>
  </si>
  <si>
    <t>40mT梁安装</t>
  </si>
  <si>
    <t>1#梁厂今日完成马许大桥左幅10-4、7-1、山北村左线大桥左幅10-4、8-5T梁浇筑
2#梁厂今日完成冯家湾大桥左幅12-2、石榴园大桥右幅10-2、10-3、10-7、9-1、9-5、9-8T梁浇筑、石榴园大桥左幅2-3、2-4、2-2、15-6、15-7、13-1、13-2、13-3T梁浇筑。</t>
  </si>
  <si>
    <t>25mT梁预制</t>
  </si>
  <si>
    <t>40mT梁预制</t>
  </si>
  <si>
    <t>1#梁厂今日完成马许大桥左幅15-3、8-1、山北村左线大桥左幅9-2、9-3T梁浇筑、山北村左线大桥12-4T梁安装、万红1#右线大桥第9跨湿接缝。
2#梁厂今日完成冯家湾大桥左幅12-4、石榴园大桥右幅6-5、7-5、9-3T梁浇筑、石榴园大桥右幅12-1、12-2、2-1、左幅2-5、2-6T梁安装。</t>
  </si>
  <si>
    <t>1#梁厂今日完成山北村左线大桥左幅8-3、9-4T梁浇筑、万红1#右幅第10跨湿接缝。
2#梁厂今日完成冯家湾大桥左幅12-1、石榴园大桥右幅8-1、8-3、8-4、9-6、9-7T梁浇筑。</t>
  </si>
  <si>
    <t>1#梁厂今日完成马许大桥左幅15-2、山北村左线大桥左幅8-2、8-4T梁浇筑、山北村大桥左幅11-1、11-2、11-3T梁安装。
2#梁厂今日完成冯家湾大桥左幅13-1、石榴园大桥右幅4-5、5-5、8-8T梁浇筑</t>
  </si>
  <si>
    <t>1#梁厂今日完成山北村左线大桥左幅7-1、7-3T梁浇筑、山北村大桥左线11-4、11-5T梁安装。
2#梁厂今日完成冯家湾大桥左幅11-2、11-3、石榴园大桥右幅8-2、8-5、8-6、8-9、9-2T梁浇筑、石榴园大桥右幅2、12跨T梁安装、石榴园大桥左幅19、20跨湿接缝。</t>
  </si>
  <si>
    <t>1#梁厂今日完成马许大桥左幅14-2、15-4、山北村左线大桥左幅7-2T梁浇筑、万红1#右线大桥第12跨湿接缝。
2#梁厂今日完成城河3#大桥右幅11-5、冯家湾大桥左幅11-1、11-4、石榴园大桥右幅1-5、7-3T梁浇筑、石榴园大桥右幅10、左幅1跨T梁安装、石榴园大桥左幅17、18跨湿接缝、B匝道大桥第1联防撞护栏。</t>
  </si>
  <si>
    <t>1#梁厂今日完成马许大桥左幅14-3、山北村左线大桥左幅6-3、7-4
2#梁厂今日完成冯家湾大桥左幅10-3、石榴园大桥右幅5-3、6-3、7-2、7-4、8-7、石榴园大桥左幅第15、16跨湿接缝。</t>
  </si>
  <si>
    <t>1#梁厂今日完成马许大桥左幅14-4、山北村左线大桥左幅6-1、7-5T梁浇筑、山北村左线大桥左幅10-4、10-5T梁安装。山北村左线大桥第15跨湿接缝。
2#梁厂今日完成冯家湾大桥左幅10-4、石榴园大桥右幅6-4、7-1T梁浇筑、石榴园大桥左幅13、14跨湿接缝。</t>
  </si>
  <si>
    <r>
      <rPr>
        <b/>
        <sz val="11"/>
        <color rgb="FFFF0000"/>
        <rFont val="等线"/>
        <charset val="134"/>
        <scheme val="minor"/>
      </rPr>
      <t>梁片数量汇总信息（</t>
    </r>
    <r>
      <rPr>
        <b/>
        <sz val="11"/>
        <color rgb="FF00B0F0"/>
        <rFont val="等线"/>
        <charset val="134"/>
        <scheme val="minor"/>
      </rPr>
      <t>预制</t>
    </r>
    <r>
      <rPr>
        <b/>
        <sz val="11"/>
        <color rgb="FF7030A0"/>
        <rFont val="等线"/>
        <charset val="134"/>
        <scheme val="minor"/>
      </rPr>
      <t>安装</t>
    </r>
    <r>
      <rPr>
        <b/>
        <sz val="11"/>
        <color rgb="FFFF0000"/>
        <rFont val="等线"/>
        <charset val="134"/>
        <scheme val="minor"/>
      </rPr>
      <t>）</t>
    </r>
  </si>
  <si>
    <t>预制总数：</t>
  </si>
  <si>
    <t>1#梁厂今日完成马许大桥左幅13-2、山北村左线大桥左幅6-2、6-4T梁浇筑、山北村左线大桥左幅9-1、9-2、9-3T梁安装、。
2#梁厂今日完成城河3#大桥右幅2-5、冯家湾大桥左幅10-1、石榴园大桥右幅4-3、5-2、5-4、6-2T梁浇筑石榴园大桥右幅9-1、9-2、9-3、9-4T梁安装、石榴园大桥左幅11、12跨湿接缝。</t>
  </si>
  <si>
    <t xml:space="preserve">                 工区
    类型</t>
  </si>
  <si>
    <t>1#梁厂今日完成马许大桥左幅13-3、山北村左线大桥左幅5-3、6-5T梁浇筑、山北村左线大桥左幅9-4、9-5T梁安装、、山北村大桥左幅14跨湿接缝、万红1#右线大桥第3联防撞护栏。
2#梁厂今日完成城河3#大桥右幅1-5、3-5、冯家湾大桥左幅10-2、石榴园大桥右幅4-2、4-4、6-1T梁浇筑冯家湾大桥左幅13-1、13-2、13-3、石榴园大桥右幅9-5、9-6、9-7、9-8T梁安装、石榴园大桥左幅9、10跨湿接缝。</t>
  </si>
  <si>
    <t>1#梁厂今日完成山北村左线大桥左幅5-2、5-5T梁浇筑、山北村左线大桥左幅8-1、8-2、8-3、8-4、8-5T梁安装、。
2#梁厂今日完成城河3#大桥右幅1-3、4-5、冯家湾大桥左幅13-5、石榴园大桥右幅1-2、1-3、1-4、5-1T梁浇筑冯家湾大桥左幅13-4、13-5、石榴园大桥右幅8-1、8-2、8-3、8-4、8-5、8-6、8-7、8-8、8-9T梁安装。</t>
  </si>
  <si>
    <t>宁攀高速ZCB1-19总产值日报表     
                                                                                                     产值单位：万元</t>
  </si>
  <si>
    <t>1#梁厂今日完成山北村左线大桥左幅5-1、5-4T梁浇筑、山北村左线大桥第13跨湿接缝。
2#梁厂今日完成城河3#大桥右幅1-2、1-4、2-3、9-5、冯家湾大桥左幅9-2、9-3T梁浇筑冯家湾大桥左幅12-1、12-2、12-3、石榴园大桥右幅7-1、7-2、7-3、7-4、7-5T梁安装。</t>
  </si>
  <si>
    <t>1#梁厂今日完成山北村左线大桥左幅4-3、4-5T梁浇筑万红2#大桥左幅第1联桥面铺装。
2#梁厂今日完成城河3#大桥右幅10-5、2-2、2-4、3-4、冯家湾大桥左幅12-5、石榴园大桥右幅4-1T梁浇筑冯家湾大桥左幅12-4、12-5、石榴园大桥右幅6-1、6-2、6-3T梁安装、石榴园大桥左幅7、8跨湿接缝。</t>
  </si>
  <si>
    <t>1#梁厂今日完成山北村左线大桥左幅4-1、4-2T梁浇筑山北村左线大桥左幅7-1、7-2、7-3T梁安装。
2#梁厂今日完成城河3#大桥右幅3-2、4-3、冯家湾大桥左幅12-5、9-4T梁浇筑石榴园大桥右幅6-4、6-5T梁安装。</t>
  </si>
  <si>
    <t>1#梁厂今日完成山北村左线大桥左幅3-1、4-4T梁浇筑山北村左线大桥左幅7-4、7-5T梁安装。
2#梁厂今日完成城河3#大桥右幅3-3、4-4、8-5、冯家湾大桥左幅8-3、石榴园大桥右幅1-1T梁浇筑冯家湾大桥左幅11-1、11-2、11-3、11-4、石榴园大桥右幅5-1、5-2、5-3、5-4、5-5T梁安装。</t>
  </si>
  <si>
    <t>1#梁厂今日完成山北村左线大桥左幅2-1、3-3T梁浇筑
2#梁厂今日完成城河3#大桥右幅4-2、冯家湾大桥左幅11-5、D匝道大桥单幅6-3、6-4T梁浇筑冯家湾大桥左幅10-1、10-2、10-3、石榴园大桥右幅4-1、4-2、4-3T梁安装</t>
  </si>
  <si>
    <t>1#梁厂今日完成山北村左线大桥左幅3-2、3-4T梁浇筑山北村左线大桥左幅6-1、6-2、6-3T梁安装、万红2#大桥右幅第1联桥面铺装。
2#梁厂今日完成冯家湾大桥左幅8-2、D匝道大桥单幅5-1、5-3、6-1、6-2T梁浇筑冯家湾大桥左幅9-2、石榴园大桥右幅4-4、4-5T梁安装、石榴园大桥右幅17、18跨湿接缝。</t>
  </si>
  <si>
    <t>1#梁厂今日完成山北村左线大桥左幅1-1、2-3T梁浇筑山北村左线大桥左幅6-4、6-5T梁安装。
2#梁厂今日完成冯家湾大桥左幅8-4、D匝道大桥单幅4-2、4-3、5-2、5-4T梁浇筑冯家湾大桥左幅9-3、9-4、石榴园大桥右幅1-1T梁安装、石榴园大桥右幅15、16跨湿接缝。</t>
  </si>
  <si>
    <t>1#梁厂今日完成山北村左线大桥左幅2-2、3-5T梁浇筑山北村左线大桥左幅5-1、5-2、5-3、5-4、5-5T梁安装、山北村大桥左幅11、12跨湿接缝，山北村大桥左幅第5联防撞护栏。
2#梁厂今日完成D匝道大桥单幅3-1、3-3、4-1、4-4T梁浇筑</t>
  </si>
  <si>
    <t>上月
累计产值</t>
  </si>
  <si>
    <t>本月产值</t>
  </si>
  <si>
    <t>1#梁厂今日完成马许大桥左幅14-5、山北村左线大桥左幅2-4、2-5T梁浇筑山北村左线大桥左幅4-3T梁安装
2#梁厂今日完成D匝道大桥单幅1-2、2-1、2-2、2-3、3-2T梁浇筑石榴园大桥右幅13、14跨、石榴园大桥左幅第4联防撞护栏。</t>
  </si>
  <si>
    <t>每月完成产值情况汇总（每月开始为16日，结束为15日）</t>
  </si>
  <si>
    <t>月份
累计产值
本月产值</t>
  </si>
  <si>
    <t>2021年6月</t>
  </si>
  <si>
    <t>2021年7月</t>
  </si>
  <si>
    <t>2021年8月</t>
  </si>
  <si>
    <t>2021年9月</t>
  </si>
  <si>
    <t>2021年10月</t>
  </si>
  <si>
    <t>2021年11月</t>
  </si>
  <si>
    <t>2021年12月</t>
  </si>
  <si>
    <t>2022年1月</t>
  </si>
  <si>
    <t>2022年2月</t>
  </si>
  <si>
    <t>2022年3月</t>
  </si>
  <si>
    <t>2022年4月</t>
  </si>
  <si>
    <t>2022年5月</t>
  </si>
  <si>
    <t>2022年6月</t>
  </si>
  <si>
    <t>2022年7月</t>
  </si>
  <si>
    <t>2022年8月</t>
  </si>
  <si>
    <t>2022年9月</t>
  </si>
  <si>
    <t>2022年10月</t>
  </si>
  <si>
    <t>2022年11月</t>
  </si>
  <si>
    <t>2022年12月</t>
  </si>
  <si>
    <t>2023年1月</t>
  </si>
  <si>
    <t>2023年2月</t>
  </si>
  <si>
    <t>2023年3月</t>
  </si>
  <si>
    <t>2023年4月</t>
  </si>
  <si>
    <t>2023年5月</t>
  </si>
  <si>
    <t>可能存在的变更：梁片预制12标减去573片</t>
  </si>
  <si>
    <t>计划数量</t>
  </si>
  <si>
    <t>完成进度</t>
  </si>
  <si>
    <t>湿接缝</t>
  </si>
  <si>
    <t>防撞护栏</t>
  </si>
  <si>
    <t>桥面铺装</t>
  </si>
  <si>
    <t>总产值</t>
  </si>
  <si>
    <t>1#梁厂今日完成马许大桥左幅13-5、山北村左线大桥左幅1-2、1-3T梁浇筑山北村左线大桥左幅4-1、4-2、4-4、4-5T梁安装
2#梁厂今日完成D匝道大桥单幅1-1、1-3、3-4T梁浇筑冯家湾大桥左幅8-2、8-3、8-4、石榴园大桥右幅1-2T梁安装、石榴园大桥右幅11、12跨湿接缝。</t>
  </si>
  <si>
    <t>1#梁厂今日完成山北村左线大桥左幅1-4、1-5T梁浇筑
2#梁厂今日完成冯家湾大桥左幅7-1、D匝道大桥单幅2-4T梁浇筑冯家湾大桥左幅7-1T梁安装</t>
  </si>
  <si>
    <t>1#梁厂今日完成无
2#梁厂今日完成冯家湾大桥左幅7-2T梁浇筑冯家湾大桥左幅7-2T梁安装</t>
  </si>
  <si>
    <t>1#梁厂今日完成无
2#梁厂今日完成无</t>
  </si>
  <si>
    <t>2022年年度完成产值
开始于2022/1/1</t>
  </si>
  <si>
    <t>2022年年度完成产值
开始于2021/12/16</t>
  </si>
  <si>
    <t>2021年年度完成产值
截止于2021/12/31</t>
  </si>
  <si>
    <t>2021年年度完成产值
截止于2021/12/15</t>
  </si>
  <si>
    <t>每月完成产值情况汇总</t>
  </si>
  <si>
    <t>每月开始为16日，结束为15日</t>
  </si>
  <si>
    <t>2021~2023年度详情</t>
  </si>
  <si>
    <t>2021年年度完成详情截止2021/12/31</t>
  </si>
  <si>
    <t>2022年年度完成详情截止2021/12/31</t>
  </si>
  <si>
    <t>2023年年度完成详情截止2021/12/31</t>
  </si>
  <si>
    <t>预制</t>
  </si>
  <si>
    <t>5645m</t>
  </si>
  <si>
    <t>2990.44m</t>
  </si>
  <si>
    <t>0㎡</t>
  </si>
  <si>
    <t>此为预估产值</t>
  </si>
  <si>
    <t>此为实际产值</t>
  </si>
  <si>
    <t>桥面系汇总</t>
  </si>
  <si>
    <t>备注：今日1、2#梁厂T梁浇筑数量已核对校正！</t>
  </si>
  <si>
    <t>1#梁厂今日完成
2#梁厂今日完成城河3#大桥右幅5-2、5-3、冯家湾大桥左幅10-5、7-3T梁浇筑</t>
  </si>
  <si>
    <t>以建设月报为准，每月开始为16日，结束为15日</t>
  </si>
  <si>
    <t>位置信息（用于程序填写数据）</t>
  </si>
  <si>
    <t>1#梁厂25预</t>
  </si>
  <si>
    <t>1#梁厂40预</t>
  </si>
  <si>
    <t>2#梁厂25预</t>
  </si>
  <si>
    <t>2#梁厂40预</t>
  </si>
  <si>
    <t>1#梁厂25安</t>
  </si>
  <si>
    <t>1#梁厂40安</t>
  </si>
  <si>
    <t>2#梁厂25安</t>
  </si>
  <si>
    <t>2#梁厂40安</t>
  </si>
  <si>
    <t>C38</t>
  </si>
  <si>
    <t>D38</t>
  </si>
  <si>
    <t>E38</t>
  </si>
  <si>
    <t>F38</t>
  </si>
  <si>
    <t>C39</t>
  </si>
  <si>
    <t>D39</t>
  </si>
  <si>
    <t>E39</t>
  </si>
  <si>
    <t>F39</t>
  </si>
  <si>
    <t>1#湿接缝</t>
  </si>
  <si>
    <t>1#桥面铺装</t>
  </si>
  <si>
    <t>1#防撞护栏</t>
  </si>
  <si>
    <t>2#湿接缝</t>
  </si>
  <si>
    <t>2#桥面铺装</t>
  </si>
  <si>
    <t>2#防撞护栏</t>
  </si>
  <si>
    <t>D45</t>
  </si>
  <si>
    <t>D43</t>
  </si>
  <si>
    <t>D44</t>
  </si>
  <si>
    <t>E45</t>
  </si>
  <si>
    <t>E43</t>
  </si>
  <si>
    <t>E44</t>
  </si>
  <si>
    <t>数据来源</t>
  </si>
  <si>
    <t>E:\OneDrive - 123\日报、周报、月报、季报\日报系统\19标台账\ZCB1-19 T梁台账.accdb</t>
  </si>
  <si>
    <t>桥面系汇总信息</t>
  </si>
  <si>
    <t>名称</t>
  </si>
  <si>
    <t>1#梁厂累计</t>
  </si>
  <si>
    <t>2#梁厂累计</t>
  </si>
  <si>
    <t>累计</t>
  </si>
  <si>
    <t>1#梁厂今日完成
2#梁厂今日完成冯家湾大桥左幅7-4T梁浇筑冯家湾大桥左幅6-2T梁安装</t>
  </si>
  <si>
    <t>1#梁厂今日完成
2#梁厂今日完成城河3#大桥右幅5-4、6-2、冯家湾大桥左幅9-5、D匝道大桥单幅1-4T梁浇筑</t>
  </si>
  <si>
    <t xml:space="preserve">1#梁厂今日完成
2#梁厂今日完成城河3#大桥右幅6-3、6-4、冯家湾大桥左幅9-1T梁浇筑 </t>
  </si>
  <si>
    <t xml:space="preserve">1#梁厂今日完成
2#梁厂今日完成城河3#大桥右幅1-1、7-2、7-3、冯家湾大桥左幅6-3、8-5T梁浇筑、冯家湾大桥左幅5-1、5-2、5-3、5-4、5-5T梁安装 </t>
  </si>
  <si>
    <t xml:space="preserve">1#梁厂今日完成
2#梁厂今日完成城河3#大桥右幅2-1、6-5、7-4、8-3、8-4、冯家湾大桥左幅7-5T梁浇筑、冯家湾大桥左幅4-1、D匝道大桥单幅6-1T梁安装 </t>
  </si>
  <si>
    <t xml:space="preserve">1#梁厂今日完成无
2#梁厂今日完成城河3#大桥右幅7-5、8-2、9-3、冯家湾大桥左幅6-5、8-1T梁浇筑、冯家湾大桥左幅4-2、4-3、4-4、D匝道大桥单幅6-2、6-3、6-4T梁安装 </t>
  </si>
  <si>
    <t>自年初完成产值
2022/1/1-2022/12/31</t>
  </si>
  <si>
    <t>自开工完成产值
2021/3/1-2023/3/1</t>
  </si>
  <si>
    <t>2021年年度完成详情截止于2021/12/31</t>
  </si>
  <si>
    <t>2022年年度完成详情开始于2022/1/1</t>
  </si>
  <si>
    <t>2023年年度完成详情开始于2023/1/1</t>
  </si>
  <si>
    <t>完成数量</t>
  </si>
  <si>
    <t xml:space="preserve">1#梁厂今日完成 山北村左线大桥左幅3-1、3-2、3-3、3-4、3-5T梁安装 
2#梁厂今日完成城河3#大桥右幅3-1、4-1、5-5、9-2、9-4、冯家湾大桥左幅6-4T梁浇筑、D匝道大桥单幅5-1、5-2、5-3、5-4T梁安装 </t>
  </si>
  <si>
    <t>自年初完成产值
2021/12/16-2022/12/15</t>
  </si>
  <si>
    <t>2022年年度100章产值
开始于2021/12/16</t>
  </si>
  <si>
    <t>2022年年度400章产值
开始于2021/12/16</t>
  </si>
  <si>
    <t>每月完成产值情况汇总-建设月报数据</t>
  </si>
  <si>
    <t>2021年汇总</t>
  </si>
  <si>
    <t>2022年汇总</t>
  </si>
  <si>
    <t>2023年汇总</t>
  </si>
  <si>
    <t>预估截止于2021/12/31</t>
  </si>
  <si>
    <t>实际开始于2022/1/1</t>
  </si>
  <si>
    <t>各阶段完成详情</t>
  </si>
  <si>
    <t>阶段</t>
  </si>
  <si>
    <t>T梁预制</t>
  </si>
  <si>
    <t>T梁安装</t>
  </si>
  <si>
    <t>自年初12/16</t>
  </si>
  <si>
    <t>自年初1/1</t>
  </si>
  <si>
    <t>自开工</t>
  </si>
  <si>
    <t>21年15汇总</t>
  </si>
  <si>
    <t>本月3月</t>
  </si>
  <si>
    <t>1#梁厂今日完成山北村右线大桥右幅21-2T梁浇筑
2#梁厂今日完成城河3#大桥右幅10-2、11-3、冯家湾大桥左幅6-1T梁浇筑、D匝道大桥单幅4-1、4-2T梁安装</t>
  </si>
  <si>
    <t>1#梁厂今日完成马许大桥左幅15-5、山北村右线大桥右幅21-3T梁浇筑
2#梁厂今日完成城河3#大桥右幅10-3、10-4、11-4、12-5、6-1、小柳树右线大桥右幅1-3T梁浇筑、冯家湾大桥左幅3-1、D匝道大桥单幅4-3、4-4T梁安装</t>
  </si>
  <si>
    <t>1#梁厂今日完成山北村右线大桥右幅21-1、21-5T梁浇筑
2#梁厂今日完成城河1#大桥右幅1-1、城河3#大桥右幅11-2、12-2、12-3、12-4T梁浇筑、冯家湾大桥左幅3-2、3-3、3-4T梁安装</t>
  </si>
  <si>
    <t>1#梁厂今日完成无
2#梁厂今日完成城河1#大桥右幅2-1T梁浇筑</t>
  </si>
  <si>
    <t>1#梁厂今日完成山北村右线大桥右幅20-5T梁浇筑
2#梁厂今日完成城河1#大桥右幅1-2、1-3、1-4、1-5、1-6、2-2、2-3、3-1、4-1、城河3#大桥右幅7-1、9-1、小柳树右线大桥右幅1-4、1-5T梁浇筑、冯家湾大桥左幅3-5、D匝道大桥单幅3-1T梁安装</t>
  </si>
  <si>
    <t>1#梁厂今日完成山北村右线大桥右幅20-1、21-4T梁浇筑
2#梁厂今日完成城河1#大桥右幅5-1、8-7、冯家湾大桥右幅13-1T梁浇筑</t>
  </si>
  <si>
    <t>1#梁厂今日完成无
2#梁厂今日完成城河1#大桥右幅2-5、2-6、3-2、3-4、城河3#大桥右幅10-1、8-1T梁浇筑、冯家湾大桥左幅2-1、2-2、2-3、2-4、2-5、D匝道大桥单幅2-1、2-2、3-2、3-3、3-4T梁安装</t>
  </si>
  <si>
    <t>21年总</t>
  </si>
  <si>
    <t>备注：2#梁厂T梁浇筑数量已核对校正！</t>
  </si>
  <si>
    <t>1#梁厂今日完成山北村左线大桥左幅8跨湿接缝
2#梁厂今日完成城河1#大桥右幅10-7、3-3、3-6、9-7、城河3#大桥右幅11-1、5-1、小柳树右线大桥右幅1-1、1-2T梁浇筑、冯家湾大桥左幅10-4、10-5、11-5、12-5、4-5、6-1、6-3、6-4、6-5、D匝道大桥单幅1-1、1-2、1-3、2-3、2-4T梁安装</t>
  </si>
  <si>
    <t>1#梁厂今日完成山北村左线大桥左幅2-1、2-2、2-3、2-4、2-5T梁安装
2#梁厂今日完成城河1#大桥右幅4-2、4-5、城河3#大桥右幅12-1、冯家湾大桥右幅13-2T梁浇筑、冯家湾大桥左幅1-1、1-2、1-3、1-4、1-5、7-3、7-4、7-5、8-1、8-5、9-1、9-5、D匝道大桥单幅1-4T梁安装</t>
  </si>
  <si>
    <r>
      <rPr>
        <b/>
        <sz val="11"/>
        <rFont val="等线"/>
        <charset val="134"/>
        <scheme val="minor"/>
      </rPr>
      <t>2022年年度</t>
    </r>
    <r>
      <rPr>
        <b/>
        <sz val="11"/>
        <color rgb="FFFF0000"/>
        <rFont val="等线"/>
        <charset val="134"/>
        <scheme val="minor"/>
      </rPr>
      <t>100章</t>
    </r>
    <r>
      <rPr>
        <b/>
        <sz val="11"/>
        <rFont val="等线"/>
        <charset val="134"/>
        <scheme val="minor"/>
      </rPr>
      <t>产值
开始于2021/12/16</t>
    </r>
  </si>
  <si>
    <r>
      <rPr>
        <b/>
        <sz val="11"/>
        <rFont val="等线"/>
        <charset val="134"/>
        <scheme val="minor"/>
      </rPr>
      <t>2022年年度</t>
    </r>
    <r>
      <rPr>
        <b/>
        <sz val="11"/>
        <color rgb="FFFF0000"/>
        <rFont val="等线"/>
        <charset val="134"/>
        <scheme val="minor"/>
      </rPr>
      <t>400章</t>
    </r>
    <r>
      <rPr>
        <b/>
        <sz val="11"/>
        <rFont val="等线"/>
        <charset val="134"/>
        <scheme val="minor"/>
      </rPr>
      <t>产值
开始于2021/12/16</t>
    </r>
  </si>
  <si>
    <t>21年完成</t>
  </si>
  <si>
    <t>1#梁厂今日完成山北村左线大桥左幅9跨湿接缝
2#梁厂今日完成城河1#大桥右幅11-7、1-7、3-5、4-3、4-4、城河3#大桥左幅12-1、12-5、冯家湾大桥右幅12-1、13-5T梁浇筑、石榴园大桥右幅11-7、13-4、13-5、13-6、13-7、1-3、1-4、1-5T梁安装</t>
  </si>
  <si>
    <t>1#梁厂今日完成无
2#梁厂今日完成城河3#大桥左幅10-1、10-5、11-1、11-2、11-4、11-5、12-2、12-3、12-4、冯家湾大桥右幅11-5、12-5、13-3T梁浇筑、石榴园大桥左幅3联右侧防撞护栏</t>
  </si>
  <si>
    <t>1#梁厂今日完成马许大桥左幅12-3、12-4、12-5、15-1、山北村右线大桥右幅20-3、20-4T梁浇筑、山北村左线大桥左幅1-3、1-5T梁安装、山北村左线大桥左幅10、7跨湿接缝
2#梁厂今日完成城河3#大桥左幅10-2、10-3、10-4、11-3、9-3、9-5、冯家湾大桥右幅11-1T梁浇筑、石榴园大桥左幅3联左侧防撞护栏</t>
  </si>
  <si>
    <t>今日、本月、自年初（开始于12/16）数量汇总</t>
  </si>
  <si>
    <t>21年截止15</t>
  </si>
  <si>
    <t>1#梁厂今日完成马许大桥左幅12-2、山北村右线大桥右幅19-3、20-2T梁浇筑、山北村左线大桥左幅1-1、1-2、1-4T梁安装
2#梁厂今日完成梨子园右线大桥右幅1-2、1-3、1-5、城河3#大桥左幅8-1、8-5、9-4、冯家湾大桥右幅12-3、6-4T梁浇筑</t>
  </si>
  <si>
    <t>1#梁厂今日完成马许大桥左幅14-1、山北村右线大桥右幅19-2、19-4T梁浇筑、山北村左线大桥左幅6跨湿接缝
2#梁厂今日完成梨子园右线大桥右幅1-4、城河1#大桥右幅2-4、城河3#大桥左幅9-2、冯家湾大桥右幅10-1、12-4T梁浇筑、冯家湾大桥右幅13-1、13-2、小柳树右线大桥右幅1-1、1-2、1-3、1-4、1-5T梁安装</t>
  </si>
  <si>
    <t>1#梁厂今日完成马许大桥左幅11-3、13-1、13-4、山北村右线大桥右幅18-2、18-3T梁浇筑、万红2#大桥左幅1联右侧、1联左侧防撞护栏
2#梁厂今日完成梨子园右线大桥右幅1-1、2-2、2-3、2-4、2-5、4-5、城河3#大桥左幅8-2、9-1、冯家湾大桥右幅11-2、11-3、12-2T梁浇筑、城河3#大桥右幅12-1、12-2、城河3#大桥左幅12-1、12-2、冯家湾大桥右幅13-3T梁安装、石榴园大桥右幅10、9跨湿接缝</t>
  </si>
  <si>
    <t>1#梁厂今日完成马许大桥左幅12-1、山北村右线大桥右幅18-4、19-1T梁浇筑
2#梁厂今日完成城河1#大桥右幅8-1、城河3#大桥左幅6-1、7-1、7-3、7-5、8-4、冯家湾大桥右幅10-3、11-4T梁浇筑、城河3#大桥右幅12-3、12-4、12-5、城河3#大桥左幅12-3、12-4、12-5T梁安装、石榴园大桥左幅5、6跨湿接缝、石榴园大桥左幅2联右侧防撞护栏</t>
  </si>
  <si>
    <r>
      <rPr>
        <b/>
        <sz val="14"/>
        <color theme="1"/>
        <rFont val="等线"/>
        <charset val="134"/>
        <scheme val="minor"/>
      </rPr>
      <t>位置信息（用于程序填写数据，</t>
    </r>
    <r>
      <rPr>
        <b/>
        <sz val="14"/>
        <rFont val="等线"/>
        <charset val="134"/>
        <scheme val="minor"/>
      </rPr>
      <t>此表不可变动</t>
    </r>
    <r>
      <rPr>
        <b/>
        <sz val="14"/>
        <color theme="1"/>
        <rFont val="等线"/>
        <charset val="134"/>
        <scheme val="minor"/>
      </rPr>
      <t>）</t>
    </r>
  </si>
  <si>
    <t>备注：暂无</t>
  </si>
  <si>
    <t>1#梁厂今日完成马许大桥左幅11-2、11-5、山北村右线大桥右幅17-3、18-1T梁浇筑、山北村右线大桥右幅21-3T梁安装、山北村左线大桥左幅5跨湿接缝
2#梁厂今日完成城河3#大桥左幅6-3、6-4、6-5、7-2、7-4、冯家湾大桥右幅10-5T梁浇筑、城河3#大桥右幅11-1、11-2、11-3、11-4、11-5、城河3#大桥左幅11-1、11-2、11-3、11-4、11-5、冯家湾大桥右幅13-4、13-5T梁安装、石榴园大桥右幅7、8跨湿接缝</t>
  </si>
  <si>
    <t>实际截止于2021/12/31</t>
  </si>
  <si>
    <t>截图区域</t>
  </si>
  <si>
    <t>A1:F52</t>
  </si>
  <si>
    <t>投标报价汇总表</t>
  </si>
  <si>
    <t>合同段：G4216线宁南至攀枝花段高速公路（ZCB1-19）12-15标</t>
  </si>
  <si>
    <t>标表1</t>
  </si>
  <si>
    <t>序号</t>
  </si>
  <si>
    <t>章次</t>
  </si>
  <si>
    <t>科目名称</t>
  </si>
  <si>
    <t>金额（元）</t>
  </si>
  <si>
    <t>金额（万）</t>
  </si>
  <si>
    <t>金额（亿）</t>
  </si>
  <si>
    <t>总则</t>
  </si>
  <si>
    <t>（1）常规 桥梁</t>
  </si>
  <si>
    <t>（3）分离式立交、天桥、涵洞</t>
  </si>
  <si>
    <t>第100章至第700章合计</t>
  </si>
  <si>
    <t>已包含在清单合计中的材料、工程设备、专业工程暂估价合计</t>
  </si>
  <si>
    <t>清单合计减去材料、工程设备、专业工程暂估价合计</t>
  </si>
  <si>
    <t>计日工合计</t>
  </si>
  <si>
    <t>暂列金额（不含计日工总额）</t>
  </si>
  <si>
    <t>投标报价</t>
  </si>
  <si>
    <t>1#梁厂今日完成马许大桥左幅11-4、山北村右线大桥右幅17-2、19-5T梁浇筑、山北村右线大桥右幅21-1、21-2、21-4、21-5T梁安装、山北村左线大桥左幅4联右侧防撞护栏
2#梁厂今日完成城河1#大桥右幅4-6、城河2#大桥右幅8-5、城河3#大桥左幅5-1、5-2、5-4、6-2、冯家湾大桥右幅10-4T梁浇筑、城河3#大桥右幅10-1、10-2、10-3、10-4、10-5、冯家湾大桥右幅12-1、12-2T梁安装</t>
  </si>
  <si>
    <t>1#梁厂今日完成马许大桥左幅10-5、山北村右线大桥右幅17-1、17-4T梁浇筑、山北村右线大桥右幅20-3T梁安装、山北村左线大桥左幅4跨湿接缝
2#梁厂今日完成城河3#大桥左幅4-1、4-2、4-3、4-4、4-5、5-5、冯家湾大桥右幅9-1、9-5T梁浇筑、城河3#大桥左幅10-1、10-2、10-3、10-4、10-5、冯家湾大桥右幅12-3、12-4、12-5T梁安装</t>
  </si>
  <si>
    <t>1#梁厂今日完成马许大桥左幅9-5、山北村右线大桥右幅16-1、18-5T梁浇筑、山北村右线大桥右幅20-1、20-2T梁安装、山北村左线大桥左幅4联左侧防撞护栏
2#梁厂今日完成城河1#大桥右幅5-2、城河3#大桥左幅2-1、2-5、3-1、3-2、3-3、3-5、冯家湾大桥右幅9-3、9-4T梁浇筑、城河3#大桥右幅9-1、9-2、9-3、9-4、9-5、城河3#大桥左幅9-1、9-2、9-3、9-4、冯家湾大桥右幅11-1、11-2T梁安装</t>
  </si>
  <si>
    <t>1#梁厂今日完成马许大桥右幅15-1、15-3、山北村右线大桥右幅16-3T梁浇筑万红1#右线(幅)大桥右幅1联桥面铺装
2#梁厂今日完成城河1#大桥右幅5-3、城河2#大桥右幅1-1、城河3#大桥左幅1-3、2-2、2-3、3-4、冯家湾大桥右幅8-5、9-2T梁浇筑、城河3#大桥右幅8-1、8-2、8-3、8-4、8-5、城河3#大桥左幅8-1、8-2、8-4、8-5、9-5、冯家湾大桥右幅10-1、10-3、10-4、10-5、11-3、11-4、11-5T梁安装、石榴园大桥右幅5、6跨湿接缝</t>
  </si>
  <si>
    <t>1#梁厂今日完成马许大桥右幅15-2、15-4、15-5、山北村右线大桥右幅17-5T梁浇筑万红1#右线(幅)大桥右幅2、3联桥面铺装
2#梁厂今日完成城河2#大桥右幅1-3、1-4、1-5、2-1、城河3#大桥左幅1-1、1-5、冯家湾大桥右幅8-1、8-3、8-4T梁浇筑、城河3#大桥右幅7-1、7-2、7-3、7-4、7-5、城河3#大桥左幅7-1、7-2、7-3、7-4、7-5T梁安装、石榴园大桥左幅3、4跨湿接缝</t>
  </si>
  <si>
    <t>1#梁厂今日完成马许大桥右幅14-2、14-3、14-5T梁浇筑、山北村左线大桥左幅3跨湿接缝
2#梁厂今日完成城河2#大桥右幅16-3、16-4、16-5、2-3、2-5、冯家湾大桥右幅10-2、7-1、8-2T梁浇筑、城河3#大桥右幅6-1、6-2、6-3、6-4、6-5、城河3#大桥左幅6-1、6-2、6-3、6-4、6-5、冯家湾大桥右幅10-2T梁安装、石榴园大桥左幅1、2跨湿接缝</t>
  </si>
  <si>
    <r>
      <rPr>
        <b/>
        <sz val="12"/>
        <color rgb="FFFF0000"/>
        <rFont val="微软雅黑"/>
        <charset val="134"/>
      </rPr>
      <t>梁片数量汇总信息（</t>
    </r>
    <r>
      <rPr>
        <b/>
        <sz val="12"/>
        <color rgb="FF00B0F0"/>
        <rFont val="微软雅黑"/>
        <charset val="134"/>
      </rPr>
      <t>预制</t>
    </r>
    <r>
      <rPr>
        <b/>
        <sz val="12"/>
        <color rgb="FF7030A0"/>
        <rFont val="微软雅黑"/>
        <charset val="134"/>
      </rPr>
      <t>安装</t>
    </r>
    <r>
      <rPr>
        <b/>
        <sz val="12"/>
        <color rgb="FFFF0000"/>
        <rFont val="微软雅黑"/>
        <charset val="134"/>
      </rPr>
      <t>）</t>
    </r>
  </si>
  <si>
    <t>今日、本月、自年初-开始于12/16数量汇总</t>
  </si>
  <si>
    <t>1#梁厂今日完成马许大桥右幅13-3、13-5、14-4、山北村右线大桥右幅16-4、16-5T梁浇筑、山北村右线大桥右幅19-3、20-4、20-5T梁安装、山北村左线大桥左幅2跨湿接缝
2#梁厂今日完成城河2#大桥右幅16-1、1-2、2-4、城河2#大桥左幅16-1、16-2、16-3、16-5、城河3#大桥左幅2-4、5-3、8-3、冯家湾大桥右幅7-3、7-4、7-5T梁浇筑、城河3#大桥右幅5-1、5-2、5-3、5-4、5-5、城河3#大桥左幅5-1、5-2、5-3、5-4、5-5、冯家湾大桥右幅9-1、9-2、9-3T梁安装</t>
  </si>
  <si>
    <t>备注：今日暂无</t>
  </si>
  <si>
    <t>1#梁厂今日完成马许大桥右幅13-2、13-4、14-1、山北村右线大桥右幅15-5、16-2T梁浇筑、山北村右线大桥右幅19-1、19-2T梁安装、山北村左线大桥左幅1联右侧、1联左侧、山北村左线大桥左幅2联右侧防撞护栏
2#梁厂今日完成城河2#大桥右幅15-1、15-4、15-5、16-2、城河2#大桥左幅15-3、16-4、城河3#大桥左幅1-4、冯家湾大桥右幅6-5、7-2T梁浇筑、城河3#大桥右幅4-1、4-2、4-3、4-4、4-5、城河3#大桥左幅4-1、4-2、4-3、4-4、4-5、冯家湾大桥右幅8-1T梁安装</t>
  </si>
  <si>
    <t>E:\OneDrive - 123\日报、周报、月报、季报\日报系统\19标台账\ZCB1-19 T梁台账（真实数据）.accdb</t>
  </si>
  <si>
    <t>今日虚报：</t>
  </si>
  <si>
    <t>1#梁厂今日完成马许大桥右幅12-3、12-5、13-1、山北村右线大桥右幅15-1、15-3T梁浇筑、山北村右线大桥右幅18-3、19-4、19-5T梁安装、山北村左线大桥左幅1跨湿接缝
2#梁厂今日完成城河2#大桥右幅15-2、城河2#大桥左幅15-2T梁浇筑、城河3#大桥右幅3-1、3-2、3-3、3-4、3-5、城河3#大桥左幅3-1、3-2、3-3、3-4、3-5、冯家湾大桥右幅8-2、8-3、8-4T梁安装</t>
  </si>
  <si>
    <t>1#梁厂今日完成马许大桥右幅12-1、12-2、山北村右线大桥右幅14-1、15-2、15-4T梁浇筑、山北村右线大桥右幅18-1、18-2、18-4、18-5T梁安装、山北村右线大桥右幅3联右侧防撞护栏
2#梁厂今日完成城河3#大桥右幅2-1、2-2、2-3、2-4、2-5、城河3#大桥左幅2-1、2-2、2-3、2-4、2-5T梁安装</t>
  </si>
  <si>
    <t>1#梁厂今日完成马许大桥右幅11-1、12-4、山北村右线大桥右幅14-3T梁浇筑
2#梁厂今日完成城河3#大桥左幅1-2、冯家湾大桥右幅6-3T梁浇筑、城河3#大桥右幅1-1、1-2、1-3、1-4、1-5、城河3#大桥左幅1-1、1-2、1-3、1-4、1-5、8-3T梁安装</t>
  </si>
  <si>
    <t>备注：此表为真实数据</t>
  </si>
  <si>
    <t>1#梁厂今日完成马许大桥右幅11-3、山北村右线大桥右幅11-5、13-1、14-4、弯德大桥右幅1-1、1-2、1-3、2-2、2-3T梁浇筑、马许大桥右幅15-1、15-3T梁安装
2#梁厂今日完成城河2#大桥右幅14-3、15-3、2-2、城河2#大桥左幅14-1、14-5、15-1、15-5、冯家湾大桥右幅6-1、6-2、6-4T梁浇筑</t>
  </si>
  <si>
    <t>1#梁厂今日完成弯德大桥右幅1-4、1-5、2-1、2-4、3-1T梁浇筑、马许大桥右幅15-2、15-4、15-5T梁安装
2#梁厂今日完成城河2#大桥右幅13-1、13-5、14-1、14-4、14-5、城河2#大桥左幅14-2、14-3、14-4、15-4、冯家湾大桥右幅5-1、5-2、5-3T梁浇筑、冯家湾大桥右幅7-1、7-2、7-3、7-4、7-5T梁安装</t>
  </si>
  <si>
    <t>1#梁厂今日完成马许大桥右幅11-2、11-4、山北村右线大桥右幅12-1、13-3、14-2、弯德大桥右幅2-5、3-2、3-5、4-1、4-5T梁浇筑、山北村右线大桥右幅17-1、17-2、17-3、17-4、17-5T梁安装
2#梁厂今日完成城河2#大桥右幅13-2、13-4、14-2、城河2#大桥左幅12-1、12-5、13-1、13-5、冯家湾大桥右幅5-4、5-5T梁浇筑、城河2#大桥右幅16-1、16-2、16-3、16-4、16-5、城河2#大桥左幅16-1、16-2、16-3、16-4、16-5T梁安装、城河3#大桥右幅10、11、12跨湿接缝</t>
  </si>
  <si>
    <t>1#梁厂今日完成马许大桥右幅10-2、10-3、山北村右线大桥右幅11-1、14-5、弯德大桥右幅3-3、3-4、4-2、4-3、4-4T梁浇筑、山北村右线大桥右幅16-1、16-2、16-3、16-4、16-5T梁安装
2#梁厂今日完成城河2#大桥右幅11-1、12-1、12-5、13-3、城河2#大桥左幅12-2、12-3、12-4、13-3、冯家湾大桥右幅4-3、4-4T梁浇筑、城河2#大桥右幅15-1、15-2、15-3、15-4、15-5、城河2#大桥左幅15-1、冯家湾大桥右幅6-1、6-2、6-3T梁安装</t>
  </si>
  <si>
    <t>1#梁厂今日完成马许大桥右幅10-1、10-4、9-3、山北村右线大桥右幅13-4、13-5、弯德大桥右幅6-1、6-2、6-3、6-5、7-2T梁浇筑、山北村左线大桥左幅3联左侧防撞护栏
2#梁厂今日完成城河2#大桥右幅11-3、11-5、12-2、12-3、12-4、城河2#大桥左幅11-5、13-2、冯家湾大桥右幅4-1、4-2T梁浇筑、城河2#大桥左幅15-2、15-3、15-4、15-5T梁安装、石榴园大桥右幅3、4跨湿接缝</t>
  </si>
  <si>
    <t>1#梁厂今日完成马许大桥右幅10-5、9-1、9-2、山北村右线大桥右幅12-5、13-2、弯德大桥右幅6-4、7-1、7-3、7-4、7-5T梁浇筑、马许大桥左幅15-1、15-2、15-3、15-4、15-5、山北村右线大桥右幅15-1、15-2、15-3T梁安装、山北村右线大桥右幅21跨湿接缝
2#梁厂今日完成城河2#大桥右幅11-2、11-4、城河2#大桥左幅10-1、11-1、冯家湾大桥右幅3-5T梁浇筑</t>
  </si>
  <si>
    <t>1#梁厂今日完成马许大桥右幅8-1、8-3、9-4、9-5、山北村右线大桥右幅12-3、12-4、弯德大桥右幅5-2、弯德大桥左幅1-1、1-4、1-5、1-6T梁浇筑、马许大桥右幅14-1、14-2、14-3、14-4、14-5T梁安装
2#梁厂今日完成城河2#大桥右幅10-1、10-5、9-5、城河2#大桥左幅10-3、10-4、10-5、11-2、11-4、冯家湾大桥右幅3-2、3-3、3-4T梁浇筑、城河2#大桥右幅13-1、13-2、13-3、14-1、14-2、14-3、14-4、14-5、城河2#大桥左幅14-1、14-2、14-3、14-4、14-5T梁安装、城河3#大桥右幅7、8、9、石榴园大桥右幅1、2跨湿接缝</t>
  </si>
  <si>
    <t>1#梁厂今日完成马许大桥右幅11-5、7-1、8-2、8-5、山北村右线大桥右幅12-2、弯德大桥右幅5-3、5-4、5-5、弯德大桥左幅5-1T梁浇筑、马许大桥左幅14-1、14-2、14-3、14-4、14-5、山北村右线大桥右幅15-4、15-5T梁安装、山北村右线大桥右幅20跨湿接缝
2#梁厂今日完成城河2#大桥右幅10-2、10-3、10-4、9-1、9-4、城河2#大桥左幅10-2、8-1、9-1、9-5、冯家湾大桥右幅2-2、2-3、3-1T梁浇筑、城河2#大桥右幅13-4、13-5、城河2#大桥左幅13-1、13-2、13-3、13-5、冯家湾大桥右幅5-1、5-2、5-3、5-4、5-5T梁安装、城河3#大桥右幅4、5、6跨湿接缝</t>
  </si>
  <si>
    <t>1#梁厂今日完成马许大桥右幅7-5、8-4、山北村右线大桥右幅10-5、11-2、11-3、弯德大桥右幅5-1、弯德大桥左幅2-1、2-4、2-5、2-7T梁浇筑、马许大桥左幅13-1、13-2、13-3、13-4、13-5、山北村右线大桥右幅14-1、14-3T梁安装
2#梁厂今日完成城河2#大桥右幅8-1、9-2、9-3、城河2#大桥左幅8-5、9-2、9-3、9-4、冯家湾大桥右幅2-1、2-4T梁浇筑、城河2#大桥右幅12-1、12-2、12-3、12-4、12-5、城河2#大桥左幅12-1、12-2、冯家湾大桥右幅4-1、4-2、4-3T梁安装、城河3#大桥右幅1、2、3跨湿接缝</t>
  </si>
  <si>
    <t>1#梁厂今日完成马许大桥右幅7-2、7-4、马许大桥左幅11-1、8-5、弯德大桥左幅1-2、2-2、2-6、3-5、5-7T梁浇筑
2#梁厂今日完成城河2#大桥右幅7-1、8-2、8-3、城河2#大桥左幅7-1、7-5、8-2、8-3、8-4、冯家湾大桥右幅1-3、2-5、4-5T梁浇筑、城河2#大桥右幅11-1、11-2、11-3、冯家湾大桥右幅4-4、4-5T梁安装</t>
  </si>
  <si>
    <t>1#梁厂今日完成马许大桥右幅6-2、6-3、马许大桥左幅10-1、7-5、山北村右线大桥右幅11-4、9-5、弯德大桥左幅2-3、3-1、3-4、3-7、5-5T梁浇筑、山北村右线大桥右幅14-2、14-4、14-5T梁安装
2#梁厂今日完成城河2#大桥右幅6-1、7-2、7-3、7-5、城河2#大桥左幅6-1、7-3、7-4、冯家湾大桥右幅1-1、1-2、1-5T梁浇筑、城河2#大桥右幅10-1、10-2、10-3、冯家湾大桥右幅3-1、3-2、3-3T梁安装</t>
  </si>
  <si>
    <t>1#梁厂今日完成马许大桥右幅5-3、6-4、马许大桥左幅6-5、9-1、山北村右线大桥右幅10-3、弯德大桥左幅3-6、4-1、4-7、5-4、5-6T梁浇筑
2#梁厂今日完成城河2#大桥右幅5-1、6-3、6-5、7-4、8-4、城河2#大桥左幅5-1、6-3、6-4、6-5、冯家湾大桥右幅1-4、小柳树左线大桥左幅1-3、1-5T梁浇筑、城河2#大桥右幅10-4、10-5、城河2#大桥左幅10-1、10-2、10-3、10-4、10-5、冯家湾大桥右幅3-4、3-5T梁安装、城河3#大桥左幅1、2、3、冯家湾大桥左幅11、12、13跨湿接缝、城河3#大桥右幅3联左侧、石榴园大桥左幅2联左侧防撞护栏</t>
  </si>
  <si>
    <t>1#梁厂今日完成马许大桥右幅5-2、5-4、5-5、马许大桥左幅5-5、弯德大桥左幅3-2、3-3、4-6、5-2、5-3T梁浇筑
2#梁厂今日完成城河2#大桥右幅5-3、5-5、6-2、6-4、城河2#大桥左幅4-1、5-3、5-5、6-2、小柳树左线大桥左幅1-1、1-2、1-4T梁浇筑、城河2#大桥右幅9-1、9-2、9-3、9-4、9-5、城河2#大桥左幅9-1、9-2、9-3、9-4、9-5、冯家湾大桥右幅2-1、2-2、2-3、2-4、2-5T梁安装、冯家湾大桥左幅10、8、9跨湿接缝、城河3#大桥右幅3联右侧、石榴园大桥左幅1联左侧防撞护栏</t>
  </si>
  <si>
    <t>1#梁厂今日完成姜州大桥左幅4-1、4-2、5-1、5-2、马许大桥右幅4-2、6-1、山北村右线大桥右幅10-1、10-4、弯德大桥左幅4-2、4-3、6-6、6-7T梁浇筑
2#梁厂今日完成城河2#大桥右幅4-1、5-2、5-4、城河2#大桥左幅4-3、5-2、小柳树左线大桥左幅2-1、2-2、2-3T梁浇筑、城河2#大桥右幅8-1、8-2、8-3、8-4、8-5、城河2#大桥左幅8-1、8-2、8-3、8-4、8-5、冯家湾大桥右幅1-1T梁安装、冯家湾大桥左幅5、6、7跨湿接缝、石榴园大桥左幅1联右侧防撞护栏</t>
  </si>
  <si>
    <t>1#梁厂今日完成马许大桥右幅4-3、4-4、5-1T梁浇筑、马许大桥右幅13-1、13-2、13-3、13-4、13-5T梁安装
2#梁厂今日完成城河2#大桥右幅3-1、4-2、4-3、4-4、4-5、城河2#大桥左幅3-1、3-5、4-2、4-4、4-5、5-4、小柳树左线大桥左幅2-4、2-5T梁浇筑、城河2#大桥右幅7-1、7-2、7-3、7-4、冯家湾大桥右幅1-2、1-3、1-4、1-5、6-4、6-5、8-5T梁安装</t>
  </si>
  <si>
    <t>本月4月</t>
  </si>
  <si>
    <t>1#梁厂今日完成马许大桥右幅3-2、3-3、4-1、4-5、6-5、山北村右线大桥右幅10-2T梁浇筑
2#梁厂今日完成城河2#大桥右幅3-3、3-4、3-5、城河2#大桥左幅2-1、2-5、3-2、3-3、小柳树右线大桥右幅2-1、2-2、2-3、3-3T梁浇筑、城河2#大桥右幅7-5、城河2#大桥左幅7-1、7-3、7-4、7-5、冯家湾大桥右幅9-4、9-5T梁安装</t>
  </si>
  <si>
    <t>1#梁厂今日完成马许大桥右幅2-3、3-1、3-4、3-5、山北村右线大桥右幅9-3T梁浇筑
2#梁厂今日完成城河1#大桥左幅27-1、27-5、城河2#大桥右幅3-2、城河2#大桥左幅1-1、1-5、2-2、2-3、3-4、小柳树右线大桥右幅2-4T梁浇筑、城河2#大桥右幅6-1、6-2、6-3、6-4、6-5、城河2#大桥左幅6-1、6-2、6-3、6-4、6-5T梁安装、城河3#大桥左幅4、5、6、冯家湾大桥左幅2、3、4跨湿接缝、石榴园大桥右幅1联左侧、石榴园大桥右幅2联左侧防撞护栏</t>
  </si>
  <si>
    <t>1#梁厂+12标</t>
  </si>
  <si>
    <t>划给12标的量：预制572片、安装、桥面系(弯德大桥、大桩子大桥、姜州大桥、大箐沟大桥、中心河大桥)，累计5438.7107万元。</t>
  </si>
  <si>
    <t>日期计算</t>
  </si>
  <si>
    <t>上月结束日期</t>
  </si>
  <si>
    <t>本月日期</t>
  </si>
  <si>
    <t>本月结束日期</t>
  </si>
  <si>
    <t>1#梁厂今日完成马许大桥右幅2-1、2-2、2-5、山北村右线大桥右幅9-4T梁浇筑
2#梁厂今日完成城河1#大桥右幅27-1、27-5、城河1#大桥左幅27-3、城河2#大桥左幅1-2、1-3、1-4、2-4、小柳树右线大桥右幅2-5、3-1T梁浇筑、城河2#大桥右幅5-1、5-2、5-3、5-4、5-5、城河2#大桥左幅5-1、5-2、5-3、5-4T梁安装</t>
  </si>
  <si>
    <t>1#梁厂+12</t>
  </si>
  <si>
    <t>1#梁厂今日完成马许大桥右幅1-3、2-4T梁浇筑
2#梁厂今日完成城河1#大桥右幅26-1、26-5、27-2、城河1#大桥左幅26-1、26-3、26-5、27-2、27-4、小柳树右线大桥右幅3-2、3-4、3-5T梁浇筑、城河2#大桥右幅4-1、4-2、4-3、4-4、城河2#大桥左幅5-5、小柳树右线大桥右幅2-1、2-2、小柳树左线大桥左幅1-1、1-2、1-3、1-4、1-5T梁安装</t>
  </si>
  <si>
    <t>1#梁厂今日完成无
2#梁厂今日完成城河1#大桥右幅25-11、26-4、27-3、27-4、城河1#大桥左幅26-4、小柳树左线大桥左幅3-3、3-4、3-5T梁浇筑、城河2#大桥右幅3-1、3-2、4-5、城河2#大桥左幅4-1、4-2、4-3、4-4、4-5、小柳树右线大桥右幅2-3、2-4、2-5、3-1、3-2T梁安装、城河3#大桥左幅7、8、9、冯家湾大桥左幅1跨湿接缝、城河3#大桥右幅1联左侧、石榴园大桥右幅2联右侧防撞护栏</t>
  </si>
  <si>
    <t>本月开始日期</t>
  </si>
  <si>
    <t>1#梁厂今日完成马许大桥左幅12-1、12-2、12-3、12-4、12-5T梁安装
2#梁厂今日完成城河1#大桥右幅25-1、26-2、26-3、城河1#大桥左幅24-1、25-1、25-2、25-3、26-2、城河2#大桥左幅11-3、13-4、7-2、小柳树右线大桥右幅4-3、小柳树左线大桥左幅3-1、3-2T梁浇筑、城河2#大桥右幅3-3、3-4、3-5、城河2#大桥左幅3-1、3-2、3-3、3-4、3-5、小柳树左线大桥左幅2-1T梁安装</t>
  </si>
  <si>
    <t>1#梁厂今日完成马许大桥右幅12-1、12-2、12-3、12-4、12-5T梁安装、山北村右线大桥右幅19跨湿接缝
2#梁厂今日完成城河1#大桥右幅25-10、25-5、25-8、25-9、城河1#大桥左幅25-4、小柳树右线大桥右幅4-1、4-2T梁浇筑、城河2#大桥右幅2-1、2-2、2-3、2-4、2-5、城河2#大桥左幅2-1、2-2、2-3、2-4、2-5、小柳树左线大桥左幅2-2、2-3、2-4、2-5T梁安装、城河3#大桥左幅10、11、12、冯家湾大桥右幅11、12、13跨湿接缝、城河3#大桥右幅2联右侧、石榴园大桥右幅3联左侧防撞护栏</t>
  </si>
  <si>
    <t>1#梁厂今日完成马许大桥右幅1-1、1-2、1-4、1-5、山北村右线大桥右幅9-2T梁浇筑、马许大桥左幅11-1、11-2、11-3、11-4、11-5、山北村右线大桥右幅13-1、13-2、13-3、13-4、13-5T梁安装
2#梁厂今日完成城河1#大桥右幅24-10、25-6、25-7、城河1#大桥左幅22-1、23-1、23-3、24-3、24-4、25-5、小柳树右线大桥右幅4-4、4-5、5-3T梁浇筑、城河2#大桥右幅1-1、1-2、1-3、1-4、1-5、城河2#大桥左幅1-1、1-2、小柳树右线大桥右幅3-3、3-4、3-5、小柳树左线大桥左幅3-1、3-2T梁安装、冯家湾大桥右幅10、8、9跨湿接缝、城河3#大桥右幅1联右侧防撞护栏</t>
  </si>
  <si>
    <t>1#梁厂今日完成大院大桥左幅12-1、12-3、12-4、马许大桥左幅4-5、山北村右线大桥右幅8-3、9-1T梁浇筑、马许大桥右幅11-1、11-2、11-3、11-4、11-5、山北村右线大桥右幅12-1、12-2、12-3、12-4、12-5T梁安装、山北村右线大桥右幅18跨湿接缝
2#梁厂今日完成城河1#大桥左幅23-2、23-4、24-5、小柳树右线大桥右幅5-2、5-4、5-5T梁浇筑、城河2#大桥右幅11-4、11-5、城河2#大桥左幅11-1、11-2、11-3、11-4、11-5、12-3、12-4、12-5、13-4、1-3、1-4、1-5、7-2、小柳树左线大桥左幅3-3、3-4、3-5T梁安装、城河2#大桥左幅14、15、16跨湿接缝、城河3#大桥左幅3联左侧、石榴园大桥右幅4联左侧防撞护栏</t>
  </si>
  <si>
    <t>1#梁厂今日完成大院大桥左幅11-1、12-2、马许大桥左幅3-5、山北村右线大桥右幅8-1、8-2T梁浇筑、马许大桥左幅10-2、10-3、10-4、10-5、山北村右线大桥右幅11-1、11-3T梁安装
2#梁厂今日完成城河1#大桥左幅20-1、22-4、22-5、24-2、小柳树右线大桥右幅5-1、6-3T梁浇筑</t>
  </si>
  <si>
    <t>1#梁厂今日完成大院大桥左幅10-1、11-2、11-3、马许大桥左幅2-5、山北村右线大桥右幅8-4、8-5T梁浇筑、马许大桥右幅10-1、10-2、10-3、10-5、马许大桥左幅10-1、山北村右线大桥右幅10-3、11-2、11-4、11-5T梁安装
2#梁厂今日完成城河1#大桥右幅25-4、城河1#大桥左幅21-1、21-4、21-5、22-2、小柳树右线大桥右幅6-1、6-4、6-5T梁浇筑、城河1#大桥右幅27-1、27-2、27-3、27-4、27-5、城河1#大桥左幅27-1、27-2、27-3、27-4、27-5、小柳树右线大桥右幅4-1、4-2、4-3、4-4、4-5T梁安装、城河2#大桥左幅13、冯家湾大桥右幅5、6、7跨湿接缝、城河3#大桥左幅3联右侧、石榴园大桥右幅4联右侧防撞护栏</t>
  </si>
</sst>
</file>

<file path=xl/styles.xml><?xml version="1.0" encoding="utf-8"?>
<styleSheet xmlns="http://schemas.openxmlformats.org/spreadsheetml/2006/main">
  <numFmts count="8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&quot;年&quot;m&quot;月&quot;;@"/>
    <numFmt numFmtId="41" formatCode="_ * #,##0_ ;_ * \-#,##0_ ;_ * &quot;-&quot;_ ;_ @_ "/>
    <numFmt numFmtId="178" formatCode="m/d;@"/>
    <numFmt numFmtId="179" formatCode="0.00_ "/>
  </numFmts>
  <fonts count="6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rgb="FF00B0F0"/>
      <name val="等线"/>
      <charset val="134"/>
      <scheme val="minor"/>
    </font>
    <font>
      <b/>
      <sz val="6"/>
      <color theme="1"/>
      <name val="等线"/>
      <charset val="134"/>
      <scheme val="minor"/>
    </font>
    <font>
      <b/>
      <sz val="8"/>
      <color theme="1"/>
      <name val="等线"/>
      <charset val="134"/>
      <scheme val="minor"/>
    </font>
    <font>
      <b/>
      <sz val="11"/>
      <color rgb="FFCC66FF"/>
      <name val="等线"/>
      <charset val="134"/>
      <scheme val="minor"/>
    </font>
    <font>
      <b/>
      <sz val="14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4"/>
      <color theme="1"/>
      <name val="等线"/>
      <charset val="134"/>
      <scheme val="minor"/>
    </font>
    <font>
      <b/>
      <sz val="12"/>
      <color theme="0"/>
      <name val="宋体"/>
      <charset val="134"/>
    </font>
    <font>
      <b/>
      <sz val="12"/>
      <color rgb="FFFF0000"/>
      <name val="宋体"/>
      <charset val="134"/>
    </font>
    <font>
      <sz val="11"/>
      <color rgb="FF0070C0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b/>
      <sz val="11"/>
      <color theme="0"/>
      <name val="微软雅黑"/>
      <charset val="134"/>
    </font>
    <font>
      <b/>
      <sz val="11"/>
      <color rgb="FFFFFF00"/>
      <name val="微软雅黑"/>
      <charset val="134"/>
    </font>
    <font>
      <b/>
      <sz val="11"/>
      <color rgb="FFFFFF00"/>
      <name val="等线"/>
      <charset val="134"/>
      <scheme val="minor"/>
    </font>
    <font>
      <b/>
      <sz val="16"/>
      <color theme="0"/>
      <name val="等线"/>
      <charset val="134"/>
      <scheme val="minor"/>
    </font>
    <font>
      <b/>
      <sz val="18"/>
      <color indexed="8"/>
      <name val="宋体"/>
      <charset val="134"/>
    </font>
    <font>
      <sz val="8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4F4F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Arial"/>
      <charset val="134"/>
    </font>
    <font>
      <sz val="16"/>
      <color theme="1"/>
      <name val="Times New Roman"/>
      <charset val="134"/>
    </font>
    <font>
      <b/>
      <sz val="14"/>
      <color rgb="FFFF0000"/>
      <name val="等线"/>
      <charset val="134"/>
      <scheme val="minor"/>
    </font>
    <font>
      <sz val="11"/>
      <color rgb="FFCC66FF"/>
      <name val="等线"/>
      <charset val="134"/>
      <scheme val="minor"/>
    </font>
    <font>
      <b/>
      <sz val="11"/>
      <color rgb="FFC0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7" tint="-0.249977111117893"/>
      <name val="等线"/>
      <charset val="134"/>
      <scheme val="minor"/>
    </font>
    <font>
      <sz val="12"/>
      <color rgb="FFFF0000"/>
      <name val="宋体"/>
      <charset val="134"/>
    </font>
    <font>
      <b/>
      <sz val="11"/>
      <color theme="8" tint="-0.249977111117893"/>
      <name val="等线"/>
      <charset val="134"/>
      <scheme val="minor"/>
    </font>
    <font>
      <b/>
      <sz val="11"/>
      <color theme="9" tint="-0.249977111117893"/>
      <name val="等线"/>
      <charset val="134"/>
      <scheme val="minor"/>
    </font>
    <font>
      <b/>
      <sz val="11"/>
      <color theme="8"/>
      <name val="等线"/>
      <charset val="134"/>
      <scheme val="minor"/>
    </font>
    <font>
      <sz val="8"/>
      <color theme="1"/>
      <name val="等线"/>
      <charset val="134"/>
      <scheme val="minor"/>
    </font>
    <font>
      <b/>
      <sz val="11"/>
      <color rgb="FFE3A549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11"/>
      <color theme="9" tint="-0.49998474074526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2"/>
      <color rgb="FF00B0F0"/>
      <name val="微软雅黑"/>
      <charset val="134"/>
    </font>
    <font>
      <b/>
      <sz val="12"/>
      <color rgb="FF7030A0"/>
      <name val="微软雅黑"/>
      <charset val="134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7" tint="0.79949339274269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31" borderId="16" applyNumberFormat="0" applyFon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9" fillId="0" borderId="17" applyNumberFormat="0" applyFill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60" fillId="36" borderId="19" applyNumberFormat="0" applyAlignment="0" applyProtection="0">
      <alignment vertical="center"/>
    </xf>
    <xf numFmtId="0" fontId="62" fillId="36" borderId="15" applyNumberFormat="0" applyAlignment="0" applyProtection="0">
      <alignment vertical="center"/>
    </xf>
    <xf numFmtId="0" fontId="63" fillId="37" borderId="21" applyNumberFormat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32" fillId="0" borderId="0"/>
  </cellStyleXfs>
  <cellXfs count="27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8" fontId="18" fillId="3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179" fontId="19" fillId="4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8" borderId="4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horizontal="center" vertical="center"/>
    </xf>
    <xf numFmtId="0" fontId="26" fillId="9" borderId="1" xfId="49" applyFont="1" applyFill="1" applyBorder="1" applyAlignment="1">
      <alignment horizontal="center" vertical="center" wrapText="1"/>
    </xf>
    <xf numFmtId="0" fontId="27" fillId="10" borderId="4" xfId="49" applyFont="1" applyFill="1" applyBorder="1" applyAlignment="1">
      <alignment horizontal="center" vertical="center" wrapText="1"/>
    </xf>
    <xf numFmtId="0" fontId="28" fillId="10" borderId="1" xfId="49" applyFont="1" applyFill="1" applyBorder="1" applyAlignment="1">
      <alignment horizontal="center" vertical="center" wrapText="1"/>
    </xf>
    <xf numFmtId="0" fontId="29" fillId="10" borderId="1" xfId="49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0" fillId="0" borderId="1" xfId="11" applyNumberForma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10" borderId="12" xfId="49" applyFont="1" applyFill="1" applyBorder="1" applyAlignment="1">
      <alignment horizontal="center" vertical="center" wrapText="1"/>
    </xf>
    <xf numFmtId="0" fontId="27" fillId="10" borderId="6" xfId="49" applyFont="1" applyFill="1" applyBorder="1" applyAlignment="1">
      <alignment horizontal="center" vertical="center" wrapText="1"/>
    </xf>
    <xf numFmtId="0" fontId="27" fillId="10" borderId="1" xfId="49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176" fontId="31" fillId="0" borderId="1" xfId="0" applyNumberFormat="1" applyFont="1" applyBorder="1" applyAlignment="1">
      <alignment horizontal="center" vertical="center"/>
    </xf>
    <xf numFmtId="0" fontId="29" fillId="10" borderId="1" xfId="49" applyFont="1" applyFill="1" applyBorder="1" applyAlignment="1">
      <alignment horizontal="center" vertical="center" wrapText="1"/>
    </xf>
    <xf numFmtId="0" fontId="32" fillId="0" borderId="1" xfId="49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76" fontId="31" fillId="0" borderId="2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76" fontId="31" fillId="0" borderId="3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3" fillId="0" borderId="0" xfId="0" applyFont="1" applyAlignment="1">
      <alignment horizontal="justify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79" fontId="19" fillId="1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0" xfId="0" applyFill="1"/>
    <xf numFmtId="0" fontId="0" fillId="0" borderId="0" xfId="0" applyNumberFormat="1" applyAlignment="1">
      <alignment wrapText="1"/>
    </xf>
    <xf numFmtId="179" fontId="0" fillId="13" borderId="0" xfId="0" applyNumberFormat="1" applyFill="1" applyAlignment="1">
      <alignment horizontal="center" vertical="center"/>
    </xf>
    <xf numFmtId="179" fontId="4" fillId="2" borderId="4" xfId="0" applyNumberFormat="1" applyFont="1" applyFill="1" applyBorder="1" applyAlignment="1">
      <alignment horizontal="center" vertical="center"/>
    </xf>
    <xf numFmtId="179" fontId="4" fillId="2" borderId="6" xfId="0" applyNumberFormat="1" applyFont="1" applyFill="1" applyBorder="1" applyAlignment="1">
      <alignment horizontal="center" vertical="center"/>
    </xf>
    <xf numFmtId="179" fontId="19" fillId="14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0" fillId="15" borderId="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35" fillId="15" borderId="6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10" fillId="17" borderId="4" xfId="0" applyFont="1" applyFill="1" applyBorder="1" applyAlignment="1">
      <alignment horizontal="center" vertical="center"/>
    </xf>
    <xf numFmtId="0" fontId="10" fillId="17" borderId="6" xfId="0" applyFont="1" applyFill="1" applyBorder="1" applyAlignment="1">
      <alignment horizontal="center" vertical="center"/>
    </xf>
    <xf numFmtId="0" fontId="35" fillId="17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35" fillId="17" borderId="6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8" fillId="16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79" fontId="19" fillId="18" borderId="1" xfId="0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179" fontId="39" fillId="1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178" fontId="18" fillId="3" borderId="0" xfId="0" applyNumberFormat="1" applyFont="1" applyFill="1" applyBorder="1" applyAlignment="1">
      <alignment horizontal="center" vertical="center"/>
    </xf>
    <xf numFmtId="179" fontId="39" fillId="18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left" vertical="center" wrapText="1"/>
    </xf>
    <xf numFmtId="0" fontId="43" fillId="0" borderId="1" xfId="0" applyFont="1" applyBorder="1" applyAlignment="1">
      <alignment horizontal="left" vertical="center"/>
    </xf>
    <xf numFmtId="0" fontId="44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E3A549"/>
      <color rgb="00E4CDC5"/>
      <color rgb="00FFC1FF"/>
      <color rgb="00EFE6E1"/>
      <color rgb="00F6F5C5"/>
      <color rgb="00FF99FF"/>
      <color rgb="00CC66FF"/>
      <color rgb="00FF4F4F"/>
      <color rgb="00ACEC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8" Type="http://schemas.openxmlformats.org/officeDocument/2006/relationships/sharedStrings" Target="sharedStrings.xml"/><Relationship Id="rId187" Type="http://schemas.openxmlformats.org/officeDocument/2006/relationships/styles" Target="styles.xml"/><Relationship Id="rId186" Type="http://schemas.openxmlformats.org/officeDocument/2006/relationships/theme" Target="theme/theme1.xml"/><Relationship Id="rId185" Type="http://schemas.openxmlformats.org/officeDocument/2006/relationships/worksheet" Target="worksheets/sheet185.xml"/><Relationship Id="rId184" Type="http://schemas.openxmlformats.org/officeDocument/2006/relationships/worksheet" Target="worksheets/sheet184.xml"/><Relationship Id="rId183" Type="http://schemas.openxmlformats.org/officeDocument/2006/relationships/worksheet" Target="worksheets/sheet183.xml"/><Relationship Id="rId182" Type="http://schemas.openxmlformats.org/officeDocument/2006/relationships/worksheet" Target="worksheets/sheet182.xml"/><Relationship Id="rId181" Type="http://schemas.openxmlformats.org/officeDocument/2006/relationships/worksheet" Target="worksheets/sheet181.xml"/><Relationship Id="rId180" Type="http://schemas.openxmlformats.org/officeDocument/2006/relationships/worksheet" Target="worksheets/sheet180.xml"/><Relationship Id="rId18" Type="http://schemas.openxmlformats.org/officeDocument/2006/relationships/worksheet" Target="worksheets/sheet18.xml"/><Relationship Id="rId179" Type="http://schemas.openxmlformats.org/officeDocument/2006/relationships/worksheet" Target="worksheets/sheet179.xml"/><Relationship Id="rId178" Type="http://schemas.openxmlformats.org/officeDocument/2006/relationships/worksheet" Target="worksheets/sheet178.xml"/><Relationship Id="rId177" Type="http://schemas.openxmlformats.org/officeDocument/2006/relationships/worksheet" Target="worksheets/sheet177.xml"/><Relationship Id="rId176" Type="http://schemas.openxmlformats.org/officeDocument/2006/relationships/worksheet" Target="worksheets/sheet176.xml"/><Relationship Id="rId175" Type="http://schemas.openxmlformats.org/officeDocument/2006/relationships/worksheet" Target="worksheets/sheet175.xml"/><Relationship Id="rId174" Type="http://schemas.openxmlformats.org/officeDocument/2006/relationships/worksheet" Target="worksheets/sheet174.xml"/><Relationship Id="rId173" Type="http://schemas.openxmlformats.org/officeDocument/2006/relationships/worksheet" Target="worksheets/sheet173.xml"/><Relationship Id="rId172" Type="http://schemas.openxmlformats.org/officeDocument/2006/relationships/worksheet" Target="worksheets/sheet172.xml"/><Relationship Id="rId171" Type="http://schemas.openxmlformats.org/officeDocument/2006/relationships/worksheet" Target="worksheets/sheet171.xml"/><Relationship Id="rId170" Type="http://schemas.openxmlformats.org/officeDocument/2006/relationships/worksheet" Target="worksheets/sheet170.xml"/><Relationship Id="rId17" Type="http://schemas.openxmlformats.org/officeDocument/2006/relationships/worksheet" Target="worksheets/sheet17.xml"/><Relationship Id="rId169" Type="http://schemas.openxmlformats.org/officeDocument/2006/relationships/worksheet" Target="worksheets/sheet169.xml"/><Relationship Id="rId168" Type="http://schemas.openxmlformats.org/officeDocument/2006/relationships/worksheet" Target="worksheets/sheet168.xml"/><Relationship Id="rId167" Type="http://schemas.openxmlformats.org/officeDocument/2006/relationships/worksheet" Target="worksheets/sheet167.xml"/><Relationship Id="rId166" Type="http://schemas.openxmlformats.org/officeDocument/2006/relationships/worksheet" Target="worksheets/sheet166.xml"/><Relationship Id="rId165" Type="http://schemas.openxmlformats.org/officeDocument/2006/relationships/worksheet" Target="worksheets/sheet165.xml"/><Relationship Id="rId164" Type="http://schemas.openxmlformats.org/officeDocument/2006/relationships/worksheet" Target="worksheets/sheet164.xml"/><Relationship Id="rId163" Type="http://schemas.openxmlformats.org/officeDocument/2006/relationships/worksheet" Target="worksheets/sheet163.xml"/><Relationship Id="rId162" Type="http://schemas.openxmlformats.org/officeDocument/2006/relationships/worksheet" Target="worksheets/sheet162.xml"/><Relationship Id="rId161" Type="http://schemas.openxmlformats.org/officeDocument/2006/relationships/worksheet" Target="worksheets/sheet161.xml"/><Relationship Id="rId160" Type="http://schemas.openxmlformats.org/officeDocument/2006/relationships/worksheet" Target="worksheets/sheet160.xml"/><Relationship Id="rId16" Type="http://schemas.openxmlformats.org/officeDocument/2006/relationships/worksheet" Target="worksheets/sheet16.xml"/><Relationship Id="rId159" Type="http://schemas.openxmlformats.org/officeDocument/2006/relationships/worksheet" Target="worksheets/sheet159.xml"/><Relationship Id="rId158" Type="http://schemas.openxmlformats.org/officeDocument/2006/relationships/worksheet" Target="worksheets/sheet158.xml"/><Relationship Id="rId157" Type="http://schemas.openxmlformats.org/officeDocument/2006/relationships/worksheet" Target="worksheets/sheet157.xml"/><Relationship Id="rId156" Type="http://schemas.openxmlformats.org/officeDocument/2006/relationships/worksheet" Target="worksheets/sheet156.xml"/><Relationship Id="rId155" Type="http://schemas.openxmlformats.org/officeDocument/2006/relationships/worksheet" Target="worksheets/sheet155.xml"/><Relationship Id="rId154" Type="http://schemas.openxmlformats.org/officeDocument/2006/relationships/worksheet" Target="worksheets/sheet154.xml"/><Relationship Id="rId153" Type="http://schemas.openxmlformats.org/officeDocument/2006/relationships/worksheet" Target="worksheets/sheet153.xml"/><Relationship Id="rId152" Type="http://schemas.openxmlformats.org/officeDocument/2006/relationships/worksheet" Target="worksheets/sheet152.xml"/><Relationship Id="rId151" Type="http://schemas.openxmlformats.org/officeDocument/2006/relationships/worksheet" Target="worksheets/sheet151.xml"/><Relationship Id="rId150" Type="http://schemas.openxmlformats.org/officeDocument/2006/relationships/worksheet" Target="worksheets/sheet150.xml"/><Relationship Id="rId15" Type="http://schemas.openxmlformats.org/officeDocument/2006/relationships/worksheet" Target="worksheets/sheet15.xml"/><Relationship Id="rId149" Type="http://schemas.openxmlformats.org/officeDocument/2006/relationships/worksheet" Target="worksheets/sheet149.xml"/><Relationship Id="rId148" Type="http://schemas.openxmlformats.org/officeDocument/2006/relationships/worksheet" Target="worksheets/sheet148.xml"/><Relationship Id="rId147" Type="http://schemas.openxmlformats.org/officeDocument/2006/relationships/worksheet" Target="worksheets/sheet147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37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9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40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43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44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46.xml.rels><?xml version="1.0" encoding="UTF-8" standalone="yes"?>
<Relationships xmlns="http://schemas.openxmlformats.org/package/2006/relationships"><Relationship Id="rId2" Type="http://schemas.microsoft.com/office/2011/relationships/chartColorStyle" Target="colors337.xml"/><Relationship Id="rId1" Type="http://schemas.microsoft.com/office/2011/relationships/chartStyle" Target="style337.xml"/></Relationships>
</file>

<file path=xl/charts/_rels/chart347.xml.rels><?xml version="1.0" encoding="UTF-8" standalone="yes"?>
<Relationships xmlns="http://schemas.openxmlformats.org/package/2006/relationships"><Relationship Id="rId2" Type="http://schemas.microsoft.com/office/2011/relationships/chartColorStyle" Target="colors338.xml"/><Relationship Id="rId1" Type="http://schemas.microsoft.com/office/2011/relationships/chartStyle" Target="style338.xml"/></Relationships>
</file>

<file path=xl/charts/_rels/chart348.xml.rels><?xml version="1.0" encoding="UTF-8" standalone="yes"?>
<Relationships xmlns="http://schemas.openxmlformats.org/package/2006/relationships"><Relationship Id="rId2" Type="http://schemas.microsoft.com/office/2011/relationships/chartColorStyle" Target="colors339.xml"/><Relationship Id="rId1" Type="http://schemas.microsoft.com/office/2011/relationships/chartStyle" Target="style339.xml"/></Relationships>
</file>

<file path=xl/charts/_rels/chart349.xml.rels><?xml version="1.0" encoding="UTF-8" standalone="yes"?>
<Relationships xmlns="http://schemas.openxmlformats.org/package/2006/relationships"><Relationship Id="rId2" Type="http://schemas.microsoft.com/office/2011/relationships/chartColorStyle" Target="colors340.xml"/><Relationship Id="rId1" Type="http://schemas.microsoft.com/office/2011/relationships/chartStyle" Target="style34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0.xml.rels><?xml version="1.0" encoding="UTF-8" standalone="yes"?>
<Relationships xmlns="http://schemas.openxmlformats.org/package/2006/relationships"><Relationship Id="rId2" Type="http://schemas.microsoft.com/office/2011/relationships/chartColorStyle" Target="colors341.xml"/><Relationship Id="rId1" Type="http://schemas.microsoft.com/office/2011/relationships/chartStyle" Target="style341.xml"/></Relationships>
</file>

<file path=xl/charts/_rels/chart351.xml.rels><?xml version="1.0" encoding="UTF-8" standalone="yes"?>
<Relationships xmlns="http://schemas.openxmlformats.org/package/2006/relationships"><Relationship Id="rId2" Type="http://schemas.microsoft.com/office/2011/relationships/chartColorStyle" Target="colors342.xml"/><Relationship Id="rId1" Type="http://schemas.microsoft.com/office/2011/relationships/chartStyle" Target="style342.xml"/></Relationships>
</file>

<file path=xl/charts/_rels/chart352.xml.rels><?xml version="1.0" encoding="UTF-8" standalone="yes"?>
<Relationships xmlns="http://schemas.openxmlformats.org/package/2006/relationships"><Relationship Id="rId2" Type="http://schemas.microsoft.com/office/2011/relationships/chartColorStyle" Target="colors343.xml"/><Relationship Id="rId1" Type="http://schemas.microsoft.com/office/2011/relationships/chartStyle" Target="style343.xml"/></Relationships>
</file>

<file path=xl/charts/_rels/chart353.xml.rels><?xml version="1.0" encoding="UTF-8" standalone="yes"?>
<Relationships xmlns="http://schemas.openxmlformats.org/package/2006/relationships"><Relationship Id="rId2" Type="http://schemas.microsoft.com/office/2011/relationships/chartColorStyle" Target="colors344.xml"/><Relationship Id="rId1" Type="http://schemas.microsoft.com/office/2011/relationships/chartStyle" Target="style344.xml"/></Relationships>
</file>

<file path=xl/charts/_rels/chart354.xml.rels><?xml version="1.0" encoding="UTF-8" standalone="yes"?>
<Relationships xmlns="http://schemas.openxmlformats.org/package/2006/relationships"><Relationship Id="rId2" Type="http://schemas.microsoft.com/office/2011/relationships/chartColorStyle" Target="colors345.xml"/><Relationship Id="rId1" Type="http://schemas.microsoft.com/office/2011/relationships/chartStyle" Target="style345.xml"/></Relationships>
</file>

<file path=xl/charts/_rels/chart355.xml.rels><?xml version="1.0" encoding="UTF-8" standalone="yes"?>
<Relationships xmlns="http://schemas.openxmlformats.org/package/2006/relationships"><Relationship Id="rId2" Type="http://schemas.microsoft.com/office/2011/relationships/chartColorStyle" Target="colors346.xml"/><Relationship Id="rId1" Type="http://schemas.microsoft.com/office/2011/relationships/chartStyle" Target="style346.xml"/></Relationships>
</file>

<file path=xl/charts/_rels/chart356.xml.rels><?xml version="1.0" encoding="UTF-8" standalone="yes"?>
<Relationships xmlns="http://schemas.openxmlformats.org/package/2006/relationships"><Relationship Id="rId2" Type="http://schemas.microsoft.com/office/2011/relationships/chartColorStyle" Target="colors347.xml"/><Relationship Id="rId1" Type="http://schemas.microsoft.com/office/2011/relationships/chartStyle" Target="style347.xml"/></Relationships>
</file>

<file path=xl/charts/_rels/chart357.xml.rels><?xml version="1.0" encoding="UTF-8" standalone="yes"?>
<Relationships xmlns="http://schemas.openxmlformats.org/package/2006/relationships"><Relationship Id="rId2" Type="http://schemas.microsoft.com/office/2011/relationships/chartColorStyle" Target="colors348.xml"/><Relationship Id="rId1" Type="http://schemas.microsoft.com/office/2011/relationships/chartStyle" Target="style348.xml"/></Relationships>
</file>

<file path=xl/charts/_rels/chart358.xml.rels><?xml version="1.0" encoding="UTF-8" standalone="yes"?>
<Relationships xmlns="http://schemas.openxmlformats.org/package/2006/relationships"><Relationship Id="rId2" Type="http://schemas.microsoft.com/office/2011/relationships/chartColorStyle" Target="colors349.xml"/><Relationship Id="rId1" Type="http://schemas.microsoft.com/office/2011/relationships/chartStyle" Target="style349.xml"/></Relationships>
</file>

<file path=xl/charts/_rels/chart359.xml.rels><?xml version="1.0" encoding="UTF-8" standalone="yes"?>
<Relationships xmlns="http://schemas.openxmlformats.org/package/2006/relationships"><Relationship Id="rId2" Type="http://schemas.microsoft.com/office/2011/relationships/chartColorStyle" Target="colors350.xml"/><Relationship Id="rId1" Type="http://schemas.microsoft.com/office/2011/relationships/chartStyle" Target="style350.xml"/></Relationships>
</file>

<file path=xl/charts/_rels/chart360.xml.rels><?xml version="1.0" encoding="UTF-8" standalone="yes"?>
<Relationships xmlns="http://schemas.openxmlformats.org/package/2006/relationships"><Relationship Id="rId2" Type="http://schemas.microsoft.com/office/2011/relationships/chartColorStyle" Target="colors351.xml"/><Relationship Id="rId1" Type="http://schemas.microsoft.com/office/2011/relationships/chartStyle" Target="style351.xml"/></Relationships>
</file>

<file path=xl/charts/_rels/chart361.xml.rels><?xml version="1.0" encoding="UTF-8" standalone="yes"?>
<Relationships xmlns="http://schemas.openxmlformats.org/package/2006/relationships"><Relationship Id="rId2" Type="http://schemas.microsoft.com/office/2011/relationships/chartColorStyle" Target="colors352.xml"/><Relationship Id="rId1" Type="http://schemas.microsoft.com/office/2011/relationships/chartStyle" Target="style352.xml"/></Relationships>
</file>

<file path=xl/charts/_rels/chart362.xml.rels><?xml version="1.0" encoding="UTF-8" standalone="yes"?>
<Relationships xmlns="http://schemas.openxmlformats.org/package/2006/relationships"><Relationship Id="rId2" Type="http://schemas.microsoft.com/office/2011/relationships/chartColorStyle" Target="colors353.xml"/><Relationship Id="rId1" Type="http://schemas.microsoft.com/office/2011/relationships/chartStyle" Target="style353.xml"/></Relationships>
</file>

<file path=xl/charts/_rels/chart363.xml.rels><?xml version="1.0" encoding="UTF-8" standalone="yes"?>
<Relationships xmlns="http://schemas.openxmlformats.org/package/2006/relationships"><Relationship Id="rId2" Type="http://schemas.microsoft.com/office/2011/relationships/chartColorStyle" Target="colors354.xml"/><Relationship Id="rId1" Type="http://schemas.microsoft.com/office/2011/relationships/chartStyle" Target="style354.xml"/></Relationships>
</file>

<file path=xl/charts/_rels/chart364.xml.rels><?xml version="1.0" encoding="UTF-8" standalone="yes"?>
<Relationships xmlns="http://schemas.openxmlformats.org/package/2006/relationships"><Relationship Id="rId2" Type="http://schemas.microsoft.com/office/2011/relationships/chartColorStyle" Target="colors355.xml"/><Relationship Id="rId1" Type="http://schemas.microsoft.com/office/2011/relationships/chartStyle" Target="style355.xml"/></Relationships>
</file>

<file path=xl/charts/_rels/chart365.xml.rels><?xml version="1.0" encoding="UTF-8" standalone="yes"?>
<Relationships xmlns="http://schemas.openxmlformats.org/package/2006/relationships"><Relationship Id="rId2" Type="http://schemas.microsoft.com/office/2011/relationships/chartColorStyle" Target="colors356.xml"/><Relationship Id="rId1" Type="http://schemas.microsoft.com/office/2011/relationships/chartStyle" Target="style356.xml"/></Relationships>
</file>

<file path=xl/charts/_rels/chart366.xml.rels><?xml version="1.0" encoding="UTF-8" standalone="yes"?>
<Relationships xmlns="http://schemas.openxmlformats.org/package/2006/relationships"><Relationship Id="rId2" Type="http://schemas.microsoft.com/office/2011/relationships/chartColorStyle" Target="colors357.xml"/><Relationship Id="rId1" Type="http://schemas.microsoft.com/office/2011/relationships/chartStyle" Target="style357.xml"/></Relationships>
</file>

<file path=xl/charts/_rels/chart367.xml.rels><?xml version="1.0" encoding="UTF-8" standalone="yes"?>
<Relationships xmlns="http://schemas.openxmlformats.org/package/2006/relationships"><Relationship Id="rId2" Type="http://schemas.microsoft.com/office/2011/relationships/chartColorStyle" Target="colors358.xml"/><Relationship Id="rId1" Type="http://schemas.microsoft.com/office/2011/relationships/chartStyle" Target="style358.xml"/></Relationships>
</file>

<file path=xl/charts/_rels/chart368.xml.rels><?xml version="1.0" encoding="UTF-8" standalone="yes"?>
<Relationships xmlns="http://schemas.openxmlformats.org/package/2006/relationships"><Relationship Id="rId2" Type="http://schemas.microsoft.com/office/2011/relationships/chartColorStyle" Target="colors359.xml"/><Relationship Id="rId1" Type="http://schemas.microsoft.com/office/2011/relationships/chartStyle" Target="style359.xml"/></Relationships>
</file>

<file path=xl/charts/_rels/chart369.xml.rels><?xml version="1.0" encoding="UTF-8" standalone="yes"?>
<Relationships xmlns="http://schemas.openxmlformats.org/package/2006/relationships"><Relationship Id="rId2" Type="http://schemas.microsoft.com/office/2011/relationships/chartColorStyle" Target="colors360.xml"/><Relationship Id="rId1" Type="http://schemas.microsoft.com/office/2011/relationships/chartStyle" Target="style36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0.xml.rels><?xml version="1.0" encoding="UTF-8" standalone="yes"?>
<Relationships xmlns="http://schemas.openxmlformats.org/package/2006/relationships"><Relationship Id="rId2" Type="http://schemas.microsoft.com/office/2011/relationships/chartColorStyle" Target="colors361.xml"/><Relationship Id="rId1" Type="http://schemas.microsoft.com/office/2011/relationships/chartStyle" Target="style361.xml"/></Relationships>
</file>

<file path=xl/charts/_rels/chart371.xml.rels><?xml version="1.0" encoding="UTF-8" standalone="yes"?>
<Relationships xmlns="http://schemas.openxmlformats.org/package/2006/relationships"><Relationship Id="rId2" Type="http://schemas.microsoft.com/office/2011/relationships/chartColorStyle" Target="colors362.xml"/><Relationship Id="rId1" Type="http://schemas.microsoft.com/office/2011/relationships/chartStyle" Target="style362.xml"/></Relationships>
</file>

<file path=xl/charts/_rels/chart372.xml.rels><?xml version="1.0" encoding="UTF-8" standalone="yes"?>
<Relationships xmlns="http://schemas.openxmlformats.org/package/2006/relationships"><Relationship Id="rId2" Type="http://schemas.microsoft.com/office/2011/relationships/chartColorStyle" Target="colors363.xml"/><Relationship Id="rId1" Type="http://schemas.microsoft.com/office/2011/relationships/chartStyle" Target="style363.xml"/></Relationships>
</file>

<file path=xl/charts/_rels/chart373.xml.rels><?xml version="1.0" encoding="UTF-8" standalone="yes"?>
<Relationships xmlns="http://schemas.openxmlformats.org/package/2006/relationships"><Relationship Id="rId2" Type="http://schemas.microsoft.com/office/2011/relationships/chartColorStyle" Target="colors364.xml"/><Relationship Id="rId1" Type="http://schemas.microsoft.com/office/2011/relationships/chartStyle" Target="style364.xml"/></Relationships>
</file>

<file path=xl/charts/_rels/chart374.xml.rels><?xml version="1.0" encoding="UTF-8" standalone="yes"?>
<Relationships xmlns="http://schemas.openxmlformats.org/package/2006/relationships"><Relationship Id="rId2" Type="http://schemas.microsoft.com/office/2011/relationships/chartColorStyle" Target="colors365.xml"/><Relationship Id="rId1" Type="http://schemas.microsoft.com/office/2011/relationships/chartStyle" Target="style365.xml"/></Relationships>
</file>

<file path=xl/charts/_rels/chart375.xml.rels><?xml version="1.0" encoding="UTF-8" standalone="yes"?>
<Relationships xmlns="http://schemas.openxmlformats.org/package/2006/relationships"><Relationship Id="rId2" Type="http://schemas.microsoft.com/office/2011/relationships/chartColorStyle" Target="colors366.xml"/><Relationship Id="rId1" Type="http://schemas.microsoft.com/office/2011/relationships/chartStyle" Target="style366.xml"/></Relationships>
</file>

<file path=xl/charts/_rels/chart376.xml.rels><?xml version="1.0" encoding="UTF-8" standalone="yes"?>
<Relationships xmlns="http://schemas.openxmlformats.org/package/2006/relationships"><Relationship Id="rId2" Type="http://schemas.microsoft.com/office/2011/relationships/chartColorStyle" Target="colors367.xml"/><Relationship Id="rId1" Type="http://schemas.microsoft.com/office/2011/relationships/chartStyle" Target="style367.xml"/></Relationships>
</file>

<file path=xl/charts/_rels/chart377.xml.rels><?xml version="1.0" encoding="UTF-8" standalone="yes"?>
<Relationships xmlns="http://schemas.openxmlformats.org/package/2006/relationships"><Relationship Id="rId2" Type="http://schemas.microsoft.com/office/2011/relationships/chartColorStyle" Target="colors368.xml"/><Relationship Id="rId1" Type="http://schemas.microsoft.com/office/2011/relationships/chartStyle" Target="style368.xml"/></Relationships>
</file>

<file path=xl/charts/_rels/chart378.xml.rels><?xml version="1.0" encoding="UTF-8" standalone="yes"?>
<Relationships xmlns="http://schemas.openxmlformats.org/package/2006/relationships"><Relationship Id="rId2" Type="http://schemas.microsoft.com/office/2011/relationships/chartColorStyle" Target="colors369.xml"/><Relationship Id="rId1" Type="http://schemas.microsoft.com/office/2011/relationships/chartStyle" Target="style369.xml"/></Relationships>
</file>

<file path=xl/charts/_rels/chart379.xml.rels><?xml version="1.0" encoding="UTF-8" standalone="yes"?>
<Relationships xmlns="http://schemas.openxmlformats.org/package/2006/relationships"><Relationship Id="rId2" Type="http://schemas.microsoft.com/office/2011/relationships/chartColorStyle" Target="colors370.xml"/><Relationship Id="rId1" Type="http://schemas.microsoft.com/office/2011/relationships/chartStyle" Target="style370.xml"/></Relationships>
</file>

<file path=xl/charts/_rels/chart380.xml.rels><?xml version="1.0" encoding="UTF-8" standalone="yes"?>
<Relationships xmlns="http://schemas.openxmlformats.org/package/2006/relationships"><Relationship Id="rId2" Type="http://schemas.microsoft.com/office/2011/relationships/chartColorStyle" Target="colors371.xml"/><Relationship Id="rId1" Type="http://schemas.microsoft.com/office/2011/relationships/chartStyle" Target="style371.xml"/></Relationships>
</file>

<file path=xl/charts/_rels/chart381.xml.rels><?xml version="1.0" encoding="UTF-8" standalone="yes"?>
<Relationships xmlns="http://schemas.openxmlformats.org/package/2006/relationships"><Relationship Id="rId2" Type="http://schemas.microsoft.com/office/2011/relationships/chartColorStyle" Target="colors372.xml"/><Relationship Id="rId1" Type="http://schemas.microsoft.com/office/2011/relationships/chartStyle" Target="style372.xml"/></Relationships>
</file>

<file path=xl/charts/_rels/chart382.xml.rels><?xml version="1.0" encoding="UTF-8" standalone="yes"?>
<Relationships xmlns="http://schemas.openxmlformats.org/package/2006/relationships"><Relationship Id="rId2" Type="http://schemas.microsoft.com/office/2011/relationships/chartColorStyle" Target="colors373.xml"/><Relationship Id="rId1" Type="http://schemas.microsoft.com/office/2011/relationships/chartStyle" Target="style373.xml"/></Relationships>
</file>

<file path=xl/charts/_rels/chart383.xml.rels><?xml version="1.0" encoding="UTF-8" standalone="yes"?>
<Relationships xmlns="http://schemas.openxmlformats.org/package/2006/relationships"><Relationship Id="rId2" Type="http://schemas.microsoft.com/office/2011/relationships/chartColorStyle" Target="colors374.xml"/><Relationship Id="rId1" Type="http://schemas.microsoft.com/office/2011/relationships/chartStyle" Target="style374.xml"/></Relationships>
</file>

<file path=xl/charts/_rels/chart384.xml.rels><?xml version="1.0" encoding="UTF-8" standalone="yes"?>
<Relationships xmlns="http://schemas.openxmlformats.org/package/2006/relationships"><Relationship Id="rId2" Type="http://schemas.microsoft.com/office/2011/relationships/chartColorStyle" Target="colors375.xml"/><Relationship Id="rId1" Type="http://schemas.microsoft.com/office/2011/relationships/chartStyle" Target="style375.xml"/></Relationships>
</file>

<file path=xl/charts/_rels/chart385.xml.rels><?xml version="1.0" encoding="UTF-8" standalone="yes"?>
<Relationships xmlns="http://schemas.openxmlformats.org/package/2006/relationships"><Relationship Id="rId2" Type="http://schemas.microsoft.com/office/2011/relationships/chartColorStyle" Target="colors376.xml"/><Relationship Id="rId1" Type="http://schemas.microsoft.com/office/2011/relationships/chartStyle" Target="style376.xml"/></Relationships>
</file>

<file path=xl/charts/_rels/chart386.xml.rels><?xml version="1.0" encoding="UTF-8" standalone="yes"?>
<Relationships xmlns="http://schemas.openxmlformats.org/package/2006/relationships"><Relationship Id="rId2" Type="http://schemas.microsoft.com/office/2011/relationships/chartColorStyle" Target="colors377.xml"/><Relationship Id="rId1" Type="http://schemas.microsoft.com/office/2011/relationships/chartStyle" Target="style377.xml"/></Relationships>
</file>

<file path=xl/charts/_rels/chart387.xml.rels><?xml version="1.0" encoding="UTF-8" standalone="yes"?>
<Relationships xmlns="http://schemas.openxmlformats.org/package/2006/relationships"><Relationship Id="rId2" Type="http://schemas.microsoft.com/office/2011/relationships/chartColorStyle" Target="colors378.xml"/><Relationship Id="rId1" Type="http://schemas.microsoft.com/office/2011/relationships/chartStyle" Target="style378.xml"/></Relationships>
</file>

<file path=xl/charts/_rels/chart388.xml.rels><?xml version="1.0" encoding="UTF-8" standalone="yes"?>
<Relationships xmlns="http://schemas.openxmlformats.org/package/2006/relationships"><Relationship Id="rId2" Type="http://schemas.microsoft.com/office/2011/relationships/chartColorStyle" Target="colors379.xml"/><Relationship Id="rId1" Type="http://schemas.microsoft.com/office/2011/relationships/chartStyle" Target="style379.xml"/></Relationships>
</file>

<file path=xl/charts/_rels/chart389.xml.rels><?xml version="1.0" encoding="UTF-8" standalone="yes"?>
<Relationships xmlns="http://schemas.openxmlformats.org/package/2006/relationships"><Relationship Id="rId2" Type="http://schemas.microsoft.com/office/2011/relationships/chartColorStyle" Target="colors380.xml"/><Relationship Id="rId1" Type="http://schemas.microsoft.com/office/2011/relationships/chartStyle" Target="style38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0.xml.rels><?xml version="1.0" encoding="UTF-8" standalone="yes"?>
<Relationships xmlns="http://schemas.openxmlformats.org/package/2006/relationships"><Relationship Id="rId2" Type="http://schemas.microsoft.com/office/2011/relationships/chartColorStyle" Target="colors381.xml"/><Relationship Id="rId1" Type="http://schemas.microsoft.com/office/2011/relationships/chartStyle" Target="style381.xml"/></Relationships>
</file>

<file path=xl/charts/_rels/chart391.xml.rels><?xml version="1.0" encoding="UTF-8" standalone="yes"?>
<Relationships xmlns="http://schemas.openxmlformats.org/package/2006/relationships"><Relationship Id="rId2" Type="http://schemas.microsoft.com/office/2011/relationships/chartColorStyle" Target="colors382.xml"/><Relationship Id="rId1" Type="http://schemas.microsoft.com/office/2011/relationships/chartStyle" Target="style382.xml"/></Relationships>
</file>

<file path=xl/charts/_rels/chart392.xml.rels><?xml version="1.0" encoding="UTF-8" standalone="yes"?>
<Relationships xmlns="http://schemas.openxmlformats.org/package/2006/relationships"><Relationship Id="rId2" Type="http://schemas.microsoft.com/office/2011/relationships/chartColorStyle" Target="colors383.xml"/><Relationship Id="rId1" Type="http://schemas.microsoft.com/office/2011/relationships/chartStyle" Target="style383.xml"/></Relationships>
</file>

<file path=xl/charts/_rels/chart393.xml.rels><?xml version="1.0" encoding="UTF-8" standalone="yes"?>
<Relationships xmlns="http://schemas.openxmlformats.org/package/2006/relationships"><Relationship Id="rId2" Type="http://schemas.microsoft.com/office/2011/relationships/chartColorStyle" Target="colors384.xml"/><Relationship Id="rId1" Type="http://schemas.microsoft.com/office/2011/relationships/chartStyle" Target="style384.xml"/></Relationships>
</file>

<file path=xl/charts/_rels/chart394.xml.rels><?xml version="1.0" encoding="UTF-8" standalone="yes"?>
<Relationships xmlns="http://schemas.openxmlformats.org/package/2006/relationships"><Relationship Id="rId2" Type="http://schemas.microsoft.com/office/2011/relationships/chartColorStyle" Target="colors385.xml"/><Relationship Id="rId1" Type="http://schemas.microsoft.com/office/2011/relationships/chartStyle" Target="style385.xml"/></Relationships>
</file>

<file path=xl/charts/_rels/chart395.xml.rels><?xml version="1.0" encoding="UTF-8" standalone="yes"?>
<Relationships xmlns="http://schemas.openxmlformats.org/package/2006/relationships"><Relationship Id="rId2" Type="http://schemas.microsoft.com/office/2011/relationships/chartColorStyle" Target="colors386.xml"/><Relationship Id="rId1" Type="http://schemas.microsoft.com/office/2011/relationships/chartStyle" Target="style386.xml"/></Relationships>
</file>

<file path=xl/charts/_rels/chart396.xml.rels><?xml version="1.0" encoding="UTF-8" standalone="yes"?>
<Relationships xmlns="http://schemas.openxmlformats.org/package/2006/relationships"><Relationship Id="rId2" Type="http://schemas.microsoft.com/office/2011/relationships/chartColorStyle" Target="colors387.xml"/><Relationship Id="rId1" Type="http://schemas.microsoft.com/office/2011/relationships/chartStyle" Target="style387.xml"/></Relationships>
</file>

<file path=xl/charts/_rels/chart397.xml.rels><?xml version="1.0" encoding="UTF-8" standalone="yes"?>
<Relationships xmlns="http://schemas.openxmlformats.org/package/2006/relationships"><Relationship Id="rId2" Type="http://schemas.microsoft.com/office/2011/relationships/chartColorStyle" Target="colors388.xml"/><Relationship Id="rId1" Type="http://schemas.microsoft.com/office/2011/relationships/chartStyle" Target="style388.xml"/></Relationships>
</file>

<file path=xl/charts/_rels/chart398.xml.rels><?xml version="1.0" encoding="UTF-8" standalone="yes"?>
<Relationships xmlns="http://schemas.openxmlformats.org/package/2006/relationships"><Relationship Id="rId2" Type="http://schemas.microsoft.com/office/2011/relationships/chartColorStyle" Target="colors389.xml"/><Relationship Id="rId1" Type="http://schemas.microsoft.com/office/2011/relationships/chartStyle" Target="style389.xml"/></Relationships>
</file>

<file path=xl/charts/_rels/chart399.xml.rels><?xml version="1.0" encoding="UTF-8" standalone="yes"?>
<Relationships xmlns="http://schemas.openxmlformats.org/package/2006/relationships"><Relationship Id="rId2" Type="http://schemas.microsoft.com/office/2011/relationships/chartColorStyle" Target="colors390.xml"/><Relationship Id="rId1" Type="http://schemas.microsoft.com/office/2011/relationships/chartStyle" Target="style39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0.xml.rels><?xml version="1.0" encoding="UTF-8" standalone="yes"?>
<Relationships xmlns="http://schemas.openxmlformats.org/package/2006/relationships"><Relationship Id="rId2" Type="http://schemas.microsoft.com/office/2011/relationships/chartColorStyle" Target="colors391.xml"/><Relationship Id="rId1" Type="http://schemas.microsoft.com/office/2011/relationships/chartStyle" Target="style391.xml"/></Relationships>
</file>

<file path=xl/charts/_rels/chart401.xml.rels><?xml version="1.0" encoding="UTF-8" standalone="yes"?>
<Relationships xmlns="http://schemas.openxmlformats.org/package/2006/relationships"><Relationship Id="rId2" Type="http://schemas.microsoft.com/office/2011/relationships/chartColorStyle" Target="colors392.xml"/><Relationship Id="rId1" Type="http://schemas.microsoft.com/office/2011/relationships/chartStyle" Target="style392.xml"/></Relationships>
</file>

<file path=xl/charts/_rels/chart402.xml.rels><?xml version="1.0" encoding="UTF-8" standalone="yes"?>
<Relationships xmlns="http://schemas.openxmlformats.org/package/2006/relationships"><Relationship Id="rId2" Type="http://schemas.microsoft.com/office/2011/relationships/chartColorStyle" Target="colors393.xml"/><Relationship Id="rId1" Type="http://schemas.microsoft.com/office/2011/relationships/chartStyle" Target="style393.xml"/></Relationships>
</file>

<file path=xl/charts/_rels/chart403.xml.rels><?xml version="1.0" encoding="UTF-8" standalone="yes"?>
<Relationships xmlns="http://schemas.openxmlformats.org/package/2006/relationships"><Relationship Id="rId2" Type="http://schemas.microsoft.com/office/2011/relationships/chartColorStyle" Target="colors394.xml"/><Relationship Id="rId1" Type="http://schemas.microsoft.com/office/2011/relationships/chartStyle" Target="style394.xml"/></Relationships>
</file>

<file path=xl/charts/_rels/chart404.xml.rels><?xml version="1.0" encoding="UTF-8" standalone="yes"?>
<Relationships xmlns="http://schemas.openxmlformats.org/package/2006/relationships"><Relationship Id="rId2" Type="http://schemas.microsoft.com/office/2011/relationships/chartColorStyle" Target="colors395.xml"/><Relationship Id="rId1" Type="http://schemas.microsoft.com/office/2011/relationships/chartStyle" Target="style395.xml"/></Relationships>
</file>

<file path=xl/charts/_rels/chart405.xml.rels><?xml version="1.0" encoding="UTF-8" standalone="yes"?>
<Relationships xmlns="http://schemas.openxmlformats.org/package/2006/relationships"><Relationship Id="rId2" Type="http://schemas.microsoft.com/office/2011/relationships/chartColorStyle" Target="colors396.xml"/><Relationship Id="rId1" Type="http://schemas.microsoft.com/office/2011/relationships/chartStyle" Target="style396.xml"/></Relationships>
</file>

<file path=xl/charts/_rels/chart406.xml.rels><?xml version="1.0" encoding="UTF-8" standalone="yes"?>
<Relationships xmlns="http://schemas.openxmlformats.org/package/2006/relationships"><Relationship Id="rId2" Type="http://schemas.microsoft.com/office/2011/relationships/chartColorStyle" Target="colors397.xml"/><Relationship Id="rId1" Type="http://schemas.microsoft.com/office/2011/relationships/chartStyle" Target="style397.xml"/></Relationships>
</file>

<file path=xl/charts/_rels/chart407.xml.rels><?xml version="1.0" encoding="UTF-8" standalone="yes"?>
<Relationships xmlns="http://schemas.openxmlformats.org/package/2006/relationships"><Relationship Id="rId2" Type="http://schemas.microsoft.com/office/2011/relationships/chartColorStyle" Target="colors398.xml"/><Relationship Id="rId1" Type="http://schemas.microsoft.com/office/2011/relationships/chartStyle" Target="style398.xml"/></Relationships>
</file>

<file path=xl/charts/_rels/chart408.xml.rels><?xml version="1.0" encoding="UTF-8" standalone="yes"?>
<Relationships xmlns="http://schemas.openxmlformats.org/package/2006/relationships"><Relationship Id="rId2" Type="http://schemas.microsoft.com/office/2011/relationships/chartColorStyle" Target="colors399.xml"/><Relationship Id="rId1" Type="http://schemas.microsoft.com/office/2011/relationships/chartStyle" Target="style399.xml"/></Relationships>
</file>

<file path=xl/charts/_rels/chart409.xml.rels><?xml version="1.0" encoding="UTF-8" standalone="yes"?>
<Relationships xmlns="http://schemas.openxmlformats.org/package/2006/relationships"><Relationship Id="rId2" Type="http://schemas.microsoft.com/office/2011/relationships/chartColorStyle" Target="colors400.xml"/><Relationship Id="rId1" Type="http://schemas.microsoft.com/office/2011/relationships/chartStyle" Target="style40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0.xml.rels><?xml version="1.0" encoding="UTF-8" standalone="yes"?>
<Relationships xmlns="http://schemas.openxmlformats.org/package/2006/relationships"><Relationship Id="rId2" Type="http://schemas.microsoft.com/office/2011/relationships/chartColorStyle" Target="colors401.xml"/><Relationship Id="rId1" Type="http://schemas.microsoft.com/office/2011/relationships/chartStyle" Target="style401.xml"/></Relationships>
</file>

<file path=xl/charts/_rels/chart411.xml.rels><?xml version="1.0" encoding="UTF-8" standalone="yes"?>
<Relationships xmlns="http://schemas.openxmlformats.org/package/2006/relationships"><Relationship Id="rId2" Type="http://schemas.microsoft.com/office/2011/relationships/chartColorStyle" Target="colors402.xml"/><Relationship Id="rId1" Type="http://schemas.microsoft.com/office/2011/relationships/chartStyle" Target="style402.xml"/></Relationships>
</file>

<file path=xl/charts/_rels/chart412.xml.rels><?xml version="1.0" encoding="UTF-8" standalone="yes"?>
<Relationships xmlns="http://schemas.openxmlformats.org/package/2006/relationships"><Relationship Id="rId2" Type="http://schemas.microsoft.com/office/2011/relationships/chartColorStyle" Target="colors403.xml"/><Relationship Id="rId1" Type="http://schemas.microsoft.com/office/2011/relationships/chartStyle" Target="style403.xml"/></Relationships>
</file>

<file path=xl/charts/_rels/chart413.xml.rels><?xml version="1.0" encoding="UTF-8" standalone="yes"?>
<Relationships xmlns="http://schemas.openxmlformats.org/package/2006/relationships"><Relationship Id="rId2" Type="http://schemas.microsoft.com/office/2011/relationships/chartColorStyle" Target="colors404.xml"/><Relationship Id="rId1" Type="http://schemas.microsoft.com/office/2011/relationships/chartStyle" Target="style404.xml"/></Relationships>
</file>

<file path=xl/charts/_rels/chart414.xml.rels><?xml version="1.0" encoding="UTF-8" standalone="yes"?>
<Relationships xmlns="http://schemas.openxmlformats.org/package/2006/relationships"><Relationship Id="rId2" Type="http://schemas.microsoft.com/office/2011/relationships/chartColorStyle" Target="colors405.xml"/><Relationship Id="rId1" Type="http://schemas.microsoft.com/office/2011/relationships/chartStyle" Target="style405.xml"/></Relationships>
</file>

<file path=xl/charts/_rels/chart415.xml.rels><?xml version="1.0" encoding="UTF-8" standalone="yes"?>
<Relationships xmlns="http://schemas.openxmlformats.org/package/2006/relationships"><Relationship Id="rId2" Type="http://schemas.microsoft.com/office/2011/relationships/chartColorStyle" Target="colors406.xml"/><Relationship Id="rId1" Type="http://schemas.microsoft.com/office/2011/relationships/chartStyle" Target="style406.xml"/></Relationships>
</file>

<file path=xl/charts/_rels/chart416.xml.rels><?xml version="1.0" encoding="UTF-8" standalone="yes"?>
<Relationships xmlns="http://schemas.openxmlformats.org/package/2006/relationships"><Relationship Id="rId2" Type="http://schemas.microsoft.com/office/2011/relationships/chartColorStyle" Target="colors407.xml"/><Relationship Id="rId1" Type="http://schemas.microsoft.com/office/2011/relationships/chartStyle" Target="style407.xml"/></Relationships>
</file>

<file path=xl/charts/_rels/chart417.xml.rels><?xml version="1.0" encoding="UTF-8" standalone="yes"?>
<Relationships xmlns="http://schemas.openxmlformats.org/package/2006/relationships"><Relationship Id="rId2" Type="http://schemas.microsoft.com/office/2011/relationships/chartColorStyle" Target="colors408.xml"/><Relationship Id="rId1" Type="http://schemas.microsoft.com/office/2011/relationships/chartStyle" Target="style408.xml"/></Relationships>
</file>

<file path=xl/charts/_rels/chart418.xml.rels><?xml version="1.0" encoding="UTF-8" standalone="yes"?>
<Relationships xmlns="http://schemas.openxmlformats.org/package/2006/relationships"><Relationship Id="rId2" Type="http://schemas.microsoft.com/office/2011/relationships/chartColorStyle" Target="colors409.xml"/><Relationship Id="rId1" Type="http://schemas.microsoft.com/office/2011/relationships/chartStyle" Target="style409.xml"/></Relationships>
</file>

<file path=xl/charts/_rels/chart419.xml.rels><?xml version="1.0" encoding="UTF-8" standalone="yes"?>
<Relationships xmlns="http://schemas.openxmlformats.org/package/2006/relationships"><Relationship Id="rId2" Type="http://schemas.microsoft.com/office/2011/relationships/chartColorStyle" Target="colors410.xml"/><Relationship Id="rId1" Type="http://schemas.microsoft.com/office/2011/relationships/chartStyle" Target="style410.xml"/></Relationships>
</file>

<file path=xl/charts/_rels/chart420.xml.rels><?xml version="1.0" encoding="UTF-8" standalone="yes"?>
<Relationships xmlns="http://schemas.openxmlformats.org/package/2006/relationships"><Relationship Id="rId2" Type="http://schemas.microsoft.com/office/2011/relationships/chartColorStyle" Target="colors411.xml"/><Relationship Id="rId1" Type="http://schemas.microsoft.com/office/2011/relationships/chartStyle" Target="style411.xml"/></Relationships>
</file>

<file path=xl/charts/_rels/chart421.xml.rels><?xml version="1.0" encoding="UTF-8" standalone="yes"?>
<Relationships xmlns="http://schemas.openxmlformats.org/package/2006/relationships"><Relationship Id="rId2" Type="http://schemas.microsoft.com/office/2011/relationships/chartColorStyle" Target="colors412.xml"/><Relationship Id="rId1" Type="http://schemas.microsoft.com/office/2011/relationships/chartStyle" Target="style412.xml"/></Relationships>
</file>

<file path=xl/charts/_rels/chart422.xml.rels><?xml version="1.0" encoding="UTF-8" standalone="yes"?>
<Relationships xmlns="http://schemas.openxmlformats.org/package/2006/relationships"><Relationship Id="rId2" Type="http://schemas.microsoft.com/office/2011/relationships/chartColorStyle" Target="colors413.xml"/><Relationship Id="rId1" Type="http://schemas.microsoft.com/office/2011/relationships/chartStyle" Target="style413.xml"/></Relationships>
</file>

<file path=xl/charts/_rels/chart423.xml.rels><?xml version="1.0" encoding="UTF-8" standalone="yes"?>
<Relationships xmlns="http://schemas.openxmlformats.org/package/2006/relationships"><Relationship Id="rId2" Type="http://schemas.microsoft.com/office/2011/relationships/chartColorStyle" Target="colors414.xml"/><Relationship Id="rId1" Type="http://schemas.microsoft.com/office/2011/relationships/chartStyle" Target="style414.xml"/></Relationships>
</file>

<file path=xl/charts/_rels/chart424.xml.rels><?xml version="1.0" encoding="UTF-8" standalone="yes"?>
<Relationships xmlns="http://schemas.openxmlformats.org/package/2006/relationships"><Relationship Id="rId2" Type="http://schemas.microsoft.com/office/2011/relationships/chartColorStyle" Target="colors415.xml"/><Relationship Id="rId1" Type="http://schemas.microsoft.com/office/2011/relationships/chartStyle" Target="style415.xml"/></Relationships>
</file>

<file path=xl/charts/_rels/chart425.xml.rels><?xml version="1.0" encoding="UTF-8" standalone="yes"?>
<Relationships xmlns="http://schemas.openxmlformats.org/package/2006/relationships"><Relationship Id="rId2" Type="http://schemas.microsoft.com/office/2011/relationships/chartColorStyle" Target="colors416.xml"/><Relationship Id="rId1" Type="http://schemas.microsoft.com/office/2011/relationships/chartStyle" Target="style416.xml"/></Relationships>
</file>

<file path=xl/charts/_rels/chart426.xml.rels><?xml version="1.0" encoding="UTF-8" standalone="yes"?>
<Relationships xmlns="http://schemas.openxmlformats.org/package/2006/relationships"><Relationship Id="rId2" Type="http://schemas.microsoft.com/office/2011/relationships/chartColorStyle" Target="colors417.xml"/><Relationship Id="rId1" Type="http://schemas.microsoft.com/office/2011/relationships/chartStyle" Target="style417.xml"/></Relationships>
</file>

<file path=xl/charts/_rels/chart427.xml.rels><?xml version="1.0" encoding="UTF-8" standalone="yes"?>
<Relationships xmlns="http://schemas.openxmlformats.org/package/2006/relationships"><Relationship Id="rId2" Type="http://schemas.microsoft.com/office/2011/relationships/chartColorStyle" Target="colors418.xml"/><Relationship Id="rId1" Type="http://schemas.microsoft.com/office/2011/relationships/chartStyle" Target="style418.xml"/></Relationships>
</file>

<file path=xl/charts/_rels/chart428.xml.rels><?xml version="1.0" encoding="UTF-8" standalone="yes"?>
<Relationships xmlns="http://schemas.openxmlformats.org/package/2006/relationships"><Relationship Id="rId2" Type="http://schemas.microsoft.com/office/2011/relationships/chartColorStyle" Target="colors419.xml"/><Relationship Id="rId1" Type="http://schemas.microsoft.com/office/2011/relationships/chartStyle" Target="style419.xml"/></Relationships>
</file>

<file path=xl/charts/_rels/chart429.xml.rels><?xml version="1.0" encoding="UTF-8" standalone="yes"?>
<Relationships xmlns="http://schemas.openxmlformats.org/package/2006/relationships"><Relationship Id="rId2" Type="http://schemas.microsoft.com/office/2011/relationships/chartColorStyle" Target="colors420.xml"/><Relationship Id="rId1" Type="http://schemas.microsoft.com/office/2011/relationships/chartStyle" Target="style42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0.xml.rels><?xml version="1.0" encoding="UTF-8" standalone="yes"?>
<Relationships xmlns="http://schemas.openxmlformats.org/package/2006/relationships"><Relationship Id="rId2" Type="http://schemas.microsoft.com/office/2011/relationships/chartColorStyle" Target="colors421.xml"/><Relationship Id="rId1" Type="http://schemas.microsoft.com/office/2011/relationships/chartStyle" Target="style421.xml"/></Relationships>
</file>

<file path=xl/charts/_rels/chart431.xml.rels><?xml version="1.0" encoding="UTF-8" standalone="yes"?>
<Relationships xmlns="http://schemas.openxmlformats.org/package/2006/relationships"><Relationship Id="rId2" Type="http://schemas.microsoft.com/office/2011/relationships/chartColorStyle" Target="colors422.xml"/><Relationship Id="rId1" Type="http://schemas.microsoft.com/office/2011/relationships/chartStyle" Target="style42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过去</a:t>
            </a:r>
            <a:r>
              <a:rPr lang="en-US" altLang="zh-CN" sz="1000"/>
              <a:t>10</a:t>
            </a:r>
            <a:r>
              <a:rPr lang="zh-CN" altLang="en-US" sz="1000"/>
              <a:t>天总产值</a:t>
            </a:r>
            <a:endParaRPr lang="zh-CN" altLang="en-US" sz="1000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'2021.10.2'!$A$31:$A$40</c:f>
              <c:numCache>
                <c:formatCode>m/d;@</c:formatCode>
                <c:ptCount val="10"/>
                <c:pt idx="0" c:formatCode="m/d;@">
                  <c:v>44462</c:v>
                </c:pt>
                <c:pt idx="1" c:formatCode="m/d;@">
                  <c:v>44463</c:v>
                </c:pt>
                <c:pt idx="2" c:formatCode="m/d;@">
                  <c:v>44464</c:v>
                </c:pt>
                <c:pt idx="3" c:formatCode="m/d;@">
                  <c:v>44465</c:v>
                </c:pt>
                <c:pt idx="4" c:formatCode="m/d;@">
                  <c:v>44466</c:v>
                </c:pt>
                <c:pt idx="5" c:formatCode="m/d;@">
                  <c:v>44467</c:v>
                </c:pt>
                <c:pt idx="6" c:formatCode="m/d;@">
                  <c:v>44468</c:v>
                </c:pt>
                <c:pt idx="7" c:formatCode="m/d;@">
                  <c:v>44469</c:v>
                </c:pt>
                <c:pt idx="8" c:formatCode="m/d;@">
                  <c:v>44470</c:v>
                </c:pt>
                <c:pt idx="9" c:formatCode="m/d;@">
                  <c:v>44471</c:v>
                </c:pt>
              </c:numCache>
            </c:numRef>
          </c:cat>
          <c:val>
            <c:numRef>
              <c:f>'2021.10.2'!$B$31:$B$40</c:f>
              <c:numCache>
                <c:formatCode>0.00_ </c:formatCode>
                <c:ptCount val="10"/>
                <c:pt idx="0">
                  <c:v>5</c:v>
                </c:pt>
                <c:pt idx="1">
                  <c:v>17.28</c:v>
                </c:pt>
                <c:pt idx="2">
                  <c:v>2</c:v>
                </c:pt>
                <c:pt idx="3">
                  <c:v>8.82</c:v>
                </c:pt>
                <c:pt idx="4">
                  <c:v>2</c:v>
                </c:pt>
                <c:pt idx="5">
                  <c:v>16.28</c:v>
                </c:pt>
                <c:pt idx="6">
                  <c:v>33.25</c:v>
                </c:pt>
                <c:pt idx="7">
                  <c:v>8.82</c:v>
                </c:pt>
                <c:pt idx="8">
                  <c:v>24.1</c:v>
                </c:pt>
                <c:pt idx="9">
                  <c:v>17.46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'2021.10.11'!$A$31:$A$40</c:f>
              <c:numCache>
                <c:formatCode>m/d;@</c:formatCode>
                <c:ptCount val="10"/>
                <c:pt idx="0" c:formatCode="m/d;@">
                  <c:v>44471</c:v>
                </c:pt>
                <c:pt idx="1" c:formatCode="m/d;@">
                  <c:v>44472</c:v>
                </c:pt>
                <c:pt idx="2" c:formatCode="m/d;@">
                  <c:v>44473</c:v>
                </c:pt>
                <c:pt idx="3" c:formatCode="m/d;@">
                  <c:v>44474</c:v>
                </c:pt>
                <c:pt idx="4" c:formatCode="m/d;@">
                  <c:v>44475</c:v>
                </c:pt>
                <c:pt idx="5" c:formatCode="m/d;@">
                  <c:v>44476</c:v>
                </c:pt>
                <c:pt idx="6" c:formatCode="m/d;@">
                  <c:v>44477</c:v>
                </c:pt>
                <c:pt idx="7" c:formatCode="m/d;@">
                  <c:v>44478</c:v>
                </c:pt>
                <c:pt idx="8" c:formatCode="m/d;@">
                  <c:v>44479</c:v>
                </c:pt>
                <c:pt idx="9" c:formatCode="m/d;@">
                  <c:v>44480</c:v>
                </c:pt>
              </c:numCache>
            </c:numRef>
          </c:cat>
          <c:val>
            <c:numRef>
              <c:f>'2021.10.11'!$B$31:$B$40</c:f>
              <c:numCache>
                <c:formatCode>0.00_ </c:formatCode>
                <c:ptCount val="10"/>
                <c:pt idx="0">
                  <c:v>17.46</c:v>
                </c:pt>
                <c:pt idx="1">
                  <c:v>31.74</c:v>
                </c:pt>
                <c:pt idx="2">
                  <c:v>2</c:v>
                </c:pt>
                <c:pt idx="3">
                  <c:v>33.56</c:v>
                </c:pt>
                <c:pt idx="4">
                  <c:v>23.1</c:v>
                </c:pt>
                <c:pt idx="5">
                  <c:v>7.64</c:v>
                </c:pt>
                <c:pt idx="6">
                  <c:v>1.65</c:v>
                </c:pt>
                <c:pt idx="7">
                  <c:v>15.46</c:v>
                </c:pt>
                <c:pt idx="8">
                  <c:v>9.82</c:v>
                </c:pt>
                <c:pt idx="9">
                  <c:v>25.1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'2021.12.5'!$A$34:$A$43</c:f>
              <c:numCache>
                <c:formatCode>m/d;@</c:formatCode>
                <c:ptCount val="10"/>
                <c:pt idx="0" c:formatCode="m/d;@">
                  <c:v>44526</c:v>
                </c:pt>
                <c:pt idx="1" c:formatCode="m/d;@">
                  <c:v>44527</c:v>
                </c:pt>
                <c:pt idx="2" c:formatCode="m/d;@">
                  <c:v>44528</c:v>
                </c:pt>
                <c:pt idx="3" c:formatCode="m/d;@">
                  <c:v>44529</c:v>
                </c:pt>
                <c:pt idx="4" c:formatCode="m/d;@">
                  <c:v>44530</c:v>
                </c:pt>
                <c:pt idx="5" c:formatCode="m/d;@">
                  <c:v>44531</c:v>
                </c:pt>
                <c:pt idx="6" c:formatCode="m/d;@">
                  <c:v>44532</c:v>
                </c:pt>
                <c:pt idx="7" c:formatCode="m/d;@">
                  <c:v>44533</c:v>
                </c:pt>
                <c:pt idx="8" c:formatCode="m/d;@">
                  <c:v>44534</c:v>
                </c:pt>
                <c:pt idx="9" c:formatCode="m/d;@">
                  <c:v>44535</c:v>
                </c:pt>
              </c:numCache>
            </c:numRef>
          </c:cat>
          <c:val>
            <c:numRef>
              <c:f>'2021.12.5'!$B$34:$B$43</c:f>
              <c:numCache>
                <c:formatCode>0.00_ </c:formatCode>
                <c:ptCount val="10"/>
                <c:pt idx="0">
                  <c:v>77.51</c:v>
                </c:pt>
                <c:pt idx="1">
                  <c:v>72.17</c:v>
                </c:pt>
                <c:pt idx="2">
                  <c:v>104.73</c:v>
                </c:pt>
                <c:pt idx="3">
                  <c:v>77.14</c:v>
                </c:pt>
                <c:pt idx="4">
                  <c:v>90.41</c:v>
                </c:pt>
                <c:pt idx="5">
                  <c:v>96.34</c:v>
                </c:pt>
                <c:pt idx="6">
                  <c:v>73.83</c:v>
                </c:pt>
                <c:pt idx="7">
                  <c:v>101.02</c:v>
                </c:pt>
                <c:pt idx="8">
                  <c:v>150.96</c:v>
                </c:pt>
                <c:pt idx="9">
                  <c:v>89.4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'2021.12.5'!$B$27:$B$29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'2021.12.5'!$C$27:$C$29</c:f>
              <c:numCache>
                <c:formatCode>General</c:formatCode>
                <c:ptCount val="3"/>
                <c:pt idx="0">
                  <c:v>158</c:v>
                </c:pt>
                <c:pt idx="1">
                  <c:v>186</c:v>
                </c:pt>
                <c:pt idx="2">
                  <c:v>5436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'2021.12.5'!$D$27:$D$29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'2021.12.5'!$E$27:$E$29</c:f>
              <c:numCache>
                <c:formatCode>General</c:formatCode>
                <c:ptCount val="3"/>
                <c:pt idx="0">
                  <c:v>121</c:v>
                </c:pt>
                <c:pt idx="1">
                  <c:v>116</c:v>
                </c:pt>
                <c:pt idx="2">
                  <c:v>5543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'2021.12.6'!$A$34:$A$43</c:f>
              <c:numCache>
                <c:formatCode>m/d;@</c:formatCode>
                <c:ptCount val="10"/>
                <c:pt idx="0" c:formatCode="m/d;@">
                  <c:v>44527</c:v>
                </c:pt>
                <c:pt idx="1" c:formatCode="m/d;@">
                  <c:v>44528</c:v>
                </c:pt>
                <c:pt idx="2" c:formatCode="m/d;@">
                  <c:v>44529</c:v>
                </c:pt>
                <c:pt idx="3" c:formatCode="m/d;@">
                  <c:v>44530</c:v>
                </c:pt>
                <c:pt idx="4" c:formatCode="m/d;@">
                  <c:v>44531</c:v>
                </c:pt>
                <c:pt idx="5" c:formatCode="m/d;@">
                  <c:v>44532</c:v>
                </c:pt>
                <c:pt idx="6" c:formatCode="m/d;@">
                  <c:v>44533</c:v>
                </c:pt>
                <c:pt idx="7" c:formatCode="m/d;@">
                  <c:v>44534</c:v>
                </c:pt>
                <c:pt idx="8" c:formatCode="m/d;@">
                  <c:v>44535</c:v>
                </c:pt>
                <c:pt idx="9" c:formatCode="m/d;@">
                  <c:v>44536</c:v>
                </c:pt>
              </c:numCache>
            </c:numRef>
          </c:cat>
          <c:val>
            <c:numRef>
              <c:f>'2021.12.6'!$B$34:$B$43</c:f>
              <c:numCache>
                <c:formatCode>0.00_ </c:formatCode>
                <c:ptCount val="10"/>
                <c:pt idx="0">
                  <c:v>72.17</c:v>
                </c:pt>
                <c:pt idx="1">
                  <c:v>104.73</c:v>
                </c:pt>
                <c:pt idx="2">
                  <c:v>77.14</c:v>
                </c:pt>
                <c:pt idx="3">
                  <c:v>90.41</c:v>
                </c:pt>
                <c:pt idx="4">
                  <c:v>96.34</c:v>
                </c:pt>
                <c:pt idx="5">
                  <c:v>73.83</c:v>
                </c:pt>
                <c:pt idx="6">
                  <c:v>101.02</c:v>
                </c:pt>
                <c:pt idx="7">
                  <c:v>150.96</c:v>
                </c:pt>
                <c:pt idx="8">
                  <c:v>89.4</c:v>
                </c:pt>
                <c:pt idx="9">
                  <c:v>121.86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'2021.12.6'!$B$27:$B$29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'2021.12.6'!$C$27:$C$29</c:f>
              <c:numCache>
                <c:formatCode>General</c:formatCode>
                <c:ptCount val="3"/>
                <c:pt idx="0">
                  <c:v>162</c:v>
                </c:pt>
                <c:pt idx="1">
                  <c:v>193</c:v>
                </c:pt>
                <c:pt idx="2">
                  <c:v>5425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'2021.12.6'!$D$27:$D$29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'2021.12.6'!$E$27:$E$29</c:f>
              <c:numCache>
                <c:formatCode>General</c:formatCode>
                <c:ptCount val="3"/>
                <c:pt idx="0">
                  <c:v>127</c:v>
                </c:pt>
                <c:pt idx="1">
                  <c:v>116</c:v>
                </c:pt>
                <c:pt idx="2">
                  <c:v>5537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'2021.12.7'!$A$34:$A$43</c:f>
              <c:numCache>
                <c:formatCode>m/d;@</c:formatCode>
                <c:ptCount val="10"/>
                <c:pt idx="0" c:formatCode="m/d;@">
                  <c:v>44528</c:v>
                </c:pt>
                <c:pt idx="1" c:formatCode="m/d;@">
                  <c:v>44529</c:v>
                </c:pt>
                <c:pt idx="2" c:formatCode="m/d;@">
                  <c:v>44530</c:v>
                </c:pt>
                <c:pt idx="3" c:formatCode="m/d;@">
                  <c:v>44531</c:v>
                </c:pt>
                <c:pt idx="4" c:formatCode="m/d;@">
                  <c:v>44532</c:v>
                </c:pt>
                <c:pt idx="5" c:formatCode="m/d;@">
                  <c:v>44533</c:v>
                </c:pt>
                <c:pt idx="6" c:formatCode="m/d;@">
                  <c:v>44534</c:v>
                </c:pt>
                <c:pt idx="7" c:formatCode="m/d;@">
                  <c:v>44535</c:v>
                </c:pt>
                <c:pt idx="8" c:formatCode="m/d;@">
                  <c:v>44536</c:v>
                </c:pt>
                <c:pt idx="9" c:formatCode="m/d;@">
                  <c:v>44537</c:v>
                </c:pt>
              </c:numCache>
            </c:numRef>
          </c:cat>
          <c:val>
            <c:numRef>
              <c:f>'2021.12.7'!$B$34:$B$43</c:f>
              <c:numCache>
                <c:formatCode>0.00_ </c:formatCode>
                <c:ptCount val="10"/>
                <c:pt idx="0">
                  <c:v>104.73</c:v>
                </c:pt>
                <c:pt idx="1">
                  <c:v>77.14</c:v>
                </c:pt>
                <c:pt idx="2">
                  <c:v>90.41</c:v>
                </c:pt>
                <c:pt idx="3">
                  <c:v>96.34</c:v>
                </c:pt>
                <c:pt idx="4">
                  <c:v>73.83</c:v>
                </c:pt>
                <c:pt idx="5">
                  <c:v>101.02</c:v>
                </c:pt>
                <c:pt idx="6">
                  <c:v>150.96</c:v>
                </c:pt>
                <c:pt idx="7">
                  <c:v>89.4</c:v>
                </c:pt>
                <c:pt idx="8">
                  <c:v>121.86</c:v>
                </c:pt>
                <c:pt idx="9">
                  <c:v>43.32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'2021.12.7'!$B$27:$B$29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'2021.12.7'!$C$27:$C$29</c:f>
              <c:numCache>
                <c:formatCode>General</c:formatCode>
                <c:ptCount val="3"/>
                <c:pt idx="0">
                  <c:v>163</c:v>
                </c:pt>
                <c:pt idx="1">
                  <c:v>196</c:v>
                </c:pt>
                <c:pt idx="2">
                  <c:v>5421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'2021.12.7'!$D$27:$D$29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'2021.12.7'!$E$27:$E$29</c:f>
              <c:numCache>
                <c:formatCode>General</c:formatCode>
                <c:ptCount val="3"/>
                <c:pt idx="0">
                  <c:v>131</c:v>
                </c:pt>
                <c:pt idx="1">
                  <c:v>116</c:v>
                </c:pt>
                <c:pt idx="2">
                  <c:v>5533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'2021.12.8'!$A$34:$A$43</c:f>
              <c:numCache>
                <c:formatCode>m/d;@</c:formatCode>
                <c:ptCount val="10"/>
                <c:pt idx="0" c:formatCode="m/d;@">
                  <c:v>44529</c:v>
                </c:pt>
                <c:pt idx="1" c:formatCode="m/d;@">
                  <c:v>44530</c:v>
                </c:pt>
                <c:pt idx="2" c:formatCode="m/d;@">
                  <c:v>44531</c:v>
                </c:pt>
                <c:pt idx="3" c:formatCode="m/d;@">
                  <c:v>44532</c:v>
                </c:pt>
                <c:pt idx="4" c:formatCode="m/d;@">
                  <c:v>44533</c:v>
                </c:pt>
                <c:pt idx="5" c:formatCode="m/d;@">
                  <c:v>44534</c:v>
                </c:pt>
                <c:pt idx="6" c:formatCode="m/d;@">
                  <c:v>44535</c:v>
                </c:pt>
                <c:pt idx="7" c:formatCode="m/d;@">
                  <c:v>44536</c:v>
                </c:pt>
                <c:pt idx="8" c:formatCode="m/d;@">
                  <c:v>44537</c:v>
                </c:pt>
                <c:pt idx="9" c:formatCode="m/d;@">
                  <c:v>44538</c:v>
                </c:pt>
              </c:numCache>
            </c:numRef>
          </c:cat>
          <c:val>
            <c:numRef>
              <c:f>'2021.12.8'!$B$34:$B$43</c:f>
              <c:numCache>
                <c:formatCode>0.00_ </c:formatCode>
                <c:ptCount val="10"/>
                <c:pt idx="0">
                  <c:v>77.14</c:v>
                </c:pt>
                <c:pt idx="1">
                  <c:v>90.41</c:v>
                </c:pt>
                <c:pt idx="2">
                  <c:v>96.34</c:v>
                </c:pt>
                <c:pt idx="3">
                  <c:v>73.83</c:v>
                </c:pt>
                <c:pt idx="4">
                  <c:v>101.02</c:v>
                </c:pt>
                <c:pt idx="5">
                  <c:v>150.96</c:v>
                </c:pt>
                <c:pt idx="6">
                  <c:v>89.4</c:v>
                </c:pt>
                <c:pt idx="7">
                  <c:v>121.86</c:v>
                </c:pt>
                <c:pt idx="8">
                  <c:v>43.32</c:v>
                </c:pt>
                <c:pt idx="9">
                  <c:v>131.25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'2021.10.12'!$A$31:$A$40</c:f>
              <c:numCache>
                <c:formatCode>m/d;@</c:formatCode>
                <c:ptCount val="10"/>
                <c:pt idx="0" c:formatCode="m/d;@">
                  <c:v>44472</c:v>
                </c:pt>
                <c:pt idx="1" c:formatCode="m/d;@">
                  <c:v>44473</c:v>
                </c:pt>
                <c:pt idx="2" c:formatCode="m/d;@">
                  <c:v>44474</c:v>
                </c:pt>
                <c:pt idx="3" c:formatCode="m/d;@">
                  <c:v>44475</c:v>
                </c:pt>
                <c:pt idx="4" c:formatCode="m/d;@">
                  <c:v>44476</c:v>
                </c:pt>
                <c:pt idx="5" c:formatCode="m/d;@">
                  <c:v>44477</c:v>
                </c:pt>
                <c:pt idx="6" c:formatCode="m/d;@">
                  <c:v>44478</c:v>
                </c:pt>
                <c:pt idx="7" c:formatCode="m/d;@">
                  <c:v>44479</c:v>
                </c:pt>
                <c:pt idx="8" c:formatCode="m/d;@">
                  <c:v>44480</c:v>
                </c:pt>
                <c:pt idx="9" c:formatCode="m/d;@">
                  <c:v>44481</c:v>
                </c:pt>
              </c:numCache>
            </c:numRef>
          </c:cat>
          <c:val>
            <c:numRef>
              <c:f>'2021.10.12'!$B$31:$B$40</c:f>
              <c:numCache>
                <c:formatCode>0.00_ </c:formatCode>
                <c:ptCount val="10"/>
                <c:pt idx="0">
                  <c:v>31.74</c:v>
                </c:pt>
                <c:pt idx="1">
                  <c:v>2</c:v>
                </c:pt>
                <c:pt idx="2">
                  <c:v>33.56</c:v>
                </c:pt>
                <c:pt idx="3">
                  <c:v>23.1</c:v>
                </c:pt>
                <c:pt idx="4">
                  <c:v>7.64</c:v>
                </c:pt>
                <c:pt idx="5">
                  <c:v>1.65</c:v>
                </c:pt>
                <c:pt idx="6">
                  <c:v>15.46</c:v>
                </c:pt>
                <c:pt idx="7">
                  <c:v>9.82</c:v>
                </c:pt>
                <c:pt idx="8">
                  <c:v>25.1</c:v>
                </c:pt>
                <c:pt idx="9">
                  <c:v>32.75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'2021.12.8'!$B$27:$B$29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'2021.12.8'!$C$27:$C$29</c:f>
              <c:numCache>
                <c:formatCode>General</c:formatCode>
                <c:ptCount val="3"/>
                <c:pt idx="0">
                  <c:v>167</c:v>
                </c:pt>
                <c:pt idx="1">
                  <c:v>202</c:v>
                </c:pt>
                <c:pt idx="2">
                  <c:v>5411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'2021.12.8'!$D$27:$D$29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'2021.12.8'!$E$27:$E$29</c:f>
              <c:numCache>
                <c:formatCode>General</c:formatCode>
                <c:ptCount val="3"/>
                <c:pt idx="0">
                  <c:v>135</c:v>
                </c:pt>
                <c:pt idx="1">
                  <c:v>129</c:v>
                </c:pt>
                <c:pt idx="2">
                  <c:v>5516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'2021.12.9'!$A$34:$A$43</c:f>
              <c:numCache>
                <c:formatCode>m/d;@</c:formatCode>
                <c:ptCount val="10"/>
                <c:pt idx="0" c:formatCode="m/d;@">
                  <c:v>44530</c:v>
                </c:pt>
                <c:pt idx="1" c:formatCode="m/d;@">
                  <c:v>44531</c:v>
                </c:pt>
                <c:pt idx="2" c:formatCode="m/d;@">
                  <c:v>44532</c:v>
                </c:pt>
                <c:pt idx="3" c:formatCode="m/d;@">
                  <c:v>44533</c:v>
                </c:pt>
                <c:pt idx="4" c:formatCode="m/d;@">
                  <c:v>44534</c:v>
                </c:pt>
                <c:pt idx="5" c:formatCode="m/d;@">
                  <c:v>44535</c:v>
                </c:pt>
                <c:pt idx="6" c:formatCode="m/d;@">
                  <c:v>44536</c:v>
                </c:pt>
                <c:pt idx="7" c:formatCode="m/d;@">
                  <c:v>44537</c:v>
                </c:pt>
                <c:pt idx="8" c:formatCode="m/d;@">
                  <c:v>44538</c:v>
                </c:pt>
                <c:pt idx="9" c:formatCode="m/d;@">
                  <c:v>44539</c:v>
                </c:pt>
              </c:numCache>
            </c:numRef>
          </c:cat>
          <c:val>
            <c:numRef>
              <c:f>'2021.12.9'!$B$34:$B$43</c:f>
              <c:numCache>
                <c:formatCode>0.00_ </c:formatCode>
                <c:ptCount val="10"/>
                <c:pt idx="0">
                  <c:v>90.41</c:v>
                </c:pt>
                <c:pt idx="1">
                  <c:v>96.34</c:v>
                </c:pt>
                <c:pt idx="2">
                  <c:v>73.83</c:v>
                </c:pt>
                <c:pt idx="3">
                  <c:v>101.02</c:v>
                </c:pt>
                <c:pt idx="4">
                  <c:v>150.96</c:v>
                </c:pt>
                <c:pt idx="5">
                  <c:v>89.4</c:v>
                </c:pt>
                <c:pt idx="6">
                  <c:v>121.86</c:v>
                </c:pt>
                <c:pt idx="7">
                  <c:v>43.32</c:v>
                </c:pt>
                <c:pt idx="8">
                  <c:v>131.25</c:v>
                </c:pt>
                <c:pt idx="9">
                  <c:v>87.96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'2021.12.9'!$B$27:$B$29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'2021.12.9'!$C$27:$C$29</c:f>
              <c:numCache>
                <c:formatCode>General</c:formatCode>
                <c:ptCount val="3"/>
                <c:pt idx="0">
                  <c:v>171</c:v>
                </c:pt>
                <c:pt idx="1">
                  <c:v>205</c:v>
                </c:pt>
                <c:pt idx="2">
                  <c:v>5404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'2021.12.9'!$D$27:$D$29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'2021.12.9'!$E$27:$E$29</c:f>
              <c:numCache>
                <c:formatCode>General</c:formatCode>
                <c:ptCount val="3"/>
                <c:pt idx="0">
                  <c:v>140</c:v>
                </c:pt>
                <c:pt idx="1">
                  <c:v>129</c:v>
                </c:pt>
                <c:pt idx="2">
                  <c:v>5511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'2021.12.10'!$A$34:$A$43</c:f>
              <c:numCache>
                <c:formatCode>m/d;@</c:formatCode>
                <c:ptCount val="10"/>
                <c:pt idx="0" c:formatCode="m/d;@">
                  <c:v>44531</c:v>
                </c:pt>
                <c:pt idx="1" c:formatCode="m/d;@">
                  <c:v>44532</c:v>
                </c:pt>
                <c:pt idx="2" c:formatCode="m/d;@">
                  <c:v>44533</c:v>
                </c:pt>
                <c:pt idx="3" c:formatCode="m/d;@">
                  <c:v>44534</c:v>
                </c:pt>
                <c:pt idx="4" c:formatCode="m/d;@">
                  <c:v>44535</c:v>
                </c:pt>
                <c:pt idx="5" c:formatCode="m/d;@">
                  <c:v>44536</c:v>
                </c:pt>
                <c:pt idx="6" c:formatCode="m/d;@">
                  <c:v>44537</c:v>
                </c:pt>
                <c:pt idx="7" c:formatCode="m/d;@">
                  <c:v>44538</c:v>
                </c:pt>
                <c:pt idx="8" c:formatCode="m/d;@">
                  <c:v>44539</c:v>
                </c:pt>
                <c:pt idx="9" c:formatCode="m/d;@">
                  <c:v>44540</c:v>
                </c:pt>
              </c:numCache>
            </c:numRef>
          </c:cat>
          <c:val>
            <c:numRef>
              <c:f>'2021.12.10'!$B$34:$B$43</c:f>
              <c:numCache>
                <c:formatCode>0.00_ </c:formatCode>
                <c:ptCount val="10"/>
                <c:pt idx="0">
                  <c:v>96.34</c:v>
                </c:pt>
                <c:pt idx="1">
                  <c:v>73.83</c:v>
                </c:pt>
                <c:pt idx="2">
                  <c:v>101.02</c:v>
                </c:pt>
                <c:pt idx="3">
                  <c:v>150.96</c:v>
                </c:pt>
                <c:pt idx="4">
                  <c:v>89.4</c:v>
                </c:pt>
                <c:pt idx="5">
                  <c:v>121.86</c:v>
                </c:pt>
                <c:pt idx="6">
                  <c:v>43.32</c:v>
                </c:pt>
                <c:pt idx="7">
                  <c:v>131.25</c:v>
                </c:pt>
                <c:pt idx="8">
                  <c:v>87.96</c:v>
                </c:pt>
                <c:pt idx="9">
                  <c:v>135.52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'2021.12.10'!$B$27:$B$29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'2021.12.10'!$C$27:$C$29</c:f>
              <c:numCache>
                <c:formatCode>General</c:formatCode>
                <c:ptCount val="3"/>
                <c:pt idx="0">
                  <c:v>173</c:v>
                </c:pt>
                <c:pt idx="1">
                  <c:v>213</c:v>
                </c:pt>
                <c:pt idx="2">
                  <c:v>5394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'2021.12.10'!$D$27:$D$29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'2021.12.10'!$E$27:$E$29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5506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'2021.12.11'!$A$34:$A$43</c:f>
              <c:numCache>
                <c:formatCode>m/d;@</c:formatCode>
                <c:ptCount val="10"/>
                <c:pt idx="0" c:formatCode="m/d;@">
                  <c:v>44532</c:v>
                </c:pt>
                <c:pt idx="1" c:formatCode="m/d;@">
                  <c:v>44533</c:v>
                </c:pt>
                <c:pt idx="2" c:formatCode="m/d;@">
                  <c:v>44534</c:v>
                </c:pt>
                <c:pt idx="3" c:formatCode="m/d;@">
                  <c:v>44535</c:v>
                </c:pt>
                <c:pt idx="4" c:formatCode="m/d;@">
                  <c:v>44536</c:v>
                </c:pt>
                <c:pt idx="5" c:formatCode="m/d;@">
                  <c:v>44537</c:v>
                </c:pt>
                <c:pt idx="6" c:formatCode="m/d;@">
                  <c:v>44538</c:v>
                </c:pt>
                <c:pt idx="7" c:formatCode="m/d;@">
                  <c:v>44539</c:v>
                </c:pt>
                <c:pt idx="8" c:formatCode="m/d;@">
                  <c:v>44540</c:v>
                </c:pt>
                <c:pt idx="9" c:formatCode="m/d;@">
                  <c:v>44541</c:v>
                </c:pt>
              </c:numCache>
            </c:numRef>
          </c:cat>
          <c:val>
            <c:numRef>
              <c:f>'2021.12.11'!$B$34:$B$43</c:f>
              <c:numCache>
                <c:formatCode>0.00_ </c:formatCode>
                <c:ptCount val="10"/>
                <c:pt idx="0">
                  <c:v>73.83</c:v>
                </c:pt>
                <c:pt idx="1">
                  <c:v>101.02</c:v>
                </c:pt>
                <c:pt idx="2">
                  <c:v>150.96</c:v>
                </c:pt>
                <c:pt idx="3">
                  <c:v>89.4</c:v>
                </c:pt>
                <c:pt idx="4">
                  <c:v>121.86</c:v>
                </c:pt>
                <c:pt idx="5">
                  <c:v>43.32</c:v>
                </c:pt>
                <c:pt idx="6">
                  <c:v>131.25</c:v>
                </c:pt>
                <c:pt idx="7">
                  <c:v>87.96</c:v>
                </c:pt>
                <c:pt idx="8">
                  <c:v>135.52</c:v>
                </c:pt>
                <c:pt idx="9">
                  <c:v>122.2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'2021.12.11'!$B$27:$B$29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'2021.12.11'!$C$27:$C$29</c:f>
              <c:numCache>
                <c:formatCode>General</c:formatCode>
                <c:ptCount val="3"/>
                <c:pt idx="0">
                  <c:v>178</c:v>
                </c:pt>
                <c:pt idx="1">
                  <c:v>219</c:v>
                </c:pt>
                <c:pt idx="2">
                  <c:v>5383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'2021.10.13'!$A$31:$A$40</c:f>
              <c:numCache>
                <c:formatCode>m/d;@</c:formatCode>
                <c:ptCount val="10"/>
                <c:pt idx="0" c:formatCode="m/d;@">
                  <c:v>44473</c:v>
                </c:pt>
                <c:pt idx="1" c:formatCode="m/d;@">
                  <c:v>44474</c:v>
                </c:pt>
                <c:pt idx="2" c:formatCode="m/d;@">
                  <c:v>44475</c:v>
                </c:pt>
                <c:pt idx="3" c:formatCode="m/d;@">
                  <c:v>44476</c:v>
                </c:pt>
                <c:pt idx="4" c:formatCode="m/d;@">
                  <c:v>44477</c:v>
                </c:pt>
                <c:pt idx="5" c:formatCode="m/d;@">
                  <c:v>44478</c:v>
                </c:pt>
                <c:pt idx="6" c:formatCode="m/d;@">
                  <c:v>44479</c:v>
                </c:pt>
                <c:pt idx="7" c:formatCode="m/d;@">
                  <c:v>44480</c:v>
                </c:pt>
                <c:pt idx="8" c:formatCode="m/d;@">
                  <c:v>44481</c:v>
                </c:pt>
                <c:pt idx="9" c:formatCode="m/d;@">
                  <c:v>44482</c:v>
                </c:pt>
              </c:numCache>
            </c:numRef>
          </c:cat>
          <c:val>
            <c:numRef>
              <c:f>'2021.10.13'!$B$31:$B$40</c:f>
              <c:numCache>
                <c:formatCode>0.00_ </c:formatCode>
                <c:ptCount val="10"/>
                <c:pt idx="0">
                  <c:v>2</c:v>
                </c:pt>
                <c:pt idx="1">
                  <c:v>33.56</c:v>
                </c:pt>
                <c:pt idx="2">
                  <c:v>23.1</c:v>
                </c:pt>
                <c:pt idx="3">
                  <c:v>7.64</c:v>
                </c:pt>
                <c:pt idx="4">
                  <c:v>1.65</c:v>
                </c:pt>
                <c:pt idx="5">
                  <c:v>15.46</c:v>
                </c:pt>
                <c:pt idx="6">
                  <c:v>9.82</c:v>
                </c:pt>
                <c:pt idx="7">
                  <c:v>25.1</c:v>
                </c:pt>
                <c:pt idx="8">
                  <c:v>32.75</c:v>
                </c:pt>
                <c:pt idx="9">
                  <c:v>32.75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'2021.12.11'!$D$27:$D$29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'2021.12.11'!$E$27:$E$29</c:f>
              <c:numCache>
                <c:formatCode>General</c:formatCode>
                <c:ptCount val="3"/>
                <c:pt idx="0">
                  <c:v>147</c:v>
                </c:pt>
                <c:pt idx="1">
                  <c:v>129</c:v>
                </c:pt>
                <c:pt idx="2">
                  <c:v>5504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'2021.12.12'!$A$34:$A$43</c:f>
              <c:numCache>
                <c:formatCode>m/d;@</c:formatCode>
                <c:ptCount val="10"/>
                <c:pt idx="0" c:formatCode="m/d;@">
                  <c:v>44533</c:v>
                </c:pt>
                <c:pt idx="1" c:formatCode="m/d;@">
                  <c:v>44534</c:v>
                </c:pt>
                <c:pt idx="2" c:formatCode="m/d;@">
                  <c:v>44535</c:v>
                </c:pt>
                <c:pt idx="3" c:formatCode="m/d;@">
                  <c:v>44536</c:v>
                </c:pt>
                <c:pt idx="4" c:formatCode="m/d;@">
                  <c:v>44537</c:v>
                </c:pt>
                <c:pt idx="5" c:formatCode="m/d;@">
                  <c:v>44538</c:v>
                </c:pt>
                <c:pt idx="6" c:formatCode="m/d;@">
                  <c:v>44539</c:v>
                </c:pt>
                <c:pt idx="7" c:formatCode="m/d;@">
                  <c:v>44540</c:v>
                </c:pt>
                <c:pt idx="8" c:formatCode="m/d;@">
                  <c:v>44541</c:v>
                </c:pt>
                <c:pt idx="9" c:formatCode="m/d;@">
                  <c:v>44542</c:v>
                </c:pt>
              </c:numCache>
            </c:numRef>
          </c:cat>
          <c:val>
            <c:numRef>
              <c:f>'2021.12.12'!$B$34:$B$43</c:f>
              <c:numCache>
                <c:formatCode>0.00_ </c:formatCode>
                <c:ptCount val="10"/>
                <c:pt idx="0">
                  <c:v>101.02</c:v>
                </c:pt>
                <c:pt idx="1">
                  <c:v>150.96</c:v>
                </c:pt>
                <c:pt idx="2">
                  <c:v>89.4</c:v>
                </c:pt>
                <c:pt idx="3">
                  <c:v>121.86</c:v>
                </c:pt>
                <c:pt idx="4">
                  <c:v>43.32</c:v>
                </c:pt>
                <c:pt idx="5">
                  <c:v>131.25</c:v>
                </c:pt>
                <c:pt idx="6">
                  <c:v>87.96</c:v>
                </c:pt>
                <c:pt idx="7">
                  <c:v>135.52</c:v>
                </c:pt>
                <c:pt idx="8">
                  <c:v>122.2</c:v>
                </c:pt>
                <c:pt idx="9">
                  <c:v>167.27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'2021.12.12'!$B$27:$B$29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'2021.12.12'!$C$27:$C$29</c:f>
              <c:numCache>
                <c:formatCode>General</c:formatCode>
                <c:ptCount val="3"/>
                <c:pt idx="0">
                  <c:v>182</c:v>
                </c:pt>
                <c:pt idx="1">
                  <c:v>225</c:v>
                </c:pt>
                <c:pt idx="2">
                  <c:v>5373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'2021.12.12'!$D$27:$D$29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'2021.12.12'!$E$27:$E$29</c:f>
              <c:numCache>
                <c:formatCode>General</c:formatCode>
                <c:ptCount val="3"/>
                <c:pt idx="0">
                  <c:v>153</c:v>
                </c:pt>
                <c:pt idx="1">
                  <c:v>129</c:v>
                </c:pt>
                <c:pt idx="2">
                  <c:v>5498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'2021.12.13'!$A$34:$A$43</c:f>
              <c:numCache>
                <c:formatCode>m/d;@</c:formatCode>
                <c:ptCount val="10"/>
                <c:pt idx="0" c:formatCode="m/d;@">
                  <c:v>44534</c:v>
                </c:pt>
                <c:pt idx="1" c:formatCode="m/d;@">
                  <c:v>44535</c:v>
                </c:pt>
                <c:pt idx="2" c:formatCode="m/d;@">
                  <c:v>44536</c:v>
                </c:pt>
                <c:pt idx="3" c:formatCode="m/d;@">
                  <c:v>44537</c:v>
                </c:pt>
                <c:pt idx="4" c:formatCode="m/d;@">
                  <c:v>44538</c:v>
                </c:pt>
                <c:pt idx="5" c:formatCode="m/d;@">
                  <c:v>44539</c:v>
                </c:pt>
                <c:pt idx="6" c:formatCode="m/d;@">
                  <c:v>44540</c:v>
                </c:pt>
                <c:pt idx="7" c:formatCode="m/d;@">
                  <c:v>44541</c:v>
                </c:pt>
                <c:pt idx="8" c:formatCode="m/d;@">
                  <c:v>44542</c:v>
                </c:pt>
                <c:pt idx="9" c:formatCode="m/d;@">
                  <c:v>44543</c:v>
                </c:pt>
              </c:numCache>
            </c:numRef>
          </c:cat>
          <c:val>
            <c:numRef>
              <c:f>'2021.12.13'!$B$34:$B$43</c:f>
              <c:numCache>
                <c:formatCode>0.00_ </c:formatCode>
                <c:ptCount val="10"/>
                <c:pt idx="0">
                  <c:v>150.96</c:v>
                </c:pt>
                <c:pt idx="1">
                  <c:v>89.4</c:v>
                </c:pt>
                <c:pt idx="2">
                  <c:v>121.86</c:v>
                </c:pt>
                <c:pt idx="3">
                  <c:v>43.32</c:v>
                </c:pt>
                <c:pt idx="4">
                  <c:v>131.25</c:v>
                </c:pt>
                <c:pt idx="5">
                  <c:v>87.96</c:v>
                </c:pt>
                <c:pt idx="6">
                  <c:v>135.52</c:v>
                </c:pt>
                <c:pt idx="7">
                  <c:v>122.2</c:v>
                </c:pt>
                <c:pt idx="8">
                  <c:v>167.27</c:v>
                </c:pt>
                <c:pt idx="9">
                  <c:v>166.57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'2021.12.13'!$B$27:$B$29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'2021.12.13'!$C$27:$C$29</c:f>
              <c:numCache>
                <c:formatCode>General</c:formatCode>
                <c:ptCount val="3"/>
                <c:pt idx="0">
                  <c:v>186</c:v>
                </c:pt>
                <c:pt idx="1">
                  <c:v>231</c:v>
                </c:pt>
                <c:pt idx="2">
                  <c:v>5363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'2021.12.13'!$D$27:$D$29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'2021.12.13'!$E$27:$E$29</c:f>
              <c:numCache>
                <c:formatCode>General</c:formatCode>
                <c:ptCount val="3"/>
                <c:pt idx="0">
                  <c:v>155</c:v>
                </c:pt>
                <c:pt idx="1">
                  <c:v>129</c:v>
                </c:pt>
                <c:pt idx="2">
                  <c:v>5496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'2021.12.14'!$A$34:$A$43</c:f>
              <c:numCache>
                <c:formatCode>m/d;@</c:formatCode>
                <c:ptCount val="10"/>
                <c:pt idx="0" c:formatCode="m/d;@">
                  <c:v>44535</c:v>
                </c:pt>
                <c:pt idx="1" c:formatCode="m/d;@">
                  <c:v>44536</c:v>
                </c:pt>
                <c:pt idx="2" c:formatCode="m/d;@">
                  <c:v>44537</c:v>
                </c:pt>
                <c:pt idx="3" c:formatCode="m/d;@">
                  <c:v>44538</c:v>
                </c:pt>
                <c:pt idx="4" c:formatCode="m/d;@">
                  <c:v>44539</c:v>
                </c:pt>
                <c:pt idx="5" c:formatCode="m/d;@">
                  <c:v>44540</c:v>
                </c:pt>
                <c:pt idx="6" c:formatCode="m/d;@">
                  <c:v>44541</c:v>
                </c:pt>
                <c:pt idx="7" c:formatCode="m/d;@">
                  <c:v>44542</c:v>
                </c:pt>
                <c:pt idx="8" c:formatCode="m/d;@">
                  <c:v>44543</c:v>
                </c:pt>
                <c:pt idx="9" c:formatCode="m/d;@">
                  <c:v>44544</c:v>
                </c:pt>
              </c:numCache>
            </c:numRef>
          </c:cat>
          <c:val>
            <c:numRef>
              <c:f>'2021.12.14'!$B$34:$B$43</c:f>
              <c:numCache>
                <c:formatCode>0.00_ </c:formatCode>
                <c:ptCount val="10"/>
                <c:pt idx="0">
                  <c:v>89.4</c:v>
                </c:pt>
                <c:pt idx="1">
                  <c:v>121.86</c:v>
                </c:pt>
                <c:pt idx="2">
                  <c:v>43.32</c:v>
                </c:pt>
                <c:pt idx="3">
                  <c:v>131.25</c:v>
                </c:pt>
                <c:pt idx="4">
                  <c:v>87.96</c:v>
                </c:pt>
                <c:pt idx="5">
                  <c:v>135.52</c:v>
                </c:pt>
                <c:pt idx="6">
                  <c:v>122.2</c:v>
                </c:pt>
                <c:pt idx="7">
                  <c:v>167.27</c:v>
                </c:pt>
                <c:pt idx="8">
                  <c:v>166.57</c:v>
                </c:pt>
                <c:pt idx="9">
                  <c:v>244.13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'2021.12.14'!$B$27:$B$29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'2021.12.14'!$C$27:$C$29</c:f>
              <c:numCache>
                <c:formatCode>General</c:formatCode>
                <c:ptCount val="3"/>
                <c:pt idx="0">
                  <c:v>190</c:v>
                </c:pt>
                <c:pt idx="1">
                  <c:v>239</c:v>
                </c:pt>
                <c:pt idx="2">
                  <c:v>5351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'2021.12.14'!$D$27:$D$29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'2021.12.14'!$E$27:$E$29</c:f>
              <c:numCache>
                <c:formatCode>General</c:formatCode>
                <c:ptCount val="3"/>
                <c:pt idx="0">
                  <c:v>156</c:v>
                </c:pt>
                <c:pt idx="1">
                  <c:v>129</c:v>
                </c:pt>
                <c:pt idx="2">
                  <c:v>5495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'2021.10.14'!$A$31:$A$40</c:f>
              <c:numCache>
                <c:formatCode>m/d;@</c:formatCode>
                <c:ptCount val="10"/>
                <c:pt idx="0" c:formatCode="m/d;@">
                  <c:v>44474</c:v>
                </c:pt>
                <c:pt idx="1" c:formatCode="m/d;@">
                  <c:v>44475</c:v>
                </c:pt>
                <c:pt idx="2" c:formatCode="m/d;@">
                  <c:v>44476</c:v>
                </c:pt>
                <c:pt idx="3" c:formatCode="m/d;@">
                  <c:v>44477</c:v>
                </c:pt>
                <c:pt idx="4" c:formatCode="m/d;@">
                  <c:v>44478</c:v>
                </c:pt>
                <c:pt idx="5" c:formatCode="m/d;@">
                  <c:v>44479</c:v>
                </c:pt>
                <c:pt idx="6" c:formatCode="m/d;@">
                  <c:v>44480</c:v>
                </c:pt>
                <c:pt idx="7" c:formatCode="m/d;@">
                  <c:v>44481</c:v>
                </c:pt>
                <c:pt idx="8" c:formatCode="m/d;@">
                  <c:v>44482</c:v>
                </c:pt>
                <c:pt idx="9" c:formatCode="m/d;@">
                  <c:v>44483</c:v>
                </c:pt>
              </c:numCache>
            </c:numRef>
          </c:cat>
          <c:val>
            <c:numRef>
              <c:f>'2021.10.14'!$B$31:$B$40</c:f>
              <c:numCache>
                <c:formatCode>0.00_ </c:formatCode>
                <c:ptCount val="10"/>
                <c:pt idx="0">
                  <c:v>33.56</c:v>
                </c:pt>
                <c:pt idx="1">
                  <c:v>23.1</c:v>
                </c:pt>
                <c:pt idx="2">
                  <c:v>7.64</c:v>
                </c:pt>
                <c:pt idx="3">
                  <c:v>1.65</c:v>
                </c:pt>
                <c:pt idx="4">
                  <c:v>15.46</c:v>
                </c:pt>
                <c:pt idx="5">
                  <c:v>9.82</c:v>
                </c:pt>
                <c:pt idx="6">
                  <c:v>25.1</c:v>
                </c:pt>
                <c:pt idx="7">
                  <c:v>32.75</c:v>
                </c:pt>
                <c:pt idx="8">
                  <c:v>32.75</c:v>
                </c:pt>
                <c:pt idx="9">
                  <c:v>32.92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'2021.12.15'!$A$34:$A$43</c:f>
              <c:numCache>
                <c:formatCode>m/d;@</c:formatCode>
                <c:ptCount val="10"/>
                <c:pt idx="0" c:formatCode="m/d;@">
                  <c:v>44536</c:v>
                </c:pt>
                <c:pt idx="1" c:formatCode="m/d;@">
                  <c:v>44537</c:v>
                </c:pt>
                <c:pt idx="2" c:formatCode="m/d;@">
                  <c:v>44538</c:v>
                </c:pt>
                <c:pt idx="3" c:formatCode="m/d;@">
                  <c:v>44539</c:v>
                </c:pt>
                <c:pt idx="4" c:formatCode="m/d;@">
                  <c:v>44540</c:v>
                </c:pt>
                <c:pt idx="5" c:formatCode="m/d;@">
                  <c:v>44541</c:v>
                </c:pt>
                <c:pt idx="6" c:formatCode="m/d;@">
                  <c:v>44542</c:v>
                </c:pt>
                <c:pt idx="7" c:formatCode="m/d;@">
                  <c:v>44543</c:v>
                </c:pt>
                <c:pt idx="8" c:formatCode="m/d;@">
                  <c:v>44544</c:v>
                </c:pt>
                <c:pt idx="9" c:formatCode="m/d;@">
                  <c:v>44545</c:v>
                </c:pt>
              </c:numCache>
            </c:numRef>
          </c:cat>
          <c:val>
            <c:numRef>
              <c:f>'2021.12.15'!$B$34:$B$43</c:f>
              <c:numCache>
                <c:formatCode>0.00_ </c:formatCode>
                <c:ptCount val="10"/>
                <c:pt idx="0">
                  <c:v>121.86</c:v>
                </c:pt>
                <c:pt idx="1">
                  <c:v>43.32</c:v>
                </c:pt>
                <c:pt idx="2">
                  <c:v>131.25</c:v>
                </c:pt>
                <c:pt idx="3">
                  <c:v>87.96</c:v>
                </c:pt>
                <c:pt idx="4">
                  <c:v>135.52</c:v>
                </c:pt>
                <c:pt idx="5">
                  <c:v>122.2</c:v>
                </c:pt>
                <c:pt idx="6">
                  <c:v>167.27</c:v>
                </c:pt>
                <c:pt idx="7">
                  <c:v>166.57</c:v>
                </c:pt>
                <c:pt idx="8">
                  <c:v>244.13</c:v>
                </c:pt>
                <c:pt idx="9">
                  <c:v>289.83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'2021.12.15'!$B$27:$B$29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'2021.12.15'!$C$27:$C$29</c:f>
              <c:numCache>
                <c:formatCode>General</c:formatCode>
                <c:ptCount val="3"/>
                <c:pt idx="0">
                  <c:v>195</c:v>
                </c:pt>
                <c:pt idx="1">
                  <c:v>245</c:v>
                </c:pt>
                <c:pt idx="2">
                  <c:v>5340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'2021.12.15'!$D$27:$D$29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'2021.12.15'!$E$27:$E$29</c:f>
              <c:numCache>
                <c:formatCode>General</c:formatCode>
                <c:ptCount val="3"/>
                <c:pt idx="0">
                  <c:v>160</c:v>
                </c:pt>
                <c:pt idx="1">
                  <c:v>129</c:v>
                </c:pt>
                <c:pt idx="2">
                  <c:v>5491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'2021.12.16'!$A$34:$A$43</c:f>
              <c:numCache>
                <c:formatCode>m/d;@</c:formatCode>
                <c:ptCount val="10"/>
                <c:pt idx="0" c:formatCode="m/d;@">
                  <c:v>44537</c:v>
                </c:pt>
                <c:pt idx="1" c:formatCode="m/d;@">
                  <c:v>44538</c:v>
                </c:pt>
                <c:pt idx="2" c:formatCode="m/d;@">
                  <c:v>44539</c:v>
                </c:pt>
                <c:pt idx="3" c:formatCode="m/d;@">
                  <c:v>44540</c:v>
                </c:pt>
                <c:pt idx="4" c:formatCode="m/d;@">
                  <c:v>44541</c:v>
                </c:pt>
                <c:pt idx="5" c:formatCode="m/d;@">
                  <c:v>44542</c:v>
                </c:pt>
                <c:pt idx="6" c:formatCode="m/d;@">
                  <c:v>44543</c:v>
                </c:pt>
                <c:pt idx="7" c:formatCode="m/d;@">
                  <c:v>44544</c:v>
                </c:pt>
                <c:pt idx="8" c:formatCode="m/d;@">
                  <c:v>44545</c:v>
                </c:pt>
                <c:pt idx="9" c:formatCode="m/d;@">
                  <c:v>44546</c:v>
                </c:pt>
              </c:numCache>
            </c:numRef>
          </c:cat>
          <c:val>
            <c:numRef>
              <c:f>'2021.12.16'!$B$34:$B$43</c:f>
              <c:numCache>
                <c:formatCode>0.00_ </c:formatCode>
                <c:ptCount val="10"/>
                <c:pt idx="0">
                  <c:v>43.32</c:v>
                </c:pt>
                <c:pt idx="1">
                  <c:v>131.25</c:v>
                </c:pt>
                <c:pt idx="2">
                  <c:v>87.96</c:v>
                </c:pt>
                <c:pt idx="3">
                  <c:v>135.52</c:v>
                </c:pt>
                <c:pt idx="4">
                  <c:v>122.2</c:v>
                </c:pt>
                <c:pt idx="5">
                  <c:v>167.27</c:v>
                </c:pt>
                <c:pt idx="6">
                  <c:v>166.57</c:v>
                </c:pt>
                <c:pt idx="7">
                  <c:v>244.13</c:v>
                </c:pt>
                <c:pt idx="8">
                  <c:v>289.83</c:v>
                </c:pt>
                <c:pt idx="9">
                  <c:v>166.8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'2021.12.16'!$B$27:$B$29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'2021.12.16'!$C$27:$C$29</c:f>
              <c:numCache>
                <c:formatCode>General</c:formatCode>
                <c:ptCount val="3"/>
                <c:pt idx="0">
                  <c:v>198</c:v>
                </c:pt>
                <c:pt idx="1">
                  <c:v>251</c:v>
                </c:pt>
                <c:pt idx="2">
                  <c:v>5331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'2021.12.16'!$D$27:$D$29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'2021.12.16'!$E$27:$E$29</c:f>
              <c:numCache>
                <c:formatCode>General</c:formatCode>
                <c:ptCount val="3"/>
                <c:pt idx="0">
                  <c:v>165</c:v>
                </c:pt>
                <c:pt idx="1">
                  <c:v>129</c:v>
                </c:pt>
                <c:pt idx="2">
                  <c:v>5486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'2021.12.17'!$A$34:$A$43</c:f>
              <c:numCache>
                <c:formatCode>m/d;@</c:formatCode>
                <c:ptCount val="10"/>
                <c:pt idx="0" c:formatCode="m/d;@">
                  <c:v>44538</c:v>
                </c:pt>
                <c:pt idx="1" c:formatCode="m/d;@">
                  <c:v>44539</c:v>
                </c:pt>
                <c:pt idx="2" c:formatCode="m/d;@">
                  <c:v>44540</c:v>
                </c:pt>
                <c:pt idx="3" c:formatCode="m/d;@">
                  <c:v>44541</c:v>
                </c:pt>
                <c:pt idx="4" c:formatCode="m/d;@">
                  <c:v>44542</c:v>
                </c:pt>
                <c:pt idx="5" c:formatCode="m/d;@">
                  <c:v>44543</c:v>
                </c:pt>
                <c:pt idx="6" c:formatCode="m/d;@">
                  <c:v>44544</c:v>
                </c:pt>
                <c:pt idx="7" c:formatCode="m/d;@">
                  <c:v>44545</c:v>
                </c:pt>
                <c:pt idx="8" c:formatCode="m/d;@">
                  <c:v>44546</c:v>
                </c:pt>
                <c:pt idx="9" c:formatCode="m/d;@">
                  <c:v>44547</c:v>
                </c:pt>
              </c:numCache>
            </c:numRef>
          </c:cat>
          <c:val>
            <c:numRef>
              <c:f>'2021.12.17'!$B$34:$B$43</c:f>
              <c:numCache>
                <c:formatCode>0.00_ </c:formatCode>
                <c:ptCount val="10"/>
                <c:pt idx="0">
                  <c:v>131.25</c:v>
                </c:pt>
                <c:pt idx="1">
                  <c:v>87.96</c:v>
                </c:pt>
                <c:pt idx="2">
                  <c:v>135.52</c:v>
                </c:pt>
                <c:pt idx="3">
                  <c:v>122.2</c:v>
                </c:pt>
                <c:pt idx="4">
                  <c:v>167.27</c:v>
                </c:pt>
                <c:pt idx="5">
                  <c:v>166.57</c:v>
                </c:pt>
                <c:pt idx="6">
                  <c:v>244.13</c:v>
                </c:pt>
                <c:pt idx="7">
                  <c:v>289.83</c:v>
                </c:pt>
                <c:pt idx="8">
                  <c:v>166.8</c:v>
                </c:pt>
                <c:pt idx="9">
                  <c:v>180.68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'2021.12.17'!$B$27:$B$29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'2021.12.17'!$C$27:$C$29</c:f>
              <c:numCache>
                <c:formatCode>General</c:formatCode>
                <c:ptCount val="3"/>
                <c:pt idx="0">
                  <c:v>204</c:v>
                </c:pt>
                <c:pt idx="1">
                  <c:v>258</c:v>
                </c:pt>
                <c:pt idx="2">
                  <c:v>5318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'2021.12.17'!$D$27:$D$29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'2021.12.17'!$E$27:$E$29</c:f>
              <c:numCache>
                <c:formatCode>General</c:formatCode>
                <c:ptCount val="3"/>
                <c:pt idx="0">
                  <c:v>168</c:v>
                </c:pt>
                <c:pt idx="1">
                  <c:v>145</c:v>
                </c:pt>
                <c:pt idx="2">
                  <c:v>5467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'2021.12.18'!$A$34:$A$43</c:f>
              <c:numCache>
                <c:formatCode>m/d;@</c:formatCode>
                <c:ptCount val="10"/>
                <c:pt idx="0" c:formatCode="m/d;@">
                  <c:v>44539</c:v>
                </c:pt>
                <c:pt idx="1" c:formatCode="m/d;@">
                  <c:v>44540</c:v>
                </c:pt>
                <c:pt idx="2" c:formatCode="m/d;@">
                  <c:v>44541</c:v>
                </c:pt>
                <c:pt idx="3" c:formatCode="m/d;@">
                  <c:v>44542</c:v>
                </c:pt>
                <c:pt idx="4" c:formatCode="m/d;@">
                  <c:v>44543</c:v>
                </c:pt>
                <c:pt idx="5" c:formatCode="m/d;@">
                  <c:v>44544</c:v>
                </c:pt>
                <c:pt idx="6" c:formatCode="m/d;@">
                  <c:v>44545</c:v>
                </c:pt>
                <c:pt idx="7" c:formatCode="m/d;@">
                  <c:v>44546</c:v>
                </c:pt>
                <c:pt idx="8" c:formatCode="m/d;@">
                  <c:v>44547</c:v>
                </c:pt>
                <c:pt idx="9" c:formatCode="m/d;@">
                  <c:v>44548</c:v>
                </c:pt>
              </c:numCache>
            </c:numRef>
          </c:cat>
          <c:val>
            <c:numRef>
              <c:f>'2021.12.18'!$B$34:$B$43</c:f>
              <c:numCache>
                <c:formatCode>0.00_ </c:formatCode>
                <c:ptCount val="10"/>
                <c:pt idx="0">
                  <c:v>87.96</c:v>
                </c:pt>
                <c:pt idx="1">
                  <c:v>135.52</c:v>
                </c:pt>
                <c:pt idx="2">
                  <c:v>122.2</c:v>
                </c:pt>
                <c:pt idx="3">
                  <c:v>167.27</c:v>
                </c:pt>
                <c:pt idx="4">
                  <c:v>166.57</c:v>
                </c:pt>
                <c:pt idx="5">
                  <c:v>244.13</c:v>
                </c:pt>
                <c:pt idx="6">
                  <c:v>289.83</c:v>
                </c:pt>
                <c:pt idx="7">
                  <c:v>166.8</c:v>
                </c:pt>
                <c:pt idx="8">
                  <c:v>180.68</c:v>
                </c:pt>
                <c:pt idx="9">
                  <c:v>178.07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'2021.10.15'!$A$31:$A$40</c:f>
              <c:numCache>
                <c:formatCode>m/d;@</c:formatCode>
                <c:ptCount val="10"/>
                <c:pt idx="0" c:formatCode="m/d;@">
                  <c:v>44475</c:v>
                </c:pt>
                <c:pt idx="1" c:formatCode="m/d;@">
                  <c:v>44476</c:v>
                </c:pt>
                <c:pt idx="2" c:formatCode="m/d;@">
                  <c:v>44477</c:v>
                </c:pt>
                <c:pt idx="3" c:formatCode="m/d;@">
                  <c:v>44478</c:v>
                </c:pt>
                <c:pt idx="4" c:formatCode="m/d;@">
                  <c:v>44479</c:v>
                </c:pt>
                <c:pt idx="5" c:formatCode="m/d;@">
                  <c:v>44480</c:v>
                </c:pt>
                <c:pt idx="6" c:formatCode="m/d;@">
                  <c:v>44481</c:v>
                </c:pt>
                <c:pt idx="7" c:formatCode="m/d;@">
                  <c:v>44482</c:v>
                </c:pt>
                <c:pt idx="8" c:formatCode="m/d;@">
                  <c:v>44483</c:v>
                </c:pt>
                <c:pt idx="9" c:formatCode="m/d;@">
                  <c:v>44484</c:v>
                </c:pt>
              </c:numCache>
            </c:numRef>
          </c:cat>
          <c:val>
            <c:numRef>
              <c:f>'2021.10.15'!$B$31:$B$40</c:f>
              <c:numCache>
                <c:formatCode>0.00_ </c:formatCode>
                <c:ptCount val="10"/>
                <c:pt idx="0">
                  <c:v>23.1</c:v>
                </c:pt>
                <c:pt idx="1">
                  <c:v>7.64</c:v>
                </c:pt>
                <c:pt idx="2">
                  <c:v>1.65</c:v>
                </c:pt>
                <c:pt idx="3">
                  <c:v>15.46</c:v>
                </c:pt>
                <c:pt idx="4">
                  <c:v>9.82</c:v>
                </c:pt>
                <c:pt idx="5">
                  <c:v>25.1</c:v>
                </c:pt>
                <c:pt idx="6">
                  <c:v>32.75</c:v>
                </c:pt>
                <c:pt idx="7">
                  <c:v>32.75</c:v>
                </c:pt>
                <c:pt idx="8">
                  <c:v>32.92</c:v>
                </c:pt>
                <c:pt idx="9">
                  <c:v>32.92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'2021.12.18'!$B$27:$B$29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'2021.12.18'!$C$27:$C$29</c:f>
              <c:numCache>
                <c:formatCode>General</c:formatCode>
                <c:ptCount val="3"/>
                <c:pt idx="0">
                  <c:v>208</c:v>
                </c:pt>
                <c:pt idx="1">
                  <c:v>264</c:v>
                </c:pt>
                <c:pt idx="2">
                  <c:v>5308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'2021.12.18'!$D$27:$D$29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'2021.12.18'!$E$27:$E$29</c:f>
              <c:numCache>
                <c:formatCode>General</c:formatCode>
                <c:ptCount val="3"/>
                <c:pt idx="0">
                  <c:v>170</c:v>
                </c:pt>
                <c:pt idx="1">
                  <c:v>169</c:v>
                </c:pt>
                <c:pt idx="2">
                  <c:v>5441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'2021.12.19'!$A$34:$A$43</c:f>
              <c:numCache>
                <c:formatCode>m/d;@</c:formatCode>
                <c:ptCount val="10"/>
                <c:pt idx="0" c:formatCode="m/d;@">
                  <c:v>44540</c:v>
                </c:pt>
                <c:pt idx="1" c:formatCode="m/d;@">
                  <c:v>44541</c:v>
                </c:pt>
                <c:pt idx="2" c:formatCode="m/d;@">
                  <c:v>44542</c:v>
                </c:pt>
                <c:pt idx="3" c:formatCode="m/d;@">
                  <c:v>44543</c:v>
                </c:pt>
                <c:pt idx="4" c:formatCode="m/d;@">
                  <c:v>44544</c:v>
                </c:pt>
                <c:pt idx="5" c:formatCode="m/d;@">
                  <c:v>44545</c:v>
                </c:pt>
                <c:pt idx="6" c:formatCode="m/d;@">
                  <c:v>44546</c:v>
                </c:pt>
                <c:pt idx="7" c:formatCode="m/d;@">
                  <c:v>44547</c:v>
                </c:pt>
                <c:pt idx="8" c:formatCode="m/d;@">
                  <c:v>44548</c:v>
                </c:pt>
                <c:pt idx="9" c:formatCode="m/d;@">
                  <c:v>44549</c:v>
                </c:pt>
              </c:numCache>
            </c:numRef>
          </c:cat>
          <c:val>
            <c:numRef>
              <c:f>'2021.12.19'!$B$34:$B$43</c:f>
              <c:numCache>
                <c:formatCode>0.00_ </c:formatCode>
                <c:ptCount val="10"/>
                <c:pt idx="0">
                  <c:v>135.52</c:v>
                </c:pt>
                <c:pt idx="1">
                  <c:v>122.2</c:v>
                </c:pt>
                <c:pt idx="2">
                  <c:v>167.27</c:v>
                </c:pt>
                <c:pt idx="3">
                  <c:v>166.57</c:v>
                </c:pt>
                <c:pt idx="4">
                  <c:v>244.13</c:v>
                </c:pt>
                <c:pt idx="5">
                  <c:v>289.83</c:v>
                </c:pt>
                <c:pt idx="6">
                  <c:v>166.8</c:v>
                </c:pt>
                <c:pt idx="7">
                  <c:v>180.68</c:v>
                </c:pt>
                <c:pt idx="8">
                  <c:v>178.07</c:v>
                </c:pt>
                <c:pt idx="9">
                  <c:v>123.13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'2021.12.19'!$B$27:$B$29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'2021.12.19'!$C$27:$C$29</c:f>
              <c:numCache>
                <c:formatCode>General</c:formatCode>
                <c:ptCount val="3"/>
                <c:pt idx="0">
                  <c:v>210</c:v>
                </c:pt>
                <c:pt idx="1">
                  <c:v>272</c:v>
                </c:pt>
                <c:pt idx="2">
                  <c:v>5298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'2021.12.19'!$D$27:$D$29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'2021.12.19'!$E$27:$E$29</c:f>
              <c:numCache>
                <c:formatCode>General</c:formatCode>
                <c:ptCount val="3"/>
                <c:pt idx="0">
                  <c:v>175</c:v>
                </c:pt>
                <c:pt idx="1">
                  <c:v>191</c:v>
                </c:pt>
                <c:pt idx="2">
                  <c:v>5414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'2021.12.20'!$A$34:$A$43</c:f>
              <c:numCache>
                <c:formatCode>m/d;@</c:formatCode>
                <c:ptCount val="10"/>
                <c:pt idx="0" c:formatCode="m/d;@">
                  <c:v>44541</c:v>
                </c:pt>
                <c:pt idx="1" c:formatCode="m/d;@">
                  <c:v>44542</c:v>
                </c:pt>
                <c:pt idx="2" c:formatCode="m/d;@">
                  <c:v>44543</c:v>
                </c:pt>
                <c:pt idx="3" c:formatCode="m/d;@">
                  <c:v>44544</c:v>
                </c:pt>
                <c:pt idx="4" c:formatCode="m/d;@">
                  <c:v>44545</c:v>
                </c:pt>
                <c:pt idx="5" c:formatCode="m/d;@">
                  <c:v>44546</c:v>
                </c:pt>
                <c:pt idx="6" c:formatCode="m/d;@">
                  <c:v>44547</c:v>
                </c:pt>
                <c:pt idx="7" c:formatCode="m/d;@">
                  <c:v>44548</c:v>
                </c:pt>
                <c:pt idx="8" c:formatCode="m/d;@">
                  <c:v>44549</c:v>
                </c:pt>
                <c:pt idx="9" c:formatCode="m/d;@">
                  <c:v>44550</c:v>
                </c:pt>
              </c:numCache>
            </c:numRef>
          </c:cat>
          <c:val>
            <c:numRef>
              <c:f>'2021.12.20'!$B$34:$B$43</c:f>
              <c:numCache>
                <c:formatCode>0.00_ </c:formatCode>
                <c:ptCount val="10"/>
                <c:pt idx="0">
                  <c:v>122.2</c:v>
                </c:pt>
                <c:pt idx="1">
                  <c:v>167.27</c:v>
                </c:pt>
                <c:pt idx="2">
                  <c:v>166.57</c:v>
                </c:pt>
                <c:pt idx="3">
                  <c:v>244.13</c:v>
                </c:pt>
                <c:pt idx="4">
                  <c:v>289.83</c:v>
                </c:pt>
                <c:pt idx="5">
                  <c:v>166.8</c:v>
                </c:pt>
                <c:pt idx="6">
                  <c:v>180.68</c:v>
                </c:pt>
                <c:pt idx="7">
                  <c:v>178.07</c:v>
                </c:pt>
                <c:pt idx="8">
                  <c:v>123.13</c:v>
                </c:pt>
                <c:pt idx="9">
                  <c:v>73.94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'2021.12.20'!$B$27:$B$29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'2021.12.20'!$C$27:$C$29</c:f>
              <c:numCache>
                <c:formatCode>General</c:formatCode>
                <c:ptCount val="3"/>
                <c:pt idx="0">
                  <c:v>212</c:v>
                </c:pt>
                <c:pt idx="1">
                  <c:v>275</c:v>
                </c:pt>
                <c:pt idx="2">
                  <c:v>5293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'2021.12.20'!$D$27:$D$29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'2021.12.20'!$E$27:$E$29</c:f>
              <c:numCache>
                <c:formatCode>General</c:formatCode>
                <c:ptCount val="3"/>
                <c:pt idx="0">
                  <c:v>176</c:v>
                </c:pt>
                <c:pt idx="1">
                  <c:v>208</c:v>
                </c:pt>
                <c:pt idx="2">
                  <c:v>5396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'2021.12.21'!$A$34:$A$43</c:f>
              <c:numCache>
                <c:formatCode>m/d;@</c:formatCode>
                <c:ptCount val="10"/>
                <c:pt idx="0" c:formatCode="m/d;@">
                  <c:v>44542</c:v>
                </c:pt>
                <c:pt idx="1" c:formatCode="m/d;@">
                  <c:v>44543</c:v>
                </c:pt>
                <c:pt idx="2" c:formatCode="m/d;@">
                  <c:v>44544</c:v>
                </c:pt>
                <c:pt idx="3" c:formatCode="m/d;@">
                  <c:v>44545</c:v>
                </c:pt>
                <c:pt idx="4" c:formatCode="m/d;@">
                  <c:v>44546</c:v>
                </c:pt>
                <c:pt idx="5" c:formatCode="m/d;@">
                  <c:v>44547</c:v>
                </c:pt>
                <c:pt idx="6" c:formatCode="m/d;@">
                  <c:v>44548</c:v>
                </c:pt>
                <c:pt idx="7" c:formatCode="m/d;@">
                  <c:v>44549</c:v>
                </c:pt>
                <c:pt idx="8" c:formatCode="m/d;@">
                  <c:v>44550</c:v>
                </c:pt>
                <c:pt idx="9" c:formatCode="m/d;@">
                  <c:v>44551</c:v>
                </c:pt>
              </c:numCache>
            </c:numRef>
          </c:cat>
          <c:val>
            <c:numRef>
              <c:f>'2021.12.21'!$B$34:$B$43</c:f>
              <c:numCache>
                <c:formatCode>0.00_ </c:formatCode>
                <c:ptCount val="10"/>
                <c:pt idx="0">
                  <c:v>167.27</c:v>
                </c:pt>
                <c:pt idx="1">
                  <c:v>166.57</c:v>
                </c:pt>
                <c:pt idx="2">
                  <c:v>244.13</c:v>
                </c:pt>
                <c:pt idx="3">
                  <c:v>289.83</c:v>
                </c:pt>
                <c:pt idx="4">
                  <c:v>166.8</c:v>
                </c:pt>
                <c:pt idx="5">
                  <c:v>180.68</c:v>
                </c:pt>
                <c:pt idx="6">
                  <c:v>178.07</c:v>
                </c:pt>
                <c:pt idx="7">
                  <c:v>123.13</c:v>
                </c:pt>
                <c:pt idx="8">
                  <c:v>73.94</c:v>
                </c:pt>
                <c:pt idx="9">
                  <c:v>122.65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'2021.12.21'!$B$27:$B$29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'2021.12.21'!$C$27:$C$29</c:f>
              <c:numCache>
                <c:formatCode>General</c:formatCode>
                <c:ptCount val="3"/>
                <c:pt idx="0">
                  <c:v>215</c:v>
                </c:pt>
                <c:pt idx="1">
                  <c:v>284</c:v>
                </c:pt>
                <c:pt idx="2">
                  <c:v>5281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'2021.10.16'!$A$31:$A$40</c:f>
              <c:numCache>
                <c:formatCode>m/d;@</c:formatCode>
                <c:ptCount val="10"/>
                <c:pt idx="0" c:formatCode="m/d;@">
                  <c:v>44476</c:v>
                </c:pt>
                <c:pt idx="1" c:formatCode="m/d;@">
                  <c:v>44477</c:v>
                </c:pt>
                <c:pt idx="2" c:formatCode="m/d;@">
                  <c:v>44478</c:v>
                </c:pt>
                <c:pt idx="3" c:formatCode="m/d;@">
                  <c:v>44479</c:v>
                </c:pt>
                <c:pt idx="4" c:formatCode="m/d;@">
                  <c:v>44480</c:v>
                </c:pt>
                <c:pt idx="5" c:formatCode="m/d;@">
                  <c:v>44481</c:v>
                </c:pt>
                <c:pt idx="6" c:formatCode="m/d;@">
                  <c:v>44482</c:v>
                </c:pt>
                <c:pt idx="7" c:formatCode="m/d;@">
                  <c:v>44483</c:v>
                </c:pt>
                <c:pt idx="8" c:formatCode="m/d;@">
                  <c:v>44484</c:v>
                </c:pt>
                <c:pt idx="9" c:formatCode="m/d;@">
                  <c:v>44485</c:v>
                </c:pt>
              </c:numCache>
            </c:numRef>
          </c:cat>
          <c:val>
            <c:numRef>
              <c:f>'2021.10.16'!$B$31:$B$40</c:f>
              <c:numCache>
                <c:formatCode>0.00_ </c:formatCode>
                <c:ptCount val="10"/>
                <c:pt idx="0">
                  <c:v>7.64</c:v>
                </c:pt>
                <c:pt idx="1">
                  <c:v>1.65</c:v>
                </c:pt>
                <c:pt idx="2">
                  <c:v>15.46</c:v>
                </c:pt>
                <c:pt idx="3">
                  <c:v>9.82</c:v>
                </c:pt>
                <c:pt idx="4">
                  <c:v>25.1</c:v>
                </c:pt>
                <c:pt idx="5">
                  <c:v>32.75</c:v>
                </c:pt>
                <c:pt idx="6">
                  <c:v>32.75</c:v>
                </c:pt>
                <c:pt idx="7">
                  <c:v>32.92</c:v>
                </c:pt>
                <c:pt idx="8">
                  <c:v>32.92</c:v>
                </c:pt>
                <c:pt idx="9">
                  <c:v>18.46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'2021.12.21'!$D$27:$D$29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'2021.12.21'!$E$27:$E$29</c:f>
              <c:numCache>
                <c:formatCode>General</c:formatCode>
                <c:ptCount val="3"/>
                <c:pt idx="0">
                  <c:v>180</c:v>
                </c:pt>
                <c:pt idx="1">
                  <c:v>208</c:v>
                </c:pt>
                <c:pt idx="2">
                  <c:v>5392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'2021.12.22'!$A$34:$A$43</c:f>
              <c:numCache>
                <c:formatCode>m/d;@</c:formatCode>
                <c:ptCount val="10"/>
                <c:pt idx="0" c:formatCode="m/d;@">
                  <c:v>44543</c:v>
                </c:pt>
                <c:pt idx="1" c:formatCode="m/d;@">
                  <c:v>44544</c:v>
                </c:pt>
                <c:pt idx="2" c:formatCode="m/d;@">
                  <c:v>44545</c:v>
                </c:pt>
                <c:pt idx="3" c:formatCode="m/d;@">
                  <c:v>44546</c:v>
                </c:pt>
                <c:pt idx="4" c:formatCode="m/d;@">
                  <c:v>44547</c:v>
                </c:pt>
                <c:pt idx="5" c:formatCode="m/d;@">
                  <c:v>44548</c:v>
                </c:pt>
                <c:pt idx="6" c:formatCode="m/d;@">
                  <c:v>44549</c:v>
                </c:pt>
                <c:pt idx="7" c:formatCode="m/d;@">
                  <c:v>44550</c:v>
                </c:pt>
                <c:pt idx="8" c:formatCode="m/d;@">
                  <c:v>44551</c:v>
                </c:pt>
                <c:pt idx="9" c:formatCode="m/d;@">
                  <c:v>44552</c:v>
                </c:pt>
              </c:numCache>
            </c:numRef>
          </c:cat>
          <c:val>
            <c:numRef>
              <c:f>'2021.12.22'!$B$34:$B$43</c:f>
              <c:numCache>
                <c:formatCode>0.00_ </c:formatCode>
                <c:ptCount val="10"/>
                <c:pt idx="0">
                  <c:v>166.57</c:v>
                </c:pt>
                <c:pt idx="1">
                  <c:v>244.13</c:v>
                </c:pt>
                <c:pt idx="2">
                  <c:v>289.83</c:v>
                </c:pt>
                <c:pt idx="3">
                  <c:v>166.8</c:v>
                </c:pt>
                <c:pt idx="4">
                  <c:v>180.68</c:v>
                </c:pt>
                <c:pt idx="5">
                  <c:v>178.07</c:v>
                </c:pt>
                <c:pt idx="6">
                  <c:v>123.13</c:v>
                </c:pt>
                <c:pt idx="7">
                  <c:v>73.94</c:v>
                </c:pt>
                <c:pt idx="8">
                  <c:v>122.65</c:v>
                </c:pt>
                <c:pt idx="9">
                  <c:v>85.34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'2021.12.22'!$B$27:$B$29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'2021.12.22'!$C$27:$C$29</c:f>
              <c:numCache>
                <c:formatCode>General</c:formatCode>
                <c:ptCount val="3"/>
                <c:pt idx="0">
                  <c:v>218</c:v>
                </c:pt>
                <c:pt idx="1">
                  <c:v>289</c:v>
                </c:pt>
                <c:pt idx="2">
                  <c:v>5273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'2021.12.22'!$D$27:$D$29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'2021.12.22'!$E$27:$E$29</c:f>
              <c:numCache>
                <c:formatCode>General</c:formatCode>
                <c:ptCount val="3"/>
                <c:pt idx="0">
                  <c:v>182</c:v>
                </c:pt>
                <c:pt idx="1">
                  <c:v>214</c:v>
                </c:pt>
                <c:pt idx="2">
                  <c:v>5384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'2021.12.23'!$A$34:$A$43</c:f>
              <c:numCache>
                <c:formatCode>m/d;@</c:formatCode>
                <c:ptCount val="10"/>
                <c:pt idx="0" c:formatCode="m/d;@">
                  <c:v>44544</c:v>
                </c:pt>
                <c:pt idx="1" c:formatCode="m/d;@">
                  <c:v>44545</c:v>
                </c:pt>
                <c:pt idx="2" c:formatCode="m/d;@">
                  <c:v>44546</c:v>
                </c:pt>
                <c:pt idx="3" c:formatCode="m/d;@">
                  <c:v>44547</c:v>
                </c:pt>
                <c:pt idx="4" c:formatCode="m/d;@">
                  <c:v>44548</c:v>
                </c:pt>
                <c:pt idx="5" c:formatCode="m/d;@">
                  <c:v>44549</c:v>
                </c:pt>
                <c:pt idx="6" c:formatCode="m/d;@">
                  <c:v>44550</c:v>
                </c:pt>
                <c:pt idx="7" c:formatCode="m/d;@">
                  <c:v>44551</c:v>
                </c:pt>
                <c:pt idx="8" c:formatCode="m/d;@">
                  <c:v>44552</c:v>
                </c:pt>
                <c:pt idx="9" c:formatCode="m/d;@">
                  <c:v>44553</c:v>
                </c:pt>
              </c:numCache>
            </c:numRef>
          </c:cat>
          <c:val>
            <c:numRef>
              <c:f>'2021.12.23'!$B$34:$B$43</c:f>
              <c:numCache>
                <c:formatCode>0.00_ </c:formatCode>
                <c:ptCount val="10"/>
                <c:pt idx="0">
                  <c:v>244.13</c:v>
                </c:pt>
                <c:pt idx="1">
                  <c:v>289.83</c:v>
                </c:pt>
                <c:pt idx="2">
                  <c:v>166.8</c:v>
                </c:pt>
                <c:pt idx="3">
                  <c:v>180.68</c:v>
                </c:pt>
                <c:pt idx="4">
                  <c:v>178.07</c:v>
                </c:pt>
                <c:pt idx="5">
                  <c:v>123.13</c:v>
                </c:pt>
                <c:pt idx="6">
                  <c:v>73.94</c:v>
                </c:pt>
                <c:pt idx="7">
                  <c:v>122.65</c:v>
                </c:pt>
                <c:pt idx="8">
                  <c:v>85.34</c:v>
                </c:pt>
                <c:pt idx="9">
                  <c:v>91.5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'2021.12.23'!$B$27:$B$29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'2021.12.23'!$C$27:$C$29</c:f>
              <c:numCache>
                <c:formatCode>General</c:formatCode>
                <c:ptCount val="3"/>
                <c:pt idx="0">
                  <c:v>219</c:v>
                </c:pt>
                <c:pt idx="1">
                  <c:v>296</c:v>
                </c:pt>
                <c:pt idx="2">
                  <c:v>5265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'2021.12.23'!$D$27:$D$29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'2021.12.23'!$E$27:$E$29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214</c:v>
                </c:pt>
                <c:pt idx="2">
                  <c:v>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'2021.12.24'!$A$34:$A$43</c:f>
              <c:numCache>
                <c:formatCode>m/d;@</c:formatCode>
                <c:ptCount val="10"/>
                <c:pt idx="0" c:formatCode="m/d;@">
                  <c:v>44545</c:v>
                </c:pt>
                <c:pt idx="1" c:formatCode="m/d;@">
                  <c:v>44546</c:v>
                </c:pt>
                <c:pt idx="2" c:formatCode="m/d;@">
                  <c:v>44547</c:v>
                </c:pt>
                <c:pt idx="3" c:formatCode="m/d;@">
                  <c:v>44548</c:v>
                </c:pt>
                <c:pt idx="4" c:formatCode="m/d;@">
                  <c:v>44549</c:v>
                </c:pt>
                <c:pt idx="5" c:formatCode="m/d;@">
                  <c:v>44550</c:v>
                </c:pt>
                <c:pt idx="6" c:formatCode="m/d;@">
                  <c:v>44551</c:v>
                </c:pt>
                <c:pt idx="7" c:formatCode="m/d;@">
                  <c:v>44552</c:v>
                </c:pt>
                <c:pt idx="8" c:formatCode="m/d;@">
                  <c:v>44553</c:v>
                </c:pt>
                <c:pt idx="9" c:formatCode="m/d;@">
                  <c:v>44554</c:v>
                </c:pt>
              </c:numCache>
            </c:numRef>
          </c:cat>
          <c:val>
            <c:numRef>
              <c:f>'2021.12.24'!$B$34:$B$43</c:f>
              <c:numCache>
                <c:formatCode>0.00_ </c:formatCode>
                <c:ptCount val="10"/>
                <c:pt idx="0">
                  <c:v>289.83</c:v>
                </c:pt>
                <c:pt idx="1">
                  <c:v>166.8</c:v>
                </c:pt>
                <c:pt idx="2">
                  <c:v>180.68</c:v>
                </c:pt>
                <c:pt idx="3">
                  <c:v>178.07</c:v>
                </c:pt>
                <c:pt idx="4">
                  <c:v>123.13</c:v>
                </c:pt>
                <c:pt idx="5">
                  <c:v>73.94</c:v>
                </c:pt>
                <c:pt idx="6">
                  <c:v>122.65</c:v>
                </c:pt>
                <c:pt idx="7">
                  <c:v>85.34</c:v>
                </c:pt>
                <c:pt idx="8">
                  <c:v>91.5</c:v>
                </c:pt>
                <c:pt idx="9">
                  <c:v>108.53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'2021.12.24'!$B$27:$B$29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'2021.12.24'!$C$27:$C$29</c:f>
              <c:numCache>
                <c:formatCode>General</c:formatCode>
                <c:ptCount val="3"/>
                <c:pt idx="0">
                  <c:v>222</c:v>
                </c:pt>
                <c:pt idx="1">
                  <c:v>303</c:v>
                </c:pt>
                <c:pt idx="2">
                  <c:v>5255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'2021.12.24'!$D$27:$D$29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'2021.12.24'!$E$27:$E$29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222</c:v>
                </c:pt>
                <c:pt idx="2">
                  <c:v>5373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'2021.10.17'!$A$31:$A$40</c:f>
              <c:numCache>
                <c:formatCode>m/d;@</c:formatCode>
                <c:ptCount val="10"/>
                <c:pt idx="0" c:formatCode="m/d;@">
                  <c:v>44477</c:v>
                </c:pt>
                <c:pt idx="1" c:formatCode="m/d;@">
                  <c:v>44478</c:v>
                </c:pt>
                <c:pt idx="2" c:formatCode="m/d;@">
                  <c:v>44479</c:v>
                </c:pt>
                <c:pt idx="3" c:formatCode="m/d;@">
                  <c:v>44480</c:v>
                </c:pt>
                <c:pt idx="4" c:formatCode="m/d;@">
                  <c:v>44481</c:v>
                </c:pt>
                <c:pt idx="5" c:formatCode="m/d;@">
                  <c:v>44482</c:v>
                </c:pt>
                <c:pt idx="6" c:formatCode="m/d;@">
                  <c:v>44483</c:v>
                </c:pt>
                <c:pt idx="7" c:formatCode="m/d;@">
                  <c:v>44484</c:v>
                </c:pt>
                <c:pt idx="8" c:formatCode="m/d;@">
                  <c:v>44485</c:v>
                </c:pt>
                <c:pt idx="9" c:formatCode="m/d;@">
                  <c:v>44486</c:v>
                </c:pt>
              </c:numCache>
            </c:numRef>
          </c:cat>
          <c:val>
            <c:numRef>
              <c:f>'2021.10.17'!$B$31:$B$40</c:f>
              <c:numCache>
                <c:formatCode>0.00_ </c:formatCode>
                <c:ptCount val="10"/>
                <c:pt idx="0">
                  <c:v>1.65</c:v>
                </c:pt>
                <c:pt idx="1">
                  <c:v>15.46</c:v>
                </c:pt>
                <c:pt idx="2">
                  <c:v>9.82</c:v>
                </c:pt>
                <c:pt idx="3">
                  <c:v>25.1</c:v>
                </c:pt>
                <c:pt idx="4">
                  <c:v>32.75</c:v>
                </c:pt>
                <c:pt idx="5">
                  <c:v>32.75</c:v>
                </c:pt>
                <c:pt idx="6">
                  <c:v>32.92</c:v>
                </c:pt>
                <c:pt idx="7">
                  <c:v>32.92</c:v>
                </c:pt>
                <c:pt idx="8">
                  <c:v>18.46</c:v>
                </c:pt>
                <c:pt idx="9">
                  <c:v>31.898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'2021.12.25'!$A$34:$A$43</c:f>
              <c:numCache>
                <c:formatCode>m/d;@</c:formatCode>
                <c:ptCount val="10"/>
                <c:pt idx="0" c:formatCode="m/d;@">
                  <c:v>44546</c:v>
                </c:pt>
                <c:pt idx="1" c:formatCode="m/d;@">
                  <c:v>44547</c:v>
                </c:pt>
                <c:pt idx="2" c:formatCode="m/d;@">
                  <c:v>44548</c:v>
                </c:pt>
                <c:pt idx="3" c:formatCode="m/d;@">
                  <c:v>44549</c:v>
                </c:pt>
                <c:pt idx="4" c:formatCode="m/d;@">
                  <c:v>44550</c:v>
                </c:pt>
                <c:pt idx="5" c:formatCode="m/d;@">
                  <c:v>44551</c:v>
                </c:pt>
                <c:pt idx="6" c:formatCode="m/d;@">
                  <c:v>44552</c:v>
                </c:pt>
                <c:pt idx="7" c:formatCode="m/d;@">
                  <c:v>44553</c:v>
                </c:pt>
                <c:pt idx="8" c:formatCode="m/d;@">
                  <c:v>44554</c:v>
                </c:pt>
                <c:pt idx="9" c:formatCode="m/d;@">
                  <c:v>44555</c:v>
                </c:pt>
              </c:numCache>
            </c:numRef>
          </c:cat>
          <c:val>
            <c:numRef>
              <c:f>'2021.12.25'!$B$34:$B$43</c:f>
              <c:numCache>
                <c:formatCode>0.00_ </c:formatCode>
                <c:ptCount val="10"/>
                <c:pt idx="0">
                  <c:v>166.8</c:v>
                </c:pt>
                <c:pt idx="1">
                  <c:v>180.68</c:v>
                </c:pt>
                <c:pt idx="2">
                  <c:v>178.07</c:v>
                </c:pt>
                <c:pt idx="3">
                  <c:v>123.13</c:v>
                </c:pt>
                <c:pt idx="4">
                  <c:v>73.94</c:v>
                </c:pt>
                <c:pt idx="5">
                  <c:v>122.65</c:v>
                </c:pt>
                <c:pt idx="6">
                  <c:v>85.34</c:v>
                </c:pt>
                <c:pt idx="7">
                  <c:v>91.5</c:v>
                </c:pt>
                <c:pt idx="8">
                  <c:v>108.53</c:v>
                </c:pt>
                <c:pt idx="9">
                  <c:v>121.36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'2021.12.25'!$B$27:$B$29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'2021.12.25'!$C$27:$C$29</c:f>
              <c:numCache>
                <c:formatCode>General</c:formatCode>
                <c:ptCount val="3"/>
                <c:pt idx="0">
                  <c:v>225</c:v>
                </c:pt>
                <c:pt idx="1">
                  <c:v>311</c:v>
                </c:pt>
                <c:pt idx="2">
                  <c:v>5244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'2021.12.25'!$D$27:$D$29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'2021.12.25'!$E$27:$E$29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223</c:v>
                </c:pt>
                <c:pt idx="2">
                  <c:v>5372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'2021.12.26'!$A$34:$A$43</c:f>
              <c:numCache>
                <c:formatCode>m/d;@</c:formatCode>
                <c:ptCount val="10"/>
                <c:pt idx="0" c:formatCode="m/d;@">
                  <c:v>44547</c:v>
                </c:pt>
                <c:pt idx="1" c:formatCode="m/d;@">
                  <c:v>44548</c:v>
                </c:pt>
                <c:pt idx="2" c:formatCode="m/d;@">
                  <c:v>44549</c:v>
                </c:pt>
                <c:pt idx="3" c:formatCode="m/d;@">
                  <c:v>44550</c:v>
                </c:pt>
                <c:pt idx="4" c:formatCode="m/d;@">
                  <c:v>44551</c:v>
                </c:pt>
                <c:pt idx="5" c:formatCode="m/d;@">
                  <c:v>44552</c:v>
                </c:pt>
                <c:pt idx="6" c:formatCode="m/d;@">
                  <c:v>44553</c:v>
                </c:pt>
                <c:pt idx="7" c:formatCode="m/d;@">
                  <c:v>44554</c:v>
                </c:pt>
                <c:pt idx="8" c:formatCode="m/d;@">
                  <c:v>44555</c:v>
                </c:pt>
                <c:pt idx="9" c:formatCode="m/d;@">
                  <c:v>44556</c:v>
                </c:pt>
              </c:numCache>
            </c:numRef>
          </c:cat>
          <c:val>
            <c:numRef>
              <c:f>'2021.12.26'!$B$34:$B$43</c:f>
              <c:numCache>
                <c:formatCode>0.00_ </c:formatCode>
                <c:ptCount val="10"/>
                <c:pt idx="0">
                  <c:v>180.68</c:v>
                </c:pt>
                <c:pt idx="1">
                  <c:v>178.07</c:v>
                </c:pt>
                <c:pt idx="2">
                  <c:v>123.13</c:v>
                </c:pt>
                <c:pt idx="3">
                  <c:v>73.94</c:v>
                </c:pt>
                <c:pt idx="4">
                  <c:v>122.65</c:v>
                </c:pt>
                <c:pt idx="5">
                  <c:v>85.34</c:v>
                </c:pt>
                <c:pt idx="6">
                  <c:v>91.5</c:v>
                </c:pt>
                <c:pt idx="7">
                  <c:v>108.53</c:v>
                </c:pt>
                <c:pt idx="8">
                  <c:v>121.36</c:v>
                </c:pt>
                <c:pt idx="9">
                  <c:v>109.49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'2021.12.26'!$B$27:$B$29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'2021.12.26'!$C$27:$C$29</c:f>
              <c:numCache>
                <c:formatCode>General</c:formatCode>
                <c:ptCount val="3"/>
                <c:pt idx="0">
                  <c:v>230</c:v>
                </c:pt>
                <c:pt idx="1">
                  <c:v>317</c:v>
                </c:pt>
                <c:pt idx="2">
                  <c:v>5233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'2021.12.26'!$D$27:$D$29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'2021.12.26'!$E$27:$E$29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236</c:v>
                </c:pt>
                <c:pt idx="2">
                  <c:v>5359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'2021.12.27'!$A$34:$A$43</c:f>
              <c:numCache>
                <c:formatCode>m/d;@</c:formatCode>
                <c:ptCount val="10"/>
                <c:pt idx="0" c:formatCode="m/d;@">
                  <c:v>44548</c:v>
                </c:pt>
                <c:pt idx="1" c:formatCode="m/d;@">
                  <c:v>44549</c:v>
                </c:pt>
                <c:pt idx="2" c:formatCode="m/d;@">
                  <c:v>44550</c:v>
                </c:pt>
                <c:pt idx="3" c:formatCode="m/d;@">
                  <c:v>44551</c:v>
                </c:pt>
                <c:pt idx="4" c:formatCode="m/d;@">
                  <c:v>44552</c:v>
                </c:pt>
                <c:pt idx="5" c:formatCode="m/d;@">
                  <c:v>44553</c:v>
                </c:pt>
                <c:pt idx="6" c:formatCode="m/d;@">
                  <c:v>44554</c:v>
                </c:pt>
                <c:pt idx="7" c:formatCode="m/d;@">
                  <c:v>44555</c:v>
                </c:pt>
                <c:pt idx="8" c:formatCode="m/d;@">
                  <c:v>44556</c:v>
                </c:pt>
                <c:pt idx="9" c:formatCode="m/d;@">
                  <c:v>44557</c:v>
                </c:pt>
              </c:numCache>
            </c:numRef>
          </c:cat>
          <c:val>
            <c:numRef>
              <c:f>'2021.12.27'!$B$34:$B$43</c:f>
              <c:numCache>
                <c:formatCode>0.00_ </c:formatCode>
                <c:ptCount val="10"/>
                <c:pt idx="0">
                  <c:v>178.07</c:v>
                </c:pt>
                <c:pt idx="1">
                  <c:v>123.13</c:v>
                </c:pt>
                <c:pt idx="2">
                  <c:v>73.94</c:v>
                </c:pt>
                <c:pt idx="3">
                  <c:v>122.65</c:v>
                </c:pt>
                <c:pt idx="4">
                  <c:v>85.34</c:v>
                </c:pt>
                <c:pt idx="5">
                  <c:v>91.5</c:v>
                </c:pt>
                <c:pt idx="6">
                  <c:v>108.53</c:v>
                </c:pt>
                <c:pt idx="7">
                  <c:v>121.36</c:v>
                </c:pt>
                <c:pt idx="8">
                  <c:v>109.49</c:v>
                </c:pt>
                <c:pt idx="9">
                  <c:v>134.71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'2021.12.27'!$B$27:$B$29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'2021.12.27'!$C$27:$C$29</c:f>
              <c:numCache>
                <c:formatCode>General</c:formatCode>
                <c:ptCount val="3"/>
                <c:pt idx="0">
                  <c:v>234</c:v>
                </c:pt>
                <c:pt idx="1">
                  <c:v>324</c:v>
                </c:pt>
                <c:pt idx="2">
                  <c:v>5222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'2021.12.27'!$D$27:$D$29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'2021.12.27'!$E$27:$E$29</c:f>
              <c:numCache>
                <c:formatCode>General</c:formatCode>
                <c:ptCount val="3"/>
                <c:pt idx="0">
                  <c:v>185</c:v>
                </c:pt>
                <c:pt idx="1">
                  <c:v>236</c:v>
                </c:pt>
                <c:pt idx="2">
                  <c:v>5359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'2021.12.28'!$A$36:$A$45</c:f>
              <c:numCache>
                <c:formatCode>m/d;@</c:formatCode>
                <c:ptCount val="10"/>
                <c:pt idx="0" c:formatCode="m/d;@">
                  <c:v>44549</c:v>
                </c:pt>
                <c:pt idx="1" c:formatCode="m/d;@">
                  <c:v>44550</c:v>
                </c:pt>
                <c:pt idx="2" c:formatCode="m/d;@">
                  <c:v>44551</c:v>
                </c:pt>
                <c:pt idx="3" c:formatCode="m/d;@">
                  <c:v>44552</c:v>
                </c:pt>
                <c:pt idx="4" c:formatCode="m/d;@">
                  <c:v>44553</c:v>
                </c:pt>
                <c:pt idx="5" c:formatCode="m/d;@">
                  <c:v>44554</c:v>
                </c:pt>
                <c:pt idx="6" c:formatCode="m/d;@">
                  <c:v>44555</c:v>
                </c:pt>
                <c:pt idx="7" c:formatCode="m/d;@">
                  <c:v>44556</c:v>
                </c:pt>
                <c:pt idx="8" c:formatCode="m/d;@">
                  <c:v>44557</c:v>
                </c:pt>
                <c:pt idx="9" c:formatCode="m/d;@">
                  <c:v>44558</c:v>
                </c:pt>
              </c:numCache>
            </c:numRef>
          </c:cat>
          <c:val>
            <c:numRef>
              <c:f>'2021.12.28'!$B$36:$B$45</c:f>
              <c:numCache>
                <c:formatCode>0.00_ </c:formatCode>
                <c:ptCount val="10"/>
                <c:pt idx="0">
                  <c:v>123.13</c:v>
                </c:pt>
                <c:pt idx="1">
                  <c:v>73.94</c:v>
                </c:pt>
                <c:pt idx="2">
                  <c:v>122.65</c:v>
                </c:pt>
                <c:pt idx="3">
                  <c:v>85.34</c:v>
                </c:pt>
                <c:pt idx="4">
                  <c:v>91.5</c:v>
                </c:pt>
                <c:pt idx="5">
                  <c:v>108.53</c:v>
                </c:pt>
                <c:pt idx="6">
                  <c:v>121.36</c:v>
                </c:pt>
                <c:pt idx="7">
                  <c:v>109.49</c:v>
                </c:pt>
                <c:pt idx="8">
                  <c:v>134.71</c:v>
                </c:pt>
                <c:pt idx="9">
                  <c:v>124.05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'2021.10.18'!$A$31:$A$40</c:f>
              <c:numCache>
                <c:formatCode>m/d;@</c:formatCode>
                <c:ptCount val="10"/>
                <c:pt idx="0" c:formatCode="m/d;@">
                  <c:v>44478</c:v>
                </c:pt>
                <c:pt idx="1" c:formatCode="m/d;@">
                  <c:v>44479</c:v>
                </c:pt>
                <c:pt idx="2" c:formatCode="m/d;@">
                  <c:v>44480</c:v>
                </c:pt>
                <c:pt idx="3" c:formatCode="m/d;@">
                  <c:v>44481</c:v>
                </c:pt>
                <c:pt idx="4" c:formatCode="m/d;@">
                  <c:v>44482</c:v>
                </c:pt>
                <c:pt idx="5" c:formatCode="m/d;@">
                  <c:v>44483</c:v>
                </c:pt>
                <c:pt idx="6" c:formatCode="m/d;@">
                  <c:v>44484</c:v>
                </c:pt>
                <c:pt idx="7" c:formatCode="m/d;@">
                  <c:v>44485</c:v>
                </c:pt>
                <c:pt idx="8" c:formatCode="m/d;@">
                  <c:v>44486</c:v>
                </c:pt>
                <c:pt idx="9" c:formatCode="m/d;@">
                  <c:v>44487</c:v>
                </c:pt>
              </c:numCache>
            </c:numRef>
          </c:cat>
          <c:val>
            <c:numRef>
              <c:f>'2021.10.18'!$B$31:$B$40</c:f>
              <c:numCache>
                <c:formatCode>0.00_ </c:formatCode>
                <c:ptCount val="10"/>
                <c:pt idx="0">
                  <c:v>15.46</c:v>
                </c:pt>
                <c:pt idx="1">
                  <c:v>9.82</c:v>
                </c:pt>
                <c:pt idx="2">
                  <c:v>25.1</c:v>
                </c:pt>
                <c:pt idx="3">
                  <c:v>32.75</c:v>
                </c:pt>
                <c:pt idx="4">
                  <c:v>32.75</c:v>
                </c:pt>
                <c:pt idx="5">
                  <c:v>32.92</c:v>
                </c:pt>
                <c:pt idx="6">
                  <c:v>32.92</c:v>
                </c:pt>
                <c:pt idx="7">
                  <c:v>18.46</c:v>
                </c:pt>
                <c:pt idx="8">
                  <c:v>31.898</c:v>
                </c:pt>
                <c:pt idx="9">
                  <c:v>15.46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'2021.12.28'!$C$29:$C$31</c:f>
              <c:numCache>
                <c:formatCode>General</c:formatCode>
                <c:ptCount val="3"/>
                <c:pt idx="0">
                  <c:v>238</c:v>
                </c:pt>
                <c:pt idx="1">
                  <c:v>331</c:v>
                </c:pt>
                <c:pt idx="2">
                  <c:v>5211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'2021.12.28'!$E$29:$E$31</c:f>
              <c:numCache>
                <c:formatCode>General</c:formatCode>
                <c:ptCount val="3"/>
                <c:pt idx="0">
                  <c:v>190</c:v>
                </c:pt>
                <c:pt idx="1">
                  <c:v>245</c:v>
                </c:pt>
                <c:pt idx="2">
                  <c:v>5345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'2021.12.29'!$A$36:$A$45</c:f>
              <c:numCache>
                <c:formatCode>m/d;@</c:formatCode>
                <c:ptCount val="10"/>
                <c:pt idx="0" c:formatCode="m/d;@">
                  <c:v>44550</c:v>
                </c:pt>
                <c:pt idx="1" c:formatCode="m/d;@">
                  <c:v>44551</c:v>
                </c:pt>
                <c:pt idx="2" c:formatCode="m/d;@">
                  <c:v>44552</c:v>
                </c:pt>
                <c:pt idx="3" c:formatCode="m/d;@">
                  <c:v>44553</c:v>
                </c:pt>
                <c:pt idx="4" c:formatCode="m/d;@">
                  <c:v>44554</c:v>
                </c:pt>
                <c:pt idx="5" c:formatCode="m/d;@">
                  <c:v>44555</c:v>
                </c:pt>
                <c:pt idx="6" c:formatCode="m/d;@">
                  <c:v>44556</c:v>
                </c:pt>
                <c:pt idx="7" c:formatCode="m/d;@">
                  <c:v>44557</c:v>
                </c:pt>
                <c:pt idx="8" c:formatCode="m/d;@">
                  <c:v>44558</c:v>
                </c:pt>
                <c:pt idx="9" c:formatCode="m/d;@">
                  <c:v>44559</c:v>
                </c:pt>
              </c:numCache>
            </c:numRef>
          </c:cat>
          <c:val>
            <c:numRef>
              <c:f>'2021.12.29'!$B$36:$B$45</c:f>
              <c:numCache>
                <c:formatCode>0.00_ </c:formatCode>
                <c:ptCount val="10"/>
                <c:pt idx="0">
                  <c:v>73.94</c:v>
                </c:pt>
                <c:pt idx="1">
                  <c:v>122.65</c:v>
                </c:pt>
                <c:pt idx="2">
                  <c:v>85.34</c:v>
                </c:pt>
                <c:pt idx="3">
                  <c:v>91.5</c:v>
                </c:pt>
                <c:pt idx="4">
                  <c:v>108.53</c:v>
                </c:pt>
                <c:pt idx="5">
                  <c:v>121.36</c:v>
                </c:pt>
                <c:pt idx="6">
                  <c:v>109.49</c:v>
                </c:pt>
                <c:pt idx="7">
                  <c:v>134.71</c:v>
                </c:pt>
                <c:pt idx="8">
                  <c:v>124.05</c:v>
                </c:pt>
                <c:pt idx="9">
                  <c:v>108.03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'2021.12.29'!$C$29:$C$31</c:f>
              <c:numCache>
                <c:formatCode>General</c:formatCode>
                <c:ptCount val="3"/>
                <c:pt idx="0">
                  <c:v>242</c:v>
                </c:pt>
                <c:pt idx="1">
                  <c:v>336</c:v>
                </c:pt>
                <c:pt idx="2">
                  <c:v>5202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'2021.12.29'!$D$29:$D$31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'2021.12.29'!$E$29:$E$31</c:f>
              <c:numCache>
                <c:formatCode>General</c:formatCode>
                <c:ptCount val="3"/>
                <c:pt idx="0">
                  <c:v>193</c:v>
                </c:pt>
                <c:pt idx="1">
                  <c:v>252</c:v>
                </c:pt>
                <c:pt idx="2">
                  <c:v>5335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'2021.12.30'!$A$36:$A$45</c:f>
              <c:numCache>
                <c:formatCode>m/d;@</c:formatCode>
                <c:ptCount val="10"/>
                <c:pt idx="0" c:formatCode="m/d;@">
                  <c:v>44551</c:v>
                </c:pt>
                <c:pt idx="1" c:formatCode="m/d;@">
                  <c:v>44552</c:v>
                </c:pt>
                <c:pt idx="2" c:formatCode="m/d;@">
                  <c:v>44553</c:v>
                </c:pt>
                <c:pt idx="3" c:formatCode="m/d;@">
                  <c:v>44554</c:v>
                </c:pt>
                <c:pt idx="4" c:formatCode="m/d;@">
                  <c:v>44555</c:v>
                </c:pt>
                <c:pt idx="5" c:formatCode="m/d;@">
                  <c:v>44556</c:v>
                </c:pt>
                <c:pt idx="6" c:formatCode="m/d;@">
                  <c:v>44557</c:v>
                </c:pt>
                <c:pt idx="7" c:formatCode="m/d;@">
                  <c:v>44558</c:v>
                </c:pt>
                <c:pt idx="8" c:formatCode="m/d;@">
                  <c:v>44559</c:v>
                </c:pt>
                <c:pt idx="9" c:formatCode="m/d;@">
                  <c:v>44560</c:v>
                </c:pt>
              </c:numCache>
            </c:numRef>
          </c:cat>
          <c:val>
            <c:numRef>
              <c:f>'2021.12.30'!$B$36:$B$45</c:f>
              <c:numCache>
                <c:formatCode>0.00_ </c:formatCode>
                <c:ptCount val="10"/>
                <c:pt idx="0">
                  <c:v>122.65</c:v>
                </c:pt>
                <c:pt idx="1">
                  <c:v>85.34</c:v>
                </c:pt>
                <c:pt idx="2">
                  <c:v>91.5</c:v>
                </c:pt>
                <c:pt idx="3">
                  <c:v>108.53</c:v>
                </c:pt>
                <c:pt idx="4">
                  <c:v>121.36</c:v>
                </c:pt>
                <c:pt idx="5">
                  <c:v>109.49</c:v>
                </c:pt>
                <c:pt idx="6">
                  <c:v>134.71</c:v>
                </c:pt>
                <c:pt idx="7">
                  <c:v>124.05</c:v>
                </c:pt>
                <c:pt idx="8">
                  <c:v>108.03</c:v>
                </c:pt>
                <c:pt idx="9">
                  <c:v>109.25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'2021.12.30'!$C$29:$C$31</c:f>
              <c:numCache>
                <c:formatCode>General</c:formatCode>
                <c:ptCount val="3"/>
                <c:pt idx="0">
                  <c:v>246</c:v>
                </c:pt>
                <c:pt idx="1">
                  <c:v>343</c:v>
                </c:pt>
                <c:pt idx="2">
                  <c:v>5191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'2021.12.30'!$E$29:$E$31</c:f>
              <c:numCache>
                <c:formatCode>General</c:formatCode>
                <c:ptCount val="3"/>
                <c:pt idx="0">
                  <c:v>194</c:v>
                </c:pt>
                <c:pt idx="1">
                  <c:v>260</c:v>
                </c:pt>
                <c:pt idx="2">
                  <c:v>5326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'2021.12.31'!$A$36:$A$45</c:f>
              <c:numCache>
                <c:formatCode>m/d;@</c:formatCode>
                <c:ptCount val="10"/>
                <c:pt idx="0" c:formatCode="m/d;@">
                  <c:v>44552</c:v>
                </c:pt>
                <c:pt idx="1" c:formatCode="m/d;@">
                  <c:v>44553</c:v>
                </c:pt>
                <c:pt idx="2" c:formatCode="m/d;@">
                  <c:v>44554</c:v>
                </c:pt>
                <c:pt idx="3" c:formatCode="m/d;@">
                  <c:v>44555</c:v>
                </c:pt>
                <c:pt idx="4" c:formatCode="m/d;@">
                  <c:v>44556</c:v>
                </c:pt>
                <c:pt idx="5" c:formatCode="m/d;@">
                  <c:v>44557</c:v>
                </c:pt>
                <c:pt idx="6" c:formatCode="m/d;@">
                  <c:v>44558</c:v>
                </c:pt>
                <c:pt idx="7" c:formatCode="m/d;@">
                  <c:v>44559</c:v>
                </c:pt>
                <c:pt idx="8" c:formatCode="m/d;@">
                  <c:v>44560</c:v>
                </c:pt>
                <c:pt idx="9" c:formatCode="m/d;@">
                  <c:v>44561</c:v>
                </c:pt>
              </c:numCache>
            </c:numRef>
          </c:cat>
          <c:val>
            <c:numRef>
              <c:f>'2021.12.31'!$B$36:$B$45</c:f>
              <c:numCache>
                <c:formatCode>0.00_ </c:formatCode>
                <c:ptCount val="10"/>
                <c:pt idx="0">
                  <c:v>85.34</c:v>
                </c:pt>
                <c:pt idx="1">
                  <c:v>91.5</c:v>
                </c:pt>
                <c:pt idx="2">
                  <c:v>108.53</c:v>
                </c:pt>
                <c:pt idx="3">
                  <c:v>121.36</c:v>
                </c:pt>
                <c:pt idx="4">
                  <c:v>109.49</c:v>
                </c:pt>
                <c:pt idx="5">
                  <c:v>134.71</c:v>
                </c:pt>
                <c:pt idx="6">
                  <c:v>124.05</c:v>
                </c:pt>
                <c:pt idx="7">
                  <c:v>108.03</c:v>
                </c:pt>
                <c:pt idx="8">
                  <c:v>109.25</c:v>
                </c:pt>
                <c:pt idx="9">
                  <c:v>89.94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'2021.12.31'!$C$29:$C$31</c:f>
              <c:numCache>
                <c:formatCode>General</c:formatCode>
                <c:ptCount val="3"/>
                <c:pt idx="0">
                  <c:v>250</c:v>
                </c:pt>
                <c:pt idx="1">
                  <c:v>347</c:v>
                </c:pt>
                <c:pt idx="2">
                  <c:v>5183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'2021.10.19'!$A$31:$A$40</c:f>
              <c:numCache>
                <c:formatCode>m/d;@</c:formatCode>
                <c:ptCount val="10"/>
                <c:pt idx="0" c:formatCode="m/d;@">
                  <c:v>44479</c:v>
                </c:pt>
                <c:pt idx="1" c:formatCode="m/d;@">
                  <c:v>44480</c:v>
                </c:pt>
                <c:pt idx="2" c:formatCode="m/d;@">
                  <c:v>44481</c:v>
                </c:pt>
                <c:pt idx="3" c:formatCode="m/d;@">
                  <c:v>44482</c:v>
                </c:pt>
                <c:pt idx="4" c:formatCode="m/d;@">
                  <c:v>44483</c:v>
                </c:pt>
                <c:pt idx="5" c:formatCode="m/d;@">
                  <c:v>44484</c:v>
                </c:pt>
                <c:pt idx="6" c:formatCode="m/d;@">
                  <c:v>44485</c:v>
                </c:pt>
                <c:pt idx="7" c:formatCode="m/d;@">
                  <c:v>44486</c:v>
                </c:pt>
                <c:pt idx="8" c:formatCode="m/d;@">
                  <c:v>44487</c:v>
                </c:pt>
                <c:pt idx="9" c:formatCode="m/d;@">
                  <c:v>44488</c:v>
                </c:pt>
              </c:numCache>
            </c:numRef>
          </c:cat>
          <c:val>
            <c:numRef>
              <c:f>'2021.10.19'!$B$31:$B$40</c:f>
              <c:numCache>
                <c:formatCode>0.00_ </c:formatCode>
                <c:ptCount val="10"/>
                <c:pt idx="0">
                  <c:v>9.82</c:v>
                </c:pt>
                <c:pt idx="1">
                  <c:v>25.1</c:v>
                </c:pt>
                <c:pt idx="2">
                  <c:v>32.75</c:v>
                </c:pt>
                <c:pt idx="3">
                  <c:v>32.75</c:v>
                </c:pt>
                <c:pt idx="4">
                  <c:v>32.92</c:v>
                </c:pt>
                <c:pt idx="5">
                  <c:v>32.92</c:v>
                </c:pt>
                <c:pt idx="6">
                  <c:v>18.46</c:v>
                </c:pt>
                <c:pt idx="7">
                  <c:v>31.898</c:v>
                </c:pt>
                <c:pt idx="8">
                  <c:v>15.46</c:v>
                </c:pt>
                <c:pt idx="9">
                  <c:v>7.82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'2021.12.31'!$D$29:$D$31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'2021.12.31'!$E$29:$E$31</c:f>
              <c:numCache>
                <c:formatCode>General</c:formatCode>
                <c:ptCount val="3"/>
                <c:pt idx="0">
                  <c:v>195</c:v>
                </c:pt>
                <c:pt idx="1">
                  <c:v>265</c:v>
                </c:pt>
                <c:pt idx="2">
                  <c:v>5320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'2022.1.1'!$A$36:$A$45</c:f>
              <c:numCache>
                <c:formatCode>m/d;@</c:formatCode>
                <c:ptCount val="10"/>
                <c:pt idx="0" c:formatCode="m/d;@">
                  <c:v>44553</c:v>
                </c:pt>
                <c:pt idx="1" c:formatCode="m/d;@">
                  <c:v>44554</c:v>
                </c:pt>
                <c:pt idx="2" c:formatCode="m/d;@">
                  <c:v>44555</c:v>
                </c:pt>
                <c:pt idx="3" c:formatCode="m/d;@">
                  <c:v>44556</c:v>
                </c:pt>
                <c:pt idx="4" c:formatCode="m/d;@">
                  <c:v>44557</c:v>
                </c:pt>
                <c:pt idx="5" c:formatCode="m/d;@">
                  <c:v>44558</c:v>
                </c:pt>
                <c:pt idx="6" c:formatCode="m/d;@">
                  <c:v>44559</c:v>
                </c:pt>
                <c:pt idx="7" c:formatCode="m/d;@">
                  <c:v>44560</c:v>
                </c:pt>
                <c:pt idx="8" c:formatCode="m/d;@">
                  <c:v>44561</c:v>
                </c:pt>
                <c:pt idx="9" c:formatCode="m/d;@">
                  <c:v>44562</c:v>
                </c:pt>
              </c:numCache>
            </c:numRef>
          </c:cat>
          <c:val>
            <c:numRef>
              <c:f>'2022.1.1'!$B$36:$B$45</c:f>
              <c:numCache>
                <c:formatCode>0.00_ </c:formatCode>
                <c:ptCount val="10"/>
                <c:pt idx="0">
                  <c:v>91.5</c:v>
                </c:pt>
                <c:pt idx="1">
                  <c:v>108.53</c:v>
                </c:pt>
                <c:pt idx="2">
                  <c:v>121.36</c:v>
                </c:pt>
                <c:pt idx="3">
                  <c:v>109.49</c:v>
                </c:pt>
                <c:pt idx="4">
                  <c:v>134.71</c:v>
                </c:pt>
                <c:pt idx="5">
                  <c:v>124.05</c:v>
                </c:pt>
                <c:pt idx="6">
                  <c:v>108.03</c:v>
                </c:pt>
                <c:pt idx="7">
                  <c:v>109.25</c:v>
                </c:pt>
                <c:pt idx="8">
                  <c:v>89.94</c:v>
                </c:pt>
                <c:pt idx="9">
                  <c:v>88.18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'2022.1.1'!$C$29:$C$31</c:f>
              <c:numCache>
                <c:formatCode>General</c:formatCode>
                <c:ptCount val="3"/>
                <c:pt idx="0">
                  <c:v>252</c:v>
                </c:pt>
                <c:pt idx="1">
                  <c:v>353</c:v>
                </c:pt>
                <c:pt idx="2">
                  <c:v>5175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'2022.1.1'!$E$29:$E$31</c:f>
              <c:numCache>
                <c:formatCode>General</c:formatCode>
                <c:ptCount val="3"/>
                <c:pt idx="0">
                  <c:v>195</c:v>
                </c:pt>
                <c:pt idx="1">
                  <c:v>265</c:v>
                </c:pt>
                <c:pt idx="2">
                  <c:v>5320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'2022.1.2'!$A$36:$A$45</c:f>
              <c:numCache>
                <c:formatCode>m/d;@</c:formatCode>
                <c:ptCount val="10"/>
                <c:pt idx="0" c:formatCode="m/d;@">
                  <c:v>44554</c:v>
                </c:pt>
                <c:pt idx="1" c:formatCode="m/d;@">
                  <c:v>44555</c:v>
                </c:pt>
                <c:pt idx="2" c:formatCode="m/d;@">
                  <c:v>44556</c:v>
                </c:pt>
                <c:pt idx="3" c:formatCode="m/d;@">
                  <c:v>44557</c:v>
                </c:pt>
                <c:pt idx="4" c:formatCode="m/d;@">
                  <c:v>44558</c:v>
                </c:pt>
                <c:pt idx="5" c:formatCode="m/d;@">
                  <c:v>44559</c:v>
                </c:pt>
                <c:pt idx="6" c:formatCode="m/d;@">
                  <c:v>44560</c:v>
                </c:pt>
                <c:pt idx="7" c:formatCode="m/d;@">
                  <c:v>44561</c:v>
                </c:pt>
                <c:pt idx="8" c:formatCode="m/d;@">
                  <c:v>44562</c:v>
                </c:pt>
                <c:pt idx="9" c:formatCode="m/d;@">
                  <c:v>44563</c:v>
                </c:pt>
              </c:numCache>
            </c:numRef>
          </c:cat>
          <c:val>
            <c:numRef>
              <c:f>'2022.1.2'!$B$36:$B$45</c:f>
              <c:numCache>
                <c:formatCode>0.00_ </c:formatCode>
                <c:ptCount val="10"/>
                <c:pt idx="0">
                  <c:v>108.53</c:v>
                </c:pt>
                <c:pt idx="1">
                  <c:v>121.36</c:v>
                </c:pt>
                <c:pt idx="2">
                  <c:v>109.49</c:v>
                </c:pt>
                <c:pt idx="3">
                  <c:v>134.71</c:v>
                </c:pt>
                <c:pt idx="4">
                  <c:v>124.05</c:v>
                </c:pt>
                <c:pt idx="5">
                  <c:v>108.03</c:v>
                </c:pt>
                <c:pt idx="6">
                  <c:v>109.25</c:v>
                </c:pt>
                <c:pt idx="7">
                  <c:v>89.94</c:v>
                </c:pt>
                <c:pt idx="8">
                  <c:v>88.18</c:v>
                </c:pt>
                <c:pt idx="9">
                  <c:v>89.63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'2022.1.2'!$C$29:$C$31</c:f>
              <c:numCache>
                <c:formatCode>General</c:formatCode>
                <c:ptCount val="3"/>
                <c:pt idx="0">
                  <c:v>255</c:v>
                </c:pt>
                <c:pt idx="1">
                  <c:v>357</c:v>
                </c:pt>
                <c:pt idx="2">
                  <c:v>5168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'2022.1.2'!$E$29:$E$31</c:f>
              <c:numCache>
                <c:formatCode>General</c:formatCode>
                <c:ptCount val="3"/>
                <c:pt idx="0">
                  <c:v>198</c:v>
                </c:pt>
                <c:pt idx="1">
                  <c:v>265</c:v>
                </c:pt>
                <c:pt idx="2">
                  <c:v>5317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'2022.1.3'!$A$36:$A$45</c:f>
              <c:numCache>
                <c:formatCode>m/d;@</c:formatCode>
                <c:ptCount val="10"/>
                <c:pt idx="0" c:formatCode="m/d;@">
                  <c:v>44555</c:v>
                </c:pt>
                <c:pt idx="1" c:formatCode="m/d;@">
                  <c:v>44556</c:v>
                </c:pt>
                <c:pt idx="2" c:formatCode="m/d;@">
                  <c:v>44557</c:v>
                </c:pt>
                <c:pt idx="3" c:formatCode="m/d;@">
                  <c:v>44558</c:v>
                </c:pt>
                <c:pt idx="4" c:formatCode="m/d;@">
                  <c:v>44559</c:v>
                </c:pt>
                <c:pt idx="5" c:formatCode="m/d;@">
                  <c:v>44560</c:v>
                </c:pt>
                <c:pt idx="6" c:formatCode="m/d;@">
                  <c:v>44561</c:v>
                </c:pt>
                <c:pt idx="7" c:formatCode="m/d;@">
                  <c:v>44562</c:v>
                </c:pt>
                <c:pt idx="8" c:formatCode="m/d;@">
                  <c:v>44563</c:v>
                </c:pt>
                <c:pt idx="9" c:formatCode="m/d;@">
                  <c:v>44564</c:v>
                </c:pt>
              </c:numCache>
            </c:numRef>
          </c:cat>
          <c:val>
            <c:numRef>
              <c:f>'2022.1.3'!$B$36:$B$45</c:f>
              <c:numCache>
                <c:formatCode>0.00_ </c:formatCode>
                <c:ptCount val="10"/>
                <c:pt idx="0">
                  <c:v>121.36</c:v>
                </c:pt>
                <c:pt idx="1">
                  <c:v>109.49</c:v>
                </c:pt>
                <c:pt idx="2">
                  <c:v>134.71</c:v>
                </c:pt>
                <c:pt idx="3">
                  <c:v>124.05</c:v>
                </c:pt>
                <c:pt idx="4">
                  <c:v>108.03</c:v>
                </c:pt>
                <c:pt idx="5">
                  <c:v>109.25</c:v>
                </c:pt>
                <c:pt idx="6">
                  <c:v>89.94</c:v>
                </c:pt>
                <c:pt idx="7">
                  <c:v>88.18</c:v>
                </c:pt>
                <c:pt idx="8">
                  <c:v>89.63</c:v>
                </c:pt>
                <c:pt idx="9">
                  <c:v>111.87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'2022.1.3'!$C$29:$C$31</c:f>
              <c:numCache>
                <c:formatCode>General</c:formatCode>
                <c:ptCount val="3"/>
                <c:pt idx="0">
                  <c:v>257</c:v>
                </c:pt>
                <c:pt idx="1">
                  <c:v>364</c:v>
                </c:pt>
                <c:pt idx="2">
                  <c:v>5159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'2022.1.3'!$E$29:$E$31</c:f>
              <c:numCache>
                <c:formatCode>General</c:formatCode>
                <c:ptCount val="3"/>
                <c:pt idx="0">
                  <c:v>200</c:v>
                </c:pt>
                <c:pt idx="1">
                  <c:v>282</c:v>
                </c:pt>
                <c:pt idx="2">
                  <c:v>5298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'2021.10.20'!$A$31:$A$40</c:f>
              <c:numCache>
                <c:formatCode>m/d;@</c:formatCode>
                <c:ptCount val="10"/>
                <c:pt idx="0" c:formatCode="m/d;@">
                  <c:v>44480</c:v>
                </c:pt>
                <c:pt idx="1" c:formatCode="m/d;@">
                  <c:v>44481</c:v>
                </c:pt>
                <c:pt idx="2" c:formatCode="m/d;@">
                  <c:v>44482</c:v>
                </c:pt>
                <c:pt idx="3" c:formatCode="m/d;@">
                  <c:v>44483</c:v>
                </c:pt>
                <c:pt idx="4" c:formatCode="m/d;@">
                  <c:v>44484</c:v>
                </c:pt>
                <c:pt idx="5" c:formatCode="m/d;@">
                  <c:v>44485</c:v>
                </c:pt>
                <c:pt idx="6" c:formatCode="m/d;@">
                  <c:v>44486</c:v>
                </c:pt>
                <c:pt idx="7" c:formatCode="m/d;@">
                  <c:v>44487</c:v>
                </c:pt>
                <c:pt idx="8" c:formatCode="m/d;@">
                  <c:v>44488</c:v>
                </c:pt>
                <c:pt idx="9" c:formatCode="m/d;@">
                  <c:v>44489</c:v>
                </c:pt>
              </c:numCache>
            </c:numRef>
          </c:cat>
          <c:val>
            <c:numRef>
              <c:f>'2021.10.20'!$B$31:$B$40</c:f>
              <c:numCache>
                <c:formatCode>0.00_ </c:formatCode>
                <c:ptCount val="10"/>
                <c:pt idx="0">
                  <c:v>25.1</c:v>
                </c:pt>
                <c:pt idx="1">
                  <c:v>32.75</c:v>
                </c:pt>
                <c:pt idx="2">
                  <c:v>32.75</c:v>
                </c:pt>
                <c:pt idx="3">
                  <c:v>32.92</c:v>
                </c:pt>
                <c:pt idx="4">
                  <c:v>32.92</c:v>
                </c:pt>
                <c:pt idx="5">
                  <c:v>18.46</c:v>
                </c:pt>
                <c:pt idx="6">
                  <c:v>31.898</c:v>
                </c:pt>
                <c:pt idx="7">
                  <c:v>15.46</c:v>
                </c:pt>
                <c:pt idx="8">
                  <c:v>7.82</c:v>
                </c:pt>
                <c:pt idx="9">
                  <c:v>16.061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'2022.1.4'!$A$36:$A$45</c:f>
              <c:numCache>
                <c:formatCode>m/d;@</c:formatCode>
                <c:ptCount val="10"/>
                <c:pt idx="0" c:formatCode="m/d;@">
                  <c:v>44556</c:v>
                </c:pt>
                <c:pt idx="1" c:formatCode="m/d;@">
                  <c:v>44557</c:v>
                </c:pt>
                <c:pt idx="2" c:formatCode="m/d;@">
                  <c:v>44558</c:v>
                </c:pt>
                <c:pt idx="3" c:formatCode="m/d;@">
                  <c:v>44559</c:v>
                </c:pt>
                <c:pt idx="4" c:formatCode="m/d;@">
                  <c:v>44560</c:v>
                </c:pt>
                <c:pt idx="5" c:formatCode="m/d;@">
                  <c:v>44561</c:v>
                </c:pt>
                <c:pt idx="6" c:formatCode="m/d;@">
                  <c:v>44562</c:v>
                </c:pt>
                <c:pt idx="7" c:formatCode="m/d;@">
                  <c:v>44563</c:v>
                </c:pt>
                <c:pt idx="8" c:formatCode="m/d;@">
                  <c:v>44564</c:v>
                </c:pt>
                <c:pt idx="9" c:formatCode="m/d;@">
                  <c:v>44565</c:v>
                </c:pt>
              </c:numCache>
            </c:numRef>
          </c:cat>
          <c:val>
            <c:numRef>
              <c:f>'2022.1.4'!$B$36:$B$45</c:f>
              <c:numCache>
                <c:formatCode>0.00_ </c:formatCode>
                <c:ptCount val="10"/>
                <c:pt idx="0">
                  <c:v>109.49</c:v>
                </c:pt>
                <c:pt idx="1">
                  <c:v>134.71</c:v>
                </c:pt>
                <c:pt idx="2">
                  <c:v>124.05</c:v>
                </c:pt>
                <c:pt idx="3">
                  <c:v>108.03</c:v>
                </c:pt>
                <c:pt idx="4">
                  <c:v>109.25</c:v>
                </c:pt>
                <c:pt idx="5">
                  <c:v>89.94</c:v>
                </c:pt>
                <c:pt idx="6">
                  <c:v>88.18</c:v>
                </c:pt>
                <c:pt idx="7">
                  <c:v>89.63</c:v>
                </c:pt>
                <c:pt idx="8">
                  <c:v>111.87</c:v>
                </c:pt>
                <c:pt idx="9">
                  <c:v>108.09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'2022.1.4'!$C$29:$C$31</c:f>
              <c:numCache>
                <c:formatCode>General</c:formatCode>
                <c:ptCount val="3"/>
                <c:pt idx="0">
                  <c:v>260</c:v>
                </c:pt>
                <c:pt idx="1">
                  <c:v>369</c:v>
                </c:pt>
                <c:pt idx="2">
                  <c:v>5151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'2022.1.4'!$E$29:$E$31</c:f>
              <c:numCache>
                <c:formatCode>General</c:formatCode>
                <c:ptCount val="3"/>
                <c:pt idx="0">
                  <c:v>200</c:v>
                </c:pt>
                <c:pt idx="1">
                  <c:v>297</c:v>
                </c:pt>
                <c:pt idx="2">
                  <c:v>5283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'2022.1.5'!$A$36:$A$45</c:f>
              <c:numCache>
                <c:formatCode>m/d;@</c:formatCode>
                <c:ptCount val="10"/>
                <c:pt idx="0" c:formatCode="m/d;@">
                  <c:v>44557</c:v>
                </c:pt>
                <c:pt idx="1" c:formatCode="m/d;@">
                  <c:v>44558</c:v>
                </c:pt>
                <c:pt idx="2" c:formatCode="m/d;@">
                  <c:v>44559</c:v>
                </c:pt>
                <c:pt idx="3" c:formatCode="m/d;@">
                  <c:v>44560</c:v>
                </c:pt>
                <c:pt idx="4" c:formatCode="m/d;@">
                  <c:v>44561</c:v>
                </c:pt>
                <c:pt idx="5" c:formatCode="m/d;@">
                  <c:v>44562</c:v>
                </c:pt>
                <c:pt idx="6" c:formatCode="m/d;@">
                  <c:v>44563</c:v>
                </c:pt>
                <c:pt idx="7" c:formatCode="m/d;@">
                  <c:v>44564</c:v>
                </c:pt>
                <c:pt idx="8" c:formatCode="m/d;@">
                  <c:v>44565</c:v>
                </c:pt>
                <c:pt idx="9" c:formatCode="m/d;@">
                  <c:v>44566</c:v>
                </c:pt>
              </c:numCache>
            </c:numRef>
          </c:cat>
          <c:val>
            <c:numRef>
              <c:f>'2022.1.5'!$B$36:$B$45</c:f>
              <c:numCache>
                <c:formatCode>0.00_ </c:formatCode>
                <c:ptCount val="10"/>
                <c:pt idx="0">
                  <c:v>134.71</c:v>
                </c:pt>
                <c:pt idx="1">
                  <c:v>124.05</c:v>
                </c:pt>
                <c:pt idx="2">
                  <c:v>108.03</c:v>
                </c:pt>
                <c:pt idx="3">
                  <c:v>109.25</c:v>
                </c:pt>
                <c:pt idx="4">
                  <c:v>89.94</c:v>
                </c:pt>
                <c:pt idx="5">
                  <c:v>88.18</c:v>
                </c:pt>
                <c:pt idx="6">
                  <c:v>89.63</c:v>
                </c:pt>
                <c:pt idx="7">
                  <c:v>111.87</c:v>
                </c:pt>
                <c:pt idx="8">
                  <c:v>108.09</c:v>
                </c:pt>
                <c:pt idx="9">
                  <c:v>101.62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'2022.1.5'!$C$29:$C$31</c:f>
              <c:numCache>
                <c:formatCode>General</c:formatCode>
                <c:ptCount val="3"/>
                <c:pt idx="0">
                  <c:v>263</c:v>
                </c:pt>
                <c:pt idx="1">
                  <c:v>375</c:v>
                </c:pt>
                <c:pt idx="2">
                  <c:v>5142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'2022.1.5'!$E$29:$E$31</c:f>
              <c:numCache>
                <c:formatCode>General</c:formatCode>
                <c:ptCount val="3"/>
                <c:pt idx="0">
                  <c:v>203</c:v>
                </c:pt>
                <c:pt idx="1">
                  <c:v>303</c:v>
                </c:pt>
                <c:pt idx="2">
                  <c:v>5274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'2022.1.6'!$A$36:$A$45</c:f>
              <c:numCache>
                <c:formatCode>m/d;@</c:formatCode>
                <c:ptCount val="10"/>
                <c:pt idx="0" c:formatCode="m/d;@">
                  <c:v>44558</c:v>
                </c:pt>
                <c:pt idx="1" c:formatCode="m/d;@">
                  <c:v>44559</c:v>
                </c:pt>
                <c:pt idx="2" c:formatCode="m/d;@">
                  <c:v>44560</c:v>
                </c:pt>
                <c:pt idx="3" c:formatCode="m/d;@">
                  <c:v>44561</c:v>
                </c:pt>
                <c:pt idx="4" c:formatCode="m/d;@">
                  <c:v>44562</c:v>
                </c:pt>
                <c:pt idx="5" c:formatCode="m/d;@">
                  <c:v>44563</c:v>
                </c:pt>
                <c:pt idx="6" c:formatCode="m/d;@">
                  <c:v>44564</c:v>
                </c:pt>
                <c:pt idx="7" c:formatCode="m/d;@">
                  <c:v>44565</c:v>
                </c:pt>
                <c:pt idx="8" c:formatCode="m/d;@">
                  <c:v>44566</c:v>
                </c:pt>
                <c:pt idx="9" c:formatCode="m/d;@">
                  <c:v>44567</c:v>
                </c:pt>
              </c:numCache>
            </c:numRef>
          </c:cat>
          <c:val>
            <c:numRef>
              <c:f>'2022.1.6'!$B$36:$B$45</c:f>
              <c:numCache>
                <c:formatCode>0.00_ </c:formatCode>
                <c:ptCount val="10"/>
                <c:pt idx="0">
                  <c:v>124.05</c:v>
                </c:pt>
                <c:pt idx="1">
                  <c:v>108.03</c:v>
                </c:pt>
                <c:pt idx="2">
                  <c:v>109.25</c:v>
                </c:pt>
                <c:pt idx="3">
                  <c:v>89.94</c:v>
                </c:pt>
                <c:pt idx="4">
                  <c:v>88.18</c:v>
                </c:pt>
                <c:pt idx="5">
                  <c:v>89.63</c:v>
                </c:pt>
                <c:pt idx="6">
                  <c:v>111.87</c:v>
                </c:pt>
                <c:pt idx="7">
                  <c:v>108.09</c:v>
                </c:pt>
                <c:pt idx="8">
                  <c:v>101.62</c:v>
                </c:pt>
                <c:pt idx="9">
                  <c:v>84.08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'2022.1.6'!$C$29:$C$31</c:f>
              <c:numCache>
                <c:formatCode>General</c:formatCode>
                <c:ptCount val="3"/>
                <c:pt idx="0">
                  <c:v>266</c:v>
                </c:pt>
                <c:pt idx="1">
                  <c:v>378</c:v>
                </c:pt>
                <c:pt idx="2">
                  <c:v>5136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'2022.1.6'!$E$29:$E$31</c:f>
              <c:numCache>
                <c:formatCode>General</c:formatCode>
                <c:ptCount val="3"/>
                <c:pt idx="0">
                  <c:v>205</c:v>
                </c:pt>
                <c:pt idx="1">
                  <c:v>303</c:v>
                </c:pt>
                <c:pt idx="2">
                  <c:v>5272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'2022.1.7'!$A$36:$A$45</c:f>
              <c:numCache>
                <c:formatCode>m/d;@</c:formatCode>
                <c:ptCount val="10"/>
                <c:pt idx="0" c:formatCode="m/d;@">
                  <c:v>44559</c:v>
                </c:pt>
                <c:pt idx="1" c:formatCode="m/d;@">
                  <c:v>44560</c:v>
                </c:pt>
                <c:pt idx="2" c:formatCode="m/d;@">
                  <c:v>44561</c:v>
                </c:pt>
                <c:pt idx="3" c:formatCode="m/d;@">
                  <c:v>44562</c:v>
                </c:pt>
                <c:pt idx="4" c:formatCode="m/d;@">
                  <c:v>44563</c:v>
                </c:pt>
                <c:pt idx="5" c:formatCode="m/d;@">
                  <c:v>44564</c:v>
                </c:pt>
                <c:pt idx="6" c:formatCode="m/d;@">
                  <c:v>44565</c:v>
                </c:pt>
                <c:pt idx="7" c:formatCode="m/d;@">
                  <c:v>44566</c:v>
                </c:pt>
                <c:pt idx="8" c:formatCode="m/d;@">
                  <c:v>44567</c:v>
                </c:pt>
                <c:pt idx="9" c:formatCode="m/d;@">
                  <c:v>44568</c:v>
                </c:pt>
              </c:numCache>
            </c:numRef>
          </c:cat>
          <c:val>
            <c:numRef>
              <c:f>'2022.1.7'!$B$36:$B$45</c:f>
              <c:numCache>
                <c:formatCode>0.00_ </c:formatCode>
                <c:ptCount val="10"/>
                <c:pt idx="0">
                  <c:v>108.03</c:v>
                </c:pt>
                <c:pt idx="1">
                  <c:v>109.25</c:v>
                </c:pt>
                <c:pt idx="2">
                  <c:v>89.94</c:v>
                </c:pt>
                <c:pt idx="3">
                  <c:v>88.18</c:v>
                </c:pt>
                <c:pt idx="4">
                  <c:v>89.63</c:v>
                </c:pt>
                <c:pt idx="5">
                  <c:v>111.87</c:v>
                </c:pt>
                <c:pt idx="6">
                  <c:v>108.09</c:v>
                </c:pt>
                <c:pt idx="7">
                  <c:v>101.62</c:v>
                </c:pt>
                <c:pt idx="8">
                  <c:v>84.08</c:v>
                </c:pt>
                <c:pt idx="9">
                  <c:v>101.35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过去</a:t>
            </a:r>
            <a:r>
              <a:rPr lang="en-US" altLang="zh-CN" sz="1000"/>
              <a:t>10</a:t>
            </a:r>
            <a:r>
              <a:rPr lang="zh-CN" altLang="en-US" sz="1000"/>
              <a:t>天总产值</a:t>
            </a:r>
            <a:endParaRPr lang="zh-CN" altLang="en-US" sz="1000"/>
          </a:p>
        </c:rich>
      </c:tx>
      <c:layout>
        <c:manualLayout>
          <c:xMode val="edge"/>
          <c:yMode val="edge"/>
          <c:x val="0.317430555555556"/>
          <c:y val="0.0546448087431694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'2021.10.3'!$A$31:$A$40</c:f>
              <c:numCache>
                <c:formatCode>m/d;@</c:formatCode>
                <c:ptCount val="10"/>
                <c:pt idx="0" c:formatCode="m/d;@">
                  <c:v>44463</c:v>
                </c:pt>
                <c:pt idx="1" c:formatCode="m/d;@">
                  <c:v>44464</c:v>
                </c:pt>
                <c:pt idx="2" c:formatCode="m/d;@">
                  <c:v>44465</c:v>
                </c:pt>
                <c:pt idx="3" c:formatCode="m/d;@">
                  <c:v>44466</c:v>
                </c:pt>
                <c:pt idx="4" c:formatCode="m/d;@">
                  <c:v>44467</c:v>
                </c:pt>
                <c:pt idx="5" c:formatCode="m/d;@">
                  <c:v>44468</c:v>
                </c:pt>
                <c:pt idx="6" c:formatCode="m/d;@">
                  <c:v>44469</c:v>
                </c:pt>
                <c:pt idx="7" c:formatCode="m/d;@">
                  <c:v>44470</c:v>
                </c:pt>
                <c:pt idx="8" c:formatCode="m/d;@">
                  <c:v>44471</c:v>
                </c:pt>
                <c:pt idx="9" c:formatCode="m/d;@">
                  <c:v>44472</c:v>
                </c:pt>
              </c:numCache>
            </c:numRef>
          </c:cat>
          <c:val>
            <c:numRef>
              <c:f>'2021.10.3'!$B$31:$B$40</c:f>
              <c:numCache>
                <c:formatCode>0.00_ </c:formatCode>
                <c:ptCount val="10"/>
                <c:pt idx="0">
                  <c:v>17.28</c:v>
                </c:pt>
                <c:pt idx="1">
                  <c:v>2</c:v>
                </c:pt>
                <c:pt idx="2">
                  <c:v>8.82</c:v>
                </c:pt>
                <c:pt idx="3">
                  <c:v>2</c:v>
                </c:pt>
                <c:pt idx="4">
                  <c:v>16.28</c:v>
                </c:pt>
                <c:pt idx="5">
                  <c:v>33.25</c:v>
                </c:pt>
                <c:pt idx="6">
                  <c:v>8.82</c:v>
                </c:pt>
                <c:pt idx="7">
                  <c:v>24.1</c:v>
                </c:pt>
                <c:pt idx="8">
                  <c:v>17.46</c:v>
                </c:pt>
                <c:pt idx="9">
                  <c:v>31.74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'2021.10.21'!$A$31:$A$40</c:f>
              <c:numCache>
                <c:formatCode>m/d;@</c:formatCode>
                <c:ptCount val="10"/>
                <c:pt idx="0" c:formatCode="m/d;@">
                  <c:v>44481</c:v>
                </c:pt>
                <c:pt idx="1" c:formatCode="m/d;@">
                  <c:v>44482</c:v>
                </c:pt>
                <c:pt idx="2" c:formatCode="m/d;@">
                  <c:v>44483</c:v>
                </c:pt>
                <c:pt idx="3" c:formatCode="m/d;@">
                  <c:v>44484</c:v>
                </c:pt>
                <c:pt idx="4" c:formatCode="m/d;@">
                  <c:v>44485</c:v>
                </c:pt>
                <c:pt idx="5" c:formatCode="m/d;@">
                  <c:v>44486</c:v>
                </c:pt>
                <c:pt idx="6" c:formatCode="m/d;@">
                  <c:v>44487</c:v>
                </c:pt>
                <c:pt idx="7" c:formatCode="m/d;@">
                  <c:v>44488</c:v>
                </c:pt>
                <c:pt idx="8" c:formatCode="m/d;@">
                  <c:v>44489</c:v>
                </c:pt>
                <c:pt idx="9" c:formatCode="m/d;@">
                  <c:v>44490</c:v>
                </c:pt>
              </c:numCache>
            </c:numRef>
          </c:cat>
          <c:val>
            <c:numRef>
              <c:f>'2021.10.21'!$B$31:$B$40</c:f>
              <c:numCache>
                <c:formatCode>0.00_ </c:formatCode>
                <c:ptCount val="10"/>
                <c:pt idx="0">
                  <c:v>32.75</c:v>
                </c:pt>
                <c:pt idx="1">
                  <c:v>32.75</c:v>
                </c:pt>
                <c:pt idx="2">
                  <c:v>32.92</c:v>
                </c:pt>
                <c:pt idx="3">
                  <c:v>32.92</c:v>
                </c:pt>
                <c:pt idx="4">
                  <c:v>18.46</c:v>
                </c:pt>
                <c:pt idx="5">
                  <c:v>31.898</c:v>
                </c:pt>
                <c:pt idx="6">
                  <c:v>15.46</c:v>
                </c:pt>
                <c:pt idx="7">
                  <c:v>7.82</c:v>
                </c:pt>
                <c:pt idx="8">
                  <c:v>16.061</c:v>
                </c:pt>
                <c:pt idx="9">
                  <c:v>23.769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'2022.1.7'!$C$29:$C$31</c:f>
              <c:numCache>
                <c:formatCode>General</c:formatCode>
                <c:ptCount val="3"/>
                <c:pt idx="0">
                  <c:v>269</c:v>
                </c:pt>
                <c:pt idx="1">
                  <c:v>384</c:v>
                </c:pt>
                <c:pt idx="2">
                  <c:v>5127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'2022.1.7'!$E$29:$E$31</c:f>
              <c:numCache>
                <c:formatCode>General</c:formatCode>
                <c:ptCount val="3"/>
                <c:pt idx="0">
                  <c:v>208</c:v>
                </c:pt>
                <c:pt idx="1">
                  <c:v>307</c:v>
                </c:pt>
                <c:pt idx="2">
                  <c:v>5265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'2022.1.8'!$A$36:$A$45</c:f>
              <c:numCache>
                <c:formatCode>m/d;@</c:formatCode>
                <c:ptCount val="10"/>
                <c:pt idx="0" c:formatCode="m/d;@">
                  <c:v>44560</c:v>
                </c:pt>
                <c:pt idx="1" c:formatCode="m/d;@">
                  <c:v>44561</c:v>
                </c:pt>
                <c:pt idx="2" c:formatCode="m/d;@">
                  <c:v>44562</c:v>
                </c:pt>
                <c:pt idx="3" c:formatCode="m/d;@">
                  <c:v>44563</c:v>
                </c:pt>
                <c:pt idx="4" c:formatCode="m/d;@">
                  <c:v>44564</c:v>
                </c:pt>
                <c:pt idx="5" c:formatCode="m/d;@">
                  <c:v>44565</c:v>
                </c:pt>
                <c:pt idx="6" c:formatCode="m/d;@">
                  <c:v>44566</c:v>
                </c:pt>
                <c:pt idx="7" c:formatCode="m/d;@">
                  <c:v>44567</c:v>
                </c:pt>
                <c:pt idx="8" c:formatCode="m/d;@">
                  <c:v>44568</c:v>
                </c:pt>
                <c:pt idx="9" c:formatCode="m/d;@">
                  <c:v>44569</c:v>
                </c:pt>
              </c:numCache>
            </c:numRef>
          </c:cat>
          <c:val>
            <c:numRef>
              <c:f>'2022.1.8'!$B$36:$B$45</c:f>
              <c:numCache>
                <c:formatCode>0.00_ </c:formatCode>
                <c:ptCount val="10"/>
                <c:pt idx="0">
                  <c:v>109.25</c:v>
                </c:pt>
                <c:pt idx="1">
                  <c:v>89.94</c:v>
                </c:pt>
                <c:pt idx="2">
                  <c:v>88.18</c:v>
                </c:pt>
                <c:pt idx="3">
                  <c:v>89.63</c:v>
                </c:pt>
                <c:pt idx="4">
                  <c:v>111.87</c:v>
                </c:pt>
                <c:pt idx="5">
                  <c:v>108.09</c:v>
                </c:pt>
                <c:pt idx="6">
                  <c:v>101.62</c:v>
                </c:pt>
                <c:pt idx="7">
                  <c:v>84.08</c:v>
                </c:pt>
                <c:pt idx="8">
                  <c:v>101.35</c:v>
                </c:pt>
                <c:pt idx="9">
                  <c:v>136.25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'2022.1.8'!$C$29:$C$31</c:f>
              <c:numCache>
                <c:formatCode>General</c:formatCode>
                <c:ptCount val="3"/>
                <c:pt idx="0">
                  <c:v>272</c:v>
                </c:pt>
                <c:pt idx="1">
                  <c:v>390</c:v>
                </c:pt>
                <c:pt idx="2">
                  <c:v>5118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'2022.1.8'!$E$29:$E$31</c:f>
              <c:numCache>
                <c:formatCode>General</c:formatCode>
                <c:ptCount val="3"/>
                <c:pt idx="0">
                  <c:v>210</c:v>
                </c:pt>
                <c:pt idx="1">
                  <c:v>314</c:v>
                </c:pt>
                <c:pt idx="2">
                  <c:v>5256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'2022.1.9'!$A$36:$A$45</c:f>
              <c:numCache>
                <c:formatCode>m/d;@</c:formatCode>
                <c:ptCount val="10"/>
                <c:pt idx="0" c:formatCode="m/d;@">
                  <c:v>44561</c:v>
                </c:pt>
                <c:pt idx="1" c:formatCode="m/d;@">
                  <c:v>44562</c:v>
                </c:pt>
                <c:pt idx="2" c:formatCode="m/d;@">
                  <c:v>44563</c:v>
                </c:pt>
                <c:pt idx="3" c:formatCode="m/d;@">
                  <c:v>44564</c:v>
                </c:pt>
                <c:pt idx="4" c:formatCode="m/d;@">
                  <c:v>44565</c:v>
                </c:pt>
                <c:pt idx="5" c:formatCode="m/d;@">
                  <c:v>44566</c:v>
                </c:pt>
                <c:pt idx="6" c:formatCode="m/d;@">
                  <c:v>44567</c:v>
                </c:pt>
                <c:pt idx="7" c:formatCode="m/d;@">
                  <c:v>44568</c:v>
                </c:pt>
                <c:pt idx="8" c:formatCode="m/d;@">
                  <c:v>44569</c:v>
                </c:pt>
                <c:pt idx="9" c:formatCode="m/d;@">
                  <c:v>44570</c:v>
                </c:pt>
              </c:numCache>
            </c:numRef>
          </c:cat>
          <c:val>
            <c:numRef>
              <c:f>'2022.1.9'!$B$36:$B$45</c:f>
              <c:numCache>
                <c:formatCode>0.00_ </c:formatCode>
                <c:ptCount val="10"/>
                <c:pt idx="0">
                  <c:v>89.94</c:v>
                </c:pt>
                <c:pt idx="1">
                  <c:v>88.18</c:v>
                </c:pt>
                <c:pt idx="2">
                  <c:v>89.63</c:v>
                </c:pt>
                <c:pt idx="3">
                  <c:v>111.87</c:v>
                </c:pt>
                <c:pt idx="4">
                  <c:v>108.09</c:v>
                </c:pt>
                <c:pt idx="5">
                  <c:v>101.62</c:v>
                </c:pt>
                <c:pt idx="6">
                  <c:v>84.08</c:v>
                </c:pt>
                <c:pt idx="7">
                  <c:v>101.35</c:v>
                </c:pt>
                <c:pt idx="8">
                  <c:v>136.25</c:v>
                </c:pt>
                <c:pt idx="9">
                  <c:v>95.17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'2022.1.9'!$C$29:$C$31</c:f>
              <c:numCache>
                <c:formatCode>General</c:formatCode>
                <c:ptCount val="3"/>
                <c:pt idx="0">
                  <c:v>274</c:v>
                </c:pt>
                <c:pt idx="1">
                  <c:v>397</c:v>
                </c:pt>
                <c:pt idx="2">
                  <c:v>5109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'2022.1.9'!$E$29:$E$31</c:f>
              <c:numCache>
                <c:formatCode>General</c:formatCode>
                <c:ptCount val="3"/>
                <c:pt idx="0">
                  <c:v>215</c:v>
                </c:pt>
                <c:pt idx="1">
                  <c:v>325</c:v>
                </c:pt>
                <c:pt idx="2">
                  <c:v>5240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'2022.1.10'!$A$36:$A$45</c:f>
              <c:numCache>
                <c:formatCode>m/d;@</c:formatCode>
                <c:ptCount val="10"/>
                <c:pt idx="0" c:formatCode="m/d;@">
                  <c:v>44562</c:v>
                </c:pt>
                <c:pt idx="1" c:formatCode="m/d;@">
                  <c:v>44563</c:v>
                </c:pt>
                <c:pt idx="2" c:formatCode="m/d;@">
                  <c:v>44564</c:v>
                </c:pt>
                <c:pt idx="3" c:formatCode="m/d;@">
                  <c:v>44565</c:v>
                </c:pt>
                <c:pt idx="4" c:formatCode="m/d;@">
                  <c:v>44566</c:v>
                </c:pt>
                <c:pt idx="5" c:formatCode="m/d;@">
                  <c:v>44567</c:v>
                </c:pt>
                <c:pt idx="6" c:formatCode="m/d;@">
                  <c:v>44568</c:v>
                </c:pt>
                <c:pt idx="7" c:formatCode="m/d;@">
                  <c:v>44569</c:v>
                </c:pt>
                <c:pt idx="8" c:formatCode="m/d;@">
                  <c:v>44570</c:v>
                </c:pt>
                <c:pt idx="9" c:formatCode="m/d;@">
                  <c:v>44571</c:v>
                </c:pt>
              </c:numCache>
            </c:numRef>
          </c:cat>
          <c:val>
            <c:numRef>
              <c:f>'2022.1.10'!$B$36:$B$45</c:f>
              <c:numCache>
                <c:formatCode>0.00_ </c:formatCode>
                <c:ptCount val="10"/>
                <c:pt idx="0">
                  <c:v>88.18</c:v>
                </c:pt>
                <c:pt idx="1">
                  <c:v>89.63</c:v>
                </c:pt>
                <c:pt idx="2">
                  <c:v>111.87</c:v>
                </c:pt>
                <c:pt idx="3">
                  <c:v>108.09</c:v>
                </c:pt>
                <c:pt idx="4">
                  <c:v>101.62</c:v>
                </c:pt>
                <c:pt idx="5">
                  <c:v>84.08</c:v>
                </c:pt>
                <c:pt idx="6">
                  <c:v>101.35</c:v>
                </c:pt>
                <c:pt idx="7">
                  <c:v>136.25</c:v>
                </c:pt>
                <c:pt idx="8">
                  <c:v>95.17</c:v>
                </c:pt>
                <c:pt idx="9">
                  <c:v>99.87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'2022.1.10'!$C$29:$C$31</c:f>
              <c:numCache>
                <c:formatCode>General</c:formatCode>
                <c:ptCount val="3"/>
                <c:pt idx="0">
                  <c:v>276</c:v>
                </c:pt>
                <c:pt idx="1">
                  <c:v>403</c:v>
                </c:pt>
                <c:pt idx="2">
                  <c:v>5101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'2021.10.22'!$A$31:$A$40</c:f>
              <c:numCache>
                <c:formatCode>m/d;@</c:formatCode>
                <c:ptCount val="10"/>
                <c:pt idx="0" c:formatCode="m/d;@">
                  <c:v>44482</c:v>
                </c:pt>
                <c:pt idx="1" c:formatCode="m/d;@">
                  <c:v>44483</c:v>
                </c:pt>
                <c:pt idx="2" c:formatCode="m/d;@">
                  <c:v>44484</c:v>
                </c:pt>
                <c:pt idx="3" c:formatCode="m/d;@">
                  <c:v>44485</c:v>
                </c:pt>
                <c:pt idx="4" c:formatCode="m/d;@">
                  <c:v>44486</c:v>
                </c:pt>
                <c:pt idx="5" c:formatCode="m/d;@">
                  <c:v>44487</c:v>
                </c:pt>
                <c:pt idx="6" c:formatCode="m/d;@">
                  <c:v>44488</c:v>
                </c:pt>
                <c:pt idx="7" c:formatCode="m/d;@">
                  <c:v>44489</c:v>
                </c:pt>
                <c:pt idx="8" c:formatCode="m/d;@">
                  <c:v>44490</c:v>
                </c:pt>
                <c:pt idx="9" c:formatCode="m/d;@">
                  <c:v>44491</c:v>
                </c:pt>
              </c:numCache>
            </c:numRef>
          </c:cat>
          <c:val>
            <c:numRef>
              <c:f>'2021.10.22'!$B$31:$B$40</c:f>
              <c:numCache>
                <c:formatCode>0.00_ </c:formatCode>
                <c:ptCount val="10"/>
                <c:pt idx="0">
                  <c:v>32.75</c:v>
                </c:pt>
                <c:pt idx="1">
                  <c:v>32.92</c:v>
                </c:pt>
                <c:pt idx="2">
                  <c:v>32.92</c:v>
                </c:pt>
                <c:pt idx="3">
                  <c:v>18.46</c:v>
                </c:pt>
                <c:pt idx="4">
                  <c:v>31.898</c:v>
                </c:pt>
                <c:pt idx="5">
                  <c:v>15.46</c:v>
                </c:pt>
                <c:pt idx="6">
                  <c:v>7.82</c:v>
                </c:pt>
                <c:pt idx="7">
                  <c:v>16.061</c:v>
                </c:pt>
                <c:pt idx="8">
                  <c:v>23.769</c:v>
                </c:pt>
                <c:pt idx="9">
                  <c:v>11.129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'2022.1.10'!$E$29:$E$31</c:f>
              <c:numCache>
                <c:formatCode>General</c:formatCode>
                <c:ptCount val="3"/>
                <c:pt idx="0">
                  <c:v>215</c:v>
                </c:pt>
                <c:pt idx="1">
                  <c:v>333</c:v>
                </c:pt>
                <c:pt idx="2">
                  <c:v>5232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'2022.1.11'!$A$36:$A$45</c:f>
              <c:numCache>
                <c:formatCode>m/d;@</c:formatCode>
                <c:ptCount val="10"/>
                <c:pt idx="0" c:formatCode="m/d;@">
                  <c:v>44563</c:v>
                </c:pt>
                <c:pt idx="1" c:formatCode="m/d;@">
                  <c:v>44564</c:v>
                </c:pt>
                <c:pt idx="2" c:formatCode="m/d;@">
                  <c:v>44565</c:v>
                </c:pt>
                <c:pt idx="3" c:formatCode="m/d;@">
                  <c:v>44566</c:v>
                </c:pt>
                <c:pt idx="4" c:formatCode="m/d;@">
                  <c:v>44567</c:v>
                </c:pt>
                <c:pt idx="5" c:formatCode="m/d;@">
                  <c:v>44568</c:v>
                </c:pt>
                <c:pt idx="6" c:formatCode="m/d;@">
                  <c:v>44569</c:v>
                </c:pt>
                <c:pt idx="7" c:formatCode="m/d;@">
                  <c:v>44570</c:v>
                </c:pt>
                <c:pt idx="8" c:formatCode="m/d;@">
                  <c:v>44571</c:v>
                </c:pt>
                <c:pt idx="9" c:formatCode="m/d;@">
                  <c:v>44572</c:v>
                </c:pt>
              </c:numCache>
            </c:numRef>
          </c:cat>
          <c:val>
            <c:numRef>
              <c:f>'2022.1.11'!$B$36:$B$45</c:f>
              <c:numCache>
                <c:formatCode>0.00_ </c:formatCode>
                <c:ptCount val="10"/>
                <c:pt idx="0">
                  <c:v>89.63</c:v>
                </c:pt>
                <c:pt idx="1">
                  <c:v>111.87</c:v>
                </c:pt>
                <c:pt idx="2">
                  <c:v>108.09</c:v>
                </c:pt>
                <c:pt idx="3">
                  <c:v>101.62</c:v>
                </c:pt>
                <c:pt idx="4">
                  <c:v>84.08</c:v>
                </c:pt>
                <c:pt idx="5">
                  <c:v>101.35</c:v>
                </c:pt>
                <c:pt idx="6">
                  <c:v>136.25</c:v>
                </c:pt>
                <c:pt idx="7">
                  <c:v>95.17</c:v>
                </c:pt>
                <c:pt idx="8">
                  <c:v>99.87</c:v>
                </c:pt>
                <c:pt idx="9">
                  <c:v>97.56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'2022.1.11'!$C$29:$C$31</c:f>
              <c:numCache>
                <c:formatCode>General</c:formatCode>
                <c:ptCount val="3"/>
                <c:pt idx="0">
                  <c:v>278</c:v>
                </c:pt>
                <c:pt idx="1">
                  <c:v>408</c:v>
                </c:pt>
                <c:pt idx="2">
                  <c:v>5094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'2022.1.11'!$E$29:$E$31</c:f>
              <c:numCache>
                <c:formatCode>General</c:formatCode>
                <c:ptCount val="3"/>
                <c:pt idx="0">
                  <c:v>215</c:v>
                </c:pt>
                <c:pt idx="1">
                  <c:v>337</c:v>
                </c:pt>
                <c:pt idx="2">
                  <c:v>5228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'2022.1.12'!$A$36:$A$45</c:f>
              <c:numCache>
                <c:formatCode>m/d;@</c:formatCode>
                <c:ptCount val="10"/>
                <c:pt idx="0" c:formatCode="m/d;@">
                  <c:v>44564</c:v>
                </c:pt>
                <c:pt idx="1" c:formatCode="m/d;@">
                  <c:v>44565</c:v>
                </c:pt>
                <c:pt idx="2" c:formatCode="m/d;@">
                  <c:v>44566</c:v>
                </c:pt>
                <c:pt idx="3" c:formatCode="m/d;@">
                  <c:v>44567</c:v>
                </c:pt>
                <c:pt idx="4" c:formatCode="m/d;@">
                  <c:v>44568</c:v>
                </c:pt>
                <c:pt idx="5" c:formatCode="m/d;@">
                  <c:v>44569</c:v>
                </c:pt>
                <c:pt idx="6" c:formatCode="m/d;@">
                  <c:v>44570</c:v>
                </c:pt>
                <c:pt idx="7" c:formatCode="m/d;@">
                  <c:v>44571</c:v>
                </c:pt>
                <c:pt idx="8" c:formatCode="m/d;@">
                  <c:v>44572</c:v>
                </c:pt>
                <c:pt idx="9" c:formatCode="m/d;@">
                  <c:v>44573</c:v>
                </c:pt>
              </c:numCache>
            </c:numRef>
          </c:cat>
          <c:val>
            <c:numRef>
              <c:f>'2022.1.12'!$B$36:$B$45</c:f>
              <c:numCache>
                <c:formatCode>0.00_ </c:formatCode>
                <c:ptCount val="10"/>
                <c:pt idx="0">
                  <c:v>111.87</c:v>
                </c:pt>
                <c:pt idx="1">
                  <c:v>108.09</c:v>
                </c:pt>
                <c:pt idx="2">
                  <c:v>101.62</c:v>
                </c:pt>
                <c:pt idx="3">
                  <c:v>84.08</c:v>
                </c:pt>
                <c:pt idx="4">
                  <c:v>101.35</c:v>
                </c:pt>
                <c:pt idx="5">
                  <c:v>136.25</c:v>
                </c:pt>
                <c:pt idx="6">
                  <c:v>95.17</c:v>
                </c:pt>
                <c:pt idx="7">
                  <c:v>99.87</c:v>
                </c:pt>
                <c:pt idx="8">
                  <c:v>97.56</c:v>
                </c:pt>
                <c:pt idx="9">
                  <c:v>77.35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'2022.1.12'!$C$29:$C$31</c:f>
              <c:numCache>
                <c:formatCode>General</c:formatCode>
                <c:ptCount val="3"/>
                <c:pt idx="0">
                  <c:v>280</c:v>
                </c:pt>
                <c:pt idx="1">
                  <c:v>412</c:v>
                </c:pt>
                <c:pt idx="2">
                  <c:v>5088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'2022.1.12'!$E$29:$E$31</c:f>
              <c:numCache>
                <c:formatCode>General</c:formatCode>
                <c:ptCount val="3"/>
                <c:pt idx="0">
                  <c:v>218</c:v>
                </c:pt>
                <c:pt idx="1">
                  <c:v>339</c:v>
                </c:pt>
                <c:pt idx="2">
                  <c:v>5223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'2022.1.13'!$A$36:$A$45</c:f>
              <c:numCache>
                <c:formatCode>m/d;@</c:formatCode>
                <c:ptCount val="10"/>
                <c:pt idx="0" c:formatCode="m/d;@">
                  <c:v>44565</c:v>
                </c:pt>
                <c:pt idx="1" c:formatCode="m/d;@">
                  <c:v>44566</c:v>
                </c:pt>
                <c:pt idx="2" c:formatCode="m/d;@">
                  <c:v>44567</c:v>
                </c:pt>
                <c:pt idx="3" c:formatCode="m/d;@">
                  <c:v>44568</c:v>
                </c:pt>
                <c:pt idx="4" c:formatCode="m/d;@">
                  <c:v>44569</c:v>
                </c:pt>
                <c:pt idx="5" c:formatCode="m/d;@">
                  <c:v>44570</c:v>
                </c:pt>
                <c:pt idx="6" c:formatCode="m/d;@">
                  <c:v>44571</c:v>
                </c:pt>
                <c:pt idx="7" c:formatCode="m/d;@">
                  <c:v>44572</c:v>
                </c:pt>
                <c:pt idx="8" c:formatCode="m/d;@">
                  <c:v>44573</c:v>
                </c:pt>
                <c:pt idx="9" c:formatCode="m/d;@">
                  <c:v>44574</c:v>
                </c:pt>
              </c:numCache>
            </c:numRef>
          </c:cat>
          <c:val>
            <c:numRef>
              <c:f>'2022.1.13'!$B$36:$B$45</c:f>
              <c:numCache>
                <c:formatCode>0.00_ </c:formatCode>
                <c:ptCount val="10"/>
                <c:pt idx="0">
                  <c:v>108.09</c:v>
                </c:pt>
                <c:pt idx="1">
                  <c:v>101.62</c:v>
                </c:pt>
                <c:pt idx="2">
                  <c:v>84.08</c:v>
                </c:pt>
                <c:pt idx="3">
                  <c:v>101.35</c:v>
                </c:pt>
                <c:pt idx="4">
                  <c:v>136.25</c:v>
                </c:pt>
                <c:pt idx="5">
                  <c:v>95.17</c:v>
                </c:pt>
                <c:pt idx="6">
                  <c:v>99.87</c:v>
                </c:pt>
                <c:pt idx="7">
                  <c:v>97.56</c:v>
                </c:pt>
                <c:pt idx="8">
                  <c:v>77.35</c:v>
                </c:pt>
                <c:pt idx="9">
                  <c:v>79.04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'2022.1.13'!$C$29:$C$31</c:f>
              <c:numCache>
                <c:formatCode>General</c:formatCode>
                <c:ptCount val="3"/>
                <c:pt idx="0">
                  <c:v>282</c:v>
                </c:pt>
                <c:pt idx="1">
                  <c:v>417</c:v>
                </c:pt>
                <c:pt idx="2">
                  <c:v>5081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'2022.1.13'!$E$29:$E$31</c:f>
              <c:numCache>
                <c:formatCode>General</c:formatCode>
                <c:ptCount val="3"/>
                <c:pt idx="0">
                  <c:v>220</c:v>
                </c:pt>
                <c:pt idx="1">
                  <c:v>348</c:v>
                </c:pt>
                <c:pt idx="2">
                  <c:v>5212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'2021.10.23'!$A$31:$A$40</c:f>
              <c:numCache>
                <c:formatCode>m/d;@</c:formatCode>
                <c:ptCount val="10"/>
                <c:pt idx="0" c:formatCode="m/d;@">
                  <c:v>44483</c:v>
                </c:pt>
                <c:pt idx="1" c:formatCode="m/d;@">
                  <c:v>44484</c:v>
                </c:pt>
                <c:pt idx="2" c:formatCode="m/d;@">
                  <c:v>44485</c:v>
                </c:pt>
                <c:pt idx="3" c:formatCode="m/d;@">
                  <c:v>44486</c:v>
                </c:pt>
                <c:pt idx="4" c:formatCode="m/d;@">
                  <c:v>44487</c:v>
                </c:pt>
                <c:pt idx="5" c:formatCode="m/d;@">
                  <c:v>44488</c:v>
                </c:pt>
                <c:pt idx="6" c:formatCode="m/d;@">
                  <c:v>44489</c:v>
                </c:pt>
                <c:pt idx="7" c:formatCode="m/d;@">
                  <c:v>44490</c:v>
                </c:pt>
                <c:pt idx="8" c:formatCode="m/d;@">
                  <c:v>44491</c:v>
                </c:pt>
                <c:pt idx="9" c:formatCode="m/d;@">
                  <c:v>44492</c:v>
                </c:pt>
              </c:numCache>
            </c:numRef>
          </c:cat>
          <c:val>
            <c:numRef>
              <c:f>'2021.10.23'!$B$31:$B$40</c:f>
              <c:numCache>
                <c:formatCode>0.00_ </c:formatCode>
                <c:ptCount val="10"/>
                <c:pt idx="0">
                  <c:v>32.92</c:v>
                </c:pt>
                <c:pt idx="1">
                  <c:v>32.92</c:v>
                </c:pt>
                <c:pt idx="2">
                  <c:v>18.46</c:v>
                </c:pt>
                <c:pt idx="3">
                  <c:v>31.898</c:v>
                </c:pt>
                <c:pt idx="4">
                  <c:v>15.46</c:v>
                </c:pt>
                <c:pt idx="5">
                  <c:v>7.82</c:v>
                </c:pt>
                <c:pt idx="6">
                  <c:v>16.061</c:v>
                </c:pt>
                <c:pt idx="7">
                  <c:v>23.769</c:v>
                </c:pt>
                <c:pt idx="8">
                  <c:v>11.129</c:v>
                </c:pt>
                <c:pt idx="9">
                  <c:v>15.62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'2022.1.14'!$A$36:$A$45</c:f>
              <c:numCache>
                <c:formatCode>m/d;@</c:formatCode>
                <c:ptCount val="10"/>
                <c:pt idx="0" c:formatCode="m/d;@">
                  <c:v>44566</c:v>
                </c:pt>
                <c:pt idx="1" c:formatCode="m/d;@">
                  <c:v>44567</c:v>
                </c:pt>
                <c:pt idx="2" c:formatCode="m/d;@">
                  <c:v>44568</c:v>
                </c:pt>
                <c:pt idx="3" c:formatCode="m/d;@">
                  <c:v>44569</c:v>
                </c:pt>
                <c:pt idx="4" c:formatCode="m/d;@">
                  <c:v>44570</c:v>
                </c:pt>
                <c:pt idx="5" c:formatCode="m/d;@">
                  <c:v>44571</c:v>
                </c:pt>
                <c:pt idx="6" c:formatCode="m/d;@">
                  <c:v>44572</c:v>
                </c:pt>
                <c:pt idx="7" c:formatCode="m/d;@">
                  <c:v>44573</c:v>
                </c:pt>
                <c:pt idx="8" c:formatCode="m/d;@">
                  <c:v>44574</c:v>
                </c:pt>
                <c:pt idx="9" c:formatCode="m/d;@">
                  <c:v>44575</c:v>
                </c:pt>
              </c:numCache>
            </c:numRef>
          </c:cat>
          <c:val>
            <c:numRef>
              <c:f>'2022.1.14'!$B$36:$B$45</c:f>
              <c:numCache>
                <c:formatCode>0.00_ </c:formatCode>
                <c:ptCount val="10"/>
                <c:pt idx="0">
                  <c:v>101.62</c:v>
                </c:pt>
                <c:pt idx="1">
                  <c:v>84.08</c:v>
                </c:pt>
                <c:pt idx="2">
                  <c:v>101.35</c:v>
                </c:pt>
                <c:pt idx="3">
                  <c:v>136.25</c:v>
                </c:pt>
                <c:pt idx="4">
                  <c:v>95.17</c:v>
                </c:pt>
                <c:pt idx="5">
                  <c:v>99.87</c:v>
                </c:pt>
                <c:pt idx="6">
                  <c:v>97.56</c:v>
                </c:pt>
                <c:pt idx="7">
                  <c:v>77.35</c:v>
                </c:pt>
                <c:pt idx="8">
                  <c:v>79.04</c:v>
                </c:pt>
                <c:pt idx="9">
                  <c:v>70.2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'2022.1.14'!$C$29:$C$31</c:f>
              <c:numCache>
                <c:formatCode>General</c:formatCode>
                <c:ptCount val="3"/>
                <c:pt idx="0">
                  <c:v>284</c:v>
                </c:pt>
                <c:pt idx="1">
                  <c:v>421</c:v>
                </c:pt>
                <c:pt idx="2">
                  <c:v>5075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'2022.1.14'!$E$29:$E$31</c:f>
              <c:numCache>
                <c:formatCode>General</c:formatCode>
                <c:ptCount val="3"/>
                <c:pt idx="0">
                  <c:v>220</c:v>
                </c:pt>
                <c:pt idx="1">
                  <c:v>354</c:v>
                </c:pt>
                <c:pt idx="2">
                  <c:v>5206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'2022.1.15'!$A$36:$A$45</c:f>
              <c:numCache>
                <c:formatCode>m/d;@</c:formatCode>
                <c:ptCount val="10"/>
                <c:pt idx="0" c:formatCode="m/d;@">
                  <c:v>44567</c:v>
                </c:pt>
                <c:pt idx="1" c:formatCode="m/d;@">
                  <c:v>44568</c:v>
                </c:pt>
                <c:pt idx="2" c:formatCode="m/d;@">
                  <c:v>44569</c:v>
                </c:pt>
                <c:pt idx="3" c:formatCode="m/d;@">
                  <c:v>44570</c:v>
                </c:pt>
                <c:pt idx="4" c:formatCode="m/d;@">
                  <c:v>44571</c:v>
                </c:pt>
                <c:pt idx="5" c:formatCode="m/d;@">
                  <c:v>44572</c:v>
                </c:pt>
                <c:pt idx="6" c:formatCode="m/d;@">
                  <c:v>44573</c:v>
                </c:pt>
                <c:pt idx="7" c:formatCode="m/d;@">
                  <c:v>44574</c:v>
                </c:pt>
                <c:pt idx="8" c:formatCode="m/d;@">
                  <c:v>44575</c:v>
                </c:pt>
                <c:pt idx="9" c:formatCode="m/d;@">
                  <c:v>44576</c:v>
                </c:pt>
              </c:numCache>
            </c:numRef>
          </c:cat>
          <c:val>
            <c:numRef>
              <c:f>'2022.1.15'!$B$36:$B$45</c:f>
              <c:numCache>
                <c:formatCode>0.00_ </c:formatCode>
                <c:ptCount val="10"/>
                <c:pt idx="0">
                  <c:v>84.08</c:v>
                </c:pt>
                <c:pt idx="1">
                  <c:v>101.35</c:v>
                </c:pt>
                <c:pt idx="2">
                  <c:v>136.25</c:v>
                </c:pt>
                <c:pt idx="3">
                  <c:v>95.17</c:v>
                </c:pt>
                <c:pt idx="4">
                  <c:v>99.87</c:v>
                </c:pt>
                <c:pt idx="5">
                  <c:v>97.56</c:v>
                </c:pt>
                <c:pt idx="6">
                  <c:v>77.35</c:v>
                </c:pt>
                <c:pt idx="7">
                  <c:v>79.04</c:v>
                </c:pt>
                <c:pt idx="8">
                  <c:v>70.2</c:v>
                </c:pt>
                <c:pt idx="9">
                  <c:v>101.47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'2022.1.15'!$C$29:$C$31</c:f>
              <c:numCache>
                <c:formatCode>General</c:formatCode>
                <c:ptCount val="3"/>
                <c:pt idx="0">
                  <c:v>286</c:v>
                </c:pt>
                <c:pt idx="1">
                  <c:v>426</c:v>
                </c:pt>
                <c:pt idx="2">
                  <c:v>5068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'2022.1.15'!$E$29:$E$31</c:f>
              <c:numCache>
                <c:formatCode>General</c:formatCode>
                <c:ptCount val="3"/>
                <c:pt idx="0">
                  <c:v>223</c:v>
                </c:pt>
                <c:pt idx="1">
                  <c:v>357</c:v>
                </c:pt>
                <c:pt idx="2">
                  <c:v>5200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'2022.1.16'!$A$36:$A$45</c:f>
              <c:numCache>
                <c:formatCode>m/d;@</c:formatCode>
                <c:ptCount val="10"/>
                <c:pt idx="0" c:formatCode="m/d;@">
                  <c:v>44568</c:v>
                </c:pt>
                <c:pt idx="1" c:formatCode="m/d;@">
                  <c:v>44569</c:v>
                </c:pt>
                <c:pt idx="2" c:formatCode="m/d;@">
                  <c:v>44570</c:v>
                </c:pt>
                <c:pt idx="3" c:formatCode="m/d;@">
                  <c:v>44571</c:v>
                </c:pt>
                <c:pt idx="4" c:formatCode="m/d;@">
                  <c:v>44572</c:v>
                </c:pt>
                <c:pt idx="5" c:formatCode="m/d;@">
                  <c:v>44573</c:v>
                </c:pt>
                <c:pt idx="6" c:formatCode="m/d;@">
                  <c:v>44574</c:v>
                </c:pt>
                <c:pt idx="7" c:formatCode="m/d;@">
                  <c:v>44575</c:v>
                </c:pt>
                <c:pt idx="8" c:formatCode="m/d;@">
                  <c:v>44576</c:v>
                </c:pt>
                <c:pt idx="9" c:formatCode="m/d;@">
                  <c:v>44577</c:v>
                </c:pt>
              </c:numCache>
            </c:numRef>
          </c:cat>
          <c:val>
            <c:numRef>
              <c:f>'2022.1.16'!$B$36:$B$45</c:f>
              <c:numCache>
                <c:formatCode>0.00_ </c:formatCode>
                <c:ptCount val="10"/>
                <c:pt idx="0">
                  <c:v>101.35</c:v>
                </c:pt>
                <c:pt idx="1">
                  <c:v>136.25</c:v>
                </c:pt>
                <c:pt idx="2">
                  <c:v>95.17</c:v>
                </c:pt>
                <c:pt idx="3">
                  <c:v>99.87</c:v>
                </c:pt>
                <c:pt idx="4">
                  <c:v>97.56</c:v>
                </c:pt>
                <c:pt idx="5">
                  <c:v>77.35</c:v>
                </c:pt>
                <c:pt idx="6">
                  <c:v>79.04</c:v>
                </c:pt>
                <c:pt idx="7">
                  <c:v>70.2</c:v>
                </c:pt>
                <c:pt idx="8">
                  <c:v>101.47</c:v>
                </c:pt>
                <c:pt idx="9">
                  <c:v>87.24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'2022.1.16'!$C$29:$C$31</c:f>
              <c:numCache>
                <c:formatCode>General</c:formatCode>
                <c:ptCount val="3"/>
                <c:pt idx="0">
                  <c:v>288</c:v>
                </c:pt>
                <c:pt idx="1">
                  <c:v>431</c:v>
                </c:pt>
                <c:pt idx="2">
                  <c:v>5061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'2022.1.16'!$E$29:$E$31</c:f>
              <c:numCache>
                <c:formatCode>General</c:formatCode>
                <c:ptCount val="3"/>
                <c:pt idx="0">
                  <c:v>225</c:v>
                </c:pt>
                <c:pt idx="1">
                  <c:v>360</c:v>
                </c:pt>
                <c:pt idx="2">
                  <c:v>5195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'2022.1.17'!$A$36:$A$45</c:f>
              <c:numCache>
                <c:formatCode>m/d;@</c:formatCode>
                <c:ptCount val="10"/>
                <c:pt idx="0" c:formatCode="m/d;@">
                  <c:v>44569</c:v>
                </c:pt>
                <c:pt idx="1" c:formatCode="m/d;@">
                  <c:v>44570</c:v>
                </c:pt>
                <c:pt idx="2" c:formatCode="m/d;@">
                  <c:v>44571</c:v>
                </c:pt>
                <c:pt idx="3" c:formatCode="m/d;@">
                  <c:v>44572</c:v>
                </c:pt>
                <c:pt idx="4" c:formatCode="m/d;@">
                  <c:v>44573</c:v>
                </c:pt>
                <c:pt idx="5" c:formatCode="m/d;@">
                  <c:v>44574</c:v>
                </c:pt>
                <c:pt idx="6" c:formatCode="m/d;@">
                  <c:v>44575</c:v>
                </c:pt>
                <c:pt idx="7" c:formatCode="m/d;@">
                  <c:v>44576</c:v>
                </c:pt>
                <c:pt idx="8" c:formatCode="m/d;@">
                  <c:v>44577</c:v>
                </c:pt>
                <c:pt idx="9" c:formatCode="m/d;@">
                  <c:v>44578</c:v>
                </c:pt>
              </c:numCache>
            </c:numRef>
          </c:cat>
          <c:val>
            <c:numRef>
              <c:f>'2022.1.17'!$B$36:$B$45</c:f>
              <c:numCache>
                <c:formatCode>0.00_ </c:formatCode>
                <c:ptCount val="10"/>
                <c:pt idx="0">
                  <c:v>136.25</c:v>
                </c:pt>
                <c:pt idx="1">
                  <c:v>95.17</c:v>
                </c:pt>
                <c:pt idx="2">
                  <c:v>99.87</c:v>
                </c:pt>
                <c:pt idx="3">
                  <c:v>97.56</c:v>
                </c:pt>
                <c:pt idx="4">
                  <c:v>77.35</c:v>
                </c:pt>
                <c:pt idx="5">
                  <c:v>79.04</c:v>
                </c:pt>
                <c:pt idx="6">
                  <c:v>70.2</c:v>
                </c:pt>
                <c:pt idx="7">
                  <c:v>101.47</c:v>
                </c:pt>
                <c:pt idx="8">
                  <c:v>87.24</c:v>
                </c:pt>
                <c:pt idx="9">
                  <c:v>117.91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'2021.10.24'!$A$31:$A$40</c:f>
              <c:numCache>
                <c:formatCode>m/d;@</c:formatCode>
                <c:ptCount val="10"/>
                <c:pt idx="0" c:formatCode="m/d;@">
                  <c:v>44484</c:v>
                </c:pt>
                <c:pt idx="1" c:formatCode="m/d;@">
                  <c:v>44485</c:v>
                </c:pt>
                <c:pt idx="2" c:formatCode="m/d;@">
                  <c:v>44486</c:v>
                </c:pt>
                <c:pt idx="3" c:formatCode="m/d;@">
                  <c:v>44487</c:v>
                </c:pt>
                <c:pt idx="4" c:formatCode="m/d;@">
                  <c:v>44488</c:v>
                </c:pt>
                <c:pt idx="5" c:formatCode="m/d;@">
                  <c:v>44489</c:v>
                </c:pt>
                <c:pt idx="6" c:formatCode="m/d;@">
                  <c:v>44490</c:v>
                </c:pt>
                <c:pt idx="7" c:formatCode="m/d;@">
                  <c:v>44491</c:v>
                </c:pt>
                <c:pt idx="8" c:formatCode="m/d;@">
                  <c:v>44492</c:v>
                </c:pt>
                <c:pt idx="9" c:formatCode="m/d;@">
                  <c:v>44493</c:v>
                </c:pt>
              </c:numCache>
            </c:numRef>
          </c:cat>
          <c:val>
            <c:numRef>
              <c:f>'2021.10.24'!$B$31:$B$40</c:f>
              <c:numCache>
                <c:formatCode>0.00_ </c:formatCode>
                <c:ptCount val="10"/>
                <c:pt idx="0">
                  <c:v>32.92</c:v>
                </c:pt>
                <c:pt idx="1">
                  <c:v>18.46</c:v>
                </c:pt>
                <c:pt idx="2">
                  <c:v>31.898</c:v>
                </c:pt>
                <c:pt idx="3">
                  <c:v>15.46</c:v>
                </c:pt>
                <c:pt idx="4">
                  <c:v>7.82</c:v>
                </c:pt>
                <c:pt idx="5">
                  <c:v>16.061</c:v>
                </c:pt>
                <c:pt idx="6">
                  <c:v>23.769</c:v>
                </c:pt>
                <c:pt idx="7">
                  <c:v>11.129</c:v>
                </c:pt>
                <c:pt idx="8">
                  <c:v>15.62</c:v>
                </c:pt>
                <c:pt idx="9">
                  <c:v>32.57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'2022.1.17'!$C$29:$C$31</c:f>
              <c:numCache>
                <c:formatCode>General</c:formatCode>
                <c:ptCount val="3"/>
                <c:pt idx="0">
                  <c:v>290</c:v>
                </c:pt>
                <c:pt idx="1">
                  <c:v>435</c:v>
                </c:pt>
                <c:pt idx="2">
                  <c:v>5055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'2022.1.17'!$E$29:$E$31</c:f>
              <c:numCache>
                <c:formatCode>General</c:formatCode>
                <c:ptCount val="3"/>
                <c:pt idx="0">
                  <c:v>230</c:v>
                </c:pt>
                <c:pt idx="1">
                  <c:v>360</c:v>
                </c:pt>
                <c:pt idx="2">
                  <c:v>5190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'2022.1.18'!$A$36:$A$45</c:f>
              <c:numCache>
                <c:formatCode>m/d;@</c:formatCode>
                <c:ptCount val="10"/>
                <c:pt idx="0" c:formatCode="m/d;@">
                  <c:v>44570</c:v>
                </c:pt>
                <c:pt idx="1" c:formatCode="m/d;@">
                  <c:v>44571</c:v>
                </c:pt>
                <c:pt idx="2" c:formatCode="m/d;@">
                  <c:v>44572</c:v>
                </c:pt>
                <c:pt idx="3" c:formatCode="m/d;@">
                  <c:v>44573</c:v>
                </c:pt>
                <c:pt idx="4" c:formatCode="m/d;@">
                  <c:v>44574</c:v>
                </c:pt>
                <c:pt idx="5" c:formatCode="m/d;@">
                  <c:v>44575</c:v>
                </c:pt>
                <c:pt idx="6" c:formatCode="m/d;@">
                  <c:v>44576</c:v>
                </c:pt>
                <c:pt idx="7" c:formatCode="m/d;@">
                  <c:v>44577</c:v>
                </c:pt>
                <c:pt idx="8" c:formatCode="m/d;@">
                  <c:v>44578</c:v>
                </c:pt>
                <c:pt idx="9" c:formatCode="m/d;@">
                  <c:v>44579</c:v>
                </c:pt>
              </c:numCache>
            </c:numRef>
          </c:cat>
          <c:val>
            <c:numRef>
              <c:f>'2022.1.18'!$B$36:$B$45</c:f>
              <c:numCache>
                <c:formatCode>0.00_ </c:formatCode>
                <c:ptCount val="10"/>
                <c:pt idx="0">
                  <c:v>95.17</c:v>
                </c:pt>
                <c:pt idx="1">
                  <c:v>99.87</c:v>
                </c:pt>
                <c:pt idx="2">
                  <c:v>97.56</c:v>
                </c:pt>
                <c:pt idx="3">
                  <c:v>77.35</c:v>
                </c:pt>
                <c:pt idx="4">
                  <c:v>79.04</c:v>
                </c:pt>
                <c:pt idx="5">
                  <c:v>70.2</c:v>
                </c:pt>
                <c:pt idx="6">
                  <c:v>101.47</c:v>
                </c:pt>
                <c:pt idx="7">
                  <c:v>87.24</c:v>
                </c:pt>
                <c:pt idx="8">
                  <c:v>117.91</c:v>
                </c:pt>
                <c:pt idx="9">
                  <c:v>112.26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'2022.1.18'!$C$29:$C$31</c:f>
              <c:numCache>
                <c:formatCode>General</c:formatCode>
                <c:ptCount val="3"/>
                <c:pt idx="0">
                  <c:v>293</c:v>
                </c:pt>
                <c:pt idx="1">
                  <c:v>440</c:v>
                </c:pt>
                <c:pt idx="2">
                  <c:v>5047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'2022.1.18'!$E$29:$E$31</c:f>
              <c:numCache>
                <c:formatCode>General</c:formatCode>
                <c:ptCount val="3"/>
                <c:pt idx="0">
                  <c:v>231</c:v>
                </c:pt>
                <c:pt idx="1">
                  <c:v>360</c:v>
                </c:pt>
                <c:pt idx="2">
                  <c:v>5189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'2022.1.19'!$A$36:$A$45</c:f>
              <c:numCache>
                <c:formatCode>m/d;@</c:formatCode>
                <c:ptCount val="10"/>
                <c:pt idx="0" c:formatCode="m/d;@">
                  <c:v>44571</c:v>
                </c:pt>
                <c:pt idx="1" c:formatCode="m/d;@">
                  <c:v>44572</c:v>
                </c:pt>
                <c:pt idx="2" c:formatCode="m/d;@">
                  <c:v>44573</c:v>
                </c:pt>
                <c:pt idx="3" c:formatCode="m/d;@">
                  <c:v>44574</c:v>
                </c:pt>
                <c:pt idx="4" c:formatCode="m/d;@">
                  <c:v>44575</c:v>
                </c:pt>
                <c:pt idx="5" c:formatCode="m/d;@">
                  <c:v>44576</c:v>
                </c:pt>
                <c:pt idx="6" c:formatCode="m/d;@">
                  <c:v>44577</c:v>
                </c:pt>
                <c:pt idx="7" c:formatCode="m/d;@">
                  <c:v>44578</c:v>
                </c:pt>
                <c:pt idx="8" c:formatCode="m/d;@">
                  <c:v>44579</c:v>
                </c:pt>
                <c:pt idx="9" c:formatCode="m/d;@">
                  <c:v>44580</c:v>
                </c:pt>
              </c:numCache>
            </c:numRef>
          </c:cat>
          <c:val>
            <c:numRef>
              <c:f>'2022.1.19'!$B$36:$B$45</c:f>
              <c:numCache>
                <c:formatCode>0.00_ </c:formatCode>
                <c:ptCount val="10"/>
                <c:pt idx="0">
                  <c:v>99.87</c:v>
                </c:pt>
                <c:pt idx="1">
                  <c:v>97.56</c:v>
                </c:pt>
                <c:pt idx="2">
                  <c:v>77.35</c:v>
                </c:pt>
                <c:pt idx="3">
                  <c:v>79.04</c:v>
                </c:pt>
                <c:pt idx="4">
                  <c:v>70.2</c:v>
                </c:pt>
                <c:pt idx="5">
                  <c:v>101.47</c:v>
                </c:pt>
                <c:pt idx="6">
                  <c:v>87.24</c:v>
                </c:pt>
                <c:pt idx="7">
                  <c:v>117.91</c:v>
                </c:pt>
                <c:pt idx="8">
                  <c:v>112.26</c:v>
                </c:pt>
                <c:pt idx="9">
                  <c:v>73.57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'2022.1.19'!$C$29:$C$31</c:f>
              <c:numCache>
                <c:formatCode>General</c:formatCode>
                <c:ptCount val="3"/>
                <c:pt idx="0">
                  <c:v>296</c:v>
                </c:pt>
                <c:pt idx="1">
                  <c:v>443</c:v>
                </c:pt>
                <c:pt idx="2">
                  <c:v>5041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'2022.1.19'!$D$29:$D$31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'2022.1.19'!$E$29:$E$31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364</c:v>
                </c:pt>
                <c:pt idx="2">
                  <c:v>5181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'2022.1.20'!$A$36:$A$45</c:f>
              <c:numCache>
                <c:formatCode>m/d;@</c:formatCode>
                <c:ptCount val="10"/>
                <c:pt idx="0" c:formatCode="m/d;@">
                  <c:v>44572</c:v>
                </c:pt>
                <c:pt idx="1" c:formatCode="m/d;@">
                  <c:v>44573</c:v>
                </c:pt>
                <c:pt idx="2" c:formatCode="m/d;@">
                  <c:v>44574</c:v>
                </c:pt>
                <c:pt idx="3" c:formatCode="m/d;@">
                  <c:v>44575</c:v>
                </c:pt>
                <c:pt idx="4" c:formatCode="m/d;@">
                  <c:v>44576</c:v>
                </c:pt>
                <c:pt idx="5" c:formatCode="m/d;@">
                  <c:v>44577</c:v>
                </c:pt>
                <c:pt idx="6" c:formatCode="m/d;@">
                  <c:v>44578</c:v>
                </c:pt>
                <c:pt idx="7" c:formatCode="m/d;@">
                  <c:v>44579</c:v>
                </c:pt>
                <c:pt idx="8" c:formatCode="m/d;@">
                  <c:v>44580</c:v>
                </c:pt>
                <c:pt idx="9" c:formatCode="m/d;@">
                  <c:v>44581</c:v>
                </c:pt>
              </c:numCache>
            </c:numRef>
          </c:cat>
          <c:val>
            <c:numRef>
              <c:f>'2022.1.20'!$B$36:$B$45</c:f>
              <c:numCache>
                <c:formatCode>0.00_ </c:formatCode>
                <c:ptCount val="10"/>
                <c:pt idx="0">
                  <c:v>97.56</c:v>
                </c:pt>
                <c:pt idx="1">
                  <c:v>77.35</c:v>
                </c:pt>
                <c:pt idx="2">
                  <c:v>79.04</c:v>
                </c:pt>
                <c:pt idx="3">
                  <c:v>70.2</c:v>
                </c:pt>
                <c:pt idx="4">
                  <c:v>101.47</c:v>
                </c:pt>
                <c:pt idx="5">
                  <c:v>87.24</c:v>
                </c:pt>
                <c:pt idx="6">
                  <c:v>117.91</c:v>
                </c:pt>
                <c:pt idx="7">
                  <c:v>112.26</c:v>
                </c:pt>
                <c:pt idx="8">
                  <c:v>73.57</c:v>
                </c:pt>
                <c:pt idx="9">
                  <c:v>53.88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'2022.1.20'!$C$29:$C$31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445</c:v>
                </c:pt>
                <c:pt idx="2">
                  <c:v>5037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'2021.10.25'!$A$31:$A$40</c:f>
              <c:numCache>
                <c:formatCode>m/d;@</c:formatCode>
                <c:ptCount val="10"/>
                <c:pt idx="0" c:formatCode="m/d;@">
                  <c:v>44485</c:v>
                </c:pt>
                <c:pt idx="1" c:formatCode="m/d;@">
                  <c:v>44486</c:v>
                </c:pt>
                <c:pt idx="2" c:formatCode="m/d;@">
                  <c:v>44487</c:v>
                </c:pt>
                <c:pt idx="3" c:formatCode="m/d;@">
                  <c:v>44488</c:v>
                </c:pt>
                <c:pt idx="4" c:formatCode="m/d;@">
                  <c:v>44489</c:v>
                </c:pt>
                <c:pt idx="5" c:formatCode="m/d;@">
                  <c:v>44490</c:v>
                </c:pt>
                <c:pt idx="6" c:formatCode="m/d;@">
                  <c:v>44491</c:v>
                </c:pt>
                <c:pt idx="7" c:formatCode="m/d;@">
                  <c:v>44492</c:v>
                </c:pt>
                <c:pt idx="8" c:formatCode="m/d;@">
                  <c:v>44493</c:v>
                </c:pt>
                <c:pt idx="9" c:formatCode="m/d;@">
                  <c:v>44494</c:v>
                </c:pt>
              </c:numCache>
            </c:numRef>
          </c:cat>
          <c:val>
            <c:numRef>
              <c:f>'2021.10.25'!$B$31:$B$40</c:f>
              <c:numCache>
                <c:formatCode>0.00_ </c:formatCode>
                <c:ptCount val="10"/>
                <c:pt idx="0">
                  <c:v>18.46</c:v>
                </c:pt>
                <c:pt idx="1">
                  <c:v>31.898</c:v>
                </c:pt>
                <c:pt idx="2">
                  <c:v>15.46</c:v>
                </c:pt>
                <c:pt idx="3">
                  <c:v>7.82</c:v>
                </c:pt>
                <c:pt idx="4">
                  <c:v>16.061</c:v>
                </c:pt>
                <c:pt idx="5">
                  <c:v>23.769</c:v>
                </c:pt>
                <c:pt idx="6">
                  <c:v>11.129</c:v>
                </c:pt>
                <c:pt idx="7">
                  <c:v>15.62</c:v>
                </c:pt>
                <c:pt idx="8">
                  <c:v>32.57</c:v>
                </c:pt>
                <c:pt idx="9">
                  <c:v>31.25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'2022.1.20'!$E$29:$E$31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365</c:v>
                </c:pt>
                <c:pt idx="2">
                  <c:v>5180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'2022.1.21'!$A$36:$A$45</c:f>
              <c:numCache>
                <c:formatCode>m/d;@</c:formatCode>
                <c:ptCount val="10"/>
                <c:pt idx="0" c:formatCode="m/d;@">
                  <c:v>44573</c:v>
                </c:pt>
                <c:pt idx="1" c:formatCode="m/d;@">
                  <c:v>44574</c:v>
                </c:pt>
                <c:pt idx="2" c:formatCode="m/d;@">
                  <c:v>44575</c:v>
                </c:pt>
                <c:pt idx="3" c:formatCode="m/d;@">
                  <c:v>44576</c:v>
                </c:pt>
                <c:pt idx="4" c:formatCode="m/d;@">
                  <c:v>44577</c:v>
                </c:pt>
                <c:pt idx="5" c:formatCode="m/d;@">
                  <c:v>44578</c:v>
                </c:pt>
                <c:pt idx="6" c:formatCode="m/d;@">
                  <c:v>44579</c:v>
                </c:pt>
                <c:pt idx="7" c:formatCode="m/d;@">
                  <c:v>44580</c:v>
                </c:pt>
                <c:pt idx="8" c:formatCode="m/d;@">
                  <c:v>44581</c:v>
                </c:pt>
                <c:pt idx="9" c:formatCode="m/d;@">
                  <c:v>44582</c:v>
                </c:pt>
              </c:numCache>
            </c:numRef>
          </c:cat>
          <c:val>
            <c:numRef>
              <c:f>'2022.1.21'!$B$36:$B$45</c:f>
              <c:numCache>
                <c:formatCode>0.00_ </c:formatCode>
                <c:ptCount val="10"/>
                <c:pt idx="0">
                  <c:v>77.35</c:v>
                </c:pt>
                <c:pt idx="1">
                  <c:v>79.04</c:v>
                </c:pt>
                <c:pt idx="2">
                  <c:v>70.2</c:v>
                </c:pt>
                <c:pt idx="3">
                  <c:v>101.47</c:v>
                </c:pt>
                <c:pt idx="4">
                  <c:v>87.24</c:v>
                </c:pt>
                <c:pt idx="5">
                  <c:v>117.91</c:v>
                </c:pt>
                <c:pt idx="6">
                  <c:v>112.26</c:v>
                </c:pt>
                <c:pt idx="7">
                  <c:v>73.57</c:v>
                </c:pt>
                <c:pt idx="8">
                  <c:v>53.88</c:v>
                </c:pt>
                <c:pt idx="9">
                  <c:v>15.48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'2022.1.21'!$C$29:$C$31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446</c:v>
                </c:pt>
                <c:pt idx="2">
                  <c:v>5036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'2022.1.21'!$E$29:$E$31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'2022.1.22'!$A$36:$A$45</c:f>
              <c:numCache>
                <c:formatCode>m/d;@</c:formatCode>
                <c:ptCount val="10"/>
                <c:pt idx="0" c:formatCode="m/d;@">
                  <c:v>44574</c:v>
                </c:pt>
                <c:pt idx="1" c:formatCode="m/d;@">
                  <c:v>44575</c:v>
                </c:pt>
                <c:pt idx="2" c:formatCode="m/d;@">
                  <c:v>44576</c:v>
                </c:pt>
                <c:pt idx="3" c:formatCode="m/d;@">
                  <c:v>44577</c:v>
                </c:pt>
                <c:pt idx="4" c:formatCode="m/d;@">
                  <c:v>44578</c:v>
                </c:pt>
                <c:pt idx="5" c:formatCode="m/d;@">
                  <c:v>44579</c:v>
                </c:pt>
                <c:pt idx="6" c:formatCode="m/d;@">
                  <c:v>44580</c:v>
                </c:pt>
                <c:pt idx="7" c:formatCode="m/d;@">
                  <c:v>44581</c:v>
                </c:pt>
                <c:pt idx="8" c:formatCode="m/d;@">
                  <c:v>44582</c:v>
                </c:pt>
                <c:pt idx="9" c:formatCode="m/d;@">
                  <c:v>44583</c:v>
                </c:pt>
              </c:numCache>
            </c:numRef>
          </c:cat>
          <c:val>
            <c:numRef>
              <c:f>'2022.1.22'!$B$36:$B$45</c:f>
              <c:numCache>
                <c:formatCode>0.00_ </c:formatCode>
                <c:ptCount val="10"/>
                <c:pt idx="0">
                  <c:v>79.04</c:v>
                </c:pt>
                <c:pt idx="1">
                  <c:v>70.2</c:v>
                </c:pt>
                <c:pt idx="2">
                  <c:v>101.47</c:v>
                </c:pt>
                <c:pt idx="3">
                  <c:v>87.24</c:v>
                </c:pt>
                <c:pt idx="4">
                  <c:v>117.91</c:v>
                </c:pt>
                <c:pt idx="5">
                  <c:v>112.26</c:v>
                </c:pt>
                <c:pt idx="6">
                  <c:v>73.57</c:v>
                </c:pt>
                <c:pt idx="7">
                  <c:v>53.88</c:v>
                </c:pt>
                <c:pt idx="8">
                  <c:v>15.48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'2022.1.22'!$C$29:$C$31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446</c:v>
                </c:pt>
                <c:pt idx="2">
                  <c:v>5036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'2022.1.22'!$D$29:$D$31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'2022.1.22'!$E$29:$E$31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'2022.2.9'!$A$36:$A$45</c:f>
              <c:numCache>
                <c:formatCode>m/d;@</c:formatCode>
                <c:ptCount val="10"/>
                <c:pt idx="0" c:formatCode="m/d;@">
                  <c:v>44592</c:v>
                </c:pt>
                <c:pt idx="1" c:formatCode="m/d;@">
                  <c:v>44593</c:v>
                </c:pt>
                <c:pt idx="2" c:formatCode="m/d;@">
                  <c:v>44594</c:v>
                </c:pt>
                <c:pt idx="3" c:formatCode="m/d;@">
                  <c:v>44595</c:v>
                </c:pt>
                <c:pt idx="4" c:formatCode="m/d;@">
                  <c:v>44596</c:v>
                </c:pt>
                <c:pt idx="5" c:formatCode="m/d;@">
                  <c:v>44597</c:v>
                </c:pt>
                <c:pt idx="6" c:formatCode="m/d;@">
                  <c:v>44598</c:v>
                </c:pt>
                <c:pt idx="7" c:formatCode="m/d;@">
                  <c:v>44599</c:v>
                </c:pt>
                <c:pt idx="8" c:formatCode="m/d;@">
                  <c:v>44600</c:v>
                </c:pt>
                <c:pt idx="9" c:formatCode="m/d;@">
                  <c:v>44601</c:v>
                </c:pt>
              </c:numCache>
            </c:numRef>
          </c:cat>
          <c:val>
            <c:numRef>
              <c:f>'2022.2.9'!$B$36:$B$45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'2022.2.9'!$C$29:$C$31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446</c:v>
                </c:pt>
                <c:pt idx="2">
                  <c:v>5036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'2022.2.9'!$E$29:$E$31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'2021.10.26'!$A$31:$A$40</c:f>
              <c:numCache>
                <c:formatCode>m/d;@</c:formatCode>
                <c:ptCount val="10"/>
                <c:pt idx="0" c:formatCode="m/d;@">
                  <c:v>44486</c:v>
                </c:pt>
                <c:pt idx="1" c:formatCode="m/d;@">
                  <c:v>44487</c:v>
                </c:pt>
                <c:pt idx="2" c:formatCode="m/d;@">
                  <c:v>44488</c:v>
                </c:pt>
                <c:pt idx="3" c:formatCode="m/d;@">
                  <c:v>44489</c:v>
                </c:pt>
                <c:pt idx="4" c:formatCode="m/d;@">
                  <c:v>44490</c:v>
                </c:pt>
                <c:pt idx="5" c:formatCode="m/d;@">
                  <c:v>44491</c:v>
                </c:pt>
                <c:pt idx="6" c:formatCode="m/d;@">
                  <c:v>44492</c:v>
                </c:pt>
                <c:pt idx="7" c:formatCode="m/d;@">
                  <c:v>44493</c:v>
                </c:pt>
                <c:pt idx="8" c:formatCode="m/d;@">
                  <c:v>44494</c:v>
                </c:pt>
                <c:pt idx="9" c:formatCode="m/d;@">
                  <c:v>44495</c:v>
                </c:pt>
              </c:numCache>
            </c:numRef>
          </c:cat>
          <c:val>
            <c:numRef>
              <c:f>'2021.10.26'!$B$31:$B$40</c:f>
              <c:numCache>
                <c:formatCode>0.00_ </c:formatCode>
                <c:ptCount val="10"/>
                <c:pt idx="0">
                  <c:v>31.898</c:v>
                </c:pt>
                <c:pt idx="1">
                  <c:v>15.46</c:v>
                </c:pt>
                <c:pt idx="2">
                  <c:v>7.82</c:v>
                </c:pt>
                <c:pt idx="3">
                  <c:v>16.061</c:v>
                </c:pt>
                <c:pt idx="4">
                  <c:v>23.769</c:v>
                </c:pt>
                <c:pt idx="5">
                  <c:v>11.129</c:v>
                </c:pt>
                <c:pt idx="6">
                  <c:v>15.62</c:v>
                </c:pt>
                <c:pt idx="7">
                  <c:v>32.57</c:v>
                </c:pt>
                <c:pt idx="8">
                  <c:v>31.25</c:v>
                </c:pt>
                <c:pt idx="9">
                  <c:v>23.28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'2022.2.10'!$A$36:$A$45</c:f>
              <c:numCache>
                <c:formatCode>m/d;@</c:formatCode>
                <c:ptCount val="10"/>
                <c:pt idx="0" c:formatCode="m/d;@">
                  <c:v>44593</c:v>
                </c:pt>
                <c:pt idx="1" c:formatCode="m/d;@">
                  <c:v>44594</c:v>
                </c:pt>
                <c:pt idx="2" c:formatCode="m/d;@">
                  <c:v>44595</c:v>
                </c:pt>
                <c:pt idx="3" c:formatCode="m/d;@">
                  <c:v>44596</c:v>
                </c:pt>
                <c:pt idx="4" c:formatCode="m/d;@">
                  <c:v>44597</c:v>
                </c:pt>
                <c:pt idx="5" c:formatCode="m/d;@">
                  <c:v>44598</c:v>
                </c:pt>
                <c:pt idx="6" c:formatCode="m/d;@">
                  <c:v>44599</c:v>
                </c:pt>
                <c:pt idx="7" c:formatCode="m/d;@">
                  <c:v>44600</c:v>
                </c:pt>
                <c:pt idx="8" c:formatCode="m/d;@">
                  <c:v>44601</c:v>
                </c:pt>
                <c:pt idx="9" c:formatCode="m/d;@">
                  <c:v>44602</c:v>
                </c:pt>
              </c:numCache>
            </c:numRef>
          </c:cat>
          <c:val>
            <c:numRef>
              <c:f>'2022.2.10'!$B$36:$B$45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'2022.2.10'!$C$29:$C$31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450</c:v>
                </c:pt>
                <c:pt idx="2">
                  <c:v>5032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'2022.2.10'!$E$29:$E$31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366</c:v>
                </c:pt>
                <c:pt idx="2">
                  <c:v>5179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'2022.2.11'!$A$36:$A$45</c:f>
              <c:numCache>
                <c:formatCode>m/d;@</c:formatCode>
                <c:ptCount val="10"/>
                <c:pt idx="0" c:formatCode="m/d;@">
                  <c:v>44594</c:v>
                </c:pt>
                <c:pt idx="1" c:formatCode="m/d;@">
                  <c:v>44595</c:v>
                </c:pt>
                <c:pt idx="2" c:formatCode="m/d;@">
                  <c:v>44596</c:v>
                </c:pt>
                <c:pt idx="3" c:formatCode="m/d;@">
                  <c:v>44597</c:v>
                </c:pt>
                <c:pt idx="4" c:formatCode="m/d;@">
                  <c:v>44598</c:v>
                </c:pt>
                <c:pt idx="5" c:formatCode="m/d;@">
                  <c:v>44599</c:v>
                </c:pt>
                <c:pt idx="6" c:formatCode="m/d;@">
                  <c:v>44600</c:v>
                </c:pt>
                <c:pt idx="7" c:formatCode="m/d;@">
                  <c:v>44601</c:v>
                </c:pt>
                <c:pt idx="8" c:formatCode="m/d;@">
                  <c:v>44602</c:v>
                </c:pt>
                <c:pt idx="9" c:formatCode="m/d;@">
                  <c:v>44603</c:v>
                </c:pt>
              </c:numCache>
            </c:numRef>
          </c:cat>
          <c:val>
            <c:numRef>
              <c:f>'2022.2.11'!$B$36:$B$45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45.75</c:v>
                </c:pt>
                <c:pt idx="9">
                  <c:v>15.48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'2022.2.11'!$C$29:$C$31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451</c:v>
                </c:pt>
                <c:pt idx="2">
                  <c:v>5031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'2022.2.11'!$E$29:$E$31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367</c:v>
                </c:pt>
                <c:pt idx="2">
                  <c:v>5178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'2022.2.12'!$A$36:$A$45</c:f>
              <c:numCache>
                <c:formatCode>m/d;@</c:formatCode>
                <c:ptCount val="10"/>
                <c:pt idx="0" c:formatCode="m/d;@">
                  <c:v>44595</c:v>
                </c:pt>
                <c:pt idx="1" c:formatCode="m/d;@">
                  <c:v>44596</c:v>
                </c:pt>
                <c:pt idx="2" c:formatCode="m/d;@">
                  <c:v>44597</c:v>
                </c:pt>
                <c:pt idx="3" c:formatCode="m/d;@">
                  <c:v>44598</c:v>
                </c:pt>
                <c:pt idx="4" c:formatCode="m/d;@">
                  <c:v>44599</c:v>
                </c:pt>
                <c:pt idx="5" c:formatCode="m/d;@">
                  <c:v>44600</c:v>
                </c:pt>
                <c:pt idx="6" c:formatCode="m/d;@">
                  <c:v>44601</c:v>
                </c:pt>
                <c:pt idx="7" c:formatCode="m/d;@">
                  <c:v>44602</c:v>
                </c:pt>
                <c:pt idx="8" c:formatCode="m/d;@">
                  <c:v>44603</c:v>
                </c:pt>
                <c:pt idx="9" c:formatCode="m/d;@">
                  <c:v>44604</c:v>
                </c:pt>
              </c:numCache>
            </c:numRef>
          </c:cat>
          <c:val>
            <c:numRef>
              <c:f>'2022.2.12'!$B$36:$B$45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45.75</c:v>
                </c:pt>
                <c:pt idx="8">
                  <c:v>15.48</c:v>
                </c:pt>
                <c:pt idx="9">
                  <c:v>38.34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'2022.2.12'!$C$29:$C$31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455</c:v>
                </c:pt>
                <c:pt idx="2">
                  <c:v>5027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'2022.2.12'!$E$29:$E$31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367</c:v>
                </c:pt>
                <c:pt idx="2">
                  <c:v>5178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'2022.2.13'!$A$36:$A$45</c:f>
              <c:numCache>
                <c:formatCode>m/d;@</c:formatCode>
                <c:ptCount val="10"/>
                <c:pt idx="0" c:formatCode="m/d;@">
                  <c:v>44596</c:v>
                </c:pt>
                <c:pt idx="1" c:formatCode="m/d;@">
                  <c:v>44597</c:v>
                </c:pt>
                <c:pt idx="2" c:formatCode="m/d;@">
                  <c:v>44598</c:v>
                </c:pt>
                <c:pt idx="3" c:formatCode="m/d;@">
                  <c:v>44599</c:v>
                </c:pt>
                <c:pt idx="4" c:formatCode="m/d;@">
                  <c:v>44600</c:v>
                </c:pt>
                <c:pt idx="5" c:formatCode="m/d;@">
                  <c:v>44601</c:v>
                </c:pt>
                <c:pt idx="6" c:formatCode="m/d;@">
                  <c:v>44602</c:v>
                </c:pt>
                <c:pt idx="7" c:formatCode="m/d;@">
                  <c:v>44603</c:v>
                </c:pt>
                <c:pt idx="8" c:formatCode="m/d;@">
                  <c:v>44604</c:v>
                </c:pt>
                <c:pt idx="9" c:formatCode="m/d;@">
                  <c:v>44605</c:v>
                </c:pt>
              </c:numCache>
            </c:numRef>
          </c:cat>
          <c:val>
            <c:numRef>
              <c:f>'2022.2.13'!$B$36:$B$45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45.75</c:v>
                </c:pt>
                <c:pt idx="7">
                  <c:v>15.48</c:v>
                </c:pt>
                <c:pt idx="8">
                  <c:v>38.34</c:v>
                </c:pt>
                <c:pt idx="9">
                  <c:v>30.52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'2021.10.27'!$A$31:$A$40</c:f>
              <c:numCache>
                <c:formatCode>m/d;@</c:formatCode>
                <c:ptCount val="10"/>
                <c:pt idx="0" c:formatCode="m/d;@">
                  <c:v>44487</c:v>
                </c:pt>
                <c:pt idx="1" c:formatCode="m/d;@">
                  <c:v>44488</c:v>
                </c:pt>
                <c:pt idx="2" c:formatCode="m/d;@">
                  <c:v>44489</c:v>
                </c:pt>
                <c:pt idx="3" c:formatCode="m/d;@">
                  <c:v>44490</c:v>
                </c:pt>
                <c:pt idx="4" c:formatCode="m/d;@">
                  <c:v>44491</c:v>
                </c:pt>
                <c:pt idx="5" c:formatCode="m/d;@">
                  <c:v>44492</c:v>
                </c:pt>
                <c:pt idx="6" c:formatCode="m/d;@">
                  <c:v>44493</c:v>
                </c:pt>
                <c:pt idx="7" c:formatCode="m/d;@">
                  <c:v>44494</c:v>
                </c:pt>
                <c:pt idx="8" c:formatCode="m/d;@">
                  <c:v>44495</c:v>
                </c:pt>
                <c:pt idx="9" c:formatCode="m/d;@">
                  <c:v>44496</c:v>
                </c:pt>
              </c:numCache>
            </c:numRef>
          </c:cat>
          <c:val>
            <c:numRef>
              <c:f>'2021.10.27'!$B$31:$B$40</c:f>
              <c:numCache>
                <c:formatCode>0.00_ </c:formatCode>
                <c:ptCount val="10"/>
                <c:pt idx="0">
                  <c:v>15.46</c:v>
                </c:pt>
                <c:pt idx="1">
                  <c:v>7.82</c:v>
                </c:pt>
                <c:pt idx="2">
                  <c:v>16.061</c:v>
                </c:pt>
                <c:pt idx="3">
                  <c:v>23.769</c:v>
                </c:pt>
                <c:pt idx="4">
                  <c:v>11.129</c:v>
                </c:pt>
                <c:pt idx="5">
                  <c:v>15.62</c:v>
                </c:pt>
                <c:pt idx="6">
                  <c:v>32.57</c:v>
                </c:pt>
                <c:pt idx="7">
                  <c:v>31.25</c:v>
                </c:pt>
                <c:pt idx="8">
                  <c:v>23.28</c:v>
                </c:pt>
                <c:pt idx="9">
                  <c:v>38.88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'2022.2.13'!$C$29:$C$31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458</c:v>
                </c:pt>
                <c:pt idx="2">
                  <c:v>5024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'2022.2.13'!$E$29:$E$31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367</c:v>
                </c:pt>
                <c:pt idx="2">
                  <c:v>5178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'2022.2.14'!$A$36:$A$45</c:f>
              <c:numCache>
                <c:formatCode>m/d;@</c:formatCode>
                <c:ptCount val="10"/>
                <c:pt idx="0" c:formatCode="m/d;@">
                  <c:v>44597</c:v>
                </c:pt>
                <c:pt idx="1" c:formatCode="m/d;@">
                  <c:v>44598</c:v>
                </c:pt>
                <c:pt idx="2" c:formatCode="m/d;@">
                  <c:v>44599</c:v>
                </c:pt>
                <c:pt idx="3" c:formatCode="m/d;@">
                  <c:v>44600</c:v>
                </c:pt>
                <c:pt idx="4" c:formatCode="m/d;@">
                  <c:v>44601</c:v>
                </c:pt>
                <c:pt idx="5" c:formatCode="m/d;@">
                  <c:v>44602</c:v>
                </c:pt>
                <c:pt idx="6" c:formatCode="m/d;@">
                  <c:v>44603</c:v>
                </c:pt>
                <c:pt idx="7" c:formatCode="m/d;@">
                  <c:v>44604</c:v>
                </c:pt>
                <c:pt idx="8" c:formatCode="m/d;@">
                  <c:v>44605</c:v>
                </c:pt>
                <c:pt idx="9" c:formatCode="m/d;@">
                  <c:v>44606</c:v>
                </c:pt>
              </c:numCache>
            </c:numRef>
          </c:cat>
          <c:val>
            <c:numRef>
              <c:f>'2022.2.14'!$B$36:$B$45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45.75</c:v>
                </c:pt>
                <c:pt idx="6">
                  <c:v>15.48</c:v>
                </c:pt>
                <c:pt idx="7">
                  <c:v>38.34</c:v>
                </c:pt>
                <c:pt idx="8">
                  <c:v>30.52</c:v>
                </c:pt>
                <c:pt idx="9">
                  <c:v>54.88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'2022.2.14'!$C$29:$C$31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463</c:v>
                </c:pt>
                <c:pt idx="2">
                  <c:v>5019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'2022.2.14'!$E$29:$E$31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372</c:v>
                </c:pt>
                <c:pt idx="2">
                  <c:v>5173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'2022.2.15'!$A$36:$A$45</c:f>
              <c:numCache>
                <c:formatCode>m/d;@</c:formatCode>
                <c:ptCount val="10"/>
                <c:pt idx="0" c:formatCode="m/d;@">
                  <c:v>44598</c:v>
                </c:pt>
                <c:pt idx="1" c:formatCode="m/d;@">
                  <c:v>44599</c:v>
                </c:pt>
                <c:pt idx="2" c:formatCode="m/d;@">
                  <c:v>44600</c:v>
                </c:pt>
                <c:pt idx="3" c:formatCode="m/d;@">
                  <c:v>44601</c:v>
                </c:pt>
                <c:pt idx="4" c:formatCode="m/d;@">
                  <c:v>44602</c:v>
                </c:pt>
                <c:pt idx="5" c:formatCode="m/d;@">
                  <c:v>44603</c:v>
                </c:pt>
                <c:pt idx="6" c:formatCode="m/d;@">
                  <c:v>44604</c:v>
                </c:pt>
                <c:pt idx="7" c:formatCode="m/d;@">
                  <c:v>44605</c:v>
                </c:pt>
                <c:pt idx="8" c:formatCode="m/d;@">
                  <c:v>44606</c:v>
                </c:pt>
                <c:pt idx="9" c:formatCode="m/d;@">
                  <c:v>44607</c:v>
                </c:pt>
              </c:numCache>
            </c:numRef>
          </c:cat>
          <c:val>
            <c:numRef>
              <c:f>'2022.2.15'!$B$36:$B$45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45.75</c:v>
                </c:pt>
                <c:pt idx="5">
                  <c:v>15.48</c:v>
                </c:pt>
                <c:pt idx="6">
                  <c:v>38.34</c:v>
                </c:pt>
                <c:pt idx="7">
                  <c:v>30.52</c:v>
                </c:pt>
                <c:pt idx="8">
                  <c:v>54.88</c:v>
                </c:pt>
                <c:pt idx="9">
                  <c:v>54.2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'2022.2.15'!$C$29:$C$31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469</c:v>
                </c:pt>
                <c:pt idx="2">
                  <c:v>5013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'2022.2.15'!$E$29:$E$31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374</c:v>
                </c:pt>
                <c:pt idx="2">
                  <c:v>5171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'2022.2.16'!$A$36:$A$45</c:f>
              <c:numCache>
                <c:formatCode>m/d;@</c:formatCode>
                <c:ptCount val="10"/>
                <c:pt idx="0" c:formatCode="m/d;@">
                  <c:v>44599</c:v>
                </c:pt>
                <c:pt idx="1" c:formatCode="m/d;@">
                  <c:v>44600</c:v>
                </c:pt>
                <c:pt idx="2" c:formatCode="m/d;@">
                  <c:v>44601</c:v>
                </c:pt>
                <c:pt idx="3" c:formatCode="m/d;@">
                  <c:v>44602</c:v>
                </c:pt>
                <c:pt idx="4" c:formatCode="m/d;@">
                  <c:v>44603</c:v>
                </c:pt>
                <c:pt idx="5" c:formatCode="m/d;@">
                  <c:v>44604</c:v>
                </c:pt>
                <c:pt idx="6" c:formatCode="m/d;@">
                  <c:v>44605</c:v>
                </c:pt>
                <c:pt idx="7" c:formatCode="m/d;@">
                  <c:v>44606</c:v>
                </c:pt>
                <c:pt idx="8" c:formatCode="m/d;@">
                  <c:v>44607</c:v>
                </c:pt>
                <c:pt idx="9" c:formatCode="m/d;@">
                  <c:v>44608</c:v>
                </c:pt>
              </c:numCache>
            </c:numRef>
          </c:cat>
          <c:val>
            <c:numRef>
              <c:f>'2022.2.16'!$B$36:$B$45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45.75</c:v>
                </c:pt>
                <c:pt idx="4">
                  <c:v>15.48</c:v>
                </c:pt>
                <c:pt idx="5">
                  <c:v>38.34</c:v>
                </c:pt>
                <c:pt idx="6">
                  <c:v>30.52</c:v>
                </c:pt>
                <c:pt idx="7">
                  <c:v>54.88</c:v>
                </c:pt>
                <c:pt idx="8">
                  <c:v>54.2</c:v>
                </c:pt>
                <c:pt idx="9">
                  <c:v>54.87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'2022.2.16'!$C$29:$C$31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474</c:v>
                </c:pt>
                <c:pt idx="2">
                  <c:v>5008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'2021.10.28'!$A$31:$A$40</c:f>
              <c:numCache>
                <c:formatCode>m/d;@</c:formatCode>
                <c:ptCount val="10"/>
                <c:pt idx="0" c:formatCode="m/d;@">
                  <c:v>44488</c:v>
                </c:pt>
                <c:pt idx="1" c:formatCode="m/d;@">
                  <c:v>44489</c:v>
                </c:pt>
                <c:pt idx="2" c:formatCode="m/d;@">
                  <c:v>44490</c:v>
                </c:pt>
                <c:pt idx="3" c:formatCode="m/d;@">
                  <c:v>44491</c:v>
                </c:pt>
                <c:pt idx="4" c:formatCode="m/d;@">
                  <c:v>44492</c:v>
                </c:pt>
                <c:pt idx="5" c:formatCode="m/d;@">
                  <c:v>44493</c:v>
                </c:pt>
                <c:pt idx="6" c:formatCode="m/d;@">
                  <c:v>44494</c:v>
                </c:pt>
                <c:pt idx="7" c:formatCode="m/d;@">
                  <c:v>44495</c:v>
                </c:pt>
                <c:pt idx="8" c:formatCode="m/d;@">
                  <c:v>44496</c:v>
                </c:pt>
                <c:pt idx="9" c:formatCode="m/d;@">
                  <c:v>44497</c:v>
                </c:pt>
              </c:numCache>
            </c:numRef>
          </c:cat>
          <c:val>
            <c:numRef>
              <c:f>'2021.10.28'!$B$31:$B$40</c:f>
              <c:numCache>
                <c:formatCode>0.00_ </c:formatCode>
                <c:ptCount val="10"/>
                <c:pt idx="0">
                  <c:v>7.82</c:v>
                </c:pt>
                <c:pt idx="1">
                  <c:v>16.061</c:v>
                </c:pt>
                <c:pt idx="2">
                  <c:v>23.769</c:v>
                </c:pt>
                <c:pt idx="3">
                  <c:v>11.129</c:v>
                </c:pt>
                <c:pt idx="4">
                  <c:v>15.62</c:v>
                </c:pt>
                <c:pt idx="5">
                  <c:v>32.57</c:v>
                </c:pt>
                <c:pt idx="6">
                  <c:v>31.25</c:v>
                </c:pt>
                <c:pt idx="7">
                  <c:v>23.28</c:v>
                </c:pt>
                <c:pt idx="8">
                  <c:v>38.88</c:v>
                </c:pt>
                <c:pt idx="9">
                  <c:v>15.77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'2022.2.16'!$E$29:$E$31</c:f>
              <c:numCache>
                <c:formatCode>General</c:formatCode>
                <c:ptCount val="3"/>
                <c:pt idx="0">
                  <c:v>235</c:v>
                </c:pt>
                <c:pt idx="1">
                  <c:v>380</c:v>
                </c:pt>
                <c:pt idx="2">
                  <c:v>5165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'2022.2.16'!$I$44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'2022.2.16'!$H$45:$H$49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'2022.2.16'!$I$45:$I$49</c:f>
              <c:numCache>
                <c:formatCode>0.00%</c:formatCode>
                <c:ptCount val="5"/>
                <c:pt idx="0">
                  <c:v>0.1306</c:v>
                </c:pt>
                <c:pt idx="1">
                  <c:v>0.104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'2022.2.17'!$A$36:$A$45</c:f>
              <c:numCache>
                <c:formatCode>m/d;@</c:formatCode>
                <c:ptCount val="10"/>
                <c:pt idx="0" c:formatCode="m/d;@">
                  <c:v>44600</c:v>
                </c:pt>
                <c:pt idx="1" c:formatCode="m/d;@">
                  <c:v>44601</c:v>
                </c:pt>
                <c:pt idx="2" c:formatCode="m/d;@">
                  <c:v>44602</c:v>
                </c:pt>
                <c:pt idx="3" c:formatCode="m/d;@">
                  <c:v>44603</c:v>
                </c:pt>
                <c:pt idx="4" c:formatCode="m/d;@">
                  <c:v>44604</c:v>
                </c:pt>
                <c:pt idx="5" c:formatCode="m/d;@">
                  <c:v>44605</c:v>
                </c:pt>
                <c:pt idx="6" c:formatCode="m/d;@">
                  <c:v>44606</c:v>
                </c:pt>
                <c:pt idx="7" c:formatCode="m/d;@">
                  <c:v>44607</c:v>
                </c:pt>
                <c:pt idx="8" c:formatCode="m/d;@">
                  <c:v>44608</c:v>
                </c:pt>
                <c:pt idx="9" c:formatCode="m/d;@">
                  <c:v>44609</c:v>
                </c:pt>
              </c:numCache>
            </c:numRef>
          </c:cat>
          <c:val>
            <c:numRef>
              <c:f>'2022.2.17'!$B$36:$B$45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45.75</c:v>
                </c:pt>
                <c:pt idx="3">
                  <c:v>15.48</c:v>
                </c:pt>
                <c:pt idx="4">
                  <c:v>38.34</c:v>
                </c:pt>
                <c:pt idx="5">
                  <c:v>30.52</c:v>
                </c:pt>
                <c:pt idx="6">
                  <c:v>54.88</c:v>
                </c:pt>
                <c:pt idx="7">
                  <c:v>54.2</c:v>
                </c:pt>
                <c:pt idx="8">
                  <c:v>54.87</c:v>
                </c:pt>
                <c:pt idx="9">
                  <c:v>55.88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'2022.2.17'!$C$29:$C$31</c:f>
              <c:numCache>
                <c:formatCode>General</c:formatCode>
                <c:ptCount val="3"/>
                <c:pt idx="0">
                  <c:v>298</c:v>
                </c:pt>
                <c:pt idx="1">
                  <c:v>480</c:v>
                </c:pt>
                <c:pt idx="2">
                  <c:v>5002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'2022.2.17'!$E$29:$E$31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384</c:v>
                </c:pt>
                <c:pt idx="2">
                  <c:v>5156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'2022.2.17'!$I$43:$I$47</c:f>
              <c:numCache>
                <c:formatCode>0.00%</c:formatCode>
                <c:ptCount val="5"/>
                <c:pt idx="0">
                  <c:v>0.1316</c:v>
                </c:pt>
                <c:pt idx="1">
                  <c:v>0.1055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'2022.2.18'!$A$36:$A$45</c:f>
              <c:numCache>
                <c:formatCode>m/d;@</c:formatCode>
                <c:ptCount val="10"/>
                <c:pt idx="0" c:formatCode="m/d;@">
                  <c:v>44601</c:v>
                </c:pt>
                <c:pt idx="1" c:formatCode="m/d;@">
                  <c:v>44602</c:v>
                </c:pt>
                <c:pt idx="2" c:formatCode="m/d;@">
                  <c:v>44603</c:v>
                </c:pt>
                <c:pt idx="3" c:formatCode="m/d;@">
                  <c:v>44604</c:v>
                </c:pt>
                <c:pt idx="4" c:formatCode="m/d;@">
                  <c:v>44605</c:v>
                </c:pt>
                <c:pt idx="5" c:formatCode="m/d;@">
                  <c:v>44606</c:v>
                </c:pt>
                <c:pt idx="6" c:formatCode="m/d;@">
                  <c:v>44607</c:v>
                </c:pt>
                <c:pt idx="7" c:formatCode="m/d;@">
                  <c:v>44608</c:v>
                </c:pt>
                <c:pt idx="8" c:formatCode="m/d;@">
                  <c:v>44609</c:v>
                </c:pt>
                <c:pt idx="9" c:formatCode="m/d;@">
                  <c:v>44610</c:v>
                </c:pt>
              </c:numCache>
            </c:numRef>
          </c:cat>
          <c:val>
            <c:numRef>
              <c:f>'2022.2.18'!$B$36:$B$45</c:f>
              <c:numCache>
                <c:formatCode>0.00_ </c:formatCode>
                <c:ptCount val="10"/>
                <c:pt idx="0">
                  <c:v>0</c:v>
                </c:pt>
                <c:pt idx="1">
                  <c:v>45.75</c:v>
                </c:pt>
                <c:pt idx="2">
                  <c:v>15.48</c:v>
                </c:pt>
                <c:pt idx="3">
                  <c:v>38.34</c:v>
                </c:pt>
                <c:pt idx="4">
                  <c:v>30.52</c:v>
                </c:pt>
                <c:pt idx="5">
                  <c:v>54.88</c:v>
                </c:pt>
                <c:pt idx="6">
                  <c:v>54.2</c:v>
                </c:pt>
                <c:pt idx="7">
                  <c:v>54.87</c:v>
                </c:pt>
                <c:pt idx="8">
                  <c:v>55.88</c:v>
                </c:pt>
                <c:pt idx="9">
                  <c:v>46.12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'2022.2.18'!$C$29:$C$31</c:f>
              <c:numCache>
                <c:formatCode>General</c:formatCode>
                <c:ptCount val="3"/>
                <c:pt idx="0">
                  <c:v>299</c:v>
                </c:pt>
                <c:pt idx="1">
                  <c:v>483</c:v>
                </c:pt>
                <c:pt idx="2">
                  <c:v>4998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'2022.2.18'!$E$29:$E$31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386</c:v>
                </c:pt>
                <c:pt idx="2">
                  <c:v>5154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'2022.2.18'!$I$43:$I$47</c:f>
              <c:numCache>
                <c:formatCode>0.00%</c:formatCode>
                <c:ptCount val="5"/>
                <c:pt idx="0">
                  <c:v>0.1323</c:v>
                </c:pt>
                <c:pt idx="1">
                  <c:v>0.1059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'2021.10.29'!$A$31:$A$40</c:f>
              <c:numCache>
                <c:formatCode>m/d;@</c:formatCode>
                <c:ptCount val="10"/>
                <c:pt idx="0" c:formatCode="m/d;@">
                  <c:v>44489</c:v>
                </c:pt>
                <c:pt idx="1" c:formatCode="m/d;@">
                  <c:v>44490</c:v>
                </c:pt>
                <c:pt idx="2" c:formatCode="m/d;@">
                  <c:v>44491</c:v>
                </c:pt>
                <c:pt idx="3" c:formatCode="m/d;@">
                  <c:v>44492</c:v>
                </c:pt>
                <c:pt idx="4" c:formatCode="m/d;@">
                  <c:v>44493</c:v>
                </c:pt>
                <c:pt idx="5" c:formatCode="m/d;@">
                  <c:v>44494</c:v>
                </c:pt>
                <c:pt idx="6" c:formatCode="m/d;@">
                  <c:v>44495</c:v>
                </c:pt>
                <c:pt idx="7" c:formatCode="m/d;@">
                  <c:v>44496</c:v>
                </c:pt>
                <c:pt idx="8" c:formatCode="m/d;@">
                  <c:v>44497</c:v>
                </c:pt>
                <c:pt idx="9" c:formatCode="m/d;@">
                  <c:v>44498</c:v>
                </c:pt>
              </c:numCache>
            </c:numRef>
          </c:cat>
          <c:val>
            <c:numRef>
              <c:f>'2021.10.29'!$B$31:$B$40</c:f>
              <c:numCache>
                <c:formatCode>0.00_ </c:formatCode>
                <c:ptCount val="10"/>
                <c:pt idx="0">
                  <c:v>16.061</c:v>
                </c:pt>
                <c:pt idx="1">
                  <c:v>23.769</c:v>
                </c:pt>
                <c:pt idx="2">
                  <c:v>11.129</c:v>
                </c:pt>
                <c:pt idx="3">
                  <c:v>15.62</c:v>
                </c:pt>
                <c:pt idx="4">
                  <c:v>32.57</c:v>
                </c:pt>
                <c:pt idx="5">
                  <c:v>31.25</c:v>
                </c:pt>
                <c:pt idx="6">
                  <c:v>23.28</c:v>
                </c:pt>
                <c:pt idx="7">
                  <c:v>38.88</c:v>
                </c:pt>
                <c:pt idx="8">
                  <c:v>15.77</c:v>
                </c:pt>
                <c:pt idx="9">
                  <c:v>15.62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'2022.2.19'!$A$36:$A$45</c:f>
              <c:numCache>
                <c:formatCode>m/d;@</c:formatCode>
                <c:ptCount val="10"/>
                <c:pt idx="0" c:formatCode="m/d;@">
                  <c:v>44602</c:v>
                </c:pt>
                <c:pt idx="1" c:formatCode="m/d;@">
                  <c:v>44603</c:v>
                </c:pt>
                <c:pt idx="2" c:formatCode="m/d;@">
                  <c:v>44604</c:v>
                </c:pt>
                <c:pt idx="3" c:formatCode="m/d;@">
                  <c:v>44605</c:v>
                </c:pt>
                <c:pt idx="4" c:formatCode="m/d;@">
                  <c:v>44606</c:v>
                </c:pt>
                <c:pt idx="5" c:formatCode="m/d;@">
                  <c:v>44607</c:v>
                </c:pt>
                <c:pt idx="6" c:formatCode="m/d;@">
                  <c:v>44608</c:v>
                </c:pt>
                <c:pt idx="7" c:formatCode="m/d;@">
                  <c:v>44609</c:v>
                </c:pt>
                <c:pt idx="8" c:formatCode="m/d;@">
                  <c:v>44610</c:v>
                </c:pt>
                <c:pt idx="9" c:formatCode="m/d;@">
                  <c:v>44611</c:v>
                </c:pt>
              </c:numCache>
            </c:numRef>
          </c:cat>
          <c:val>
            <c:numRef>
              <c:f>'2022.2.19'!$B$36:$B$45</c:f>
              <c:numCache>
                <c:formatCode>0.00_ </c:formatCode>
                <c:ptCount val="10"/>
                <c:pt idx="0">
                  <c:v>45.75</c:v>
                </c:pt>
                <c:pt idx="1">
                  <c:v>15.48</c:v>
                </c:pt>
                <c:pt idx="2">
                  <c:v>38.34</c:v>
                </c:pt>
                <c:pt idx="3">
                  <c:v>30.52</c:v>
                </c:pt>
                <c:pt idx="4">
                  <c:v>54.88</c:v>
                </c:pt>
                <c:pt idx="5">
                  <c:v>54.2</c:v>
                </c:pt>
                <c:pt idx="6">
                  <c:v>54.87</c:v>
                </c:pt>
                <c:pt idx="7">
                  <c:v>55.88</c:v>
                </c:pt>
                <c:pt idx="8">
                  <c:v>46.12</c:v>
                </c:pt>
                <c:pt idx="9">
                  <c:v>77.51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'2022.2.19'!$C$29:$C$31</c:f>
              <c:numCache>
                <c:formatCode>General</c:formatCode>
                <c:ptCount val="3"/>
                <c:pt idx="0">
                  <c:v>301</c:v>
                </c:pt>
                <c:pt idx="1">
                  <c:v>489</c:v>
                </c:pt>
                <c:pt idx="2">
                  <c:v>4990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'2022.2.19'!$D$29:$D$31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'2022.2.19'!$E$29:$E$31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389</c:v>
                </c:pt>
                <c:pt idx="2">
                  <c:v>5151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'2022.2.19'!$I$42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'2022.2.19'!$H$43:$H$47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'2022.2.19'!$I$43:$I$47</c:f>
              <c:numCache>
                <c:formatCode>0.00%</c:formatCode>
                <c:ptCount val="5"/>
                <c:pt idx="0">
                  <c:v>0.1336</c:v>
                </c:pt>
                <c:pt idx="1">
                  <c:v>0.1064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'2022.2.20'!$A$36:$A$45</c:f>
              <c:numCache>
                <c:formatCode>m/d;@</c:formatCode>
                <c:ptCount val="10"/>
                <c:pt idx="0" c:formatCode="m/d;@">
                  <c:v>44603</c:v>
                </c:pt>
                <c:pt idx="1" c:formatCode="m/d;@">
                  <c:v>44604</c:v>
                </c:pt>
                <c:pt idx="2" c:formatCode="m/d;@">
                  <c:v>44605</c:v>
                </c:pt>
                <c:pt idx="3" c:formatCode="m/d;@">
                  <c:v>44606</c:v>
                </c:pt>
                <c:pt idx="4" c:formatCode="m/d;@">
                  <c:v>44607</c:v>
                </c:pt>
                <c:pt idx="5" c:formatCode="m/d;@">
                  <c:v>44608</c:v>
                </c:pt>
                <c:pt idx="6" c:formatCode="m/d;@">
                  <c:v>44609</c:v>
                </c:pt>
                <c:pt idx="7" c:formatCode="m/d;@">
                  <c:v>44610</c:v>
                </c:pt>
                <c:pt idx="8" c:formatCode="m/d;@">
                  <c:v>44611</c:v>
                </c:pt>
                <c:pt idx="9" c:formatCode="m/d;@">
                  <c:v>44612</c:v>
                </c:pt>
              </c:numCache>
            </c:numRef>
          </c:cat>
          <c:val>
            <c:numRef>
              <c:f>'2022.2.20'!$B$36:$B$45</c:f>
              <c:numCache>
                <c:formatCode>0.00_ </c:formatCode>
                <c:ptCount val="10"/>
                <c:pt idx="0">
                  <c:v>15.48</c:v>
                </c:pt>
                <c:pt idx="1">
                  <c:v>38.34</c:v>
                </c:pt>
                <c:pt idx="2">
                  <c:v>30.52</c:v>
                </c:pt>
                <c:pt idx="3">
                  <c:v>54.88</c:v>
                </c:pt>
                <c:pt idx="4">
                  <c:v>54.2</c:v>
                </c:pt>
                <c:pt idx="5">
                  <c:v>54.87</c:v>
                </c:pt>
                <c:pt idx="6">
                  <c:v>55.88</c:v>
                </c:pt>
                <c:pt idx="7">
                  <c:v>46.12</c:v>
                </c:pt>
                <c:pt idx="8">
                  <c:v>77.51</c:v>
                </c:pt>
                <c:pt idx="9">
                  <c:v>69.71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'2022.2.20'!$C$29:$C$31</c:f>
              <c:numCache>
                <c:formatCode>General</c:formatCode>
                <c:ptCount val="3"/>
                <c:pt idx="0">
                  <c:v>303</c:v>
                </c:pt>
                <c:pt idx="1">
                  <c:v>494</c:v>
                </c:pt>
                <c:pt idx="2">
                  <c:v>4983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'2022.2.20'!$E$29:$E$31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392</c:v>
                </c:pt>
                <c:pt idx="2">
                  <c:v>5148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'2022.2.20'!$I$42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'2022.2.20'!$H$43:$H$47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'2022.2.20'!$I$43:$I$47</c:f>
              <c:numCache>
                <c:formatCode>0.00%</c:formatCode>
                <c:ptCount val="5"/>
                <c:pt idx="0">
                  <c:v>0.1348</c:v>
                </c:pt>
                <c:pt idx="1">
                  <c:v>0.1069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'2022.2.21'!$A$36:$A$45</c:f>
              <c:numCache>
                <c:formatCode>m/d;@</c:formatCode>
                <c:ptCount val="10"/>
                <c:pt idx="0" c:formatCode="m/d;@">
                  <c:v>44604</c:v>
                </c:pt>
                <c:pt idx="1" c:formatCode="m/d;@">
                  <c:v>44605</c:v>
                </c:pt>
                <c:pt idx="2" c:formatCode="m/d;@">
                  <c:v>44606</c:v>
                </c:pt>
                <c:pt idx="3" c:formatCode="m/d;@">
                  <c:v>44607</c:v>
                </c:pt>
                <c:pt idx="4" c:formatCode="m/d;@">
                  <c:v>44608</c:v>
                </c:pt>
                <c:pt idx="5" c:formatCode="m/d;@">
                  <c:v>44609</c:v>
                </c:pt>
                <c:pt idx="6" c:formatCode="m/d;@">
                  <c:v>44610</c:v>
                </c:pt>
                <c:pt idx="7" c:formatCode="m/d;@">
                  <c:v>44611</c:v>
                </c:pt>
                <c:pt idx="8" c:formatCode="m/d;@">
                  <c:v>44612</c:v>
                </c:pt>
                <c:pt idx="9" c:formatCode="m/d;@">
                  <c:v>44613</c:v>
                </c:pt>
              </c:numCache>
            </c:numRef>
          </c:cat>
          <c:val>
            <c:numRef>
              <c:f>'2022.2.21'!$B$36:$B$45</c:f>
              <c:numCache>
                <c:formatCode>0.00_ </c:formatCode>
                <c:ptCount val="10"/>
                <c:pt idx="0">
                  <c:v>38.34</c:v>
                </c:pt>
                <c:pt idx="1">
                  <c:v>30.52</c:v>
                </c:pt>
                <c:pt idx="2">
                  <c:v>54.88</c:v>
                </c:pt>
                <c:pt idx="3">
                  <c:v>54.2</c:v>
                </c:pt>
                <c:pt idx="4">
                  <c:v>54.87</c:v>
                </c:pt>
                <c:pt idx="5">
                  <c:v>55.88</c:v>
                </c:pt>
                <c:pt idx="6">
                  <c:v>46.12</c:v>
                </c:pt>
                <c:pt idx="7">
                  <c:v>77.51</c:v>
                </c:pt>
                <c:pt idx="8">
                  <c:v>69.71</c:v>
                </c:pt>
                <c:pt idx="9">
                  <c:v>7.82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'2022.2.21'!$C$29:$C$31</c:f>
              <c:numCache>
                <c:formatCode>General</c:formatCode>
                <c:ptCount val="3"/>
                <c:pt idx="0">
                  <c:v>303</c:v>
                </c:pt>
                <c:pt idx="1">
                  <c:v>495</c:v>
                </c:pt>
                <c:pt idx="2">
                  <c:v>4982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'2021.10.30'!$A$31:$A$40</c:f>
              <c:numCache>
                <c:formatCode>m/d;@</c:formatCode>
                <c:ptCount val="10"/>
                <c:pt idx="0" c:formatCode="m/d;@">
                  <c:v>44490</c:v>
                </c:pt>
                <c:pt idx="1" c:formatCode="m/d;@">
                  <c:v>44491</c:v>
                </c:pt>
                <c:pt idx="2" c:formatCode="m/d;@">
                  <c:v>44492</c:v>
                </c:pt>
                <c:pt idx="3" c:formatCode="m/d;@">
                  <c:v>44493</c:v>
                </c:pt>
                <c:pt idx="4" c:formatCode="m/d;@">
                  <c:v>44494</c:v>
                </c:pt>
                <c:pt idx="5" c:formatCode="m/d;@">
                  <c:v>44495</c:v>
                </c:pt>
                <c:pt idx="6" c:formatCode="m/d;@">
                  <c:v>44496</c:v>
                </c:pt>
                <c:pt idx="7" c:formatCode="m/d;@">
                  <c:v>44497</c:v>
                </c:pt>
                <c:pt idx="8" c:formatCode="m/d;@">
                  <c:v>44498</c:v>
                </c:pt>
                <c:pt idx="9" c:formatCode="m/d;@">
                  <c:v>44499</c:v>
                </c:pt>
              </c:numCache>
            </c:numRef>
          </c:cat>
          <c:val>
            <c:numRef>
              <c:f>'2021.10.30'!$B$31:$B$40</c:f>
              <c:numCache>
                <c:formatCode>0.00_ </c:formatCode>
                <c:ptCount val="10"/>
                <c:pt idx="0">
                  <c:v>23.769</c:v>
                </c:pt>
                <c:pt idx="1">
                  <c:v>11.129</c:v>
                </c:pt>
                <c:pt idx="2">
                  <c:v>15.62</c:v>
                </c:pt>
                <c:pt idx="3">
                  <c:v>32.57</c:v>
                </c:pt>
                <c:pt idx="4">
                  <c:v>31.25</c:v>
                </c:pt>
                <c:pt idx="5">
                  <c:v>23.28</c:v>
                </c:pt>
                <c:pt idx="6">
                  <c:v>38.88</c:v>
                </c:pt>
                <c:pt idx="7">
                  <c:v>15.77</c:v>
                </c:pt>
                <c:pt idx="8">
                  <c:v>15.62</c:v>
                </c:pt>
                <c:pt idx="9">
                  <c:v>38.55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'2022.2.21'!$E$29:$E$31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392</c:v>
                </c:pt>
                <c:pt idx="2">
                  <c:v>5148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'2022.2.21'!$H$43:$H$47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'2022.2.21'!$I$43:$I$47</c:f>
              <c:numCache>
                <c:formatCode>0.00%</c:formatCode>
                <c:ptCount val="5"/>
                <c:pt idx="0">
                  <c:v>0.135</c:v>
                </c:pt>
                <c:pt idx="1">
                  <c:v>0.1069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'2022.2.22'!$A$36:$A$45</c:f>
              <c:numCache>
                <c:formatCode>m/d;@</c:formatCode>
                <c:ptCount val="10"/>
                <c:pt idx="0" c:formatCode="m/d;@">
                  <c:v>44605</c:v>
                </c:pt>
                <c:pt idx="1" c:formatCode="m/d;@">
                  <c:v>44606</c:v>
                </c:pt>
                <c:pt idx="2" c:formatCode="m/d;@">
                  <c:v>44607</c:v>
                </c:pt>
                <c:pt idx="3" c:formatCode="m/d;@">
                  <c:v>44608</c:v>
                </c:pt>
                <c:pt idx="4" c:formatCode="m/d;@">
                  <c:v>44609</c:v>
                </c:pt>
                <c:pt idx="5" c:formatCode="m/d;@">
                  <c:v>44610</c:v>
                </c:pt>
                <c:pt idx="6" c:formatCode="m/d;@">
                  <c:v>44611</c:v>
                </c:pt>
                <c:pt idx="7" c:formatCode="m/d;@">
                  <c:v>44612</c:v>
                </c:pt>
                <c:pt idx="8" c:formatCode="m/d;@">
                  <c:v>44613</c:v>
                </c:pt>
                <c:pt idx="9" c:formatCode="m/d;@">
                  <c:v>44614</c:v>
                </c:pt>
              </c:numCache>
            </c:numRef>
          </c:cat>
          <c:val>
            <c:numRef>
              <c:f>'2022.2.22'!$B$36:$B$45</c:f>
              <c:numCache>
                <c:formatCode>0.00_ </c:formatCode>
                <c:ptCount val="10"/>
                <c:pt idx="0">
                  <c:v>30.52</c:v>
                </c:pt>
                <c:pt idx="1">
                  <c:v>54.88</c:v>
                </c:pt>
                <c:pt idx="2">
                  <c:v>54.2</c:v>
                </c:pt>
                <c:pt idx="3">
                  <c:v>54.87</c:v>
                </c:pt>
                <c:pt idx="4">
                  <c:v>55.88</c:v>
                </c:pt>
                <c:pt idx="5">
                  <c:v>46.12</c:v>
                </c:pt>
                <c:pt idx="6">
                  <c:v>77.51</c:v>
                </c:pt>
                <c:pt idx="7">
                  <c:v>69.71</c:v>
                </c:pt>
                <c:pt idx="8">
                  <c:v>7.82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'2022.2.22'!$C$29:$C$31</c:f>
              <c:numCache>
                <c:formatCode>General</c:formatCode>
                <c:ptCount val="3"/>
                <c:pt idx="0">
                  <c:v>303</c:v>
                </c:pt>
                <c:pt idx="1">
                  <c:v>495</c:v>
                </c:pt>
                <c:pt idx="2">
                  <c:v>4982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'2022.2.22'!$E$29:$E$31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394</c:v>
                </c:pt>
                <c:pt idx="2">
                  <c:v>5146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'2022.2.22'!$I$43:$I$47</c:f>
              <c:numCache>
                <c:formatCode>0.00%</c:formatCode>
                <c:ptCount val="5"/>
                <c:pt idx="0">
                  <c:v>0.135</c:v>
                </c:pt>
                <c:pt idx="1">
                  <c:v>0.1072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'2022.2.23'!$A$36:$A$45</c:f>
              <c:numCache>
                <c:formatCode>m/d;@</c:formatCode>
                <c:ptCount val="10"/>
                <c:pt idx="0" c:formatCode="m/d;@">
                  <c:v>44606</c:v>
                </c:pt>
                <c:pt idx="1" c:formatCode="m/d;@">
                  <c:v>44607</c:v>
                </c:pt>
                <c:pt idx="2" c:formatCode="m/d;@">
                  <c:v>44608</c:v>
                </c:pt>
                <c:pt idx="3" c:formatCode="m/d;@">
                  <c:v>44609</c:v>
                </c:pt>
                <c:pt idx="4" c:formatCode="m/d;@">
                  <c:v>44610</c:v>
                </c:pt>
                <c:pt idx="5" c:formatCode="m/d;@">
                  <c:v>44611</c:v>
                </c:pt>
                <c:pt idx="6" c:formatCode="m/d;@">
                  <c:v>44612</c:v>
                </c:pt>
                <c:pt idx="7" c:formatCode="m/d;@">
                  <c:v>44613</c:v>
                </c:pt>
                <c:pt idx="8" c:formatCode="m/d;@">
                  <c:v>44614</c:v>
                </c:pt>
                <c:pt idx="9" c:formatCode="m/d;@">
                  <c:v>44615</c:v>
                </c:pt>
              </c:numCache>
            </c:numRef>
          </c:cat>
          <c:val>
            <c:numRef>
              <c:f>'2022.2.23'!$B$36:$B$45</c:f>
              <c:numCache>
                <c:formatCode>0.00_ </c:formatCode>
                <c:ptCount val="10"/>
                <c:pt idx="0">
                  <c:v>54.88</c:v>
                </c:pt>
                <c:pt idx="1">
                  <c:v>54.2</c:v>
                </c:pt>
                <c:pt idx="2">
                  <c:v>54.87</c:v>
                </c:pt>
                <c:pt idx="3">
                  <c:v>55.88</c:v>
                </c:pt>
                <c:pt idx="4">
                  <c:v>46.12</c:v>
                </c:pt>
                <c:pt idx="5">
                  <c:v>77.51</c:v>
                </c:pt>
                <c:pt idx="6">
                  <c:v>69.71</c:v>
                </c:pt>
                <c:pt idx="7">
                  <c:v>7.82</c:v>
                </c:pt>
                <c:pt idx="8">
                  <c:v>0</c:v>
                </c:pt>
                <c:pt idx="9">
                  <c:v>131.02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'2022.2.23'!$C$29:$C$31</c:f>
              <c:numCache>
                <c:formatCode>General</c:formatCode>
                <c:ptCount val="3"/>
                <c:pt idx="0">
                  <c:v>304</c:v>
                </c:pt>
                <c:pt idx="1">
                  <c:v>508</c:v>
                </c:pt>
                <c:pt idx="2">
                  <c:v>4968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'2022.2.23'!$E$29:$E$31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394</c:v>
                </c:pt>
                <c:pt idx="2">
                  <c:v>5146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'2022.2.23'!$I$43:$I$47</c:f>
              <c:numCache>
                <c:formatCode>0.00%</c:formatCode>
                <c:ptCount val="5"/>
                <c:pt idx="0">
                  <c:v>0.1373</c:v>
                </c:pt>
                <c:pt idx="1">
                  <c:v>0.1072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过去</a:t>
            </a:r>
            <a:r>
              <a:rPr lang="en-US" altLang="zh-CN" sz="1000"/>
              <a:t>10</a:t>
            </a:r>
            <a:r>
              <a:rPr lang="zh-CN" altLang="en-US" sz="1000"/>
              <a:t>天总产值</a:t>
            </a:r>
            <a:endParaRPr lang="zh-CN" altLang="en-US" sz="1000"/>
          </a:p>
        </c:rich>
      </c:tx>
      <c:layout>
        <c:manualLayout>
          <c:xMode val="edge"/>
          <c:yMode val="edge"/>
          <c:x val="0.210949074074074"/>
          <c:y val="0.063752276867031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'2021.10.4'!$A$31:$A$40</c:f>
              <c:numCache>
                <c:formatCode>m/d;@</c:formatCode>
                <c:ptCount val="10"/>
                <c:pt idx="0" c:formatCode="m/d;@">
                  <c:v>44464</c:v>
                </c:pt>
                <c:pt idx="1" c:formatCode="m/d;@">
                  <c:v>44465</c:v>
                </c:pt>
                <c:pt idx="2" c:formatCode="m/d;@">
                  <c:v>44466</c:v>
                </c:pt>
                <c:pt idx="3" c:formatCode="m/d;@">
                  <c:v>44467</c:v>
                </c:pt>
                <c:pt idx="4" c:formatCode="m/d;@">
                  <c:v>44468</c:v>
                </c:pt>
                <c:pt idx="5" c:formatCode="m/d;@">
                  <c:v>44469</c:v>
                </c:pt>
                <c:pt idx="6" c:formatCode="m/d;@">
                  <c:v>44470</c:v>
                </c:pt>
                <c:pt idx="7" c:formatCode="m/d;@">
                  <c:v>44471</c:v>
                </c:pt>
                <c:pt idx="8" c:formatCode="m/d;@">
                  <c:v>44472</c:v>
                </c:pt>
                <c:pt idx="9" c:formatCode="m/d;@">
                  <c:v>44473</c:v>
                </c:pt>
              </c:numCache>
            </c:numRef>
          </c:cat>
          <c:val>
            <c:numRef>
              <c:f>'2021.10.4'!$B$31:$B$40</c:f>
              <c:numCache>
                <c:formatCode>0.00_ </c:formatCode>
                <c:ptCount val="10"/>
                <c:pt idx="0">
                  <c:v>2</c:v>
                </c:pt>
                <c:pt idx="1">
                  <c:v>8.82</c:v>
                </c:pt>
                <c:pt idx="2">
                  <c:v>2</c:v>
                </c:pt>
                <c:pt idx="3">
                  <c:v>16.28</c:v>
                </c:pt>
                <c:pt idx="4">
                  <c:v>33.25</c:v>
                </c:pt>
                <c:pt idx="5">
                  <c:v>8.82</c:v>
                </c:pt>
                <c:pt idx="6">
                  <c:v>24.1</c:v>
                </c:pt>
                <c:pt idx="7">
                  <c:v>17.46</c:v>
                </c:pt>
                <c:pt idx="8">
                  <c:v>31.74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'2021.10.31'!$A$31:$A$40</c:f>
              <c:numCache>
                <c:formatCode>m/d;@</c:formatCode>
                <c:ptCount val="10"/>
                <c:pt idx="0" c:formatCode="m/d;@">
                  <c:v>44491</c:v>
                </c:pt>
                <c:pt idx="1" c:formatCode="m/d;@">
                  <c:v>44492</c:v>
                </c:pt>
                <c:pt idx="2" c:formatCode="m/d;@">
                  <c:v>44493</c:v>
                </c:pt>
                <c:pt idx="3" c:formatCode="m/d;@">
                  <c:v>44494</c:v>
                </c:pt>
                <c:pt idx="4" c:formatCode="m/d;@">
                  <c:v>44495</c:v>
                </c:pt>
                <c:pt idx="5" c:formatCode="m/d;@">
                  <c:v>44496</c:v>
                </c:pt>
                <c:pt idx="6" c:formatCode="m/d;@">
                  <c:v>44497</c:v>
                </c:pt>
                <c:pt idx="7" c:formatCode="m/d;@">
                  <c:v>44498</c:v>
                </c:pt>
                <c:pt idx="8" c:formatCode="m/d;@">
                  <c:v>44499</c:v>
                </c:pt>
                <c:pt idx="9" c:formatCode="m/d;@">
                  <c:v>44500</c:v>
                </c:pt>
              </c:numCache>
            </c:numRef>
          </c:cat>
          <c:val>
            <c:numRef>
              <c:f>'2021.10.31'!$B$31:$B$40</c:f>
              <c:numCache>
                <c:formatCode>0.00_ </c:formatCode>
                <c:ptCount val="10"/>
                <c:pt idx="0">
                  <c:v>11.129</c:v>
                </c:pt>
                <c:pt idx="1">
                  <c:v>15.62</c:v>
                </c:pt>
                <c:pt idx="2">
                  <c:v>32.57</c:v>
                </c:pt>
                <c:pt idx="3">
                  <c:v>31.25</c:v>
                </c:pt>
                <c:pt idx="4">
                  <c:v>23.28</c:v>
                </c:pt>
                <c:pt idx="5">
                  <c:v>38.88</c:v>
                </c:pt>
                <c:pt idx="6">
                  <c:v>15.77</c:v>
                </c:pt>
                <c:pt idx="7">
                  <c:v>15.62</c:v>
                </c:pt>
                <c:pt idx="8">
                  <c:v>38.55</c:v>
                </c:pt>
                <c:pt idx="9">
                  <c:v>48.67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'2022.2.24'!$A$36:$A$45</c:f>
              <c:numCache>
                <c:formatCode>m/d;@</c:formatCode>
                <c:ptCount val="10"/>
                <c:pt idx="0" c:formatCode="m/d;@">
                  <c:v>44607</c:v>
                </c:pt>
                <c:pt idx="1" c:formatCode="m/d;@">
                  <c:v>44608</c:v>
                </c:pt>
                <c:pt idx="2" c:formatCode="m/d;@">
                  <c:v>44609</c:v>
                </c:pt>
                <c:pt idx="3" c:formatCode="m/d;@">
                  <c:v>44610</c:v>
                </c:pt>
                <c:pt idx="4" c:formatCode="m/d;@">
                  <c:v>44611</c:v>
                </c:pt>
                <c:pt idx="5" c:formatCode="m/d;@">
                  <c:v>44612</c:v>
                </c:pt>
                <c:pt idx="6" c:formatCode="m/d;@">
                  <c:v>44613</c:v>
                </c:pt>
                <c:pt idx="7" c:formatCode="m/d;@">
                  <c:v>44614</c:v>
                </c:pt>
                <c:pt idx="8" c:formatCode="m/d;@">
                  <c:v>44615</c:v>
                </c:pt>
                <c:pt idx="9" c:formatCode="m/d;@">
                  <c:v>44616</c:v>
                </c:pt>
              </c:numCache>
            </c:numRef>
          </c:cat>
          <c:val>
            <c:numRef>
              <c:f>'2022.2.24'!$B$36:$B$45</c:f>
              <c:numCache>
                <c:formatCode>0.00_ </c:formatCode>
                <c:ptCount val="10"/>
                <c:pt idx="0">
                  <c:v>54.2</c:v>
                </c:pt>
                <c:pt idx="1">
                  <c:v>54.87</c:v>
                </c:pt>
                <c:pt idx="2">
                  <c:v>55.88</c:v>
                </c:pt>
                <c:pt idx="3">
                  <c:v>46.12</c:v>
                </c:pt>
                <c:pt idx="4">
                  <c:v>77.51</c:v>
                </c:pt>
                <c:pt idx="5">
                  <c:v>69.71</c:v>
                </c:pt>
                <c:pt idx="6">
                  <c:v>7.82</c:v>
                </c:pt>
                <c:pt idx="7">
                  <c:v>0</c:v>
                </c:pt>
                <c:pt idx="8">
                  <c:v>131.02</c:v>
                </c:pt>
                <c:pt idx="9">
                  <c:v>61.48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'2022.2.24'!$C$29:$C$31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511</c:v>
                </c:pt>
                <c:pt idx="2">
                  <c:v>4963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'2022.2.24'!$E$29:$E$31</c:f>
              <c:numCache>
                <c:formatCode>General</c:formatCode>
                <c:ptCount val="3"/>
                <c:pt idx="0">
                  <c:v>240</c:v>
                </c:pt>
                <c:pt idx="1">
                  <c:v>394</c:v>
                </c:pt>
                <c:pt idx="2">
                  <c:v>5146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'2022.2.24'!$I$43:$I$47</c:f>
              <c:numCache>
                <c:formatCode>0.00%</c:formatCode>
                <c:ptCount val="5"/>
                <c:pt idx="0">
                  <c:v>0.1382</c:v>
                </c:pt>
                <c:pt idx="1">
                  <c:v>0.1072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'2022.2.25'!$A$36:$A$45</c:f>
              <c:numCache>
                <c:formatCode>m/d;@</c:formatCode>
                <c:ptCount val="10"/>
                <c:pt idx="0" c:formatCode="m/d;@">
                  <c:v>44608</c:v>
                </c:pt>
                <c:pt idx="1" c:formatCode="m/d;@">
                  <c:v>44609</c:v>
                </c:pt>
                <c:pt idx="2" c:formatCode="m/d;@">
                  <c:v>44610</c:v>
                </c:pt>
                <c:pt idx="3" c:formatCode="m/d;@">
                  <c:v>44611</c:v>
                </c:pt>
                <c:pt idx="4" c:formatCode="m/d;@">
                  <c:v>44612</c:v>
                </c:pt>
                <c:pt idx="5" c:formatCode="m/d;@">
                  <c:v>44613</c:v>
                </c:pt>
                <c:pt idx="6" c:formatCode="m/d;@">
                  <c:v>44614</c:v>
                </c:pt>
                <c:pt idx="7" c:formatCode="m/d;@">
                  <c:v>44615</c:v>
                </c:pt>
                <c:pt idx="8" c:formatCode="m/d;@">
                  <c:v>44616</c:v>
                </c:pt>
                <c:pt idx="9" c:formatCode="m/d;@">
                  <c:v>44617</c:v>
                </c:pt>
              </c:numCache>
            </c:numRef>
          </c:cat>
          <c:val>
            <c:numRef>
              <c:f>'2022.2.25'!$B$36:$B$45</c:f>
              <c:numCache>
                <c:formatCode>0.00_ </c:formatCode>
                <c:ptCount val="10"/>
                <c:pt idx="0">
                  <c:v>54.87</c:v>
                </c:pt>
                <c:pt idx="1">
                  <c:v>55.88</c:v>
                </c:pt>
                <c:pt idx="2">
                  <c:v>46.12</c:v>
                </c:pt>
                <c:pt idx="3">
                  <c:v>77.51</c:v>
                </c:pt>
                <c:pt idx="4">
                  <c:v>69.71</c:v>
                </c:pt>
                <c:pt idx="5">
                  <c:v>7.82</c:v>
                </c:pt>
                <c:pt idx="6">
                  <c:v>0</c:v>
                </c:pt>
                <c:pt idx="7">
                  <c:v>131.02</c:v>
                </c:pt>
                <c:pt idx="8">
                  <c:v>61.48</c:v>
                </c:pt>
                <c:pt idx="9">
                  <c:v>48.26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'2022.2.25'!$C$29:$C$31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517</c:v>
                </c:pt>
                <c:pt idx="2">
                  <c:v>4957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'2022.2.25'!$E$29:$E$31</c:f>
              <c:numCache>
                <c:formatCode>General</c:formatCode>
                <c:ptCount val="3"/>
                <c:pt idx="0">
                  <c:v>240</c:v>
                </c:pt>
                <c:pt idx="1">
                  <c:v>404</c:v>
                </c:pt>
                <c:pt idx="2">
                  <c:v>5136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'2022.2.25'!$I$43:$I$47</c:f>
              <c:numCache>
                <c:formatCode>0.00%</c:formatCode>
                <c:ptCount val="5"/>
                <c:pt idx="0">
                  <c:v>0.1392</c:v>
                </c:pt>
                <c:pt idx="1">
                  <c:v>0.1089</c:v>
                </c:pt>
                <c:pt idx="2">
                  <c:v>0.0737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'2022.2.26'!$A$36:$A$45</c:f>
              <c:numCache>
                <c:formatCode>m/d;@</c:formatCode>
                <c:ptCount val="10"/>
                <c:pt idx="0" c:formatCode="m/d;@">
                  <c:v>44609</c:v>
                </c:pt>
                <c:pt idx="1" c:formatCode="m/d;@">
                  <c:v>44610</c:v>
                </c:pt>
                <c:pt idx="2" c:formatCode="m/d;@">
                  <c:v>44611</c:v>
                </c:pt>
                <c:pt idx="3" c:formatCode="m/d;@">
                  <c:v>44612</c:v>
                </c:pt>
                <c:pt idx="4" c:formatCode="m/d;@">
                  <c:v>44613</c:v>
                </c:pt>
                <c:pt idx="5" c:formatCode="m/d;@">
                  <c:v>44614</c:v>
                </c:pt>
                <c:pt idx="6" c:formatCode="m/d;@">
                  <c:v>44615</c:v>
                </c:pt>
                <c:pt idx="7" c:formatCode="m/d;@">
                  <c:v>44616</c:v>
                </c:pt>
                <c:pt idx="8" c:formatCode="m/d;@">
                  <c:v>44617</c:v>
                </c:pt>
                <c:pt idx="9" c:formatCode="m/d;@">
                  <c:v>44618</c:v>
                </c:pt>
              </c:numCache>
            </c:numRef>
          </c:cat>
          <c:val>
            <c:numRef>
              <c:f>'2022.2.26'!$B$36:$B$45</c:f>
              <c:numCache>
                <c:formatCode>0.00_ </c:formatCode>
                <c:ptCount val="10"/>
                <c:pt idx="0">
                  <c:v>55.88</c:v>
                </c:pt>
                <c:pt idx="1">
                  <c:v>46.12</c:v>
                </c:pt>
                <c:pt idx="2">
                  <c:v>77.51</c:v>
                </c:pt>
                <c:pt idx="3">
                  <c:v>69.71</c:v>
                </c:pt>
                <c:pt idx="4">
                  <c:v>7.82</c:v>
                </c:pt>
                <c:pt idx="5">
                  <c:v>0</c:v>
                </c:pt>
                <c:pt idx="6">
                  <c:v>131.02</c:v>
                </c:pt>
                <c:pt idx="7">
                  <c:v>61.48</c:v>
                </c:pt>
                <c:pt idx="8">
                  <c:v>48.26</c:v>
                </c:pt>
                <c:pt idx="9">
                  <c:v>86.86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'2022.2.26'!$C$29:$C$31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525</c:v>
                </c:pt>
                <c:pt idx="2">
                  <c:v>4949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'2021.11.1'!$A$31:$A$40</c:f>
              <c:numCache>
                <c:formatCode>m/d;@</c:formatCode>
                <c:ptCount val="10"/>
                <c:pt idx="0" c:formatCode="m/d;@">
                  <c:v>44492</c:v>
                </c:pt>
                <c:pt idx="1" c:formatCode="m/d;@">
                  <c:v>44493</c:v>
                </c:pt>
                <c:pt idx="2" c:formatCode="m/d;@">
                  <c:v>44494</c:v>
                </c:pt>
                <c:pt idx="3" c:formatCode="m/d;@">
                  <c:v>44495</c:v>
                </c:pt>
                <c:pt idx="4" c:formatCode="m/d;@">
                  <c:v>44496</c:v>
                </c:pt>
                <c:pt idx="5" c:formatCode="m/d;@">
                  <c:v>44497</c:v>
                </c:pt>
                <c:pt idx="6" c:formatCode="m/d;@">
                  <c:v>44498</c:v>
                </c:pt>
                <c:pt idx="7" c:formatCode="m/d;@">
                  <c:v>44499</c:v>
                </c:pt>
                <c:pt idx="8" c:formatCode="m/d;@">
                  <c:v>44500</c:v>
                </c:pt>
                <c:pt idx="9" c:formatCode="m/d;@">
                  <c:v>44501</c:v>
                </c:pt>
              </c:numCache>
            </c:numRef>
          </c:cat>
          <c:val>
            <c:numRef>
              <c:f>'2021.11.1'!$B$31:$B$40</c:f>
              <c:numCache>
                <c:formatCode>0.00_ </c:formatCode>
                <c:ptCount val="10"/>
                <c:pt idx="0">
                  <c:v>15.62</c:v>
                </c:pt>
                <c:pt idx="1">
                  <c:v>32.57</c:v>
                </c:pt>
                <c:pt idx="2">
                  <c:v>31.25</c:v>
                </c:pt>
                <c:pt idx="3">
                  <c:v>23.28</c:v>
                </c:pt>
                <c:pt idx="4">
                  <c:v>38.88</c:v>
                </c:pt>
                <c:pt idx="5">
                  <c:v>15.77</c:v>
                </c:pt>
                <c:pt idx="6">
                  <c:v>15.62</c:v>
                </c:pt>
                <c:pt idx="7">
                  <c:v>38.55</c:v>
                </c:pt>
                <c:pt idx="8">
                  <c:v>48.67</c:v>
                </c:pt>
                <c:pt idx="9">
                  <c:v>31.25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'2022.2.26'!$E$29:$E$31</c:f>
              <c:numCache>
                <c:formatCode>General</c:formatCode>
                <c:ptCount val="3"/>
                <c:pt idx="0">
                  <c:v>240</c:v>
                </c:pt>
                <c:pt idx="1">
                  <c:v>418</c:v>
                </c:pt>
                <c:pt idx="2">
                  <c:v>5122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'2022.2.26'!$I$43:$I$47</c:f>
              <c:numCache>
                <c:formatCode>0.00%</c:formatCode>
                <c:ptCount val="5"/>
                <c:pt idx="0">
                  <c:v>0.1405</c:v>
                </c:pt>
                <c:pt idx="1">
                  <c:v>0.1113</c:v>
                </c:pt>
                <c:pt idx="2">
                  <c:v>0.0749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'2022.2.27'!$A$36:$A$45</c:f>
              <c:numCache>
                <c:formatCode>m/d;@</c:formatCode>
                <c:ptCount val="10"/>
                <c:pt idx="0" c:formatCode="m/d;@">
                  <c:v>44610</c:v>
                </c:pt>
                <c:pt idx="1" c:formatCode="m/d;@">
                  <c:v>44611</c:v>
                </c:pt>
                <c:pt idx="2" c:formatCode="m/d;@">
                  <c:v>44612</c:v>
                </c:pt>
                <c:pt idx="3" c:formatCode="m/d;@">
                  <c:v>44613</c:v>
                </c:pt>
                <c:pt idx="4" c:formatCode="m/d;@">
                  <c:v>44614</c:v>
                </c:pt>
                <c:pt idx="5" c:formatCode="m/d;@">
                  <c:v>44615</c:v>
                </c:pt>
                <c:pt idx="6" c:formatCode="m/d;@">
                  <c:v>44616</c:v>
                </c:pt>
                <c:pt idx="7" c:formatCode="m/d;@">
                  <c:v>44617</c:v>
                </c:pt>
                <c:pt idx="8" c:formatCode="m/d;@">
                  <c:v>44618</c:v>
                </c:pt>
                <c:pt idx="9" c:formatCode="m/d;@">
                  <c:v>44619</c:v>
                </c:pt>
              </c:numCache>
            </c:numRef>
          </c:cat>
          <c:val>
            <c:numRef>
              <c:f>'2022.2.27'!$B$36:$B$45</c:f>
              <c:numCache>
                <c:formatCode>0.00_ </c:formatCode>
                <c:ptCount val="10"/>
                <c:pt idx="0">
                  <c:v>46.12</c:v>
                </c:pt>
                <c:pt idx="1">
                  <c:v>77.51</c:v>
                </c:pt>
                <c:pt idx="2">
                  <c:v>69.71</c:v>
                </c:pt>
                <c:pt idx="3">
                  <c:v>7.82</c:v>
                </c:pt>
                <c:pt idx="4">
                  <c:v>0</c:v>
                </c:pt>
                <c:pt idx="5">
                  <c:v>131.02</c:v>
                </c:pt>
                <c:pt idx="6">
                  <c:v>61.48</c:v>
                </c:pt>
                <c:pt idx="7">
                  <c:v>48.26</c:v>
                </c:pt>
                <c:pt idx="8">
                  <c:v>86.86</c:v>
                </c:pt>
                <c:pt idx="9">
                  <c:v>42.83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'2022.2.27'!$C$29:$C$31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529</c:v>
                </c:pt>
                <c:pt idx="2">
                  <c:v>4945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'2022.2.27'!$E$29:$E$31</c:f>
              <c:numCache>
                <c:formatCode>General</c:formatCode>
                <c:ptCount val="3"/>
                <c:pt idx="0">
                  <c:v>245</c:v>
                </c:pt>
                <c:pt idx="1">
                  <c:v>431</c:v>
                </c:pt>
                <c:pt idx="2">
                  <c:v>5104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'2022.2.27'!$I$43:$I$47</c:f>
              <c:numCache>
                <c:formatCode>0.00%</c:formatCode>
                <c:ptCount val="5"/>
                <c:pt idx="0">
                  <c:v>0.1412</c:v>
                </c:pt>
                <c:pt idx="1">
                  <c:v>0.1143</c:v>
                </c:pt>
                <c:pt idx="2">
                  <c:v>0.0749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'2022.2.28'!$A$36:$A$45</c:f>
              <c:numCache>
                <c:formatCode>m/d;@</c:formatCode>
                <c:ptCount val="10"/>
                <c:pt idx="0" c:formatCode="m/d;@">
                  <c:v>44611</c:v>
                </c:pt>
                <c:pt idx="1" c:formatCode="m/d;@">
                  <c:v>44612</c:v>
                </c:pt>
                <c:pt idx="2" c:formatCode="m/d;@">
                  <c:v>44613</c:v>
                </c:pt>
                <c:pt idx="3" c:formatCode="m/d;@">
                  <c:v>44614</c:v>
                </c:pt>
                <c:pt idx="4" c:formatCode="m/d;@">
                  <c:v>44615</c:v>
                </c:pt>
                <c:pt idx="5" c:formatCode="m/d;@">
                  <c:v>44616</c:v>
                </c:pt>
                <c:pt idx="6" c:formatCode="m/d;@">
                  <c:v>44617</c:v>
                </c:pt>
                <c:pt idx="7" c:formatCode="m/d;@">
                  <c:v>44618</c:v>
                </c:pt>
                <c:pt idx="8" c:formatCode="m/d;@">
                  <c:v>44619</c:v>
                </c:pt>
                <c:pt idx="9" c:formatCode="m/d;@">
                  <c:v>44620</c:v>
                </c:pt>
              </c:numCache>
            </c:numRef>
          </c:cat>
          <c:val>
            <c:numRef>
              <c:f>'2022.2.28'!$B$36:$B$45</c:f>
              <c:numCache>
                <c:formatCode>0.00_ </c:formatCode>
                <c:ptCount val="10"/>
                <c:pt idx="0">
                  <c:v>77.51</c:v>
                </c:pt>
                <c:pt idx="1">
                  <c:v>69.71</c:v>
                </c:pt>
                <c:pt idx="2">
                  <c:v>7.82</c:v>
                </c:pt>
                <c:pt idx="3">
                  <c:v>0</c:v>
                </c:pt>
                <c:pt idx="4">
                  <c:v>131.02</c:v>
                </c:pt>
                <c:pt idx="5">
                  <c:v>61.48</c:v>
                </c:pt>
                <c:pt idx="6">
                  <c:v>48.26</c:v>
                </c:pt>
                <c:pt idx="7">
                  <c:v>86.86</c:v>
                </c:pt>
                <c:pt idx="8">
                  <c:v>42.83</c:v>
                </c:pt>
                <c:pt idx="9">
                  <c:v>92.73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'2022.2.28'!$C$29:$C$31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538</c:v>
                </c:pt>
                <c:pt idx="2">
                  <c:v>4936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'2022.2.28'!$E$29:$E$31</c:f>
              <c:numCache>
                <c:formatCode>General</c:formatCode>
                <c:ptCount val="3"/>
                <c:pt idx="0">
                  <c:v>245</c:v>
                </c:pt>
                <c:pt idx="1">
                  <c:v>439</c:v>
                </c:pt>
                <c:pt idx="2">
                  <c:v>5096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'2022.2.28'!$I$42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'2022.2.28'!$H$43:$H$47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'2022.2.28'!$I$43:$I$47</c:f>
              <c:numCache>
                <c:formatCode>0.00%</c:formatCode>
                <c:ptCount val="5"/>
                <c:pt idx="0">
                  <c:v>0.1427</c:v>
                </c:pt>
                <c:pt idx="1">
                  <c:v>0.1157</c:v>
                </c:pt>
                <c:pt idx="2">
                  <c:v>0.0761</c:v>
                </c:pt>
                <c:pt idx="3">
                  <c:v>0.044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'2021.11.2'!$A$31:$A$40</c:f>
              <c:numCache>
                <c:formatCode>m/d;@</c:formatCode>
                <c:ptCount val="10"/>
                <c:pt idx="0" c:formatCode="m/d;@">
                  <c:v>44493</c:v>
                </c:pt>
                <c:pt idx="1" c:formatCode="m/d;@">
                  <c:v>44494</c:v>
                </c:pt>
                <c:pt idx="2" c:formatCode="m/d;@">
                  <c:v>44495</c:v>
                </c:pt>
                <c:pt idx="3" c:formatCode="m/d;@">
                  <c:v>44496</c:v>
                </c:pt>
                <c:pt idx="4" c:formatCode="m/d;@">
                  <c:v>44497</c:v>
                </c:pt>
                <c:pt idx="5" c:formatCode="m/d;@">
                  <c:v>44498</c:v>
                </c:pt>
                <c:pt idx="6" c:formatCode="m/d;@">
                  <c:v>44499</c:v>
                </c:pt>
                <c:pt idx="7" c:formatCode="m/d;@">
                  <c:v>44500</c:v>
                </c:pt>
                <c:pt idx="8" c:formatCode="m/d;@">
                  <c:v>44501</c:v>
                </c:pt>
                <c:pt idx="9" c:formatCode="m/d;@">
                  <c:v>44502</c:v>
                </c:pt>
              </c:numCache>
            </c:numRef>
          </c:cat>
          <c:val>
            <c:numRef>
              <c:f>'2021.11.2'!$B$31:$B$40</c:f>
              <c:numCache>
                <c:formatCode>0.00_ </c:formatCode>
                <c:ptCount val="10"/>
                <c:pt idx="0">
                  <c:v>32.57</c:v>
                </c:pt>
                <c:pt idx="1">
                  <c:v>31.25</c:v>
                </c:pt>
                <c:pt idx="2">
                  <c:v>23.28</c:v>
                </c:pt>
                <c:pt idx="3">
                  <c:v>38.88</c:v>
                </c:pt>
                <c:pt idx="4">
                  <c:v>15.77</c:v>
                </c:pt>
                <c:pt idx="5">
                  <c:v>15.62</c:v>
                </c:pt>
                <c:pt idx="6">
                  <c:v>38.55</c:v>
                </c:pt>
                <c:pt idx="7">
                  <c:v>48.67</c:v>
                </c:pt>
                <c:pt idx="8">
                  <c:v>31.25</c:v>
                </c:pt>
                <c:pt idx="9">
                  <c:v>31.89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'2022.3.1'!$A$36:$A$45</c:f>
              <c:numCache>
                <c:formatCode>m/d;@</c:formatCode>
                <c:ptCount val="10"/>
                <c:pt idx="0" c:formatCode="m/d;@">
                  <c:v>44612</c:v>
                </c:pt>
                <c:pt idx="1" c:formatCode="m/d;@">
                  <c:v>44613</c:v>
                </c:pt>
                <c:pt idx="2" c:formatCode="m/d;@">
                  <c:v>44614</c:v>
                </c:pt>
                <c:pt idx="3" c:formatCode="m/d;@">
                  <c:v>44615</c:v>
                </c:pt>
                <c:pt idx="4" c:formatCode="m/d;@">
                  <c:v>44616</c:v>
                </c:pt>
                <c:pt idx="5" c:formatCode="m/d;@">
                  <c:v>44617</c:v>
                </c:pt>
                <c:pt idx="6" c:formatCode="m/d;@">
                  <c:v>44618</c:v>
                </c:pt>
                <c:pt idx="7" c:formatCode="m/d;@">
                  <c:v>44619</c:v>
                </c:pt>
                <c:pt idx="8" c:formatCode="m/d;@">
                  <c:v>44620</c:v>
                </c:pt>
                <c:pt idx="9" c:formatCode="m/d;@">
                  <c:v>44621</c:v>
                </c:pt>
              </c:numCache>
            </c:numRef>
          </c:cat>
          <c:val>
            <c:numRef>
              <c:f>'2022.3.1'!$B$36:$B$45</c:f>
              <c:numCache>
                <c:formatCode>0.00_ </c:formatCode>
                <c:ptCount val="10"/>
                <c:pt idx="0">
                  <c:v>69.71</c:v>
                </c:pt>
                <c:pt idx="1">
                  <c:v>7.82</c:v>
                </c:pt>
                <c:pt idx="2">
                  <c:v>0</c:v>
                </c:pt>
                <c:pt idx="3">
                  <c:v>131.02</c:v>
                </c:pt>
                <c:pt idx="4">
                  <c:v>61.48</c:v>
                </c:pt>
                <c:pt idx="5">
                  <c:v>48.26</c:v>
                </c:pt>
                <c:pt idx="6">
                  <c:v>86.86</c:v>
                </c:pt>
                <c:pt idx="7">
                  <c:v>42.83</c:v>
                </c:pt>
                <c:pt idx="8">
                  <c:v>92.73</c:v>
                </c:pt>
                <c:pt idx="9">
                  <c:v>131.07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'2022.3.1'!$C$29:$C$31</c:f>
              <c:numCache>
                <c:formatCode>General</c:formatCode>
                <c:ptCount val="3"/>
                <c:pt idx="0">
                  <c:v>306</c:v>
                </c:pt>
                <c:pt idx="1">
                  <c:v>550</c:v>
                </c:pt>
                <c:pt idx="2">
                  <c:v>4924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'2022.3.1'!$E$29:$E$31</c:f>
              <c:numCache>
                <c:formatCode>General</c:formatCode>
                <c:ptCount val="3"/>
                <c:pt idx="0">
                  <c:v>245</c:v>
                </c:pt>
                <c:pt idx="1">
                  <c:v>439</c:v>
                </c:pt>
                <c:pt idx="2">
                  <c:v>5096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'2022.3.1'!$I$43:$I$47</c:f>
              <c:numCache>
                <c:formatCode>0.00%</c:formatCode>
                <c:ptCount val="5"/>
                <c:pt idx="0">
                  <c:v>0.1448</c:v>
                </c:pt>
                <c:pt idx="1">
                  <c:v>0.1157</c:v>
                </c:pt>
                <c:pt idx="2">
                  <c:v>0.0761</c:v>
                </c:pt>
                <c:pt idx="3">
                  <c:v>0.0458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'2022.3.2'!$A$36:$A$45</c:f>
              <c:numCache>
                <c:formatCode>m/d;@</c:formatCode>
                <c:ptCount val="10"/>
                <c:pt idx="0" c:formatCode="m/d;@">
                  <c:v>44613</c:v>
                </c:pt>
                <c:pt idx="1" c:formatCode="m/d;@">
                  <c:v>44614</c:v>
                </c:pt>
                <c:pt idx="2" c:formatCode="m/d;@">
                  <c:v>44615</c:v>
                </c:pt>
                <c:pt idx="3" c:formatCode="m/d;@">
                  <c:v>44616</c:v>
                </c:pt>
                <c:pt idx="4" c:formatCode="m/d;@">
                  <c:v>44617</c:v>
                </c:pt>
                <c:pt idx="5" c:formatCode="m/d;@">
                  <c:v>44618</c:v>
                </c:pt>
                <c:pt idx="6" c:formatCode="m/d;@">
                  <c:v>44619</c:v>
                </c:pt>
                <c:pt idx="7" c:formatCode="m/d;@">
                  <c:v>44620</c:v>
                </c:pt>
                <c:pt idx="8" c:formatCode="m/d;@">
                  <c:v>44621</c:v>
                </c:pt>
                <c:pt idx="9" c:formatCode="m/d;@">
                  <c:v>44622</c:v>
                </c:pt>
              </c:numCache>
            </c:numRef>
          </c:cat>
          <c:val>
            <c:numRef>
              <c:f>'2022.3.2'!$B$36:$B$45</c:f>
              <c:numCache>
                <c:formatCode>0.00_ </c:formatCode>
                <c:ptCount val="10"/>
                <c:pt idx="0">
                  <c:v>7.82</c:v>
                </c:pt>
                <c:pt idx="1">
                  <c:v>0</c:v>
                </c:pt>
                <c:pt idx="2">
                  <c:v>131.02</c:v>
                </c:pt>
                <c:pt idx="3">
                  <c:v>61.48</c:v>
                </c:pt>
                <c:pt idx="4">
                  <c:v>48.26</c:v>
                </c:pt>
                <c:pt idx="5">
                  <c:v>86.86</c:v>
                </c:pt>
                <c:pt idx="6">
                  <c:v>42.83</c:v>
                </c:pt>
                <c:pt idx="7">
                  <c:v>92.73</c:v>
                </c:pt>
                <c:pt idx="8">
                  <c:v>131.07</c:v>
                </c:pt>
                <c:pt idx="9">
                  <c:v>151.88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'2022.3.2'!$C$29:$C$31</c:f>
              <c:numCache>
                <c:formatCode>General</c:formatCode>
                <c:ptCount val="3"/>
                <c:pt idx="0">
                  <c:v>312</c:v>
                </c:pt>
                <c:pt idx="1">
                  <c:v>557</c:v>
                </c:pt>
                <c:pt idx="2">
                  <c:v>4911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'2022.3.2'!$E$29:$E$31</c:f>
              <c:numCache>
                <c:formatCode>General</c:formatCode>
                <c:ptCount val="3"/>
                <c:pt idx="0">
                  <c:v>247</c:v>
                </c:pt>
                <c:pt idx="1">
                  <c:v>439</c:v>
                </c:pt>
                <c:pt idx="2">
                  <c:v>5094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'2022.3.2'!$I$43:$I$47</c:f>
              <c:numCache>
                <c:formatCode>0.00%</c:formatCode>
                <c:ptCount val="5"/>
                <c:pt idx="0">
                  <c:v>0.147</c:v>
                </c:pt>
                <c:pt idx="1">
                  <c:v>0.116</c:v>
                </c:pt>
                <c:pt idx="2">
                  <c:v>0.0784</c:v>
                </c:pt>
                <c:pt idx="3">
                  <c:v>0.0477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'2022.3.3'!$A$36:$A$45</c:f>
              <c:numCache>
                <c:formatCode>m/d;@</c:formatCode>
                <c:ptCount val="10"/>
                <c:pt idx="0" c:formatCode="m/d;@">
                  <c:v>44614</c:v>
                </c:pt>
                <c:pt idx="1" c:formatCode="m/d;@">
                  <c:v>44615</c:v>
                </c:pt>
                <c:pt idx="2" c:formatCode="m/d;@">
                  <c:v>44616</c:v>
                </c:pt>
                <c:pt idx="3" c:formatCode="m/d;@">
                  <c:v>44617</c:v>
                </c:pt>
                <c:pt idx="4" c:formatCode="m/d;@">
                  <c:v>44618</c:v>
                </c:pt>
                <c:pt idx="5" c:formatCode="m/d;@">
                  <c:v>44619</c:v>
                </c:pt>
                <c:pt idx="6" c:formatCode="m/d;@">
                  <c:v>44620</c:v>
                </c:pt>
                <c:pt idx="7" c:formatCode="m/d;@">
                  <c:v>44621</c:v>
                </c:pt>
                <c:pt idx="8" c:formatCode="m/d;@">
                  <c:v>44622</c:v>
                </c:pt>
                <c:pt idx="9" c:formatCode="m/d;@">
                  <c:v>44623</c:v>
                </c:pt>
              </c:numCache>
            </c:numRef>
          </c:cat>
          <c:val>
            <c:numRef>
              <c:f>'2022.3.3'!$B$36:$B$45</c:f>
              <c:numCache>
                <c:formatCode>0.00_ </c:formatCode>
                <c:ptCount val="10"/>
                <c:pt idx="0">
                  <c:v>0</c:v>
                </c:pt>
                <c:pt idx="1">
                  <c:v>131.02</c:v>
                </c:pt>
                <c:pt idx="2">
                  <c:v>61.48</c:v>
                </c:pt>
                <c:pt idx="3">
                  <c:v>48.26</c:v>
                </c:pt>
                <c:pt idx="4">
                  <c:v>86.86</c:v>
                </c:pt>
                <c:pt idx="5">
                  <c:v>42.83</c:v>
                </c:pt>
                <c:pt idx="6">
                  <c:v>92.73</c:v>
                </c:pt>
                <c:pt idx="7">
                  <c:v>131.07</c:v>
                </c:pt>
                <c:pt idx="8">
                  <c:v>151.88</c:v>
                </c:pt>
                <c:pt idx="9">
                  <c:v>115.83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'2022.3.3'!$B$29:$B$31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'2022.3.3'!$C$29:$C$31</c:f>
              <c:numCache>
                <c:formatCode>General</c:formatCode>
                <c:ptCount val="3"/>
                <c:pt idx="0">
                  <c:v>315</c:v>
                </c:pt>
                <c:pt idx="1">
                  <c:v>565</c:v>
                </c:pt>
                <c:pt idx="2">
                  <c:v>4900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'2021.11.3'!$A$31:$A$40</c:f>
              <c:numCache>
                <c:formatCode>m/d;@</c:formatCode>
                <c:ptCount val="10"/>
                <c:pt idx="0" c:formatCode="m/d;@">
                  <c:v>44494</c:v>
                </c:pt>
                <c:pt idx="1" c:formatCode="m/d;@">
                  <c:v>44495</c:v>
                </c:pt>
                <c:pt idx="2" c:formatCode="m/d;@">
                  <c:v>44496</c:v>
                </c:pt>
                <c:pt idx="3" c:formatCode="m/d;@">
                  <c:v>44497</c:v>
                </c:pt>
                <c:pt idx="4" c:formatCode="m/d;@">
                  <c:v>44498</c:v>
                </c:pt>
                <c:pt idx="5" c:formatCode="m/d;@">
                  <c:v>44499</c:v>
                </c:pt>
                <c:pt idx="6" c:formatCode="m/d;@">
                  <c:v>44500</c:v>
                </c:pt>
                <c:pt idx="7" c:formatCode="m/d;@">
                  <c:v>44501</c:v>
                </c:pt>
                <c:pt idx="8" c:formatCode="m/d;@">
                  <c:v>44502</c:v>
                </c:pt>
                <c:pt idx="9" c:formatCode="m/d;@">
                  <c:v>44503</c:v>
                </c:pt>
              </c:numCache>
            </c:numRef>
          </c:cat>
          <c:val>
            <c:numRef>
              <c:f>'2021.11.3'!$B$31:$B$40</c:f>
              <c:numCache>
                <c:formatCode>0.00_ </c:formatCode>
                <c:ptCount val="10"/>
                <c:pt idx="0">
                  <c:v>31.25</c:v>
                </c:pt>
                <c:pt idx="1">
                  <c:v>23.28</c:v>
                </c:pt>
                <c:pt idx="2">
                  <c:v>38.88</c:v>
                </c:pt>
                <c:pt idx="3">
                  <c:v>15.77</c:v>
                </c:pt>
                <c:pt idx="4">
                  <c:v>15.62</c:v>
                </c:pt>
                <c:pt idx="5">
                  <c:v>38.55</c:v>
                </c:pt>
                <c:pt idx="6">
                  <c:v>48.67</c:v>
                </c:pt>
                <c:pt idx="7">
                  <c:v>31.25</c:v>
                </c:pt>
                <c:pt idx="8">
                  <c:v>31.89</c:v>
                </c:pt>
                <c:pt idx="9">
                  <c:v>38.55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'2022.3.3'!$D$29:$D$31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'2022.3.3'!$E$29:$E$31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439</c:v>
                </c:pt>
                <c:pt idx="2">
                  <c:v>5091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'2022.3.3'!$I$43:$I$47</c:f>
              <c:numCache>
                <c:formatCode>0.00%</c:formatCode>
                <c:ptCount val="5"/>
                <c:pt idx="0">
                  <c:v>0.1488</c:v>
                </c:pt>
                <c:pt idx="1">
                  <c:v>0.1165</c:v>
                </c:pt>
                <c:pt idx="2">
                  <c:v>0.0784</c:v>
                </c:pt>
                <c:pt idx="3">
                  <c:v>0.0477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'2022.3.4'!$A$36:$A$45</c:f>
              <c:numCache>
                <c:formatCode>m/d;@</c:formatCode>
                <c:ptCount val="10"/>
                <c:pt idx="0" c:formatCode="m/d;@">
                  <c:v>44615</c:v>
                </c:pt>
                <c:pt idx="1" c:formatCode="m/d;@">
                  <c:v>44616</c:v>
                </c:pt>
                <c:pt idx="2" c:formatCode="m/d;@">
                  <c:v>44617</c:v>
                </c:pt>
                <c:pt idx="3" c:formatCode="m/d;@">
                  <c:v>44618</c:v>
                </c:pt>
                <c:pt idx="4" c:formatCode="m/d;@">
                  <c:v>44619</c:v>
                </c:pt>
                <c:pt idx="5" c:formatCode="m/d;@">
                  <c:v>44620</c:v>
                </c:pt>
                <c:pt idx="6" c:formatCode="m/d;@">
                  <c:v>44621</c:v>
                </c:pt>
                <c:pt idx="7" c:formatCode="m/d;@">
                  <c:v>44622</c:v>
                </c:pt>
                <c:pt idx="8" c:formatCode="m/d;@">
                  <c:v>44623</c:v>
                </c:pt>
                <c:pt idx="9" c:formatCode="m/d;@">
                  <c:v>44624</c:v>
                </c:pt>
              </c:numCache>
            </c:numRef>
          </c:cat>
          <c:val>
            <c:numRef>
              <c:f>'2022.3.4'!$B$36:$B$45</c:f>
              <c:numCache>
                <c:formatCode>0.00_ </c:formatCode>
                <c:ptCount val="10"/>
                <c:pt idx="0">
                  <c:v>131.02</c:v>
                </c:pt>
                <c:pt idx="1">
                  <c:v>61.48</c:v>
                </c:pt>
                <c:pt idx="2">
                  <c:v>48.26</c:v>
                </c:pt>
                <c:pt idx="3">
                  <c:v>86.86</c:v>
                </c:pt>
                <c:pt idx="4">
                  <c:v>42.83</c:v>
                </c:pt>
                <c:pt idx="5">
                  <c:v>92.73</c:v>
                </c:pt>
                <c:pt idx="6">
                  <c:v>131.07</c:v>
                </c:pt>
                <c:pt idx="7">
                  <c:v>151.88</c:v>
                </c:pt>
                <c:pt idx="8">
                  <c:v>115.83</c:v>
                </c:pt>
                <c:pt idx="9">
                  <c:v>100.09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'2022.3.4'!$B$29:$B$31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'2022.3.4'!$C$29:$C$31</c:f>
              <c:numCache>
                <c:formatCode>General</c:formatCode>
                <c:ptCount val="3"/>
                <c:pt idx="0">
                  <c:v>318</c:v>
                </c:pt>
                <c:pt idx="1">
                  <c:v>570</c:v>
                </c:pt>
                <c:pt idx="2">
                  <c:v>4892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'2022.3.4'!$D$29:$D$31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'2022.3.4'!$E$29:$E$31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446</c:v>
                </c:pt>
                <c:pt idx="2">
                  <c:v>5084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'2022.3.4'!$I$43:$I$47</c:f>
              <c:numCache>
                <c:formatCode>0.00%</c:formatCode>
                <c:ptCount val="5"/>
                <c:pt idx="0">
                  <c:v>0.1502</c:v>
                </c:pt>
                <c:pt idx="1">
                  <c:v>0.1177</c:v>
                </c:pt>
                <c:pt idx="2">
                  <c:v>0.0796</c:v>
                </c:pt>
                <c:pt idx="3">
                  <c:v>0.0477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'2022.3.5'!$A$36:$A$45</c:f>
              <c:numCache>
                <c:formatCode>m/d;@</c:formatCode>
                <c:ptCount val="10"/>
                <c:pt idx="0" c:formatCode="m/d;@">
                  <c:v>44616</c:v>
                </c:pt>
                <c:pt idx="1" c:formatCode="m/d;@">
                  <c:v>44617</c:v>
                </c:pt>
                <c:pt idx="2" c:formatCode="m/d;@">
                  <c:v>44618</c:v>
                </c:pt>
                <c:pt idx="3" c:formatCode="m/d;@">
                  <c:v>44619</c:v>
                </c:pt>
                <c:pt idx="4" c:formatCode="m/d;@">
                  <c:v>44620</c:v>
                </c:pt>
                <c:pt idx="5" c:formatCode="m/d;@">
                  <c:v>44621</c:v>
                </c:pt>
                <c:pt idx="6" c:formatCode="m/d;@">
                  <c:v>44622</c:v>
                </c:pt>
                <c:pt idx="7" c:formatCode="m/d;@">
                  <c:v>44623</c:v>
                </c:pt>
                <c:pt idx="8" c:formatCode="m/d;@">
                  <c:v>44624</c:v>
                </c:pt>
                <c:pt idx="9" c:formatCode="m/d;@">
                  <c:v>44625</c:v>
                </c:pt>
              </c:numCache>
            </c:numRef>
          </c:cat>
          <c:val>
            <c:numRef>
              <c:f>'2022.3.5'!$B$36:$B$45</c:f>
              <c:numCache>
                <c:formatCode>0.00_ </c:formatCode>
                <c:ptCount val="10"/>
                <c:pt idx="0">
                  <c:v>61.48</c:v>
                </c:pt>
                <c:pt idx="1">
                  <c:v>48.26</c:v>
                </c:pt>
                <c:pt idx="2">
                  <c:v>86.86</c:v>
                </c:pt>
                <c:pt idx="3">
                  <c:v>42.83</c:v>
                </c:pt>
                <c:pt idx="4">
                  <c:v>92.73</c:v>
                </c:pt>
                <c:pt idx="5">
                  <c:v>131.07</c:v>
                </c:pt>
                <c:pt idx="6">
                  <c:v>151.88</c:v>
                </c:pt>
                <c:pt idx="7">
                  <c:v>115.83</c:v>
                </c:pt>
                <c:pt idx="8">
                  <c:v>100.09</c:v>
                </c:pt>
                <c:pt idx="9">
                  <c:v>196.25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'2022.3.5'!$B$29:$B$31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'2022.3.5'!$C$29:$C$31</c:f>
              <c:numCache>
                <c:formatCode>General</c:formatCode>
                <c:ptCount val="3"/>
                <c:pt idx="0">
                  <c:v>323</c:v>
                </c:pt>
                <c:pt idx="1">
                  <c:v>581</c:v>
                </c:pt>
                <c:pt idx="2">
                  <c:v>4876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'2022.3.5'!$D$29:$D$31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'2022.3.5'!$E$29:$E$31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451</c:v>
                </c:pt>
                <c:pt idx="2">
                  <c:v>5079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'2022.3.5'!$I$43:$I$47</c:f>
              <c:numCache>
                <c:formatCode>0.00%</c:formatCode>
                <c:ptCount val="5"/>
                <c:pt idx="0">
                  <c:v>0.1529</c:v>
                </c:pt>
                <c:pt idx="1">
                  <c:v>0.1186</c:v>
                </c:pt>
                <c:pt idx="2">
                  <c:v>0.0822</c:v>
                </c:pt>
                <c:pt idx="3">
                  <c:v>0.0516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'2021.11.3'!$A$23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('2021.11.3'!$B$23,'2021.11.3'!$C$23:$D$23)</c:f>
              <c:numCache>
                <c:formatCode>General</c:formatCode>
                <c:ptCount val="3"/>
                <c:pt idx="0">
                  <c:v>74</c:v>
                </c:pt>
                <c:pt idx="1">
                  <c:v>0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strRef>
              <c:f>'2021.11.3'!$A$24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('2021.11.3'!$B$24,'2021.11.3'!$C$24:$D$24)</c:f>
              <c:numCache>
                <c:formatCode>General</c:formatCode>
                <c:ptCount val="3"/>
                <c:pt idx="0">
                  <c:v>42</c:v>
                </c:pt>
                <c:pt idx="1">
                  <c:v>0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'2021.11.3'!$A$25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('2021.11.3'!$B$25,'2021.11.3'!$C$25:$D$25)</c:f>
              <c:numCache>
                <c:formatCode>General</c:formatCode>
                <c:ptCount val="3"/>
                <c:pt idx="0">
                  <c:v>5664</c:v>
                </c:pt>
                <c:pt idx="1">
                  <c:v>0</c:v>
                </c:pt>
                <c:pt idx="2">
                  <c:v>5709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'2022.3.6'!$A$36:$A$45</c:f>
              <c:numCache>
                <c:formatCode>m/d;@</c:formatCode>
                <c:ptCount val="10"/>
                <c:pt idx="0" c:formatCode="m/d;@">
                  <c:v>44617</c:v>
                </c:pt>
                <c:pt idx="1" c:formatCode="m/d;@">
                  <c:v>44618</c:v>
                </c:pt>
                <c:pt idx="2" c:formatCode="m/d;@">
                  <c:v>44619</c:v>
                </c:pt>
                <c:pt idx="3" c:formatCode="m/d;@">
                  <c:v>44620</c:v>
                </c:pt>
                <c:pt idx="4" c:formatCode="m/d;@">
                  <c:v>44621</c:v>
                </c:pt>
                <c:pt idx="5" c:formatCode="m/d;@">
                  <c:v>44622</c:v>
                </c:pt>
                <c:pt idx="6" c:formatCode="m/d;@">
                  <c:v>44623</c:v>
                </c:pt>
                <c:pt idx="7" c:formatCode="m/d;@">
                  <c:v>44624</c:v>
                </c:pt>
                <c:pt idx="8" c:formatCode="m/d;@">
                  <c:v>44625</c:v>
                </c:pt>
                <c:pt idx="9" c:formatCode="m/d;@">
                  <c:v>44626</c:v>
                </c:pt>
              </c:numCache>
            </c:numRef>
          </c:cat>
          <c:val>
            <c:numRef>
              <c:f>'2022.3.6'!$B$36:$B$45</c:f>
              <c:numCache>
                <c:formatCode>0.00_ </c:formatCode>
                <c:ptCount val="10"/>
                <c:pt idx="0">
                  <c:v>48.26</c:v>
                </c:pt>
                <c:pt idx="1">
                  <c:v>86.86</c:v>
                </c:pt>
                <c:pt idx="2">
                  <c:v>42.83</c:v>
                </c:pt>
                <c:pt idx="3">
                  <c:v>92.73</c:v>
                </c:pt>
                <c:pt idx="4">
                  <c:v>131.07</c:v>
                </c:pt>
                <c:pt idx="5">
                  <c:v>151.88</c:v>
                </c:pt>
                <c:pt idx="6">
                  <c:v>115.83</c:v>
                </c:pt>
                <c:pt idx="7">
                  <c:v>100.09</c:v>
                </c:pt>
                <c:pt idx="8">
                  <c:v>196.25</c:v>
                </c:pt>
                <c:pt idx="9">
                  <c:v>136.47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'2022.3.6'!$B$29:$B$31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'2022.3.6'!$C$29:$C$31</c:f>
              <c:numCache>
                <c:formatCode>General</c:formatCode>
                <c:ptCount val="3"/>
                <c:pt idx="0">
                  <c:v>326</c:v>
                </c:pt>
                <c:pt idx="1">
                  <c:v>589</c:v>
                </c:pt>
                <c:pt idx="2">
                  <c:v>4865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'2022.3.6'!$D$29:$D$31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'2022.3.6'!$E$29:$E$31</c:f>
              <c:numCache>
                <c:formatCode>General</c:formatCode>
                <c:ptCount val="3"/>
                <c:pt idx="0">
                  <c:v>250</c:v>
                </c:pt>
                <c:pt idx="1">
                  <c:v>457</c:v>
                </c:pt>
                <c:pt idx="2">
                  <c:v>5073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'2022.3.6'!$I$43:$I$47</c:f>
              <c:numCache>
                <c:formatCode>0.00%</c:formatCode>
                <c:ptCount val="5"/>
                <c:pt idx="0">
                  <c:v>0.1547</c:v>
                </c:pt>
                <c:pt idx="1">
                  <c:v>0.1196</c:v>
                </c:pt>
                <c:pt idx="2">
                  <c:v>0.0841</c:v>
                </c:pt>
                <c:pt idx="3">
                  <c:v>0.0531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'2022.3.7'!$A$36:$A$45</c:f>
              <c:numCache>
                <c:formatCode>m/d;@</c:formatCode>
                <c:ptCount val="10"/>
                <c:pt idx="0" c:formatCode="m/d;@">
                  <c:v>44618</c:v>
                </c:pt>
                <c:pt idx="1" c:formatCode="m/d;@">
                  <c:v>44619</c:v>
                </c:pt>
                <c:pt idx="2" c:formatCode="m/d;@">
                  <c:v>44620</c:v>
                </c:pt>
                <c:pt idx="3" c:formatCode="m/d;@">
                  <c:v>44621</c:v>
                </c:pt>
                <c:pt idx="4" c:formatCode="m/d;@">
                  <c:v>44622</c:v>
                </c:pt>
                <c:pt idx="5" c:formatCode="m/d;@">
                  <c:v>44623</c:v>
                </c:pt>
                <c:pt idx="6" c:formatCode="m/d;@">
                  <c:v>44624</c:v>
                </c:pt>
                <c:pt idx="7" c:formatCode="m/d;@">
                  <c:v>44625</c:v>
                </c:pt>
                <c:pt idx="8" c:formatCode="m/d;@">
                  <c:v>44626</c:v>
                </c:pt>
                <c:pt idx="9" c:formatCode="m/d;@">
                  <c:v>44627</c:v>
                </c:pt>
              </c:numCache>
            </c:numRef>
          </c:cat>
          <c:val>
            <c:numRef>
              <c:f>'2022.3.7'!$B$36:$B$45</c:f>
              <c:numCache>
                <c:formatCode>0.00_ </c:formatCode>
                <c:ptCount val="10"/>
                <c:pt idx="0">
                  <c:v>86.86</c:v>
                </c:pt>
                <c:pt idx="1">
                  <c:v>42.83</c:v>
                </c:pt>
                <c:pt idx="2">
                  <c:v>92.73</c:v>
                </c:pt>
                <c:pt idx="3">
                  <c:v>131.07</c:v>
                </c:pt>
                <c:pt idx="4">
                  <c:v>151.88</c:v>
                </c:pt>
                <c:pt idx="5">
                  <c:v>115.83</c:v>
                </c:pt>
                <c:pt idx="6">
                  <c:v>100.09</c:v>
                </c:pt>
                <c:pt idx="7">
                  <c:v>196.25</c:v>
                </c:pt>
                <c:pt idx="8">
                  <c:v>136.47</c:v>
                </c:pt>
                <c:pt idx="9">
                  <c:v>118.66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'2022.3.7'!$B$29:$B$31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'2022.3.7'!$C$29:$C$31</c:f>
              <c:numCache>
                <c:formatCode>General</c:formatCode>
                <c:ptCount val="3"/>
                <c:pt idx="0">
                  <c:v>330</c:v>
                </c:pt>
                <c:pt idx="1">
                  <c:v>595</c:v>
                </c:pt>
                <c:pt idx="2">
                  <c:v>4855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'2022.3.7'!$D$29:$D$31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'2022.3.7'!$E$29:$E$31</c:f>
              <c:numCache>
                <c:formatCode>General</c:formatCode>
                <c:ptCount val="3"/>
                <c:pt idx="0">
                  <c:v>251</c:v>
                </c:pt>
                <c:pt idx="1">
                  <c:v>469</c:v>
                </c:pt>
                <c:pt idx="2">
                  <c:v>5060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'2022.3.7'!$I$43:$I$47</c:f>
              <c:numCache>
                <c:formatCode>0.00%</c:formatCode>
                <c:ptCount val="5"/>
                <c:pt idx="0">
                  <c:v>0.1564</c:v>
                </c:pt>
                <c:pt idx="1">
                  <c:v>0.1218</c:v>
                </c:pt>
                <c:pt idx="2">
                  <c:v>0.0875</c:v>
                </c:pt>
                <c:pt idx="3">
                  <c:v>0.0531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'2022.3.8'!$A$36:$A$45</c:f>
              <c:numCache>
                <c:formatCode>m/d;@</c:formatCode>
                <c:ptCount val="10"/>
                <c:pt idx="0" c:formatCode="m/d;@">
                  <c:v>44619</c:v>
                </c:pt>
                <c:pt idx="1" c:formatCode="m/d;@">
                  <c:v>44620</c:v>
                </c:pt>
                <c:pt idx="2" c:formatCode="m/d;@">
                  <c:v>44621</c:v>
                </c:pt>
                <c:pt idx="3" c:formatCode="m/d;@">
                  <c:v>44622</c:v>
                </c:pt>
                <c:pt idx="4" c:formatCode="m/d;@">
                  <c:v>44623</c:v>
                </c:pt>
                <c:pt idx="5" c:formatCode="m/d;@">
                  <c:v>44624</c:v>
                </c:pt>
                <c:pt idx="6" c:formatCode="m/d;@">
                  <c:v>44625</c:v>
                </c:pt>
                <c:pt idx="7" c:formatCode="m/d;@">
                  <c:v>44626</c:v>
                </c:pt>
                <c:pt idx="8" c:formatCode="m/d;@">
                  <c:v>44627</c:v>
                </c:pt>
                <c:pt idx="9" c:formatCode="m/d;@">
                  <c:v>44628</c:v>
                </c:pt>
              </c:numCache>
            </c:numRef>
          </c:cat>
          <c:val>
            <c:numRef>
              <c:f>'2022.3.8'!$B$36:$B$45</c:f>
              <c:numCache>
                <c:formatCode>0.00_ </c:formatCode>
                <c:ptCount val="10"/>
                <c:pt idx="0">
                  <c:v>42.83</c:v>
                </c:pt>
                <c:pt idx="1">
                  <c:v>92.73</c:v>
                </c:pt>
                <c:pt idx="2">
                  <c:v>131.07</c:v>
                </c:pt>
                <c:pt idx="3">
                  <c:v>151.88</c:v>
                </c:pt>
                <c:pt idx="4">
                  <c:v>115.83</c:v>
                </c:pt>
                <c:pt idx="5">
                  <c:v>100.09</c:v>
                </c:pt>
                <c:pt idx="6">
                  <c:v>196.25</c:v>
                </c:pt>
                <c:pt idx="7">
                  <c:v>136.47</c:v>
                </c:pt>
                <c:pt idx="8">
                  <c:v>118.66</c:v>
                </c:pt>
                <c:pt idx="9">
                  <c:v>118.67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'2022.3.8'!$B$29:$B$31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'2022.3.8'!$C$29:$C$31</c:f>
              <c:numCache>
                <c:formatCode>General</c:formatCode>
                <c:ptCount val="3"/>
                <c:pt idx="0">
                  <c:v>333</c:v>
                </c:pt>
                <c:pt idx="1">
                  <c:v>602</c:v>
                </c:pt>
                <c:pt idx="2">
                  <c:v>4845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'2021.11.4'!$A$31:$A$40</c:f>
              <c:numCache>
                <c:formatCode>m/d;@</c:formatCode>
                <c:ptCount val="10"/>
                <c:pt idx="0" c:formatCode="m/d;@">
                  <c:v>44495</c:v>
                </c:pt>
                <c:pt idx="1" c:formatCode="m/d;@">
                  <c:v>44496</c:v>
                </c:pt>
                <c:pt idx="2" c:formatCode="m/d;@">
                  <c:v>44497</c:v>
                </c:pt>
                <c:pt idx="3" c:formatCode="m/d;@">
                  <c:v>44498</c:v>
                </c:pt>
                <c:pt idx="4" c:formatCode="m/d;@">
                  <c:v>44499</c:v>
                </c:pt>
                <c:pt idx="5" c:formatCode="m/d;@">
                  <c:v>44500</c:v>
                </c:pt>
                <c:pt idx="6" c:formatCode="m/d;@">
                  <c:v>44501</c:v>
                </c:pt>
                <c:pt idx="7" c:formatCode="m/d;@">
                  <c:v>44502</c:v>
                </c:pt>
                <c:pt idx="8" c:formatCode="m/d;@">
                  <c:v>44503</c:v>
                </c:pt>
                <c:pt idx="9" c:formatCode="m/d;@">
                  <c:v>44504</c:v>
                </c:pt>
              </c:numCache>
            </c:numRef>
          </c:cat>
          <c:val>
            <c:numRef>
              <c:f>'2021.11.4'!$B$31:$B$40</c:f>
              <c:numCache>
                <c:formatCode>0.00_ </c:formatCode>
                <c:ptCount val="10"/>
                <c:pt idx="0">
                  <c:v>23.28</c:v>
                </c:pt>
                <c:pt idx="1">
                  <c:v>38.88</c:v>
                </c:pt>
                <c:pt idx="2">
                  <c:v>15.77</c:v>
                </c:pt>
                <c:pt idx="3">
                  <c:v>15.62</c:v>
                </c:pt>
                <c:pt idx="4">
                  <c:v>38.55</c:v>
                </c:pt>
                <c:pt idx="5">
                  <c:v>48.67</c:v>
                </c:pt>
                <c:pt idx="6">
                  <c:v>31.25</c:v>
                </c:pt>
                <c:pt idx="7">
                  <c:v>31.89</c:v>
                </c:pt>
                <c:pt idx="8">
                  <c:v>38.55</c:v>
                </c:pt>
                <c:pt idx="9">
                  <c:v>39.66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'2022.3.8'!$D$29:$D$31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'2022.3.8'!$E$29:$E$31</c:f>
              <c:numCache>
                <c:formatCode>General</c:formatCode>
                <c:ptCount val="3"/>
                <c:pt idx="0">
                  <c:v>255</c:v>
                </c:pt>
                <c:pt idx="1">
                  <c:v>476</c:v>
                </c:pt>
                <c:pt idx="2">
                  <c:v>5049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'2022.3.8'!$I$43:$I$47</c:f>
              <c:numCache>
                <c:formatCode>0.00%</c:formatCode>
                <c:ptCount val="5"/>
                <c:pt idx="0">
                  <c:v>0.1581</c:v>
                </c:pt>
                <c:pt idx="1">
                  <c:v>0.1236</c:v>
                </c:pt>
                <c:pt idx="2">
                  <c:v>0.0875</c:v>
                </c:pt>
                <c:pt idx="3">
                  <c:v>0.0555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'2022.3.9'!$A$36:$A$45</c:f>
              <c:numCache>
                <c:formatCode>m/d;@</c:formatCode>
                <c:ptCount val="10"/>
                <c:pt idx="0" c:formatCode="m/d;@">
                  <c:v>44620</c:v>
                </c:pt>
                <c:pt idx="1" c:formatCode="m/d;@">
                  <c:v>44621</c:v>
                </c:pt>
                <c:pt idx="2" c:formatCode="m/d;@">
                  <c:v>44622</c:v>
                </c:pt>
                <c:pt idx="3" c:formatCode="m/d;@">
                  <c:v>44623</c:v>
                </c:pt>
                <c:pt idx="4" c:formatCode="m/d;@">
                  <c:v>44624</c:v>
                </c:pt>
                <c:pt idx="5" c:formatCode="m/d;@">
                  <c:v>44625</c:v>
                </c:pt>
                <c:pt idx="6" c:formatCode="m/d;@">
                  <c:v>44626</c:v>
                </c:pt>
                <c:pt idx="7" c:formatCode="m/d;@">
                  <c:v>44627</c:v>
                </c:pt>
                <c:pt idx="8" c:formatCode="m/d;@">
                  <c:v>44628</c:v>
                </c:pt>
                <c:pt idx="9" c:formatCode="m/d;@">
                  <c:v>44629</c:v>
                </c:pt>
              </c:numCache>
            </c:numRef>
          </c:cat>
          <c:val>
            <c:numRef>
              <c:f>'2022.3.9'!$B$36:$B$45</c:f>
              <c:numCache>
                <c:formatCode>0.00_ </c:formatCode>
                <c:ptCount val="10"/>
                <c:pt idx="0">
                  <c:v>92.73</c:v>
                </c:pt>
                <c:pt idx="1">
                  <c:v>131.07</c:v>
                </c:pt>
                <c:pt idx="2">
                  <c:v>151.88</c:v>
                </c:pt>
                <c:pt idx="3">
                  <c:v>115.83</c:v>
                </c:pt>
                <c:pt idx="4">
                  <c:v>100.09</c:v>
                </c:pt>
                <c:pt idx="5">
                  <c:v>196.25</c:v>
                </c:pt>
                <c:pt idx="6">
                  <c:v>136.47</c:v>
                </c:pt>
                <c:pt idx="7">
                  <c:v>118.66</c:v>
                </c:pt>
                <c:pt idx="8">
                  <c:v>118.67</c:v>
                </c:pt>
                <c:pt idx="9">
                  <c:v>123.6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'2022.3.9'!$B$29:$B$31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'2022.3.9'!$C$29:$C$31</c:f>
              <c:numCache>
                <c:formatCode>General</c:formatCode>
                <c:ptCount val="3"/>
                <c:pt idx="0">
                  <c:v>336</c:v>
                </c:pt>
                <c:pt idx="1">
                  <c:v>610</c:v>
                </c:pt>
                <c:pt idx="2">
                  <c:v>4834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'2022.3.9'!$D$29:$D$31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'2022.3.9'!$E$29:$E$31</c:f>
              <c:numCache>
                <c:formatCode>General</c:formatCode>
                <c:ptCount val="3"/>
                <c:pt idx="0">
                  <c:v>256</c:v>
                </c:pt>
                <c:pt idx="1">
                  <c:v>484</c:v>
                </c:pt>
                <c:pt idx="2">
                  <c:v>5040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'2022.3.9'!$I$43:$I$47</c:f>
              <c:numCache>
                <c:formatCode>0.00%</c:formatCode>
                <c:ptCount val="5"/>
                <c:pt idx="0">
                  <c:v>0.16</c:v>
                </c:pt>
                <c:pt idx="1">
                  <c:v>0.1251</c:v>
                </c:pt>
                <c:pt idx="2">
                  <c:v>0.0887</c:v>
                </c:pt>
                <c:pt idx="3">
                  <c:v>0.0555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'2022.3.10'!$A$36:$A$45</c:f>
              <c:numCache>
                <c:formatCode>m/d;@</c:formatCode>
                <c:ptCount val="10"/>
                <c:pt idx="0" c:formatCode="m/d;@">
                  <c:v>44621</c:v>
                </c:pt>
                <c:pt idx="1" c:formatCode="m/d;@">
                  <c:v>44622</c:v>
                </c:pt>
                <c:pt idx="2" c:formatCode="m/d;@">
                  <c:v>44623</c:v>
                </c:pt>
                <c:pt idx="3" c:formatCode="m/d;@">
                  <c:v>44624</c:v>
                </c:pt>
                <c:pt idx="4" c:formatCode="m/d;@">
                  <c:v>44625</c:v>
                </c:pt>
                <c:pt idx="5" c:formatCode="m/d;@">
                  <c:v>44626</c:v>
                </c:pt>
                <c:pt idx="6" c:formatCode="m/d;@">
                  <c:v>44627</c:v>
                </c:pt>
                <c:pt idx="7" c:formatCode="m/d;@">
                  <c:v>44628</c:v>
                </c:pt>
                <c:pt idx="8" c:formatCode="m/d;@">
                  <c:v>44629</c:v>
                </c:pt>
                <c:pt idx="9" c:formatCode="m/d;@">
                  <c:v>44630</c:v>
                </c:pt>
              </c:numCache>
            </c:numRef>
          </c:cat>
          <c:val>
            <c:numRef>
              <c:f>'2022.3.10'!$B$36:$B$45</c:f>
              <c:numCache>
                <c:formatCode>0.00_ </c:formatCode>
                <c:ptCount val="10"/>
                <c:pt idx="0">
                  <c:v>131.07</c:v>
                </c:pt>
                <c:pt idx="1">
                  <c:v>151.88</c:v>
                </c:pt>
                <c:pt idx="2">
                  <c:v>115.83</c:v>
                </c:pt>
                <c:pt idx="3">
                  <c:v>100.09</c:v>
                </c:pt>
                <c:pt idx="4">
                  <c:v>196.25</c:v>
                </c:pt>
                <c:pt idx="5">
                  <c:v>136.47</c:v>
                </c:pt>
                <c:pt idx="6">
                  <c:v>118.66</c:v>
                </c:pt>
                <c:pt idx="7">
                  <c:v>118.67</c:v>
                </c:pt>
                <c:pt idx="8">
                  <c:v>123.6</c:v>
                </c:pt>
                <c:pt idx="9">
                  <c:v>142.12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'2022.3.10'!$B$29:$B$31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'2022.3.10'!$C$29:$C$31</c:f>
              <c:numCache>
                <c:formatCode>General</c:formatCode>
                <c:ptCount val="3"/>
                <c:pt idx="0">
                  <c:v>339</c:v>
                </c:pt>
                <c:pt idx="1">
                  <c:v>619</c:v>
                </c:pt>
                <c:pt idx="2">
                  <c:v>4822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'2022.3.10'!$D$29:$D$31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'2022.3.10'!$E$29:$E$31</c:f>
              <c:numCache>
                <c:formatCode>General</c:formatCode>
                <c:ptCount val="3"/>
                <c:pt idx="0">
                  <c:v>258</c:v>
                </c:pt>
                <c:pt idx="1">
                  <c:v>495</c:v>
                </c:pt>
                <c:pt idx="2">
                  <c:v>5027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'2022.3.10'!$I$42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'2022.3.10'!$H$43:$H$47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'2022.3.10'!$I$43:$I$47</c:f>
              <c:numCache>
                <c:formatCode>0.00%</c:formatCode>
                <c:ptCount val="5"/>
                <c:pt idx="0">
                  <c:v>0.162</c:v>
                </c:pt>
                <c:pt idx="1">
                  <c:v>0.1273</c:v>
                </c:pt>
                <c:pt idx="2">
                  <c:v>0.0887</c:v>
                </c:pt>
                <c:pt idx="3">
                  <c:v>0.0578</c:v>
                </c:pt>
                <c:pt idx="4">
                  <c:v>0.0079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'2021.11.4'!$A$23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('2021.11.4'!$B$23,'2021.11.4'!$C$23:$D$23)</c:f>
              <c:numCache>
                <c:formatCode>General</c:formatCode>
                <c:ptCount val="3"/>
                <c:pt idx="0">
                  <c:v>76</c:v>
                </c:pt>
                <c:pt idx="1">
                  <c:v>0</c:v>
                </c:pt>
                <c:pt idx="2">
                  <c:v>50</c:v>
                </c:pt>
              </c:numCache>
            </c:numRef>
          </c:val>
        </c:ser>
        <c:ser>
          <c:idx val="1"/>
          <c:order val="1"/>
          <c:tx>
            <c:strRef>
              <c:f>'2021.11.4'!$A$24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('2021.11.4'!$B$24,'2021.11.4'!$C$24:$D$24)</c:f>
              <c:numCache>
                <c:formatCode>General</c:formatCode>
                <c:ptCount val="3"/>
                <c:pt idx="0">
                  <c:v>45</c:v>
                </c:pt>
                <c:pt idx="1">
                  <c:v>0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'2021.11.4'!$A$25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('2021.11.4'!$B$25,'2021.11.4'!$C$25:$D$25)</c:f>
              <c:numCache>
                <c:formatCode>General</c:formatCode>
                <c:ptCount val="3"/>
                <c:pt idx="0">
                  <c:v>5659</c:v>
                </c:pt>
                <c:pt idx="1">
                  <c:v>0</c:v>
                </c:pt>
                <c:pt idx="2">
                  <c:v>5704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'2022.3.11'!$A$36:$A$45</c:f>
              <c:numCache>
                <c:formatCode>m/d;@</c:formatCode>
                <c:ptCount val="10"/>
                <c:pt idx="0" c:formatCode="m/d;@">
                  <c:v>44622</c:v>
                </c:pt>
                <c:pt idx="1" c:formatCode="m/d;@">
                  <c:v>44623</c:v>
                </c:pt>
                <c:pt idx="2" c:formatCode="m/d;@">
                  <c:v>44624</c:v>
                </c:pt>
                <c:pt idx="3" c:formatCode="m/d;@">
                  <c:v>44625</c:v>
                </c:pt>
                <c:pt idx="4" c:formatCode="m/d;@">
                  <c:v>44626</c:v>
                </c:pt>
                <c:pt idx="5" c:formatCode="m/d;@">
                  <c:v>44627</c:v>
                </c:pt>
                <c:pt idx="6" c:formatCode="m/d;@">
                  <c:v>44628</c:v>
                </c:pt>
                <c:pt idx="7" c:formatCode="m/d;@">
                  <c:v>44629</c:v>
                </c:pt>
                <c:pt idx="8" c:formatCode="m/d;@">
                  <c:v>44630</c:v>
                </c:pt>
                <c:pt idx="9" c:formatCode="m/d;@">
                  <c:v>44631</c:v>
                </c:pt>
              </c:numCache>
            </c:numRef>
          </c:cat>
          <c:val>
            <c:numRef>
              <c:f>'2022.3.11'!$B$36:$B$45</c:f>
              <c:numCache>
                <c:formatCode>0.00_ </c:formatCode>
                <c:ptCount val="10"/>
                <c:pt idx="0">
                  <c:v>151.88</c:v>
                </c:pt>
                <c:pt idx="1">
                  <c:v>115.83</c:v>
                </c:pt>
                <c:pt idx="2">
                  <c:v>100.09</c:v>
                </c:pt>
                <c:pt idx="3">
                  <c:v>196.25</c:v>
                </c:pt>
                <c:pt idx="4">
                  <c:v>136.47</c:v>
                </c:pt>
                <c:pt idx="5">
                  <c:v>118.66</c:v>
                </c:pt>
                <c:pt idx="6">
                  <c:v>118.67</c:v>
                </c:pt>
                <c:pt idx="7">
                  <c:v>123.6</c:v>
                </c:pt>
                <c:pt idx="8">
                  <c:v>142.12</c:v>
                </c:pt>
                <c:pt idx="9">
                  <c:v>138.46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'2022.3.11'!$B$29:$B$31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'2022.3.11'!$C$29:$C$31</c:f>
              <c:numCache>
                <c:formatCode>General</c:formatCode>
                <c:ptCount val="3"/>
                <c:pt idx="0">
                  <c:v>342</c:v>
                </c:pt>
                <c:pt idx="1">
                  <c:v>627</c:v>
                </c:pt>
                <c:pt idx="2">
                  <c:v>4811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'2022.3.11'!$D$29:$D$31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'2022.3.11'!$E$29:$E$31</c:f>
              <c:numCache>
                <c:formatCode>General</c:formatCode>
                <c:ptCount val="3"/>
                <c:pt idx="0">
                  <c:v>258</c:v>
                </c:pt>
                <c:pt idx="1">
                  <c:v>512</c:v>
                </c:pt>
                <c:pt idx="2">
                  <c:v>5010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'2022.3.11'!$I$43:$I$47</c:f>
              <c:numCache>
                <c:formatCode>0.00%</c:formatCode>
                <c:ptCount val="5"/>
                <c:pt idx="0">
                  <c:v>0.1639</c:v>
                </c:pt>
                <c:pt idx="1">
                  <c:v>0.1302</c:v>
                </c:pt>
                <c:pt idx="2">
                  <c:v>0.0901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'2022.3.12'!$A$36:$A$45</c:f>
              <c:numCache>
                <c:formatCode>m/d;@</c:formatCode>
                <c:ptCount val="10"/>
                <c:pt idx="0" c:formatCode="m/d;@">
                  <c:v>44623</c:v>
                </c:pt>
                <c:pt idx="1" c:formatCode="m/d;@">
                  <c:v>44624</c:v>
                </c:pt>
                <c:pt idx="2" c:formatCode="m/d;@">
                  <c:v>44625</c:v>
                </c:pt>
                <c:pt idx="3" c:formatCode="m/d;@">
                  <c:v>44626</c:v>
                </c:pt>
                <c:pt idx="4" c:formatCode="m/d;@">
                  <c:v>44627</c:v>
                </c:pt>
                <c:pt idx="5" c:formatCode="m/d;@">
                  <c:v>44628</c:v>
                </c:pt>
                <c:pt idx="6" c:formatCode="m/d;@">
                  <c:v>44629</c:v>
                </c:pt>
                <c:pt idx="7" c:formatCode="m/d;@">
                  <c:v>44630</c:v>
                </c:pt>
                <c:pt idx="8" c:formatCode="m/d;@">
                  <c:v>44631</c:v>
                </c:pt>
                <c:pt idx="9" c:formatCode="m/d;@">
                  <c:v>44632</c:v>
                </c:pt>
              </c:numCache>
            </c:numRef>
          </c:cat>
          <c:val>
            <c:numRef>
              <c:f>'2022.3.12'!$B$36:$B$45</c:f>
              <c:numCache>
                <c:formatCode>0.00_ </c:formatCode>
                <c:ptCount val="10"/>
                <c:pt idx="0">
                  <c:v>115.83</c:v>
                </c:pt>
                <c:pt idx="1">
                  <c:v>100.09</c:v>
                </c:pt>
                <c:pt idx="2">
                  <c:v>196.25</c:v>
                </c:pt>
                <c:pt idx="3">
                  <c:v>136.47</c:v>
                </c:pt>
                <c:pt idx="4">
                  <c:v>118.66</c:v>
                </c:pt>
                <c:pt idx="5">
                  <c:v>118.67</c:v>
                </c:pt>
                <c:pt idx="6">
                  <c:v>123.6</c:v>
                </c:pt>
                <c:pt idx="7">
                  <c:v>142.12</c:v>
                </c:pt>
                <c:pt idx="8">
                  <c:v>138.46</c:v>
                </c:pt>
                <c:pt idx="9">
                  <c:v>182.2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'2022.3.12'!$B$29:$B$31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'2022.3.12'!$C$29:$C$31</c:f>
              <c:numCache>
                <c:formatCode>General</c:formatCode>
                <c:ptCount val="3"/>
                <c:pt idx="0">
                  <c:v>346</c:v>
                </c:pt>
                <c:pt idx="1">
                  <c:v>636</c:v>
                </c:pt>
                <c:pt idx="2">
                  <c:v>4798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'2022.3.12'!$D$29:$D$31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'2022.3.12'!$E$29:$E$31</c:f>
              <c:numCache>
                <c:formatCode>General</c:formatCode>
                <c:ptCount val="3"/>
                <c:pt idx="0">
                  <c:v>258</c:v>
                </c:pt>
                <c:pt idx="1">
                  <c:v>522</c:v>
                </c:pt>
                <c:pt idx="2">
                  <c:v>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'2022.3.12'!$H$43:$H$47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'2022.3.12'!$I$43:$I$47</c:f>
              <c:numCache>
                <c:formatCode>0.00%</c:formatCode>
                <c:ptCount val="5"/>
                <c:pt idx="0">
                  <c:v>0.1661</c:v>
                </c:pt>
                <c:pt idx="1">
                  <c:v>0.1319</c:v>
                </c:pt>
                <c:pt idx="2">
                  <c:v>0.0924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50000"/>
                      <a:lumOff val="50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'2022.3.13'!$A$36:$A$45</c:f>
              <c:numCache>
                <c:formatCode>m/d;@</c:formatCode>
                <c:ptCount val="10"/>
                <c:pt idx="0" c:formatCode="m/d;@">
                  <c:v>44624</c:v>
                </c:pt>
                <c:pt idx="1" c:formatCode="m/d;@">
                  <c:v>44625</c:v>
                </c:pt>
                <c:pt idx="2" c:formatCode="m/d;@">
                  <c:v>44626</c:v>
                </c:pt>
                <c:pt idx="3" c:formatCode="m/d;@">
                  <c:v>44627</c:v>
                </c:pt>
                <c:pt idx="4" c:formatCode="m/d;@">
                  <c:v>44628</c:v>
                </c:pt>
                <c:pt idx="5" c:formatCode="m/d;@">
                  <c:v>44629</c:v>
                </c:pt>
                <c:pt idx="6" c:formatCode="m/d;@">
                  <c:v>44630</c:v>
                </c:pt>
                <c:pt idx="7" c:formatCode="m/d;@">
                  <c:v>44631</c:v>
                </c:pt>
                <c:pt idx="8" c:formatCode="m/d;@">
                  <c:v>44632</c:v>
                </c:pt>
                <c:pt idx="9" c:formatCode="m/d;@">
                  <c:v>44633</c:v>
                </c:pt>
              </c:numCache>
            </c:numRef>
          </c:cat>
          <c:val>
            <c:numRef>
              <c:f>'2022.3.13'!$B$36:$B$45</c:f>
              <c:numCache>
                <c:formatCode>0.00_ </c:formatCode>
                <c:ptCount val="10"/>
                <c:pt idx="0">
                  <c:v>100.09</c:v>
                </c:pt>
                <c:pt idx="1">
                  <c:v>196.25</c:v>
                </c:pt>
                <c:pt idx="2">
                  <c:v>136.47</c:v>
                </c:pt>
                <c:pt idx="3">
                  <c:v>118.66</c:v>
                </c:pt>
                <c:pt idx="4">
                  <c:v>118.67</c:v>
                </c:pt>
                <c:pt idx="5">
                  <c:v>123.6</c:v>
                </c:pt>
                <c:pt idx="6">
                  <c:v>142.12</c:v>
                </c:pt>
                <c:pt idx="7">
                  <c:v>138.46</c:v>
                </c:pt>
                <c:pt idx="8">
                  <c:v>182.2</c:v>
                </c:pt>
                <c:pt idx="9">
                  <c:v>129.5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'2022.3.13'!$I$43:$I$47</c:f>
              <c:numCache>
                <c:formatCode>0.00%</c:formatCode>
                <c:ptCount val="5"/>
                <c:pt idx="0">
                  <c:v>0.1679</c:v>
                </c:pt>
                <c:pt idx="1">
                  <c:v>0.1338</c:v>
                </c:pt>
                <c:pt idx="2">
                  <c:v>0.0969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'2021.11.5'!$A$31:$A$40</c:f>
              <c:numCache>
                <c:formatCode>m/d;@</c:formatCode>
                <c:ptCount val="10"/>
                <c:pt idx="0" c:formatCode="m/d;@">
                  <c:v>44496</c:v>
                </c:pt>
                <c:pt idx="1" c:formatCode="m/d;@">
                  <c:v>44497</c:v>
                </c:pt>
                <c:pt idx="2" c:formatCode="m/d;@">
                  <c:v>44498</c:v>
                </c:pt>
                <c:pt idx="3" c:formatCode="m/d;@">
                  <c:v>44499</c:v>
                </c:pt>
                <c:pt idx="4" c:formatCode="m/d;@">
                  <c:v>44500</c:v>
                </c:pt>
                <c:pt idx="5" c:formatCode="m/d;@">
                  <c:v>44501</c:v>
                </c:pt>
                <c:pt idx="6" c:formatCode="m/d;@">
                  <c:v>44502</c:v>
                </c:pt>
                <c:pt idx="7" c:formatCode="m/d;@">
                  <c:v>44503</c:v>
                </c:pt>
                <c:pt idx="8" c:formatCode="m/d;@">
                  <c:v>44504</c:v>
                </c:pt>
                <c:pt idx="9" c:formatCode="m/d;@">
                  <c:v>44505</c:v>
                </c:pt>
              </c:numCache>
            </c:numRef>
          </c:cat>
          <c:val>
            <c:numRef>
              <c:f>'2021.11.5'!$B$31:$B$40</c:f>
              <c:numCache>
                <c:formatCode>0.00_ </c:formatCode>
                <c:ptCount val="10"/>
                <c:pt idx="0">
                  <c:v>38.88</c:v>
                </c:pt>
                <c:pt idx="1">
                  <c:v>15.77</c:v>
                </c:pt>
                <c:pt idx="2">
                  <c:v>15.62</c:v>
                </c:pt>
                <c:pt idx="3">
                  <c:v>38.55</c:v>
                </c:pt>
                <c:pt idx="4">
                  <c:v>48.67</c:v>
                </c:pt>
                <c:pt idx="5">
                  <c:v>31.25</c:v>
                </c:pt>
                <c:pt idx="6">
                  <c:v>31.89</c:v>
                </c:pt>
                <c:pt idx="7">
                  <c:v>38.55</c:v>
                </c:pt>
                <c:pt idx="8">
                  <c:v>39.66</c:v>
                </c:pt>
                <c:pt idx="9">
                  <c:v>71.07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'2022.3.14'!$A$36:$A$45</c:f>
              <c:numCache>
                <c:formatCode>m/d;@</c:formatCode>
                <c:ptCount val="10"/>
                <c:pt idx="0" c:formatCode="m/d;@">
                  <c:v>44625</c:v>
                </c:pt>
                <c:pt idx="1" c:formatCode="m/d;@">
                  <c:v>44626</c:v>
                </c:pt>
                <c:pt idx="2" c:formatCode="m/d;@">
                  <c:v>44627</c:v>
                </c:pt>
                <c:pt idx="3" c:formatCode="m/d;@">
                  <c:v>44628</c:v>
                </c:pt>
                <c:pt idx="4" c:formatCode="m/d;@">
                  <c:v>44629</c:v>
                </c:pt>
                <c:pt idx="5" c:formatCode="m/d;@">
                  <c:v>44630</c:v>
                </c:pt>
                <c:pt idx="6" c:formatCode="m/d;@">
                  <c:v>44631</c:v>
                </c:pt>
                <c:pt idx="7" c:formatCode="m/d;@">
                  <c:v>44632</c:v>
                </c:pt>
                <c:pt idx="8" c:formatCode="m/d;@">
                  <c:v>44633</c:v>
                </c:pt>
                <c:pt idx="9" c:formatCode="m/d;@">
                  <c:v>44634</c:v>
                </c:pt>
              </c:numCache>
            </c:numRef>
          </c:cat>
          <c:val>
            <c:numRef>
              <c:f>'2022.3.14'!$B$36:$B$45</c:f>
              <c:numCache>
                <c:formatCode>0.00_ </c:formatCode>
                <c:ptCount val="10"/>
                <c:pt idx="0">
                  <c:v>196.25</c:v>
                </c:pt>
                <c:pt idx="1">
                  <c:v>136.47</c:v>
                </c:pt>
                <c:pt idx="2">
                  <c:v>118.66</c:v>
                </c:pt>
                <c:pt idx="3">
                  <c:v>118.67</c:v>
                </c:pt>
                <c:pt idx="4">
                  <c:v>123.6</c:v>
                </c:pt>
                <c:pt idx="5">
                  <c:v>142.12</c:v>
                </c:pt>
                <c:pt idx="6">
                  <c:v>138.46</c:v>
                </c:pt>
                <c:pt idx="7">
                  <c:v>182.2</c:v>
                </c:pt>
                <c:pt idx="8">
                  <c:v>129.5</c:v>
                </c:pt>
                <c:pt idx="9">
                  <c:v>185.87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'2022.3.14'!$I$43:$I$47</c:f>
              <c:numCache>
                <c:formatCode>0.00%</c:formatCode>
                <c:ptCount val="5"/>
                <c:pt idx="0">
                  <c:v>0.171</c:v>
                </c:pt>
                <c:pt idx="1">
                  <c:v>0.1365</c:v>
                </c:pt>
                <c:pt idx="2">
                  <c:v>0.0981</c:v>
                </c:pt>
                <c:pt idx="3">
                  <c:v>0.0578</c:v>
                </c:pt>
                <c:pt idx="4">
                  <c:v>0.0198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'2022.3.15'!$A$36:$A$45</c:f>
              <c:numCache>
                <c:formatCode>m/d;@</c:formatCode>
                <c:ptCount val="10"/>
                <c:pt idx="0" c:formatCode="m/d;@">
                  <c:v>44626</c:v>
                </c:pt>
                <c:pt idx="1" c:formatCode="m/d;@">
                  <c:v>44627</c:v>
                </c:pt>
                <c:pt idx="2" c:formatCode="m/d;@">
                  <c:v>44628</c:v>
                </c:pt>
                <c:pt idx="3" c:formatCode="m/d;@">
                  <c:v>44629</c:v>
                </c:pt>
                <c:pt idx="4" c:formatCode="m/d;@">
                  <c:v>44630</c:v>
                </c:pt>
                <c:pt idx="5" c:formatCode="m/d;@">
                  <c:v>44631</c:v>
                </c:pt>
                <c:pt idx="6" c:formatCode="m/d;@">
                  <c:v>44632</c:v>
                </c:pt>
                <c:pt idx="7" c:formatCode="m/d;@">
                  <c:v>44633</c:v>
                </c:pt>
                <c:pt idx="8" c:formatCode="m/d;@">
                  <c:v>44634</c:v>
                </c:pt>
                <c:pt idx="9" c:formatCode="m/d;@">
                  <c:v>44635</c:v>
                </c:pt>
              </c:numCache>
            </c:numRef>
          </c:cat>
          <c:val>
            <c:numRef>
              <c:f>'2022.3.15'!$B$36:$B$45</c:f>
              <c:numCache>
                <c:formatCode>0.00_ </c:formatCode>
                <c:ptCount val="10"/>
                <c:pt idx="0">
                  <c:v>136.47</c:v>
                </c:pt>
                <c:pt idx="1">
                  <c:v>118.66</c:v>
                </c:pt>
                <c:pt idx="2">
                  <c:v>118.67</c:v>
                </c:pt>
                <c:pt idx="3">
                  <c:v>123.6</c:v>
                </c:pt>
                <c:pt idx="4">
                  <c:v>142.12</c:v>
                </c:pt>
                <c:pt idx="5">
                  <c:v>138.46</c:v>
                </c:pt>
                <c:pt idx="6">
                  <c:v>182.2</c:v>
                </c:pt>
                <c:pt idx="7">
                  <c:v>129.5</c:v>
                </c:pt>
                <c:pt idx="8">
                  <c:v>185.87</c:v>
                </c:pt>
                <c:pt idx="9">
                  <c:v>190.59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'2022.3.15'!$I$43:$I$47</c:f>
              <c:numCache>
                <c:formatCode>0.00%</c:formatCode>
                <c:ptCount val="5"/>
                <c:pt idx="0">
                  <c:v>0.1733</c:v>
                </c:pt>
                <c:pt idx="1">
                  <c:v>0.1387</c:v>
                </c:pt>
                <c:pt idx="2">
                  <c:v>0.0981</c:v>
                </c:pt>
                <c:pt idx="3">
                  <c:v>0.067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'2022.3.16'!$A$36:$A$45</c:f>
              <c:numCache>
                <c:formatCode>m/d;@</c:formatCode>
                <c:ptCount val="10"/>
                <c:pt idx="0" c:formatCode="m/d;@">
                  <c:v>44627</c:v>
                </c:pt>
                <c:pt idx="1" c:formatCode="m/d;@">
                  <c:v>44628</c:v>
                </c:pt>
                <c:pt idx="2" c:formatCode="m/d;@">
                  <c:v>44629</c:v>
                </c:pt>
                <c:pt idx="3" c:formatCode="m/d;@">
                  <c:v>44630</c:v>
                </c:pt>
                <c:pt idx="4" c:formatCode="m/d;@">
                  <c:v>44631</c:v>
                </c:pt>
                <c:pt idx="5" c:formatCode="m/d;@">
                  <c:v>44632</c:v>
                </c:pt>
                <c:pt idx="6" c:formatCode="m/d;@">
                  <c:v>44633</c:v>
                </c:pt>
                <c:pt idx="7" c:formatCode="m/d;@">
                  <c:v>44634</c:v>
                </c:pt>
                <c:pt idx="8" c:formatCode="m/d;@">
                  <c:v>44635</c:v>
                </c:pt>
                <c:pt idx="9" c:formatCode="m/d;@">
                  <c:v>44636</c:v>
                </c:pt>
              </c:numCache>
            </c:numRef>
          </c:cat>
          <c:val>
            <c:numRef>
              <c:f>'2022.3.16'!$B$36:$B$45</c:f>
              <c:numCache>
                <c:formatCode>0.00_ </c:formatCode>
                <c:ptCount val="10"/>
                <c:pt idx="0">
                  <c:v>118.66</c:v>
                </c:pt>
                <c:pt idx="1">
                  <c:v>118.67</c:v>
                </c:pt>
                <c:pt idx="2">
                  <c:v>123.6</c:v>
                </c:pt>
                <c:pt idx="3">
                  <c:v>142.12</c:v>
                </c:pt>
                <c:pt idx="4">
                  <c:v>138.46</c:v>
                </c:pt>
                <c:pt idx="5">
                  <c:v>182.2</c:v>
                </c:pt>
                <c:pt idx="6">
                  <c:v>129.5</c:v>
                </c:pt>
                <c:pt idx="7">
                  <c:v>185.87</c:v>
                </c:pt>
                <c:pt idx="8">
                  <c:v>190.59</c:v>
                </c:pt>
                <c:pt idx="9">
                  <c:v>78.8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'2022.3.16'!$I$43:$I$47</c:f>
              <c:numCache>
                <c:formatCode>0.00%</c:formatCode>
                <c:ptCount val="5"/>
                <c:pt idx="0">
                  <c:v>0.1754</c:v>
                </c:pt>
                <c:pt idx="1">
                  <c:v>0.1438</c:v>
                </c:pt>
                <c:pt idx="2">
                  <c:v>0.0993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'2022.3.17'!$A$36:$A$45</c:f>
              <c:numCache>
                <c:formatCode>m/d;@</c:formatCode>
                <c:ptCount val="10"/>
                <c:pt idx="0" c:formatCode="m/d;@">
                  <c:v>44628</c:v>
                </c:pt>
                <c:pt idx="1" c:formatCode="m/d;@">
                  <c:v>44629</c:v>
                </c:pt>
                <c:pt idx="2" c:formatCode="m/d;@">
                  <c:v>44630</c:v>
                </c:pt>
                <c:pt idx="3" c:formatCode="m/d;@">
                  <c:v>44631</c:v>
                </c:pt>
                <c:pt idx="4" c:formatCode="m/d;@">
                  <c:v>44632</c:v>
                </c:pt>
                <c:pt idx="5" c:formatCode="m/d;@">
                  <c:v>44633</c:v>
                </c:pt>
                <c:pt idx="6" c:formatCode="m/d;@">
                  <c:v>44634</c:v>
                </c:pt>
                <c:pt idx="7" c:formatCode="m/d;@">
                  <c:v>44635</c:v>
                </c:pt>
                <c:pt idx="8" c:formatCode="m/d;@">
                  <c:v>44636</c:v>
                </c:pt>
                <c:pt idx="9" c:formatCode="m/d;@">
                  <c:v>44637</c:v>
                </c:pt>
              </c:numCache>
            </c:numRef>
          </c:cat>
          <c:val>
            <c:numRef>
              <c:f>'2022.3.17'!$B$36:$B$45</c:f>
              <c:numCache>
                <c:formatCode>0.00_ </c:formatCode>
                <c:ptCount val="10"/>
                <c:pt idx="0">
                  <c:v>118.67</c:v>
                </c:pt>
                <c:pt idx="1">
                  <c:v>123.6</c:v>
                </c:pt>
                <c:pt idx="2">
                  <c:v>142.12</c:v>
                </c:pt>
                <c:pt idx="3">
                  <c:v>138.46</c:v>
                </c:pt>
                <c:pt idx="4">
                  <c:v>182.2</c:v>
                </c:pt>
                <c:pt idx="5">
                  <c:v>129.5</c:v>
                </c:pt>
                <c:pt idx="6">
                  <c:v>185.87</c:v>
                </c:pt>
                <c:pt idx="7">
                  <c:v>190.59</c:v>
                </c:pt>
                <c:pt idx="8">
                  <c:v>78.8</c:v>
                </c:pt>
                <c:pt idx="9">
                  <c:v>130.78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'2022.3.17'!$I$43:$I$47</c:f>
              <c:numCache>
                <c:formatCode>0.00%</c:formatCode>
                <c:ptCount val="5"/>
                <c:pt idx="0">
                  <c:v>0.1754</c:v>
                </c:pt>
                <c:pt idx="1">
                  <c:v>0.1438</c:v>
                </c:pt>
                <c:pt idx="2">
                  <c:v>0.0993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'2022.3.18'!$A$36:$A$45</c:f>
              <c:numCache>
                <c:formatCode>m/d;@</c:formatCode>
                <c:ptCount val="10"/>
                <c:pt idx="0" c:formatCode="m/d;@">
                  <c:v>44629</c:v>
                </c:pt>
                <c:pt idx="1" c:formatCode="m/d;@">
                  <c:v>44630</c:v>
                </c:pt>
                <c:pt idx="2" c:formatCode="m/d;@">
                  <c:v>44631</c:v>
                </c:pt>
                <c:pt idx="3" c:formatCode="m/d;@">
                  <c:v>44632</c:v>
                </c:pt>
                <c:pt idx="4" c:formatCode="m/d;@">
                  <c:v>44633</c:v>
                </c:pt>
                <c:pt idx="5" c:formatCode="m/d;@">
                  <c:v>44634</c:v>
                </c:pt>
                <c:pt idx="6" c:formatCode="m/d;@">
                  <c:v>44635</c:v>
                </c:pt>
                <c:pt idx="7" c:formatCode="m/d;@">
                  <c:v>44636</c:v>
                </c:pt>
                <c:pt idx="8" c:formatCode="m/d;@">
                  <c:v>44637</c:v>
                </c:pt>
                <c:pt idx="9" c:formatCode="m/d;@">
                  <c:v>44638</c:v>
                </c:pt>
              </c:numCache>
            </c:numRef>
          </c:cat>
          <c:val>
            <c:numRef>
              <c:f>'2022.3.18'!$B$36:$B$45</c:f>
              <c:numCache>
                <c:formatCode>0.00_ </c:formatCode>
                <c:ptCount val="10"/>
                <c:pt idx="0">
                  <c:v>123.6</c:v>
                </c:pt>
                <c:pt idx="1">
                  <c:v>142.12</c:v>
                </c:pt>
                <c:pt idx="2">
                  <c:v>138.46</c:v>
                </c:pt>
                <c:pt idx="3">
                  <c:v>182.2</c:v>
                </c:pt>
                <c:pt idx="4">
                  <c:v>129.5</c:v>
                </c:pt>
                <c:pt idx="5">
                  <c:v>185.87</c:v>
                </c:pt>
                <c:pt idx="6">
                  <c:v>190.59</c:v>
                </c:pt>
                <c:pt idx="7">
                  <c:v>78.8</c:v>
                </c:pt>
                <c:pt idx="8">
                  <c:v>130.78</c:v>
                </c:pt>
                <c:pt idx="9">
                  <c:v>105.36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'2022.3.18'!$I$43:$I$47</c:f>
              <c:numCache>
                <c:formatCode>0.00%</c:formatCode>
                <c:ptCount val="5"/>
                <c:pt idx="0">
                  <c:v>0.1762</c:v>
                </c:pt>
                <c:pt idx="1">
                  <c:v>0.1456</c:v>
                </c:pt>
                <c:pt idx="2">
                  <c:v>0.0993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'2021.11.5'!$A$23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('2021.11.5'!$B$23,'2021.11.5'!$C$23:$D$23)</c:f>
              <c:numCache>
                <c:formatCode>General</c:formatCode>
                <c:ptCount val="3"/>
                <c:pt idx="0">
                  <c:v>80</c:v>
                </c:pt>
                <c:pt idx="1">
                  <c:v>0</c:v>
                </c:pt>
                <c:pt idx="2">
                  <c:v>53</c:v>
                </c:pt>
              </c:numCache>
            </c:numRef>
          </c:val>
        </c:ser>
        <c:ser>
          <c:idx val="1"/>
          <c:order val="1"/>
          <c:tx>
            <c:strRef>
              <c:f>'2021.11.5'!$A$24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('2021.11.5'!$B$24,'2021.11.5'!$C$24:$D$24)</c:f>
              <c:numCache>
                <c:formatCode>General</c:formatCode>
                <c:ptCount val="3"/>
                <c:pt idx="0">
                  <c:v>49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'2021.11.5'!$A$25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('2021.11.5'!$B$25,'2021.11.5'!$C$25:$D$25)</c:f>
              <c:numCache>
                <c:formatCode>General</c:formatCode>
                <c:ptCount val="3"/>
                <c:pt idx="0">
                  <c:v>5651</c:v>
                </c:pt>
                <c:pt idx="1">
                  <c:v>0</c:v>
                </c:pt>
                <c:pt idx="2">
                  <c:v>5692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'2022.3.19'!$A$36:$A$45</c:f>
              <c:numCache>
                <c:formatCode>m/d;@</c:formatCode>
                <c:ptCount val="10"/>
                <c:pt idx="0" c:formatCode="m/d;@">
                  <c:v>44630</c:v>
                </c:pt>
                <c:pt idx="1" c:formatCode="m/d;@">
                  <c:v>44631</c:v>
                </c:pt>
                <c:pt idx="2" c:formatCode="m/d;@">
                  <c:v>44632</c:v>
                </c:pt>
                <c:pt idx="3" c:formatCode="m/d;@">
                  <c:v>44633</c:v>
                </c:pt>
                <c:pt idx="4" c:formatCode="m/d;@">
                  <c:v>44634</c:v>
                </c:pt>
                <c:pt idx="5" c:formatCode="m/d;@">
                  <c:v>44635</c:v>
                </c:pt>
                <c:pt idx="6" c:formatCode="m/d;@">
                  <c:v>44636</c:v>
                </c:pt>
                <c:pt idx="7" c:formatCode="m/d;@">
                  <c:v>44637</c:v>
                </c:pt>
                <c:pt idx="8" c:formatCode="m/d;@">
                  <c:v>44638</c:v>
                </c:pt>
                <c:pt idx="9" c:formatCode="m/d;@">
                  <c:v>44639</c:v>
                </c:pt>
              </c:numCache>
            </c:numRef>
          </c:cat>
          <c:val>
            <c:numRef>
              <c:f>'2022.3.19'!$B$36:$B$45</c:f>
              <c:numCache>
                <c:formatCode>0.00_ </c:formatCode>
                <c:ptCount val="10"/>
                <c:pt idx="0">
                  <c:v>142.12</c:v>
                </c:pt>
                <c:pt idx="1">
                  <c:v>138.46</c:v>
                </c:pt>
                <c:pt idx="2">
                  <c:v>182.2</c:v>
                </c:pt>
                <c:pt idx="3">
                  <c:v>129.5</c:v>
                </c:pt>
                <c:pt idx="4">
                  <c:v>185.87</c:v>
                </c:pt>
                <c:pt idx="5">
                  <c:v>190.59</c:v>
                </c:pt>
                <c:pt idx="6">
                  <c:v>78.8</c:v>
                </c:pt>
                <c:pt idx="7">
                  <c:v>130.78</c:v>
                </c:pt>
                <c:pt idx="8">
                  <c:v>105.36</c:v>
                </c:pt>
                <c:pt idx="9">
                  <c:v>242.02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'2022.3.19'!$I$42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'2022.3.19'!$H$43:$H$47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'2022.3.19'!$I$43:$I$47</c:f>
              <c:numCache>
                <c:formatCode>0.00%</c:formatCode>
                <c:ptCount val="5"/>
                <c:pt idx="0">
                  <c:v>0.1794</c:v>
                </c:pt>
                <c:pt idx="1">
                  <c:v>0.1459</c:v>
                </c:pt>
                <c:pt idx="2">
                  <c:v>0.0993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'2022.3.20'!$A$36:$A$45</c:f>
              <c:numCache>
                <c:formatCode>m/d;@</c:formatCode>
                <c:ptCount val="10"/>
                <c:pt idx="0" c:formatCode="m/d;@">
                  <c:v>44631</c:v>
                </c:pt>
                <c:pt idx="1" c:formatCode="m/d;@">
                  <c:v>44632</c:v>
                </c:pt>
                <c:pt idx="2" c:formatCode="m/d;@">
                  <c:v>44633</c:v>
                </c:pt>
                <c:pt idx="3" c:formatCode="m/d;@">
                  <c:v>44634</c:v>
                </c:pt>
                <c:pt idx="4" c:formatCode="m/d;@">
                  <c:v>44635</c:v>
                </c:pt>
                <c:pt idx="5" c:formatCode="m/d;@">
                  <c:v>44636</c:v>
                </c:pt>
                <c:pt idx="6" c:formatCode="m/d;@">
                  <c:v>44637</c:v>
                </c:pt>
                <c:pt idx="7" c:formatCode="m/d;@">
                  <c:v>44638</c:v>
                </c:pt>
                <c:pt idx="8" c:formatCode="m/d;@">
                  <c:v>44639</c:v>
                </c:pt>
                <c:pt idx="9" c:formatCode="m/d;@">
                  <c:v>44640</c:v>
                </c:pt>
              </c:numCache>
            </c:numRef>
          </c:cat>
          <c:val>
            <c:numRef>
              <c:f>'2022.3.20'!$B$36:$B$45</c:f>
              <c:numCache>
                <c:formatCode>0.00_ </c:formatCode>
                <c:ptCount val="10"/>
                <c:pt idx="0">
                  <c:v>138.46</c:v>
                </c:pt>
                <c:pt idx="1">
                  <c:v>182.2</c:v>
                </c:pt>
                <c:pt idx="2">
                  <c:v>129.5</c:v>
                </c:pt>
                <c:pt idx="3">
                  <c:v>185.87</c:v>
                </c:pt>
                <c:pt idx="4">
                  <c:v>190.59</c:v>
                </c:pt>
                <c:pt idx="5">
                  <c:v>78.8</c:v>
                </c:pt>
                <c:pt idx="6">
                  <c:v>130.78</c:v>
                </c:pt>
                <c:pt idx="7">
                  <c:v>105.36</c:v>
                </c:pt>
                <c:pt idx="8">
                  <c:v>242.02</c:v>
                </c:pt>
                <c:pt idx="9">
                  <c:v>205.8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'2022.3.20'!$I$42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'2022.3.20'!$H$43:$H$47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'2022.3.20'!$I$43:$I$47</c:f>
              <c:numCache>
                <c:formatCode>0.00%</c:formatCode>
                <c:ptCount val="5"/>
                <c:pt idx="0">
                  <c:v>0.1823</c:v>
                </c:pt>
                <c:pt idx="1">
                  <c:v>0.1473</c:v>
                </c:pt>
                <c:pt idx="2">
                  <c:v>0.0993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'2022.3.21'!$A$36:$A$45</c:f>
              <c:numCache>
                <c:formatCode>m/d;@</c:formatCode>
                <c:ptCount val="10"/>
                <c:pt idx="0" c:formatCode="m/d;@">
                  <c:v>44632</c:v>
                </c:pt>
                <c:pt idx="1" c:formatCode="m/d;@">
                  <c:v>44633</c:v>
                </c:pt>
                <c:pt idx="2" c:formatCode="m/d;@">
                  <c:v>44634</c:v>
                </c:pt>
                <c:pt idx="3" c:formatCode="m/d;@">
                  <c:v>44635</c:v>
                </c:pt>
                <c:pt idx="4" c:formatCode="m/d;@">
                  <c:v>44636</c:v>
                </c:pt>
                <c:pt idx="5" c:formatCode="m/d;@">
                  <c:v>44637</c:v>
                </c:pt>
                <c:pt idx="6" c:formatCode="m/d;@">
                  <c:v>44638</c:v>
                </c:pt>
                <c:pt idx="7" c:formatCode="m/d;@">
                  <c:v>44639</c:v>
                </c:pt>
                <c:pt idx="8" c:formatCode="m/d;@">
                  <c:v>44640</c:v>
                </c:pt>
                <c:pt idx="9" c:formatCode="m/d;@">
                  <c:v>44641</c:v>
                </c:pt>
              </c:numCache>
            </c:numRef>
          </c:cat>
          <c:val>
            <c:numRef>
              <c:f>'2022.3.21'!$B$36:$B$45</c:f>
              <c:numCache>
                <c:formatCode>0.00_ </c:formatCode>
                <c:ptCount val="10"/>
                <c:pt idx="0">
                  <c:v>182.2</c:v>
                </c:pt>
                <c:pt idx="1">
                  <c:v>129.5</c:v>
                </c:pt>
                <c:pt idx="2">
                  <c:v>185.87</c:v>
                </c:pt>
                <c:pt idx="3">
                  <c:v>190.59</c:v>
                </c:pt>
                <c:pt idx="4">
                  <c:v>78.8</c:v>
                </c:pt>
                <c:pt idx="5">
                  <c:v>130.78</c:v>
                </c:pt>
                <c:pt idx="6">
                  <c:v>105.36</c:v>
                </c:pt>
                <c:pt idx="7">
                  <c:v>242.02</c:v>
                </c:pt>
                <c:pt idx="8">
                  <c:v>205.8</c:v>
                </c:pt>
                <c:pt idx="9">
                  <c:v>199.76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'2022.3.21'!$I$43:$I$47</c:f>
              <c:numCache>
                <c:formatCode>0.00%</c:formatCode>
                <c:ptCount val="5"/>
                <c:pt idx="0">
                  <c:v>0.1855</c:v>
                </c:pt>
                <c:pt idx="1">
                  <c:v>0.1498</c:v>
                </c:pt>
                <c:pt idx="2">
                  <c:v>0.1015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'2022.3.22'!$A$36:$A$45</c:f>
              <c:numCache>
                <c:formatCode>m/d;@</c:formatCode>
                <c:ptCount val="10"/>
                <c:pt idx="0" c:formatCode="m/d;@">
                  <c:v>44633</c:v>
                </c:pt>
                <c:pt idx="1" c:formatCode="m/d;@">
                  <c:v>44634</c:v>
                </c:pt>
                <c:pt idx="2" c:formatCode="m/d;@">
                  <c:v>44635</c:v>
                </c:pt>
                <c:pt idx="3" c:formatCode="m/d;@">
                  <c:v>44636</c:v>
                </c:pt>
                <c:pt idx="4" c:formatCode="m/d;@">
                  <c:v>44637</c:v>
                </c:pt>
                <c:pt idx="5" c:formatCode="m/d;@">
                  <c:v>44638</c:v>
                </c:pt>
                <c:pt idx="6" c:formatCode="m/d;@">
                  <c:v>44639</c:v>
                </c:pt>
                <c:pt idx="7" c:formatCode="m/d;@">
                  <c:v>44640</c:v>
                </c:pt>
                <c:pt idx="8" c:formatCode="m/d;@">
                  <c:v>44641</c:v>
                </c:pt>
                <c:pt idx="9" c:formatCode="m/d;@">
                  <c:v>44642</c:v>
                </c:pt>
              </c:numCache>
            </c:numRef>
          </c:cat>
          <c:val>
            <c:numRef>
              <c:f>'2022.3.22'!$B$36:$B$45</c:f>
              <c:numCache>
                <c:formatCode>0.00_ </c:formatCode>
                <c:ptCount val="10"/>
                <c:pt idx="0">
                  <c:v>129.5</c:v>
                </c:pt>
                <c:pt idx="1">
                  <c:v>185.87</c:v>
                </c:pt>
                <c:pt idx="2">
                  <c:v>190.59</c:v>
                </c:pt>
                <c:pt idx="3">
                  <c:v>78.8</c:v>
                </c:pt>
                <c:pt idx="4">
                  <c:v>130.78</c:v>
                </c:pt>
                <c:pt idx="5">
                  <c:v>105.36</c:v>
                </c:pt>
                <c:pt idx="6">
                  <c:v>242.02</c:v>
                </c:pt>
                <c:pt idx="7">
                  <c:v>205.8</c:v>
                </c:pt>
                <c:pt idx="8">
                  <c:v>199.76</c:v>
                </c:pt>
                <c:pt idx="9">
                  <c:v>229.09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'2022.3.22'!$I$43:$I$47</c:f>
              <c:numCache>
                <c:formatCode>0.00%</c:formatCode>
                <c:ptCount val="5"/>
                <c:pt idx="0">
                  <c:v>0.1887</c:v>
                </c:pt>
                <c:pt idx="1">
                  <c:v>0.1522</c:v>
                </c:pt>
                <c:pt idx="2">
                  <c:v>0.1015</c:v>
                </c:pt>
                <c:pt idx="3">
                  <c:v>0.062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'2022.3.23'!$A$36:$A$45</c:f>
              <c:numCache>
                <c:formatCode>m/d;@</c:formatCode>
                <c:ptCount val="10"/>
                <c:pt idx="0" c:formatCode="m/d;@">
                  <c:v>44634</c:v>
                </c:pt>
                <c:pt idx="1" c:formatCode="m/d;@">
                  <c:v>44635</c:v>
                </c:pt>
                <c:pt idx="2" c:formatCode="m/d;@">
                  <c:v>44636</c:v>
                </c:pt>
                <c:pt idx="3" c:formatCode="m/d;@">
                  <c:v>44637</c:v>
                </c:pt>
                <c:pt idx="4" c:formatCode="m/d;@">
                  <c:v>44638</c:v>
                </c:pt>
                <c:pt idx="5" c:formatCode="m/d;@">
                  <c:v>44639</c:v>
                </c:pt>
                <c:pt idx="6" c:formatCode="m/d;@">
                  <c:v>44640</c:v>
                </c:pt>
                <c:pt idx="7" c:formatCode="m/d;@">
                  <c:v>44641</c:v>
                </c:pt>
                <c:pt idx="8" c:formatCode="m/d;@">
                  <c:v>44642</c:v>
                </c:pt>
                <c:pt idx="9" c:formatCode="m/d;@">
                  <c:v>44643</c:v>
                </c:pt>
              </c:numCache>
            </c:numRef>
          </c:cat>
          <c:val>
            <c:numRef>
              <c:f>'2022.3.23'!$B$36:$B$45</c:f>
              <c:numCache>
                <c:formatCode>0.00_ </c:formatCode>
                <c:ptCount val="10"/>
                <c:pt idx="0">
                  <c:v>185.87</c:v>
                </c:pt>
                <c:pt idx="1">
                  <c:v>190.59</c:v>
                </c:pt>
                <c:pt idx="2">
                  <c:v>78.8</c:v>
                </c:pt>
                <c:pt idx="3">
                  <c:v>130.78</c:v>
                </c:pt>
                <c:pt idx="4">
                  <c:v>105.36</c:v>
                </c:pt>
                <c:pt idx="5">
                  <c:v>242.02</c:v>
                </c:pt>
                <c:pt idx="6">
                  <c:v>205.8</c:v>
                </c:pt>
                <c:pt idx="7">
                  <c:v>199.76</c:v>
                </c:pt>
                <c:pt idx="8">
                  <c:v>229.09</c:v>
                </c:pt>
                <c:pt idx="9">
                  <c:v>201.88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'2022.3.23'!$I$43:$I$47</c:f>
              <c:numCache>
                <c:formatCode>0.00%</c:formatCode>
                <c:ptCount val="5"/>
                <c:pt idx="0">
                  <c:v>0.1919</c:v>
                </c:pt>
                <c:pt idx="1">
                  <c:v>0.1529</c:v>
                </c:pt>
                <c:pt idx="2">
                  <c:v>0.103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'2021.11.6'!$A$31:$A$40</c:f>
              <c:numCache>
                <c:formatCode>m/d;@</c:formatCode>
                <c:ptCount val="10"/>
                <c:pt idx="0" c:formatCode="m/d;@">
                  <c:v>44497</c:v>
                </c:pt>
                <c:pt idx="1" c:formatCode="m/d;@">
                  <c:v>44498</c:v>
                </c:pt>
                <c:pt idx="2" c:formatCode="m/d;@">
                  <c:v>44499</c:v>
                </c:pt>
                <c:pt idx="3" c:formatCode="m/d;@">
                  <c:v>44500</c:v>
                </c:pt>
                <c:pt idx="4" c:formatCode="m/d;@">
                  <c:v>44501</c:v>
                </c:pt>
                <c:pt idx="5" c:formatCode="m/d;@">
                  <c:v>44502</c:v>
                </c:pt>
                <c:pt idx="6" c:formatCode="m/d;@">
                  <c:v>44503</c:v>
                </c:pt>
                <c:pt idx="7" c:formatCode="m/d;@">
                  <c:v>44504</c:v>
                </c:pt>
                <c:pt idx="8" c:formatCode="m/d;@">
                  <c:v>44505</c:v>
                </c:pt>
                <c:pt idx="9" c:formatCode="m/d;@">
                  <c:v>44506</c:v>
                </c:pt>
              </c:numCache>
            </c:numRef>
          </c:cat>
          <c:val>
            <c:numRef>
              <c:f>'2021.11.6'!$B$31:$B$40</c:f>
              <c:numCache>
                <c:formatCode>0.00_ </c:formatCode>
                <c:ptCount val="10"/>
                <c:pt idx="0">
                  <c:v>15.77</c:v>
                </c:pt>
                <c:pt idx="1">
                  <c:v>15.62</c:v>
                </c:pt>
                <c:pt idx="2">
                  <c:v>38.55</c:v>
                </c:pt>
                <c:pt idx="3">
                  <c:v>48.67</c:v>
                </c:pt>
                <c:pt idx="4">
                  <c:v>31.25</c:v>
                </c:pt>
                <c:pt idx="5">
                  <c:v>31.89</c:v>
                </c:pt>
                <c:pt idx="6">
                  <c:v>38.55</c:v>
                </c:pt>
                <c:pt idx="7">
                  <c:v>39.66</c:v>
                </c:pt>
                <c:pt idx="8">
                  <c:v>71.07</c:v>
                </c:pt>
                <c:pt idx="9">
                  <c:v>33.07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'2022.3.24'!$A$36:$A$45</c:f>
              <c:numCache>
                <c:formatCode>m/d;@</c:formatCode>
                <c:ptCount val="10"/>
                <c:pt idx="0" c:formatCode="m/d;@">
                  <c:v>44635</c:v>
                </c:pt>
                <c:pt idx="1" c:formatCode="m/d;@">
                  <c:v>44636</c:v>
                </c:pt>
                <c:pt idx="2" c:formatCode="m/d;@">
                  <c:v>44637</c:v>
                </c:pt>
                <c:pt idx="3" c:formatCode="m/d;@">
                  <c:v>44638</c:v>
                </c:pt>
                <c:pt idx="4" c:formatCode="m/d;@">
                  <c:v>44639</c:v>
                </c:pt>
                <c:pt idx="5" c:formatCode="m/d;@">
                  <c:v>44640</c:v>
                </c:pt>
                <c:pt idx="6" c:formatCode="m/d;@">
                  <c:v>44641</c:v>
                </c:pt>
                <c:pt idx="7" c:formatCode="m/d;@">
                  <c:v>44642</c:v>
                </c:pt>
                <c:pt idx="8" c:formatCode="m/d;@">
                  <c:v>44643</c:v>
                </c:pt>
                <c:pt idx="9" c:formatCode="m/d;@">
                  <c:v>44644</c:v>
                </c:pt>
              </c:numCache>
            </c:numRef>
          </c:cat>
          <c:val>
            <c:numRef>
              <c:f>'2022.3.24'!$B$36:$B$45</c:f>
              <c:numCache>
                <c:formatCode>0.00_ </c:formatCode>
                <c:ptCount val="10"/>
                <c:pt idx="0">
                  <c:v>190.59</c:v>
                </c:pt>
                <c:pt idx="1">
                  <c:v>78.8</c:v>
                </c:pt>
                <c:pt idx="2">
                  <c:v>130.78</c:v>
                </c:pt>
                <c:pt idx="3">
                  <c:v>105.36</c:v>
                </c:pt>
                <c:pt idx="4">
                  <c:v>242.02</c:v>
                </c:pt>
                <c:pt idx="5">
                  <c:v>205.8</c:v>
                </c:pt>
                <c:pt idx="6">
                  <c:v>199.76</c:v>
                </c:pt>
                <c:pt idx="7">
                  <c:v>229.09</c:v>
                </c:pt>
                <c:pt idx="8">
                  <c:v>201.88</c:v>
                </c:pt>
                <c:pt idx="9">
                  <c:v>146.54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'2022.3.24'!$I$43:$I$47</c:f>
              <c:numCache>
                <c:formatCode>0.00%</c:formatCode>
                <c:ptCount val="5"/>
                <c:pt idx="0">
                  <c:v>0.1945</c:v>
                </c:pt>
                <c:pt idx="1">
                  <c:v>0.1542</c:v>
                </c:pt>
                <c:pt idx="2">
                  <c:v>0.1042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'2022.3.25'!$A$36:$A$45</c:f>
              <c:numCache>
                <c:formatCode>m/d;@</c:formatCode>
                <c:ptCount val="10"/>
                <c:pt idx="0" c:formatCode="m/d;@">
                  <c:v>44636</c:v>
                </c:pt>
                <c:pt idx="1" c:formatCode="m/d;@">
                  <c:v>44637</c:v>
                </c:pt>
                <c:pt idx="2" c:formatCode="m/d;@">
                  <c:v>44638</c:v>
                </c:pt>
                <c:pt idx="3" c:formatCode="m/d;@">
                  <c:v>44639</c:v>
                </c:pt>
                <c:pt idx="4" c:formatCode="m/d;@">
                  <c:v>44640</c:v>
                </c:pt>
                <c:pt idx="5" c:formatCode="m/d;@">
                  <c:v>44641</c:v>
                </c:pt>
                <c:pt idx="6" c:formatCode="m/d;@">
                  <c:v>44642</c:v>
                </c:pt>
                <c:pt idx="7" c:formatCode="m/d;@">
                  <c:v>44643</c:v>
                </c:pt>
                <c:pt idx="8" c:formatCode="m/d;@">
                  <c:v>44644</c:v>
                </c:pt>
                <c:pt idx="9" c:formatCode="m/d;@">
                  <c:v>44645</c:v>
                </c:pt>
              </c:numCache>
            </c:numRef>
          </c:cat>
          <c:val>
            <c:numRef>
              <c:f>'2022.3.25'!$B$36:$B$45</c:f>
              <c:numCache>
                <c:formatCode>0.00_ </c:formatCode>
                <c:ptCount val="10"/>
                <c:pt idx="0">
                  <c:v>78.8</c:v>
                </c:pt>
                <c:pt idx="1">
                  <c:v>130.78</c:v>
                </c:pt>
                <c:pt idx="2">
                  <c:v>105.36</c:v>
                </c:pt>
                <c:pt idx="3">
                  <c:v>242.02</c:v>
                </c:pt>
                <c:pt idx="4">
                  <c:v>205.8</c:v>
                </c:pt>
                <c:pt idx="5">
                  <c:v>199.76</c:v>
                </c:pt>
                <c:pt idx="6">
                  <c:v>229.09</c:v>
                </c:pt>
                <c:pt idx="7">
                  <c:v>201.88</c:v>
                </c:pt>
                <c:pt idx="8">
                  <c:v>146.54</c:v>
                </c:pt>
                <c:pt idx="9">
                  <c:v>240.8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'2022.3.25'!$I$43:$I$47</c:f>
              <c:numCache>
                <c:formatCode>0.00%</c:formatCode>
                <c:ptCount val="5"/>
                <c:pt idx="0">
                  <c:v>0.1982</c:v>
                </c:pt>
                <c:pt idx="1">
                  <c:v>0.1573</c:v>
                </c:pt>
                <c:pt idx="2">
                  <c:v>0.1083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'2022.3.26'!$A$36:$A$45</c:f>
              <c:numCache>
                <c:formatCode>m/d;@</c:formatCode>
                <c:ptCount val="10"/>
                <c:pt idx="0" c:formatCode="m/d;@">
                  <c:v>44637</c:v>
                </c:pt>
                <c:pt idx="1" c:formatCode="m/d;@">
                  <c:v>44638</c:v>
                </c:pt>
                <c:pt idx="2" c:formatCode="m/d;@">
                  <c:v>44639</c:v>
                </c:pt>
                <c:pt idx="3" c:formatCode="m/d;@">
                  <c:v>44640</c:v>
                </c:pt>
                <c:pt idx="4" c:formatCode="m/d;@">
                  <c:v>44641</c:v>
                </c:pt>
                <c:pt idx="5" c:formatCode="m/d;@">
                  <c:v>44642</c:v>
                </c:pt>
                <c:pt idx="6" c:formatCode="m/d;@">
                  <c:v>44643</c:v>
                </c:pt>
                <c:pt idx="7" c:formatCode="m/d;@">
                  <c:v>44644</c:v>
                </c:pt>
                <c:pt idx="8" c:formatCode="m/d;@">
                  <c:v>44645</c:v>
                </c:pt>
                <c:pt idx="9" c:formatCode="m/d;@">
                  <c:v>44646</c:v>
                </c:pt>
              </c:numCache>
            </c:numRef>
          </c:cat>
          <c:val>
            <c:numRef>
              <c:f>'2022.3.26'!$B$36:$B$45</c:f>
              <c:numCache>
                <c:formatCode>0.00_ </c:formatCode>
                <c:ptCount val="10"/>
                <c:pt idx="0">
                  <c:v>130.78</c:v>
                </c:pt>
                <c:pt idx="1">
                  <c:v>105.36</c:v>
                </c:pt>
                <c:pt idx="2">
                  <c:v>242.02</c:v>
                </c:pt>
                <c:pt idx="3">
                  <c:v>205.8</c:v>
                </c:pt>
                <c:pt idx="4">
                  <c:v>199.76</c:v>
                </c:pt>
                <c:pt idx="5">
                  <c:v>229.09</c:v>
                </c:pt>
                <c:pt idx="6">
                  <c:v>201.88</c:v>
                </c:pt>
                <c:pt idx="7">
                  <c:v>146.54</c:v>
                </c:pt>
                <c:pt idx="8">
                  <c:v>240.8</c:v>
                </c:pt>
                <c:pt idx="9">
                  <c:v>244.98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'2022.3.26'!$I$43:$I$47</c:f>
              <c:numCache>
                <c:formatCode>0.00%</c:formatCode>
                <c:ptCount val="5"/>
                <c:pt idx="0">
                  <c:v>0.2018</c:v>
                </c:pt>
                <c:pt idx="1">
                  <c:v>0.1603</c:v>
                </c:pt>
                <c:pt idx="2">
                  <c:v>0.1117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'2022.3.27'!$A$36:$A$45</c:f>
              <c:numCache>
                <c:formatCode>m/d;@</c:formatCode>
                <c:ptCount val="10"/>
                <c:pt idx="0" c:formatCode="m/d;@">
                  <c:v>44638</c:v>
                </c:pt>
                <c:pt idx="1" c:formatCode="m/d;@">
                  <c:v>44639</c:v>
                </c:pt>
                <c:pt idx="2" c:formatCode="m/d;@">
                  <c:v>44640</c:v>
                </c:pt>
                <c:pt idx="3" c:formatCode="m/d;@">
                  <c:v>44641</c:v>
                </c:pt>
                <c:pt idx="4" c:formatCode="m/d;@">
                  <c:v>44642</c:v>
                </c:pt>
                <c:pt idx="5" c:formatCode="m/d;@">
                  <c:v>44643</c:v>
                </c:pt>
                <c:pt idx="6" c:formatCode="m/d;@">
                  <c:v>44644</c:v>
                </c:pt>
                <c:pt idx="7" c:formatCode="m/d;@">
                  <c:v>44645</c:v>
                </c:pt>
                <c:pt idx="8" c:formatCode="m/d;@">
                  <c:v>44646</c:v>
                </c:pt>
                <c:pt idx="9" c:formatCode="m/d;@">
                  <c:v>44647</c:v>
                </c:pt>
              </c:numCache>
            </c:numRef>
          </c:cat>
          <c:val>
            <c:numRef>
              <c:f>'2022.3.27'!$B$36:$B$45</c:f>
              <c:numCache>
                <c:formatCode>0.00_ </c:formatCode>
                <c:ptCount val="10"/>
                <c:pt idx="0">
                  <c:v>105.36</c:v>
                </c:pt>
                <c:pt idx="1">
                  <c:v>242.02</c:v>
                </c:pt>
                <c:pt idx="2">
                  <c:v>205.8</c:v>
                </c:pt>
                <c:pt idx="3">
                  <c:v>199.76</c:v>
                </c:pt>
                <c:pt idx="4">
                  <c:v>229.09</c:v>
                </c:pt>
                <c:pt idx="5">
                  <c:v>201.88</c:v>
                </c:pt>
                <c:pt idx="6">
                  <c:v>146.54</c:v>
                </c:pt>
                <c:pt idx="7">
                  <c:v>240.8</c:v>
                </c:pt>
                <c:pt idx="8">
                  <c:v>244.98</c:v>
                </c:pt>
                <c:pt idx="9">
                  <c:v>207.33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'2022.3.27'!$I$43:$I$47</c:f>
              <c:numCache>
                <c:formatCode>0.00%</c:formatCode>
                <c:ptCount val="5"/>
                <c:pt idx="0">
                  <c:v>0.205</c:v>
                </c:pt>
                <c:pt idx="1">
                  <c:v>0.1632</c:v>
                </c:pt>
                <c:pt idx="2">
                  <c:v>0.1139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'2022.3.28'!$A$36:$A$45</c:f>
              <c:numCache>
                <c:formatCode>m/d;@</c:formatCode>
                <c:ptCount val="10"/>
                <c:pt idx="0" c:formatCode="m/d;@">
                  <c:v>44639</c:v>
                </c:pt>
                <c:pt idx="1" c:formatCode="m/d;@">
                  <c:v>44640</c:v>
                </c:pt>
                <c:pt idx="2" c:formatCode="m/d;@">
                  <c:v>44641</c:v>
                </c:pt>
                <c:pt idx="3" c:formatCode="m/d;@">
                  <c:v>44642</c:v>
                </c:pt>
                <c:pt idx="4" c:formatCode="m/d;@">
                  <c:v>44643</c:v>
                </c:pt>
                <c:pt idx="5" c:formatCode="m/d;@">
                  <c:v>44644</c:v>
                </c:pt>
                <c:pt idx="6" c:formatCode="m/d;@">
                  <c:v>44645</c:v>
                </c:pt>
                <c:pt idx="7" c:formatCode="m/d;@">
                  <c:v>44646</c:v>
                </c:pt>
                <c:pt idx="8" c:formatCode="m/d;@">
                  <c:v>44647</c:v>
                </c:pt>
                <c:pt idx="9" c:formatCode="m/d;@">
                  <c:v>44648</c:v>
                </c:pt>
              </c:numCache>
            </c:numRef>
          </c:cat>
          <c:val>
            <c:numRef>
              <c:f>'2022.3.28'!$B$36:$B$45</c:f>
              <c:numCache>
                <c:formatCode>0.00_ </c:formatCode>
                <c:ptCount val="10"/>
                <c:pt idx="0">
                  <c:v>242.02</c:v>
                </c:pt>
                <c:pt idx="1">
                  <c:v>205.8</c:v>
                </c:pt>
                <c:pt idx="2">
                  <c:v>199.76</c:v>
                </c:pt>
                <c:pt idx="3">
                  <c:v>229.09</c:v>
                </c:pt>
                <c:pt idx="4">
                  <c:v>201.88</c:v>
                </c:pt>
                <c:pt idx="5">
                  <c:v>146.54</c:v>
                </c:pt>
                <c:pt idx="6">
                  <c:v>240.8</c:v>
                </c:pt>
                <c:pt idx="7">
                  <c:v>244.98</c:v>
                </c:pt>
                <c:pt idx="8">
                  <c:v>207.33</c:v>
                </c:pt>
                <c:pt idx="9">
                  <c:v>185.18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'2022.3.28'!$I$43:$I$47</c:f>
              <c:numCache>
                <c:formatCode>0.00%</c:formatCode>
                <c:ptCount val="5"/>
                <c:pt idx="0">
                  <c:v>0.2084</c:v>
                </c:pt>
                <c:pt idx="1">
                  <c:v>0.164</c:v>
                </c:pt>
                <c:pt idx="2">
                  <c:v>0.1139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'2021.10.5'!$A$31:$A$40</c:f>
              <c:numCache>
                <c:formatCode>m/d;@</c:formatCode>
                <c:ptCount val="10"/>
                <c:pt idx="0" c:formatCode="m/d;@">
                  <c:v>44465</c:v>
                </c:pt>
                <c:pt idx="1" c:formatCode="m/d;@">
                  <c:v>44466</c:v>
                </c:pt>
                <c:pt idx="2" c:formatCode="m/d;@">
                  <c:v>44467</c:v>
                </c:pt>
                <c:pt idx="3" c:formatCode="m/d;@">
                  <c:v>44468</c:v>
                </c:pt>
                <c:pt idx="4" c:formatCode="m/d;@">
                  <c:v>44469</c:v>
                </c:pt>
                <c:pt idx="5" c:formatCode="m/d;@">
                  <c:v>44470</c:v>
                </c:pt>
                <c:pt idx="6" c:formatCode="m/d;@">
                  <c:v>44471</c:v>
                </c:pt>
                <c:pt idx="7" c:formatCode="m/d;@">
                  <c:v>44472</c:v>
                </c:pt>
                <c:pt idx="8" c:formatCode="m/d;@">
                  <c:v>44473</c:v>
                </c:pt>
                <c:pt idx="9" c:formatCode="m/d;@">
                  <c:v>44474</c:v>
                </c:pt>
              </c:numCache>
            </c:numRef>
          </c:cat>
          <c:val>
            <c:numRef>
              <c:f>'2021.10.5'!$B$31:$B$40</c:f>
              <c:numCache>
                <c:formatCode>0.00_ </c:formatCode>
                <c:ptCount val="10"/>
                <c:pt idx="0">
                  <c:v>8.82</c:v>
                </c:pt>
                <c:pt idx="1">
                  <c:v>2</c:v>
                </c:pt>
                <c:pt idx="2">
                  <c:v>16.28</c:v>
                </c:pt>
                <c:pt idx="3">
                  <c:v>33.25</c:v>
                </c:pt>
                <c:pt idx="4">
                  <c:v>8.82</c:v>
                </c:pt>
                <c:pt idx="5">
                  <c:v>24.1</c:v>
                </c:pt>
                <c:pt idx="6">
                  <c:v>17.46</c:v>
                </c:pt>
                <c:pt idx="7">
                  <c:v>31.74</c:v>
                </c:pt>
                <c:pt idx="8">
                  <c:v>2</c:v>
                </c:pt>
                <c:pt idx="9">
                  <c:v>33.56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'2021.11.6'!$A$23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('2021.11.6'!$B$23,'2021.11.6'!$C$23:$D$23)</c:f>
              <c:numCache>
                <c:formatCode>General</c:formatCode>
                <c:ptCount val="3"/>
                <c:pt idx="0">
                  <c:v>81</c:v>
                </c:pt>
                <c:pt idx="1">
                  <c:v>0</c:v>
                </c:pt>
                <c:pt idx="2">
                  <c:v>55</c:v>
                </c:pt>
              </c:numCache>
            </c:numRef>
          </c:val>
        </c:ser>
        <c:ser>
          <c:idx val="1"/>
          <c:order val="1"/>
          <c:tx>
            <c:strRef>
              <c:f>'2021.11.6'!$A$24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('2021.11.6'!$B$24,'2021.11.6'!$C$24:$D$24)</c:f>
              <c:numCache>
                <c:formatCode>General</c:formatCode>
                <c:ptCount val="3"/>
                <c:pt idx="0">
                  <c:v>52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'2021.11.6'!$A$25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('2021.11.6'!$B$25,'2021.11.6'!$C$25:$D$25)</c:f>
              <c:numCache>
                <c:formatCode>General</c:formatCode>
                <c:ptCount val="3"/>
                <c:pt idx="0">
                  <c:v>5647</c:v>
                </c:pt>
                <c:pt idx="1">
                  <c:v>0</c:v>
                </c:pt>
                <c:pt idx="2">
                  <c:v>5690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'2022.3.29'!$A$36:$A$45</c:f>
              <c:numCache>
                <c:formatCode>m/d;@</c:formatCode>
                <c:ptCount val="10"/>
                <c:pt idx="0" c:formatCode="m/d;@">
                  <c:v>44640</c:v>
                </c:pt>
                <c:pt idx="1" c:formatCode="m/d;@">
                  <c:v>44641</c:v>
                </c:pt>
                <c:pt idx="2" c:formatCode="m/d;@">
                  <c:v>44642</c:v>
                </c:pt>
                <c:pt idx="3" c:formatCode="m/d;@">
                  <c:v>44643</c:v>
                </c:pt>
                <c:pt idx="4" c:formatCode="m/d;@">
                  <c:v>44644</c:v>
                </c:pt>
                <c:pt idx="5" c:formatCode="m/d;@">
                  <c:v>44645</c:v>
                </c:pt>
                <c:pt idx="6" c:formatCode="m/d;@">
                  <c:v>44646</c:v>
                </c:pt>
                <c:pt idx="7" c:formatCode="m/d;@">
                  <c:v>44647</c:v>
                </c:pt>
                <c:pt idx="8" c:formatCode="m/d;@">
                  <c:v>44648</c:v>
                </c:pt>
                <c:pt idx="9" c:formatCode="m/d;@">
                  <c:v>44649</c:v>
                </c:pt>
              </c:numCache>
            </c:numRef>
          </c:cat>
          <c:val>
            <c:numRef>
              <c:f>'2022.3.29'!$B$36:$B$45</c:f>
              <c:numCache>
                <c:formatCode>0.00_ </c:formatCode>
                <c:ptCount val="10"/>
                <c:pt idx="0">
                  <c:v>205.8</c:v>
                </c:pt>
                <c:pt idx="1">
                  <c:v>199.76</c:v>
                </c:pt>
                <c:pt idx="2">
                  <c:v>229.09</c:v>
                </c:pt>
                <c:pt idx="3">
                  <c:v>201.88</c:v>
                </c:pt>
                <c:pt idx="4">
                  <c:v>146.54</c:v>
                </c:pt>
                <c:pt idx="5">
                  <c:v>240.8</c:v>
                </c:pt>
                <c:pt idx="6">
                  <c:v>244.98</c:v>
                </c:pt>
                <c:pt idx="7">
                  <c:v>207.33</c:v>
                </c:pt>
                <c:pt idx="8">
                  <c:v>185.18</c:v>
                </c:pt>
                <c:pt idx="9">
                  <c:v>209.43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'2022.3.29'!$I$42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'2022.3.29'!$H$43:$H$47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'2022.3.29'!$I$43:$I$47</c:f>
              <c:numCache>
                <c:formatCode>0.00%</c:formatCode>
                <c:ptCount val="5"/>
                <c:pt idx="0">
                  <c:v>0.2119</c:v>
                </c:pt>
                <c:pt idx="1">
                  <c:v>0.1656</c:v>
                </c:pt>
                <c:pt idx="2">
                  <c:v>0.1139</c:v>
                </c:pt>
                <c:pt idx="3">
                  <c:v>0.0644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'2022.3.30'!$A$36:$A$45</c:f>
              <c:numCache>
                <c:formatCode>m/d;@</c:formatCode>
                <c:ptCount val="10"/>
                <c:pt idx="0" c:formatCode="m/d;@">
                  <c:v>44641</c:v>
                </c:pt>
                <c:pt idx="1" c:formatCode="m/d;@">
                  <c:v>44642</c:v>
                </c:pt>
                <c:pt idx="2" c:formatCode="m/d;@">
                  <c:v>44643</c:v>
                </c:pt>
                <c:pt idx="3" c:formatCode="m/d;@">
                  <c:v>44644</c:v>
                </c:pt>
                <c:pt idx="4" c:formatCode="m/d;@">
                  <c:v>44645</c:v>
                </c:pt>
                <c:pt idx="5" c:formatCode="m/d;@">
                  <c:v>44646</c:v>
                </c:pt>
                <c:pt idx="6" c:formatCode="m/d;@">
                  <c:v>44647</c:v>
                </c:pt>
                <c:pt idx="7" c:formatCode="m/d;@">
                  <c:v>44648</c:v>
                </c:pt>
                <c:pt idx="8" c:formatCode="m/d;@">
                  <c:v>44649</c:v>
                </c:pt>
                <c:pt idx="9" c:formatCode="m/d;@">
                  <c:v>44650</c:v>
                </c:pt>
              </c:numCache>
            </c:numRef>
          </c:cat>
          <c:val>
            <c:numRef>
              <c:f>'2022.3.30'!$B$36:$B$45</c:f>
              <c:numCache>
                <c:formatCode>0.00_ </c:formatCode>
                <c:ptCount val="10"/>
                <c:pt idx="0">
                  <c:v>199.76</c:v>
                </c:pt>
                <c:pt idx="1">
                  <c:v>229.09</c:v>
                </c:pt>
                <c:pt idx="2">
                  <c:v>201.88</c:v>
                </c:pt>
                <c:pt idx="3">
                  <c:v>146.54</c:v>
                </c:pt>
                <c:pt idx="4">
                  <c:v>240.8</c:v>
                </c:pt>
                <c:pt idx="5">
                  <c:v>244.98</c:v>
                </c:pt>
                <c:pt idx="6">
                  <c:v>207.33</c:v>
                </c:pt>
                <c:pt idx="7">
                  <c:v>185.18</c:v>
                </c:pt>
                <c:pt idx="8">
                  <c:v>209.43</c:v>
                </c:pt>
                <c:pt idx="9">
                  <c:v>272.16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'2022.3.30'!$I$42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'2022.3.30'!$H$43:$H$47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'2022.3.30'!$I$43:$I$47</c:f>
              <c:numCache>
                <c:formatCode>0.00%</c:formatCode>
                <c:ptCount val="5"/>
                <c:pt idx="0">
                  <c:v>0.2156</c:v>
                </c:pt>
                <c:pt idx="1">
                  <c:v>0.1671</c:v>
                </c:pt>
                <c:pt idx="2">
                  <c:v>0.1197</c:v>
                </c:pt>
                <c:pt idx="3">
                  <c:v>0.0677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'2022.3.31'!$A$36:$A$45</c:f>
              <c:numCache>
                <c:formatCode>m/d;@</c:formatCode>
                <c:ptCount val="10"/>
                <c:pt idx="0" c:formatCode="m/d;@">
                  <c:v>44642</c:v>
                </c:pt>
                <c:pt idx="1" c:formatCode="m/d;@">
                  <c:v>44643</c:v>
                </c:pt>
                <c:pt idx="2" c:formatCode="m/d;@">
                  <c:v>44644</c:v>
                </c:pt>
                <c:pt idx="3" c:formatCode="m/d;@">
                  <c:v>44645</c:v>
                </c:pt>
                <c:pt idx="4" c:formatCode="m/d;@">
                  <c:v>44646</c:v>
                </c:pt>
                <c:pt idx="5" c:formatCode="m/d;@">
                  <c:v>44647</c:v>
                </c:pt>
                <c:pt idx="6" c:formatCode="m/d;@">
                  <c:v>44648</c:v>
                </c:pt>
                <c:pt idx="7" c:formatCode="m/d;@">
                  <c:v>44649</c:v>
                </c:pt>
                <c:pt idx="8" c:formatCode="m/d;@">
                  <c:v>44650</c:v>
                </c:pt>
                <c:pt idx="9" c:formatCode="m/d;@">
                  <c:v>44651</c:v>
                </c:pt>
              </c:numCache>
            </c:numRef>
          </c:cat>
          <c:val>
            <c:numRef>
              <c:f>'2022.3.31'!$B$36:$B$45</c:f>
              <c:numCache>
                <c:formatCode>0.00_ </c:formatCode>
                <c:ptCount val="10"/>
                <c:pt idx="0">
                  <c:v>229.09</c:v>
                </c:pt>
                <c:pt idx="1">
                  <c:v>201.88</c:v>
                </c:pt>
                <c:pt idx="2">
                  <c:v>146.54</c:v>
                </c:pt>
                <c:pt idx="3">
                  <c:v>240.8</c:v>
                </c:pt>
                <c:pt idx="4">
                  <c:v>244.98</c:v>
                </c:pt>
                <c:pt idx="5">
                  <c:v>207.33</c:v>
                </c:pt>
                <c:pt idx="6">
                  <c:v>185.18</c:v>
                </c:pt>
                <c:pt idx="7">
                  <c:v>209.43</c:v>
                </c:pt>
                <c:pt idx="8">
                  <c:v>272.16</c:v>
                </c:pt>
                <c:pt idx="9">
                  <c:v>236.95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'2022.3.31'!$I$42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'2022.3.31'!$H$43:$H$47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'2022.3.31'!$I$43:$I$47</c:f>
              <c:numCache>
                <c:formatCode>0.00%</c:formatCode>
                <c:ptCount val="5"/>
                <c:pt idx="0">
                  <c:v>0.219</c:v>
                </c:pt>
                <c:pt idx="1">
                  <c:v>0.1696</c:v>
                </c:pt>
                <c:pt idx="2">
                  <c:v>0.1232</c:v>
                </c:pt>
                <c:pt idx="3">
                  <c:v>0.0708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'2022.4.1'!$A$36:$A$45</c:f>
              <c:numCache>
                <c:formatCode>m/d;@</c:formatCode>
                <c:ptCount val="10"/>
                <c:pt idx="0" c:formatCode="m/d;@">
                  <c:v>44643</c:v>
                </c:pt>
                <c:pt idx="1" c:formatCode="m/d;@">
                  <c:v>44644</c:v>
                </c:pt>
                <c:pt idx="2" c:formatCode="m/d;@">
                  <c:v>44645</c:v>
                </c:pt>
                <c:pt idx="3" c:formatCode="m/d;@">
                  <c:v>44646</c:v>
                </c:pt>
                <c:pt idx="4" c:formatCode="m/d;@">
                  <c:v>44647</c:v>
                </c:pt>
                <c:pt idx="5" c:formatCode="m/d;@">
                  <c:v>44648</c:v>
                </c:pt>
                <c:pt idx="6" c:formatCode="m/d;@">
                  <c:v>44649</c:v>
                </c:pt>
                <c:pt idx="7" c:formatCode="m/d;@">
                  <c:v>44650</c:v>
                </c:pt>
                <c:pt idx="8" c:formatCode="m/d;@">
                  <c:v>44651</c:v>
                </c:pt>
                <c:pt idx="9" c:formatCode="m/d;@">
                  <c:v>44652</c:v>
                </c:pt>
              </c:numCache>
            </c:numRef>
          </c:cat>
          <c:val>
            <c:numRef>
              <c:f>'2022.4.1'!$B$36:$B$45</c:f>
              <c:numCache>
                <c:formatCode>0.00_ </c:formatCode>
                <c:ptCount val="10"/>
                <c:pt idx="0">
                  <c:v>201.88</c:v>
                </c:pt>
                <c:pt idx="1">
                  <c:v>146.54</c:v>
                </c:pt>
                <c:pt idx="2">
                  <c:v>240.8</c:v>
                </c:pt>
                <c:pt idx="3">
                  <c:v>244.98</c:v>
                </c:pt>
                <c:pt idx="4">
                  <c:v>207.33</c:v>
                </c:pt>
                <c:pt idx="5">
                  <c:v>185.18</c:v>
                </c:pt>
                <c:pt idx="6">
                  <c:v>209.43</c:v>
                </c:pt>
                <c:pt idx="7">
                  <c:v>272.16</c:v>
                </c:pt>
                <c:pt idx="8">
                  <c:v>236.95</c:v>
                </c:pt>
                <c:pt idx="9">
                  <c:v>255.84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'2022.4.1'!$I$43:$I$47</c:f>
              <c:numCache>
                <c:formatCode>0.00%</c:formatCode>
                <c:ptCount val="5"/>
                <c:pt idx="0">
                  <c:v>0.2224</c:v>
                </c:pt>
                <c:pt idx="1">
                  <c:v>0.1715</c:v>
                </c:pt>
                <c:pt idx="2">
                  <c:v>0.1268</c:v>
                </c:pt>
                <c:pt idx="3">
                  <c:v>0.0725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'2022.4.2'!$A$36:$A$45</c:f>
              <c:numCache>
                <c:formatCode>m/d;@</c:formatCode>
                <c:ptCount val="10"/>
                <c:pt idx="0" c:formatCode="m/d;@">
                  <c:v>44644</c:v>
                </c:pt>
                <c:pt idx="1" c:formatCode="m/d;@">
                  <c:v>44645</c:v>
                </c:pt>
                <c:pt idx="2" c:formatCode="m/d;@">
                  <c:v>44646</c:v>
                </c:pt>
                <c:pt idx="3" c:formatCode="m/d;@">
                  <c:v>44647</c:v>
                </c:pt>
                <c:pt idx="4" c:formatCode="m/d;@">
                  <c:v>44648</c:v>
                </c:pt>
                <c:pt idx="5" c:formatCode="m/d;@">
                  <c:v>44649</c:v>
                </c:pt>
                <c:pt idx="6" c:formatCode="m/d;@">
                  <c:v>44650</c:v>
                </c:pt>
                <c:pt idx="7" c:formatCode="m/d;@">
                  <c:v>44651</c:v>
                </c:pt>
                <c:pt idx="8" c:formatCode="m/d;@">
                  <c:v>44652</c:v>
                </c:pt>
                <c:pt idx="9" c:formatCode="m/d;@">
                  <c:v>44653</c:v>
                </c:pt>
              </c:numCache>
            </c:numRef>
          </c:cat>
          <c:val>
            <c:numRef>
              <c:f>'2022.4.2'!$B$36:$B$45</c:f>
              <c:numCache>
                <c:formatCode>0.00_ </c:formatCode>
                <c:ptCount val="10"/>
                <c:pt idx="0">
                  <c:v>146.54</c:v>
                </c:pt>
                <c:pt idx="1">
                  <c:v>240.8</c:v>
                </c:pt>
                <c:pt idx="2">
                  <c:v>244.98</c:v>
                </c:pt>
                <c:pt idx="3">
                  <c:v>207.33</c:v>
                </c:pt>
                <c:pt idx="4">
                  <c:v>185.18</c:v>
                </c:pt>
                <c:pt idx="5">
                  <c:v>209.43</c:v>
                </c:pt>
                <c:pt idx="6">
                  <c:v>272.16</c:v>
                </c:pt>
                <c:pt idx="7">
                  <c:v>236.95</c:v>
                </c:pt>
                <c:pt idx="8">
                  <c:v>255.84</c:v>
                </c:pt>
                <c:pt idx="9">
                  <c:v>195.44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'2022.4.2'!$I$43:$I$47</c:f>
              <c:numCache>
                <c:formatCode>0.00%</c:formatCode>
                <c:ptCount val="5"/>
                <c:pt idx="0">
                  <c:v>0.2129</c:v>
                </c:pt>
                <c:pt idx="1">
                  <c:v>0.1742</c:v>
                </c:pt>
                <c:pt idx="2">
                  <c:v>0.1268</c:v>
                </c:pt>
                <c:pt idx="3">
                  <c:v>0.0725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'2021.11.7'!$A$31:$A$40</c:f>
              <c:numCache>
                <c:formatCode>m/d;@</c:formatCode>
                <c:ptCount val="10"/>
                <c:pt idx="0" c:formatCode="m/d;@">
                  <c:v>44498</c:v>
                </c:pt>
                <c:pt idx="1" c:formatCode="m/d;@">
                  <c:v>44499</c:v>
                </c:pt>
                <c:pt idx="2" c:formatCode="m/d;@">
                  <c:v>44500</c:v>
                </c:pt>
                <c:pt idx="3" c:formatCode="m/d;@">
                  <c:v>44501</c:v>
                </c:pt>
                <c:pt idx="4" c:formatCode="m/d;@">
                  <c:v>44502</c:v>
                </c:pt>
                <c:pt idx="5" c:formatCode="m/d;@">
                  <c:v>44503</c:v>
                </c:pt>
                <c:pt idx="6" c:formatCode="m/d;@">
                  <c:v>44504</c:v>
                </c:pt>
                <c:pt idx="7" c:formatCode="m/d;@">
                  <c:v>44505</c:v>
                </c:pt>
                <c:pt idx="8" c:formatCode="m/d;@">
                  <c:v>44506</c:v>
                </c:pt>
                <c:pt idx="9" c:formatCode="m/d;@">
                  <c:v>44507</c:v>
                </c:pt>
              </c:numCache>
            </c:numRef>
          </c:cat>
          <c:val>
            <c:numRef>
              <c:f>'2021.11.7'!$B$31:$B$40</c:f>
              <c:numCache>
                <c:formatCode>0.00_ </c:formatCode>
                <c:ptCount val="10"/>
                <c:pt idx="0">
                  <c:v>15.62</c:v>
                </c:pt>
                <c:pt idx="1">
                  <c:v>38.55</c:v>
                </c:pt>
                <c:pt idx="2">
                  <c:v>48.67</c:v>
                </c:pt>
                <c:pt idx="3">
                  <c:v>31.25</c:v>
                </c:pt>
                <c:pt idx="4">
                  <c:v>31.89</c:v>
                </c:pt>
                <c:pt idx="5">
                  <c:v>38.55</c:v>
                </c:pt>
                <c:pt idx="6">
                  <c:v>39.66</c:v>
                </c:pt>
                <c:pt idx="7">
                  <c:v>71.07</c:v>
                </c:pt>
                <c:pt idx="8">
                  <c:v>33.07</c:v>
                </c:pt>
                <c:pt idx="9">
                  <c:v>64.11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'2022.4.3'!$A$36:$A$45</c:f>
              <c:numCache>
                <c:formatCode>m/d;@</c:formatCode>
                <c:ptCount val="10"/>
                <c:pt idx="0" c:formatCode="m/d;@">
                  <c:v>44645</c:v>
                </c:pt>
                <c:pt idx="1" c:formatCode="m/d;@">
                  <c:v>44646</c:v>
                </c:pt>
                <c:pt idx="2" c:formatCode="m/d;@">
                  <c:v>44647</c:v>
                </c:pt>
                <c:pt idx="3" c:formatCode="m/d;@">
                  <c:v>44648</c:v>
                </c:pt>
                <c:pt idx="4" c:formatCode="m/d;@">
                  <c:v>44649</c:v>
                </c:pt>
                <c:pt idx="5" c:formatCode="m/d;@">
                  <c:v>44650</c:v>
                </c:pt>
                <c:pt idx="6" c:formatCode="m/d;@">
                  <c:v>44651</c:v>
                </c:pt>
                <c:pt idx="7" c:formatCode="m/d;@">
                  <c:v>44652</c:v>
                </c:pt>
                <c:pt idx="8" c:formatCode="m/d;@">
                  <c:v>44653</c:v>
                </c:pt>
                <c:pt idx="9" c:formatCode="m/d;@">
                  <c:v>44654</c:v>
                </c:pt>
              </c:numCache>
            </c:numRef>
          </c:cat>
          <c:val>
            <c:numRef>
              <c:f>'2022.4.3'!$B$36:$B$45</c:f>
              <c:numCache>
                <c:formatCode>0.00_ </c:formatCode>
                <c:ptCount val="10"/>
                <c:pt idx="0">
                  <c:v>240.8</c:v>
                </c:pt>
                <c:pt idx="1">
                  <c:v>244.98</c:v>
                </c:pt>
                <c:pt idx="2">
                  <c:v>207.33</c:v>
                </c:pt>
                <c:pt idx="3">
                  <c:v>185.18</c:v>
                </c:pt>
                <c:pt idx="4">
                  <c:v>209.43</c:v>
                </c:pt>
                <c:pt idx="5">
                  <c:v>272.16</c:v>
                </c:pt>
                <c:pt idx="6">
                  <c:v>236.95</c:v>
                </c:pt>
                <c:pt idx="7">
                  <c:v>255.84</c:v>
                </c:pt>
                <c:pt idx="8">
                  <c:v>195.44</c:v>
                </c:pt>
                <c:pt idx="9">
                  <c:v>224.04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'2022.4.3'!$I$43:$I$47</c:f>
              <c:numCache>
                <c:formatCode>0.00%</c:formatCode>
                <c:ptCount val="5"/>
                <c:pt idx="0">
                  <c:v>0.2158</c:v>
                </c:pt>
                <c:pt idx="1">
                  <c:v>0.1754</c:v>
                </c:pt>
                <c:pt idx="2">
                  <c:v>0.1268</c:v>
                </c:pt>
                <c:pt idx="3">
                  <c:v>0.0725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'2022.4.4'!$A$36:$A$45</c:f>
              <c:numCache>
                <c:formatCode>m/d;@</c:formatCode>
                <c:ptCount val="10"/>
                <c:pt idx="0" c:formatCode="m/d;@">
                  <c:v>44646</c:v>
                </c:pt>
                <c:pt idx="1" c:formatCode="m/d;@">
                  <c:v>44647</c:v>
                </c:pt>
                <c:pt idx="2" c:formatCode="m/d;@">
                  <c:v>44648</c:v>
                </c:pt>
                <c:pt idx="3" c:formatCode="m/d;@">
                  <c:v>44649</c:v>
                </c:pt>
                <c:pt idx="4" c:formatCode="m/d;@">
                  <c:v>44650</c:v>
                </c:pt>
                <c:pt idx="5" c:formatCode="m/d;@">
                  <c:v>44651</c:v>
                </c:pt>
                <c:pt idx="6" c:formatCode="m/d;@">
                  <c:v>44652</c:v>
                </c:pt>
                <c:pt idx="7" c:formatCode="m/d;@">
                  <c:v>44653</c:v>
                </c:pt>
                <c:pt idx="8" c:formatCode="m/d;@">
                  <c:v>44654</c:v>
                </c:pt>
                <c:pt idx="9" c:formatCode="m/d;@">
                  <c:v>44655</c:v>
                </c:pt>
              </c:numCache>
            </c:numRef>
          </c:cat>
          <c:val>
            <c:numRef>
              <c:f>'2022.4.4'!$B$36:$B$45</c:f>
              <c:numCache>
                <c:formatCode>0.00_ </c:formatCode>
                <c:ptCount val="10"/>
                <c:pt idx="0">
                  <c:v>244.98</c:v>
                </c:pt>
                <c:pt idx="1">
                  <c:v>207.33</c:v>
                </c:pt>
                <c:pt idx="2">
                  <c:v>185.18</c:v>
                </c:pt>
                <c:pt idx="3">
                  <c:v>209.43</c:v>
                </c:pt>
                <c:pt idx="4">
                  <c:v>272.16</c:v>
                </c:pt>
                <c:pt idx="5">
                  <c:v>236.95</c:v>
                </c:pt>
                <c:pt idx="6">
                  <c:v>255.84</c:v>
                </c:pt>
                <c:pt idx="7">
                  <c:v>195.44</c:v>
                </c:pt>
                <c:pt idx="8">
                  <c:v>224.04</c:v>
                </c:pt>
                <c:pt idx="9">
                  <c:v>232.13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'2022.4.4'!$I$42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'2022.4.4'!$H$43:$H$47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'2022.4.4'!$I$43:$I$47</c:f>
              <c:numCache>
                <c:formatCode>0.00%</c:formatCode>
                <c:ptCount val="5"/>
                <c:pt idx="0">
                  <c:v>0.2182</c:v>
                </c:pt>
                <c:pt idx="1">
                  <c:v>0.1771</c:v>
                </c:pt>
                <c:pt idx="2">
                  <c:v>0.1326</c:v>
                </c:pt>
                <c:pt idx="3">
                  <c:v>0.0753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'2022.4.5'!$A$36:$A$45</c:f>
              <c:numCache>
                <c:formatCode>m/d;@</c:formatCode>
                <c:ptCount val="10"/>
                <c:pt idx="0" c:formatCode="m/d;@">
                  <c:v>44647</c:v>
                </c:pt>
                <c:pt idx="1" c:formatCode="m/d;@">
                  <c:v>44648</c:v>
                </c:pt>
                <c:pt idx="2" c:formatCode="m/d;@">
                  <c:v>44649</c:v>
                </c:pt>
                <c:pt idx="3" c:formatCode="m/d;@">
                  <c:v>44650</c:v>
                </c:pt>
                <c:pt idx="4" c:formatCode="m/d;@">
                  <c:v>44651</c:v>
                </c:pt>
                <c:pt idx="5" c:formatCode="m/d;@">
                  <c:v>44652</c:v>
                </c:pt>
                <c:pt idx="6" c:formatCode="m/d;@">
                  <c:v>44653</c:v>
                </c:pt>
                <c:pt idx="7" c:formatCode="m/d;@">
                  <c:v>44654</c:v>
                </c:pt>
                <c:pt idx="8" c:formatCode="m/d;@">
                  <c:v>44655</c:v>
                </c:pt>
                <c:pt idx="9" c:formatCode="m/d;@">
                  <c:v>44656</c:v>
                </c:pt>
              </c:numCache>
            </c:numRef>
          </c:cat>
          <c:val>
            <c:numRef>
              <c:f>'2022.4.5'!$B$36:$B$45</c:f>
              <c:numCache>
                <c:formatCode>0.00_ </c:formatCode>
                <c:ptCount val="10"/>
                <c:pt idx="0">
                  <c:v>207.33</c:v>
                </c:pt>
                <c:pt idx="1">
                  <c:v>185.18</c:v>
                </c:pt>
                <c:pt idx="2">
                  <c:v>209.43</c:v>
                </c:pt>
                <c:pt idx="3">
                  <c:v>272.16</c:v>
                </c:pt>
                <c:pt idx="4">
                  <c:v>236.95</c:v>
                </c:pt>
                <c:pt idx="5">
                  <c:v>255.84</c:v>
                </c:pt>
                <c:pt idx="6">
                  <c:v>195.44</c:v>
                </c:pt>
                <c:pt idx="7">
                  <c:v>224.04</c:v>
                </c:pt>
                <c:pt idx="8">
                  <c:v>232.13</c:v>
                </c:pt>
                <c:pt idx="9">
                  <c:v>125.95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'2022.4.5'!$I$42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'2022.4.5'!$H$43:$H$47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'2022.4.5'!$I$43:$I$47</c:f>
              <c:numCache>
                <c:formatCode>0.00%</c:formatCode>
                <c:ptCount val="5"/>
                <c:pt idx="0">
                  <c:v>0.2204</c:v>
                </c:pt>
                <c:pt idx="1">
                  <c:v>0.1786</c:v>
                </c:pt>
                <c:pt idx="2">
                  <c:v>0.1326</c:v>
                </c:pt>
                <c:pt idx="3">
                  <c:v>0.0753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'2022.4.6'!$A$36:$A$45</c:f>
              <c:numCache>
                <c:formatCode>m/d;@</c:formatCode>
                <c:ptCount val="10"/>
                <c:pt idx="0" c:formatCode="m/d;@">
                  <c:v>44648</c:v>
                </c:pt>
                <c:pt idx="1" c:formatCode="m/d;@">
                  <c:v>44649</c:v>
                </c:pt>
                <c:pt idx="2" c:formatCode="m/d;@">
                  <c:v>44650</c:v>
                </c:pt>
                <c:pt idx="3" c:formatCode="m/d;@">
                  <c:v>44651</c:v>
                </c:pt>
                <c:pt idx="4" c:formatCode="m/d;@">
                  <c:v>44652</c:v>
                </c:pt>
                <c:pt idx="5" c:formatCode="m/d;@">
                  <c:v>44653</c:v>
                </c:pt>
                <c:pt idx="6" c:formatCode="m/d;@">
                  <c:v>44654</c:v>
                </c:pt>
                <c:pt idx="7" c:formatCode="m/d;@">
                  <c:v>44655</c:v>
                </c:pt>
                <c:pt idx="8" c:formatCode="m/d;@">
                  <c:v>44656</c:v>
                </c:pt>
                <c:pt idx="9" c:formatCode="m/d;@">
                  <c:v>44657</c:v>
                </c:pt>
              </c:numCache>
            </c:numRef>
          </c:cat>
          <c:val>
            <c:numRef>
              <c:f>'2022.4.6'!$B$36:$B$45</c:f>
              <c:numCache>
                <c:formatCode>0.00_ </c:formatCode>
                <c:ptCount val="10"/>
                <c:pt idx="0">
                  <c:v>185.18</c:v>
                </c:pt>
                <c:pt idx="1">
                  <c:v>209.43</c:v>
                </c:pt>
                <c:pt idx="2">
                  <c:v>272.16</c:v>
                </c:pt>
                <c:pt idx="3">
                  <c:v>236.95</c:v>
                </c:pt>
                <c:pt idx="4">
                  <c:v>255.84</c:v>
                </c:pt>
                <c:pt idx="5">
                  <c:v>195.44</c:v>
                </c:pt>
                <c:pt idx="6">
                  <c:v>224.04</c:v>
                </c:pt>
                <c:pt idx="7">
                  <c:v>232.13</c:v>
                </c:pt>
                <c:pt idx="8">
                  <c:v>125.95</c:v>
                </c:pt>
                <c:pt idx="9">
                  <c:v>127.45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'2022.4.6'!$I$42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'2022.4.6'!$H$43:$H$47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'2022.4.6'!$I$43:$I$47</c:f>
              <c:numCache>
                <c:formatCode>0.00%</c:formatCode>
                <c:ptCount val="5"/>
                <c:pt idx="0">
                  <c:v>0.2378</c:v>
                </c:pt>
                <c:pt idx="1">
                  <c:v>0.1857</c:v>
                </c:pt>
                <c:pt idx="2">
                  <c:v>0.1326</c:v>
                </c:pt>
                <c:pt idx="3">
                  <c:v>0.0753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'2022.4.7'!$A$36:$A$45</c:f>
              <c:numCache>
                <c:formatCode>m/d;@</c:formatCode>
                <c:ptCount val="10"/>
                <c:pt idx="0" c:formatCode="m/d;@">
                  <c:v>44649</c:v>
                </c:pt>
                <c:pt idx="1" c:formatCode="m/d;@">
                  <c:v>44650</c:v>
                </c:pt>
                <c:pt idx="2" c:formatCode="m/d;@">
                  <c:v>44651</c:v>
                </c:pt>
                <c:pt idx="3" c:formatCode="m/d;@">
                  <c:v>44652</c:v>
                </c:pt>
                <c:pt idx="4" c:formatCode="m/d;@">
                  <c:v>44653</c:v>
                </c:pt>
                <c:pt idx="5" c:formatCode="m/d;@">
                  <c:v>44654</c:v>
                </c:pt>
                <c:pt idx="6" c:formatCode="m/d;@">
                  <c:v>44655</c:v>
                </c:pt>
                <c:pt idx="7" c:formatCode="m/d;@">
                  <c:v>44656</c:v>
                </c:pt>
                <c:pt idx="8" c:formatCode="m/d;@">
                  <c:v>44657</c:v>
                </c:pt>
                <c:pt idx="9" c:formatCode="m/d;@">
                  <c:v>44658</c:v>
                </c:pt>
              </c:numCache>
            </c:numRef>
          </c:cat>
          <c:val>
            <c:numRef>
              <c:f>'2022.4.7'!$B$36:$B$45</c:f>
              <c:numCache>
                <c:formatCode>0.00_ </c:formatCode>
                <c:ptCount val="10"/>
                <c:pt idx="0">
                  <c:v>209.43</c:v>
                </c:pt>
                <c:pt idx="1">
                  <c:v>272.16</c:v>
                </c:pt>
                <c:pt idx="2">
                  <c:v>236.95</c:v>
                </c:pt>
                <c:pt idx="3">
                  <c:v>255.84</c:v>
                </c:pt>
                <c:pt idx="4">
                  <c:v>195.44</c:v>
                </c:pt>
                <c:pt idx="5">
                  <c:v>224.04</c:v>
                </c:pt>
                <c:pt idx="6">
                  <c:v>232.13</c:v>
                </c:pt>
                <c:pt idx="7">
                  <c:v>125.95</c:v>
                </c:pt>
                <c:pt idx="8">
                  <c:v>127.45</c:v>
                </c:pt>
                <c:pt idx="9">
                  <c:v>128.33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'2022.4.7'!$I$42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'2022.4.7'!$H$43:$H$47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'2022.4.7'!$I$43:$I$47</c:f>
              <c:numCache>
                <c:formatCode>0.00%</c:formatCode>
                <c:ptCount val="5"/>
                <c:pt idx="0">
                  <c:v>0.2391</c:v>
                </c:pt>
                <c:pt idx="1">
                  <c:v>0.1896</c:v>
                </c:pt>
                <c:pt idx="2">
                  <c:v>0.136</c:v>
                </c:pt>
                <c:pt idx="3">
                  <c:v>0.0784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'2021.11.7'!$A$23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('2021.11.7'!$B$23,'2021.11.7'!$C$23:$D$23)</c:f>
              <c:numCache>
                <c:formatCode>General</c:formatCode>
                <c:ptCount val="3"/>
                <c:pt idx="0">
                  <c:v>84</c:v>
                </c:pt>
                <c:pt idx="1">
                  <c:v>0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'2021.11.7'!$A$24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('2021.11.7'!$B$24,'2021.11.7'!$C$24:$D$24)</c:f>
              <c:numCache>
                <c:formatCode>General</c:formatCode>
                <c:ptCount val="3"/>
                <c:pt idx="0">
                  <c:v>56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'2021.11.7'!$A$25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('2021.11.7'!$B$25,'2021.11.7'!$C$25:$D$25)</c:f>
              <c:numCache>
                <c:formatCode>General</c:formatCode>
                <c:ptCount val="3"/>
                <c:pt idx="0">
                  <c:v>5640</c:v>
                </c:pt>
                <c:pt idx="1">
                  <c:v>0</c:v>
                </c:pt>
                <c:pt idx="2">
                  <c:v>5685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'2022.4.8'!$A$36:$A$45</c:f>
              <c:numCache>
                <c:formatCode>m/d;@</c:formatCode>
                <c:ptCount val="10"/>
                <c:pt idx="0" c:formatCode="m/d;@">
                  <c:v>44650</c:v>
                </c:pt>
                <c:pt idx="1" c:formatCode="m/d;@">
                  <c:v>44651</c:v>
                </c:pt>
                <c:pt idx="2" c:formatCode="m/d;@">
                  <c:v>44652</c:v>
                </c:pt>
                <c:pt idx="3" c:formatCode="m/d;@">
                  <c:v>44653</c:v>
                </c:pt>
                <c:pt idx="4" c:formatCode="m/d;@">
                  <c:v>44654</c:v>
                </c:pt>
                <c:pt idx="5" c:formatCode="m/d;@">
                  <c:v>44655</c:v>
                </c:pt>
                <c:pt idx="6" c:formatCode="m/d;@">
                  <c:v>44656</c:v>
                </c:pt>
                <c:pt idx="7" c:formatCode="m/d;@">
                  <c:v>44657</c:v>
                </c:pt>
                <c:pt idx="8" c:formatCode="m/d;@">
                  <c:v>44658</c:v>
                </c:pt>
                <c:pt idx="9" c:formatCode="m/d;@">
                  <c:v>44659</c:v>
                </c:pt>
              </c:numCache>
            </c:numRef>
          </c:cat>
          <c:val>
            <c:numRef>
              <c:f>'2022.4.8'!$B$36:$B$45</c:f>
              <c:numCache>
                <c:formatCode>0.00_ </c:formatCode>
                <c:ptCount val="10"/>
                <c:pt idx="0">
                  <c:v>272.16</c:v>
                </c:pt>
                <c:pt idx="1">
                  <c:v>236.95</c:v>
                </c:pt>
                <c:pt idx="2">
                  <c:v>255.84</c:v>
                </c:pt>
                <c:pt idx="3">
                  <c:v>195.44</c:v>
                </c:pt>
                <c:pt idx="4">
                  <c:v>224.04</c:v>
                </c:pt>
                <c:pt idx="5">
                  <c:v>232.13</c:v>
                </c:pt>
                <c:pt idx="6">
                  <c:v>125.95</c:v>
                </c:pt>
                <c:pt idx="7">
                  <c:v>127.45</c:v>
                </c:pt>
                <c:pt idx="8">
                  <c:v>128.33</c:v>
                </c:pt>
                <c:pt idx="9">
                  <c:v>134.24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'2022.4.8'!$I$42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'2022.4.8'!$H$43:$H$47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'2022.4.8'!$I$43:$I$47</c:f>
              <c:numCache>
                <c:formatCode>0.00%</c:formatCode>
                <c:ptCount val="5"/>
                <c:pt idx="0">
                  <c:v>0.2415</c:v>
                </c:pt>
                <c:pt idx="1">
                  <c:v>0.1936</c:v>
                </c:pt>
                <c:pt idx="2">
                  <c:v>0.136</c:v>
                </c:pt>
                <c:pt idx="3">
                  <c:v>0.0784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'2022.4.9'!$A$36:$A$45</c:f>
              <c:numCache>
                <c:formatCode>m/d;@</c:formatCode>
                <c:ptCount val="10"/>
                <c:pt idx="0" c:formatCode="m/d;@">
                  <c:v>44651</c:v>
                </c:pt>
                <c:pt idx="1" c:formatCode="m/d;@">
                  <c:v>44652</c:v>
                </c:pt>
                <c:pt idx="2" c:formatCode="m/d;@">
                  <c:v>44653</c:v>
                </c:pt>
                <c:pt idx="3" c:formatCode="m/d;@">
                  <c:v>44654</c:v>
                </c:pt>
                <c:pt idx="4" c:formatCode="m/d;@">
                  <c:v>44655</c:v>
                </c:pt>
                <c:pt idx="5" c:formatCode="m/d;@">
                  <c:v>44656</c:v>
                </c:pt>
                <c:pt idx="6" c:formatCode="m/d;@">
                  <c:v>44657</c:v>
                </c:pt>
                <c:pt idx="7" c:formatCode="m/d;@">
                  <c:v>44658</c:v>
                </c:pt>
                <c:pt idx="8" c:formatCode="m/d;@">
                  <c:v>44659</c:v>
                </c:pt>
                <c:pt idx="9" c:formatCode="m/d;@">
                  <c:v>44660</c:v>
                </c:pt>
              </c:numCache>
            </c:numRef>
          </c:cat>
          <c:val>
            <c:numRef>
              <c:f>'2022.4.9'!$B$36:$B$45</c:f>
              <c:numCache>
                <c:formatCode>0.00_ </c:formatCode>
                <c:ptCount val="10"/>
                <c:pt idx="0">
                  <c:v>236.95</c:v>
                </c:pt>
                <c:pt idx="1">
                  <c:v>255.84</c:v>
                </c:pt>
                <c:pt idx="2">
                  <c:v>195.44</c:v>
                </c:pt>
                <c:pt idx="3">
                  <c:v>224.04</c:v>
                </c:pt>
                <c:pt idx="4">
                  <c:v>232.13</c:v>
                </c:pt>
                <c:pt idx="5">
                  <c:v>125.95</c:v>
                </c:pt>
                <c:pt idx="6">
                  <c:v>127.45</c:v>
                </c:pt>
                <c:pt idx="7">
                  <c:v>128.33</c:v>
                </c:pt>
                <c:pt idx="8">
                  <c:v>134.24</c:v>
                </c:pt>
                <c:pt idx="9">
                  <c:v>130.5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'2022.4.9'!$I$42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'2022.4.9'!$H$43:$H$47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'2022.4.9'!$I$43:$I$47</c:f>
              <c:numCache>
                <c:formatCode>0.00%</c:formatCode>
                <c:ptCount val="5"/>
                <c:pt idx="0">
                  <c:v>0.2427</c:v>
                </c:pt>
                <c:pt idx="1">
                  <c:v>0.1985</c:v>
                </c:pt>
                <c:pt idx="2">
                  <c:v>0.1429</c:v>
                </c:pt>
                <c:pt idx="3">
                  <c:v>0.081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'2022.4.10'!$A$36:$A$45</c:f>
              <c:numCache>
                <c:formatCode>m/d;@</c:formatCode>
                <c:ptCount val="10"/>
                <c:pt idx="0" c:formatCode="m/d;@">
                  <c:v>44652</c:v>
                </c:pt>
                <c:pt idx="1" c:formatCode="m/d;@">
                  <c:v>44653</c:v>
                </c:pt>
                <c:pt idx="2" c:formatCode="m/d;@">
                  <c:v>44654</c:v>
                </c:pt>
                <c:pt idx="3" c:formatCode="m/d;@">
                  <c:v>44655</c:v>
                </c:pt>
                <c:pt idx="4" c:formatCode="m/d;@">
                  <c:v>44656</c:v>
                </c:pt>
                <c:pt idx="5" c:formatCode="m/d;@">
                  <c:v>44657</c:v>
                </c:pt>
                <c:pt idx="6" c:formatCode="m/d;@">
                  <c:v>44658</c:v>
                </c:pt>
                <c:pt idx="7" c:formatCode="m/d;@">
                  <c:v>44659</c:v>
                </c:pt>
                <c:pt idx="8" c:formatCode="m/d;@">
                  <c:v>44660</c:v>
                </c:pt>
                <c:pt idx="9" c:formatCode="m/d;@">
                  <c:v>44661</c:v>
                </c:pt>
              </c:numCache>
            </c:numRef>
          </c:cat>
          <c:val>
            <c:numRef>
              <c:f>'2022.4.10'!$B$36:$B$45</c:f>
              <c:numCache>
                <c:formatCode>0.00_ </c:formatCode>
                <c:ptCount val="10"/>
                <c:pt idx="0">
                  <c:v>255.84</c:v>
                </c:pt>
                <c:pt idx="1">
                  <c:v>195.44</c:v>
                </c:pt>
                <c:pt idx="2">
                  <c:v>224.04</c:v>
                </c:pt>
                <c:pt idx="3">
                  <c:v>232.13</c:v>
                </c:pt>
                <c:pt idx="4">
                  <c:v>125.95</c:v>
                </c:pt>
                <c:pt idx="5">
                  <c:v>127.45</c:v>
                </c:pt>
                <c:pt idx="6">
                  <c:v>128.33</c:v>
                </c:pt>
                <c:pt idx="7">
                  <c:v>134.24</c:v>
                </c:pt>
                <c:pt idx="8">
                  <c:v>130.5</c:v>
                </c:pt>
                <c:pt idx="9">
                  <c:v>196.22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'2022.4.10'!$I$42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'2022.4.10'!$H$43:$H$47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'2022.4.10'!$I$43:$I$47</c:f>
              <c:numCache>
                <c:formatCode>0.00%</c:formatCode>
                <c:ptCount val="5"/>
                <c:pt idx="0">
                  <c:v>0.2456</c:v>
                </c:pt>
                <c:pt idx="1">
                  <c:v>0.2023</c:v>
                </c:pt>
                <c:pt idx="2">
                  <c:v>0.1465</c:v>
                </c:pt>
                <c:pt idx="3">
                  <c:v>0.0825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'2022.4.11'!$A$36:$A$45</c:f>
              <c:numCache>
                <c:formatCode>m/d;@</c:formatCode>
                <c:ptCount val="10"/>
                <c:pt idx="0" c:formatCode="m/d;@">
                  <c:v>44653</c:v>
                </c:pt>
                <c:pt idx="1" c:formatCode="m/d;@">
                  <c:v>44654</c:v>
                </c:pt>
                <c:pt idx="2" c:formatCode="m/d;@">
                  <c:v>44655</c:v>
                </c:pt>
                <c:pt idx="3" c:formatCode="m/d;@">
                  <c:v>44656</c:v>
                </c:pt>
                <c:pt idx="4" c:formatCode="m/d;@">
                  <c:v>44657</c:v>
                </c:pt>
                <c:pt idx="5" c:formatCode="m/d;@">
                  <c:v>44658</c:v>
                </c:pt>
                <c:pt idx="6" c:formatCode="m/d;@">
                  <c:v>44659</c:v>
                </c:pt>
                <c:pt idx="7" c:formatCode="m/d;@">
                  <c:v>44660</c:v>
                </c:pt>
                <c:pt idx="8" c:formatCode="m/d;@">
                  <c:v>44661</c:v>
                </c:pt>
                <c:pt idx="9" c:formatCode="m/d;@">
                  <c:v>44662</c:v>
                </c:pt>
              </c:numCache>
            </c:numRef>
          </c:cat>
          <c:val>
            <c:numRef>
              <c:f>'2022.4.11'!$B$36:$B$45</c:f>
              <c:numCache>
                <c:formatCode>0.00_ </c:formatCode>
                <c:ptCount val="10"/>
                <c:pt idx="0">
                  <c:v>195.44</c:v>
                </c:pt>
                <c:pt idx="1">
                  <c:v>224.04</c:v>
                </c:pt>
                <c:pt idx="2">
                  <c:v>232.13</c:v>
                </c:pt>
                <c:pt idx="3">
                  <c:v>125.95</c:v>
                </c:pt>
                <c:pt idx="4">
                  <c:v>127.45</c:v>
                </c:pt>
                <c:pt idx="5">
                  <c:v>128.33</c:v>
                </c:pt>
                <c:pt idx="6">
                  <c:v>134.24</c:v>
                </c:pt>
                <c:pt idx="7">
                  <c:v>130.5</c:v>
                </c:pt>
                <c:pt idx="8">
                  <c:v>196.22</c:v>
                </c:pt>
                <c:pt idx="9">
                  <c:v>180.1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'2022.4.11'!$I$42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'2022.4.11'!$H$43:$H$47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'2022.4.11'!$I$43:$I$47</c:f>
              <c:numCache>
                <c:formatCode>0.00%</c:formatCode>
                <c:ptCount val="5"/>
                <c:pt idx="0">
                  <c:v>0.2476</c:v>
                </c:pt>
                <c:pt idx="1">
                  <c:v>0.2087</c:v>
                </c:pt>
                <c:pt idx="2">
                  <c:v>0.1499</c:v>
                </c:pt>
                <c:pt idx="3">
                  <c:v>0.0858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'2022.4.12'!$A$36:$A$45</c:f>
              <c:numCache>
                <c:formatCode>m/d;@</c:formatCode>
                <c:ptCount val="10"/>
                <c:pt idx="0" c:formatCode="m/d;@">
                  <c:v>44654</c:v>
                </c:pt>
                <c:pt idx="1" c:formatCode="m/d;@">
                  <c:v>44655</c:v>
                </c:pt>
                <c:pt idx="2" c:formatCode="m/d;@">
                  <c:v>44656</c:v>
                </c:pt>
                <c:pt idx="3" c:formatCode="m/d;@">
                  <c:v>44657</c:v>
                </c:pt>
                <c:pt idx="4" c:formatCode="m/d;@">
                  <c:v>44658</c:v>
                </c:pt>
                <c:pt idx="5" c:formatCode="m/d;@">
                  <c:v>44659</c:v>
                </c:pt>
                <c:pt idx="6" c:formatCode="m/d;@">
                  <c:v>44660</c:v>
                </c:pt>
                <c:pt idx="7" c:formatCode="m/d;@">
                  <c:v>44661</c:v>
                </c:pt>
                <c:pt idx="8" c:formatCode="m/d;@">
                  <c:v>44662</c:v>
                </c:pt>
                <c:pt idx="9" c:formatCode="m/d;@">
                  <c:v>44663</c:v>
                </c:pt>
              </c:numCache>
            </c:numRef>
          </c:cat>
          <c:val>
            <c:numRef>
              <c:f>'2022.4.12'!$B$36:$B$45</c:f>
              <c:numCache>
                <c:formatCode>0.00_ </c:formatCode>
                <c:ptCount val="10"/>
                <c:pt idx="0">
                  <c:v>224.04</c:v>
                </c:pt>
                <c:pt idx="1">
                  <c:v>232.13</c:v>
                </c:pt>
                <c:pt idx="2">
                  <c:v>125.95</c:v>
                </c:pt>
                <c:pt idx="3">
                  <c:v>127.45</c:v>
                </c:pt>
                <c:pt idx="4">
                  <c:v>128.33</c:v>
                </c:pt>
                <c:pt idx="5">
                  <c:v>134.24</c:v>
                </c:pt>
                <c:pt idx="6">
                  <c:v>130.5</c:v>
                </c:pt>
                <c:pt idx="7">
                  <c:v>196.22</c:v>
                </c:pt>
                <c:pt idx="8">
                  <c:v>180.1</c:v>
                </c:pt>
                <c:pt idx="9">
                  <c:v>117.48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'2022.4.12'!$I$42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'2022.4.12'!$H$43:$H$47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'2022.4.12'!$I$43:$I$47</c:f>
              <c:numCache>
                <c:formatCode>0.00%</c:formatCode>
                <c:ptCount val="5"/>
                <c:pt idx="0">
                  <c:v>0.2495</c:v>
                </c:pt>
                <c:pt idx="1">
                  <c:v>0.2109</c:v>
                </c:pt>
                <c:pt idx="2">
                  <c:v>0.1499</c:v>
                </c:pt>
                <c:pt idx="3">
                  <c:v>0.0858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'2021.11.8'!$A$31:$A$40</c:f>
              <c:numCache>
                <c:formatCode>m/d;@</c:formatCode>
                <c:ptCount val="10"/>
                <c:pt idx="0" c:formatCode="m/d;@">
                  <c:v>44499</c:v>
                </c:pt>
                <c:pt idx="1" c:formatCode="m/d;@">
                  <c:v>44500</c:v>
                </c:pt>
                <c:pt idx="2" c:formatCode="m/d;@">
                  <c:v>44501</c:v>
                </c:pt>
                <c:pt idx="3" c:formatCode="m/d;@">
                  <c:v>44502</c:v>
                </c:pt>
                <c:pt idx="4" c:formatCode="m/d;@">
                  <c:v>44503</c:v>
                </c:pt>
                <c:pt idx="5" c:formatCode="m/d;@">
                  <c:v>44504</c:v>
                </c:pt>
                <c:pt idx="6" c:formatCode="m/d;@">
                  <c:v>44505</c:v>
                </c:pt>
                <c:pt idx="7" c:formatCode="m/d;@">
                  <c:v>44506</c:v>
                </c:pt>
                <c:pt idx="8" c:formatCode="m/d;@">
                  <c:v>44507</c:v>
                </c:pt>
                <c:pt idx="9" c:formatCode="m/d;@">
                  <c:v>44508</c:v>
                </c:pt>
              </c:numCache>
            </c:numRef>
          </c:cat>
          <c:val>
            <c:numRef>
              <c:f>'2021.11.8'!$B$31:$B$40</c:f>
              <c:numCache>
                <c:formatCode>0.00_ </c:formatCode>
                <c:ptCount val="10"/>
                <c:pt idx="0">
                  <c:v>38.55</c:v>
                </c:pt>
                <c:pt idx="1">
                  <c:v>48.67</c:v>
                </c:pt>
                <c:pt idx="2">
                  <c:v>31.25</c:v>
                </c:pt>
                <c:pt idx="3">
                  <c:v>31.89</c:v>
                </c:pt>
                <c:pt idx="4">
                  <c:v>38.55</c:v>
                </c:pt>
                <c:pt idx="5">
                  <c:v>39.66</c:v>
                </c:pt>
                <c:pt idx="6">
                  <c:v>71.07</c:v>
                </c:pt>
                <c:pt idx="7">
                  <c:v>33.07</c:v>
                </c:pt>
                <c:pt idx="8">
                  <c:v>64.11</c:v>
                </c:pt>
                <c:pt idx="9">
                  <c:v>63.29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'2022.4.13'!$A$36:$A$45</c:f>
              <c:numCache>
                <c:formatCode>m/d;@</c:formatCode>
                <c:ptCount val="10"/>
                <c:pt idx="0" c:formatCode="m/d;@">
                  <c:v>44655</c:v>
                </c:pt>
                <c:pt idx="1" c:formatCode="m/d;@">
                  <c:v>44656</c:v>
                </c:pt>
                <c:pt idx="2" c:formatCode="m/d;@">
                  <c:v>44657</c:v>
                </c:pt>
                <c:pt idx="3" c:formatCode="m/d;@">
                  <c:v>44658</c:v>
                </c:pt>
                <c:pt idx="4" c:formatCode="m/d;@">
                  <c:v>44659</c:v>
                </c:pt>
                <c:pt idx="5" c:formatCode="m/d;@">
                  <c:v>44660</c:v>
                </c:pt>
                <c:pt idx="6" c:formatCode="m/d;@">
                  <c:v>44661</c:v>
                </c:pt>
                <c:pt idx="7" c:formatCode="m/d;@">
                  <c:v>44662</c:v>
                </c:pt>
                <c:pt idx="8" c:formatCode="m/d;@">
                  <c:v>44663</c:v>
                </c:pt>
                <c:pt idx="9" c:formatCode="m/d;@">
                  <c:v>44664</c:v>
                </c:pt>
              </c:numCache>
            </c:numRef>
          </c:cat>
          <c:val>
            <c:numRef>
              <c:f>'2022.4.13'!$B$36:$B$45</c:f>
              <c:numCache>
                <c:formatCode>0.00_ </c:formatCode>
                <c:ptCount val="10"/>
                <c:pt idx="0">
                  <c:v>232.13</c:v>
                </c:pt>
                <c:pt idx="1">
                  <c:v>125.95</c:v>
                </c:pt>
                <c:pt idx="2">
                  <c:v>127.45</c:v>
                </c:pt>
                <c:pt idx="3">
                  <c:v>128.33</c:v>
                </c:pt>
                <c:pt idx="4">
                  <c:v>134.24</c:v>
                </c:pt>
                <c:pt idx="5">
                  <c:v>130.5</c:v>
                </c:pt>
                <c:pt idx="6">
                  <c:v>196.22</c:v>
                </c:pt>
                <c:pt idx="7">
                  <c:v>180.1</c:v>
                </c:pt>
                <c:pt idx="8">
                  <c:v>117.48</c:v>
                </c:pt>
                <c:pt idx="9">
                  <c:v>199.08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过去</a:t>
                </a:r>
                <a:r>
                  <a:rPr lang="en-US" altLang="zh-CN"/>
                  <a:t>10</a:t>
                </a:r>
                <a:r>
                  <a:rPr lang="zh-CN" altLang="en-US"/>
                  <a:t>天总产值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'2022.4.13'!$I$42</c:f>
              <c:strCache>
                <c:ptCount val="1"/>
                <c:pt idx="0">
                  <c:v>完成进度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'2022.4.13'!$H$43:$H$47</c:f>
              <c:strCache>
                <c:ptCount val="5"/>
                <c:pt idx="0">
                  <c:v>梁片预制</c:v>
                </c:pt>
                <c:pt idx="1">
                  <c:v>梁片安装</c:v>
                </c:pt>
                <c:pt idx="2">
                  <c:v>湿接缝</c:v>
                </c:pt>
                <c:pt idx="3">
                  <c:v>防撞护栏</c:v>
                </c:pt>
                <c:pt idx="4">
                  <c:v>桥面铺装</c:v>
                </c:pt>
              </c:strCache>
            </c:strRef>
          </c:cat>
          <c:val>
            <c:numRef>
              <c:f>'2022.4.13'!$I$43:$I$47</c:f>
              <c:numCache>
                <c:formatCode>0.00%</c:formatCode>
                <c:ptCount val="5"/>
                <c:pt idx="0">
                  <c:v>0.2518</c:v>
                </c:pt>
                <c:pt idx="1">
                  <c:v>0.216</c:v>
                </c:pt>
                <c:pt idx="2">
                  <c:v>0.1542</c:v>
                </c:pt>
                <c:pt idx="3">
                  <c:v>0.0892</c:v>
                </c:pt>
                <c:pt idx="4">
                  <c:v>0.0151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39901851"/>
        <c:axId val="361884157"/>
      </c:barChart>
      <c:catAx>
        <c:axId val="939901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4157"/>
        <c:crosses val="autoZero"/>
        <c:auto val="1"/>
        <c:lblAlgn val="ctr"/>
        <c:lblOffset val="100"/>
        <c:noMultiLvlLbl val="0"/>
      </c:catAx>
      <c:valAx>
        <c:axId val="36188415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9018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'2021.11.8'!$A$23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('2021.11.8'!$B$23,'2021.11.8'!$C$23:$D$23)</c:f>
              <c:numCache>
                <c:formatCode>General</c:formatCode>
                <c:ptCount val="3"/>
                <c:pt idx="0">
                  <c:v>87</c:v>
                </c:pt>
                <c:pt idx="1">
                  <c:v>0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'2021.11.8'!$A$24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('2021.11.8'!$B$24,'2021.11.8'!$C$24:$D$24)</c:f>
              <c:numCache>
                <c:formatCode>General</c:formatCode>
                <c:ptCount val="3"/>
                <c:pt idx="0">
                  <c:v>60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'2021.11.8'!$A$25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('2021.11.8'!$B$25,'2021.11.8'!$C$25:$D$25)</c:f>
              <c:numCache>
                <c:formatCode>General</c:formatCode>
                <c:ptCount val="3"/>
                <c:pt idx="0">
                  <c:v>5633</c:v>
                </c:pt>
                <c:pt idx="1">
                  <c:v>0</c:v>
                </c:pt>
                <c:pt idx="2">
                  <c:v>5685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5696"/>
        <c:axId val="658826928"/>
      </c:barChart>
      <c:catAx>
        <c:axId val="65881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'2021.11.9'!$A$31:$A$40</c:f>
              <c:numCache>
                <c:formatCode>m/d;@</c:formatCode>
                <c:ptCount val="10"/>
                <c:pt idx="0" c:formatCode="m/d;@">
                  <c:v>44500</c:v>
                </c:pt>
                <c:pt idx="1" c:formatCode="m/d;@">
                  <c:v>44501</c:v>
                </c:pt>
                <c:pt idx="2" c:formatCode="m/d;@">
                  <c:v>44502</c:v>
                </c:pt>
                <c:pt idx="3" c:formatCode="m/d;@">
                  <c:v>44503</c:v>
                </c:pt>
                <c:pt idx="4" c:formatCode="m/d;@">
                  <c:v>44504</c:v>
                </c:pt>
                <c:pt idx="5" c:formatCode="m/d;@">
                  <c:v>44505</c:v>
                </c:pt>
                <c:pt idx="6" c:formatCode="m/d;@">
                  <c:v>44506</c:v>
                </c:pt>
                <c:pt idx="7" c:formatCode="m/d;@">
                  <c:v>44507</c:v>
                </c:pt>
                <c:pt idx="8" c:formatCode="m/d;@">
                  <c:v>44508</c:v>
                </c:pt>
                <c:pt idx="9" c:formatCode="m/d;@">
                  <c:v>44509</c:v>
                </c:pt>
              </c:numCache>
            </c:numRef>
          </c:cat>
          <c:val>
            <c:numRef>
              <c:f>'2021.11.9'!$B$31:$B$40</c:f>
              <c:numCache>
                <c:formatCode>0.00_ </c:formatCode>
                <c:ptCount val="10"/>
                <c:pt idx="0">
                  <c:v>48.67</c:v>
                </c:pt>
                <c:pt idx="1">
                  <c:v>31.25</c:v>
                </c:pt>
                <c:pt idx="2">
                  <c:v>31.89</c:v>
                </c:pt>
                <c:pt idx="3">
                  <c:v>38.55</c:v>
                </c:pt>
                <c:pt idx="4">
                  <c:v>39.66</c:v>
                </c:pt>
                <c:pt idx="5">
                  <c:v>71.07</c:v>
                </c:pt>
                <c:pt idx="6">
                  <c:v>33.07</c:v>
                </c:pt>
                <c:pt idx="7">
                  <c:v>64.11</c:v>
                </c:pt>
                <c:pt idx="8">
                  <c:v>63.29</c:v>
                </c:pt>
                <c:pt idx="9">
                  <c:v>63.95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'2021.11.9'!$A$23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effectLst/>
            <a:sp3d/>
          </c:spPr>
          <c:dLbls>
            <c:delete val="1"/>
          </c:dLbls>
          <c:val>
            <c:numRef>
              <c:f>('2021.11.9'!$B$23,'2021.11.9'!$C$23:$D$23)</c:f>
              <c:numCache>
                <c:formatCode>General</c:formatCode>
                <c:ptCount val="3"/>
                <c:pt idx="0">
                  <c:v>91</c:v>
                </c:pt>
                <c:pt idx="1">
                  <c:v>0</c:v>
                </c:pt>
                <c:pt idx="2">
                  <c:v>63</c:v>
                </c:pt>
              </c:numCache>
            </c:numRef>
          </c:val>
        </c:ser>
        <c:ser>
          <c:idx val="1"/>
          <c:order val="1"/>
          <c:tx>
            <c:strRef>
              <c:f>'2021.11.9'!$A$24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effectLst/>
            <a:sp3d/>
          </c:spPr>
          <c:dLbls>
            <c:delete val="1"/>
          </c:dLbls>
          <c:val>
            <c:numRef>
              <c:f>('2021.11.9'!$B$24,'2021.11.9'!$C$24:$D$24)</c:f>
              <c:numCache>
                <c:formatCode>General</c:formatCode>
                <c:ptCount val="3"/>
                <c:pt idx="0">
                  <c:v>64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'2021.11.9'!$A$25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effectLst/>
            <a:sp3d/>
          </c:spPr>
          <c:dLbls>
            <c:delete val="1"/>
          </c:dLbls>
          <c:val>
            <c:numRef>
              <c:f>('2021.11.9'!$B$25,'2021.11.9'!$C$25:$D$25)</c:f>
              <c:numCache>
                <c:formatCode>General</c:formatCode>
                <c:ptCount val="3"/>
                <c:pt idx="0">
                  <c:v>5625</c:v>
                </c:pt>
                <c:pt idx="1">
                  <c:v>0</c:v>
                </c:pt>
                <c:pt idx="2">
                  <c:v>5682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15696"/>
        <c:axId val="658826928"/>
      </c:areaChart>
      <c:catAx>
        <c:axId val="658815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'2021.11.10'!$A$31:$A$40</c:f>
              <c:numCache>
                <c:formatCode>m/d;@</c:formatCode>
                <c:ptCount val="10"/>
                <c:pt idx="0" c:formatCode="m/d;@">
                  <c:v>44501</c:v>
                </c:pt>
                <c:pt idx="1" c:formatCode="m/d;@">
                  <c:v>44502</c:v>
                </c:pt>
                <c:pt idx="2" c:formatCode="m/d;@">
                  <c:v>44503</c:v>
                </c:pt>
                <c:pt idx="3" c:formatCode="m/d;@">
                  <c:v>44504</c:v>
                </c:pt>
                <c:pt idx="4" c:formatCode="m/d;@">
                  <c:v>44505</c:v>
                </c:pt>
                <c:pt idx="5" c:formatCode="m/d;@">
                  <c:v>44506</c:v>
                </c:pt>
                <c:pt idx="6" c:formatCode="m/d;@">
                  <c:v>44507</c:v>
                </c:pt>
                <c:pt idx="7" c:formatCode="m/d;@">
                  <c:v>44508</c:v>
                </c:pt>
                <c:pt idx="8" c:formatCode="m/d;@">
                  <c:v>44509</c:v>
                </c:pt>
                <c:pt idx="9" c:formatCode="m/d;@">
                  <c:v>44510</c:v>
                </c:pt>
              </c:numCache>
            </c:numRef>
          </c:cat>
          <c:val>
            <c:numRef>
              <c:f>'2021.11.10'!$B$31:$B$40</c:f>
              <c:numCache>
                <c:formatCode>0.00_ </c:formatCode>
                <c:ptCount val="10"/>
                <c:pt idx="0">
                  <c:v>31.25</c:v>
                </c:pt>
                <c:pt idx="1">
                  <c:v>31.89</c:v>
                </c:pt>
                <c:pt idx="2">
                  <c:v>38.55</c:v>
                </c:pt>
                <c:pt idx="3">
                  <c:v>39.66</c:v>
                </c:pt>
                <c:pt idx="4">
                  <c:v>71.07</c:v>
                </c:pt>
                <c:pt idx="5">
                  <c:v>33.07</c:v>
                </c:pt>
                <c:pt idx="6">
                  <c:v>64.11</c:v>
                </c:pt>
                <c:pt idx="7">
                  <c:v>63.29</c:v>
                </c:pt>
                <c:pt idx="8">
                  <c:v>63.95</c:v>
                </c:pt>
                <c:pt idx="9">
                  <c:v>54.13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'2021.11.10'!$A$23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effectLst/>
            <a:sp3d/>
          </c:spPr>
          <c:dLbls>
            <c:delete val="1"/>
          </c:dLbls>
          <c:val>
            <c:numRef>
              <c:f>('2021.11.10'!$B$23,'2021.11.10'!$C$23:$D$23)</c:f>
              <c:numCache>
                <c:formatCode>General</c:formatCode>
                <c:ptCount val="3"/>
                <c:pt idx="0">
                  <c:v>94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1"/>
          <c:order val="1"/>
          <c:tx>
            <c:strRef>
              <c:f>'2021.11.10'!$A$24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effectLst/>
            <a:sp3d/>
          </c:spPr>
          <c:dLbls>
            <c:delete val="1"/>
          </c:dLbls>
          <c:val>
            <c:numRef>
              <c:f>('2021.11.10'!$B$24,'2021.11.10'!$C$24:$D$24)</c:f>
              <c:numCache>
                <c:formatCode>General</c:formatCode>
                <c:ptCount val="3"/>
                <c:pt idx="0">
                  <c:v>67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'2021.11.10'!$A$25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effectLst/>
            <a:sp3d/>
          </c:spPr>
          <c:dLbls>
            <c:delete val="1"/>
          </c:dLbls>
          <c:val>
            <c:numRef>
              <c:f>('2021.11.10'!$B$25,'2021.11.10'!$C$25:$D$25)</c:f>
              <c:numCache>
                <c:formatCode>General</c:formatCode>
                <c:ptCount val="3"/>
                <c:pt idx="0">
                  <c:v>5619</c:v>
                </c:pt>
                <c:pt idx="1">
                  <c:v>0</c:v>
                </c:pt>
                <c:pt idx="2">
                  <c:v>5679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15696"/>
        <c:axId val="658826928"/>
      </c:areaChart>
      <c:catAx>
        <c:axId val="658815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'2021.11.11'!$A$31:$A$40</c:f>
              <c:numCache>
                <c:formatCode>m/d;@</c:formatCode>
                <c:ptCount val="10"/>
                <c:pt idx="0" c:formatCode="m/d;@">
                  <c:v>44502</c:v>
                </c:pt>
                <c:pt idx="1" c:formatCode="m/d;@">
                  <c:v>44503</c:v>
                </c:pt>
                <c:pt idx="2" c:formatCode="m/d;@">
                  <c:v>44504</c:v>
                </c:pt>
                <c:pt idx="3" c:formatCode="m/d;@">
                  <c:v>44505</c:v>
                </c:pt>
                <c:pt idx="4" c:formatCode="m/d;@">
                  <c:v>44506</c:v>
                </c:pt>
                <c:pt idx="5" c:formatCode="m/d;@">
                  <c:v>44507</c:v>
                </c:pt>
                <c:pt idx="6" c:formatCode="m/d;@">
                  <c:v>44508</c:v>
                </c:pt>
                <c:pt idx="7" c:formatCode="m/d;@">
                  <c:v>44509</c:v>
                </c:pt>
                <c:pt idx="8" c:formatCode="m/d;@">
                  <c:v>44510</c:v>
                </c:pt>
                <c:pt idx="9" c:formatCode="m/d;@">
                  <c:v>44511</c:v>
                </c:pt>
              </c:numCache>
            </c:numRef>
          </c:cat>
          <c:val>
            <c:numRef>
              <c:f>'2021.11.11'!$B$31:$B$40</c:f>
              <c:numCache>
                <c:formatCode>0.00_ </c:formatCode>
                <c:ptCount val="10"/>
                <c:pt idx="0">
                  <c:v>31.89</c:v>
                </c:pt>
                <c:pt idx="1">
                  <c:v>38.55</c:v>
                </c:pt>
                <c:pt idx="2">
                  <c:v>39.66</c:v>
                </c:pt>
                <c:pt idx="3">
                  <c:v>71.07</c:v>
                </c:pt>
                <c:pt idx="4">
                  <c:v>33.07</c:v>
                </c:pt>
                <c:pt idx="5">
                  <c:v>64.11</c:v>
                </c:pt>
                <c:pt idx="6">
                  <c:v>63.29</c:v>
                </c:pt>
                <c:pt idx="7">
                  <c:v>63.95</c:v>
                </c:pt>
                <c:pt idx="8">
                  <c:v>54.13</c:v>
                </c:pt>
                <c:pt idx="9">
                  <c:v>54.16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'2021.10.6'!$A$31:$A$40</c:f>
              <c:numCache>
                <c:formatCode>m/d;@</c:formatCode>
                <c:ptCount val="10"/>
                <c:pt idx="0" c:formatCode="m/d;@">
                  <c:v>44466</c:v>
                </c:pt>
                <c:pt idx="1" c:formatCode="m/d;@">
                  <c:v>44467</c:v>
                </c:pt>
                <c:pt idx="2" c:formatCode="m/d;@">
                  <c:v>44468</c:v>
                </c:pt>
                <c:pt idx="3" c:formatCode="m/d;@">
                  <c:v>44469</c:v>
                </c:pt>
                <c:pt idx="4" c:formatCode="m/d;@">
                  <c:v>44470</c:v>
                </c:pt>
                <c:pt idx="5" c:formatCode="m/d;@">
                  <c:v>44471</c:v>
                </c:pt>
                <c:pt idx="6" c:formatCode="m/d;@">
                  <c:v>44472</c:v>
                </c:pt>
                <c:pt idx="7" c:formatCode="m/d;@">
                  <c:v>44473</c:v>
                </c:pt>
                <c:pt idx="8" c:formatCode="m/d;@">
                  <c:v>44474</c:v>
                </c:pt>
                <c:pt idx="9" c:formatCode="m/d;@">
                  <c:v>44475</c:v>
                </c:pt>
              </c:numCache>
            </c:numRef>
          </c:cat>
          <c:val>
            <c:numRef>
              <c:f>'2021.10.6'!$B$31:$B$40</c:f>
              <c:numCache>
                <c:formatCode>0.00_ </c:formatCode>
                <c:ptCount val="10"/>
                <c:pt idx="0">
                  <c:v>2</c:v>
                </c:pt>
                <c:pt idx="1">
                  <c:v>16.28</c:v>
                </c:pt>
                <c:pt idx="2">
                  <c:v>33.25</c:v>
                </c:pt>
                <c:pt idx="3">
                  <c:v>8.82</c:v>
                </c:pt>
                <c:pt idx="4">
                  <c:v>24.1</c:v>
                </c:pt>
                <c:pt idx="5">
                  <c:v>17.46</c:v>
                </c:pt>
                <c:pt idx="6">
                  <c:v>31.74</c:v>
                </c:pt>
                <c:pt idx="7">
                  <c:v>2</c:v>
                </c:pt>
                <c:pt idx="8">
                  <c:v>33.56</c:v>
                </c:pt>
                <c:pt idx="9">
                  <c:v>23.1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'2021.11.11'!$A$23</c:f>
              <c:strCache>
                <c:ptCount val="1"/>
                <c:pt idx="0">
                  <c:v>1#浇筑</c:v>
                </c:pt>
              </c:strCache>
            </c:strRef>
          </c:tx>
          <c:spPr>
            <a:solidFill>
              <a:schemeClr val="accent1"/>
            </a:solidFill>
            <a:effectLst/>
            <a:sp3d/>
          </c:spPr>
          <c:dLbls>
            <c:delete val="1"/>
          </c:dLbls>
          <c:val>
            <c:numRef>
              <c:f>('2021.11.11'!$B$23,'2021.11.11'!$C$23:$D$23)</c:f>
              <c:numCache>
                <c:formatCode>General</c:formatCode>
                <c:ptCount val="3"/>
                <c:pt idx="0">
                  <c:v>97</c:v>
                </c:pt>
                <c:pt idx="1">
                  <c:v>0</c:v>
                </c:pt>
                <c:pt idx="2">
                  <c:v>68</c:v>
                </c:pt>
              </c:numCache>
            </c:numRef>
          </c:val>
        </c:ser>
        <c:ser>
          <c:idx val="1"/>
          <c:order val="1"/>
          <c:tx>
            <c:strRef>
              <c:f>'2021.11.11'!$A$24</c:f>
              <c:strCache>
                <c:ptCount val="1"/>
                <c:pt idx="0">
                  <c:v>2#浇筑</c:v>
                </c:pt>
              </c:strCache>
            </c:strRef>
          </c:tx>
          <c:spPr>
            <a:solidFill>
              <a:schemeClr val="accent2"/>
            </a:solidFill>
            <a:effectLst/>
            <a:sp3d/>
          </c:spPr>
          <c:dLbls>
            <c:delete val="1"/>
          </c:dLbls>
          <c:val>
            <c:numRef>
              <c:f>('2021.11.11'!$B$24,'2021.11.11'!$C$24:$D$24)</c:f>
              <c:numCache>
                <c:formatCode>General</c:formatCode>
                <c:ptCount val="3"/>
                <c:pt idx="0">
                  <c:v>71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'2021.11.11'!$A$25</c:f>
              <c:strCache>
                <c:ptCount val="1"/>
                <c:pt idx="0">
                  <c:v>剩余数</c:v>
                </c:pt>
              </c:strCache>
            </c:strRef>
          </c:tx>
          <c:spPr>
            <a:solidFill>
              <a:schemeClr val="accent3"/>
            </a:solidFill>
            <a:effectLst/>
            <a:sp3d/>
          </c:spPr>
          <c:dLbls>
            <c:delete val="1"/>
          </c:dLbls>
          <c:val>
            <c:numRef>
              <c:f>('2021.11.11'!$B$25,'2021.11.11'!$C$25:$D$25)</c:f>
              <c:numCache>
                <c:formatCode>General</c:formatCode>
                <c:ptCount val="3"/>
                <c:pt idx="0">
                  <c:v>5612</c:v>
                </c:pt>
                <c:pt idx="1">
                  <c:v>0</c:v>
                </c:pt>
                <c:pt idx="2">
                  <c:v>5677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15696"/>
        <c:axId val="658826928"/>
      </c:areaChart>
      <c:catAx>
        <c:axId val="658815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'2021.11.12'!$A$31:$A$40</c:f>
              <c:numCache>
                <c:formatCode>m/d;@</c:formatCode>
                <c:ptCount val="10"/>
                <c:pt idx="0" c:formatCode="m/d;@">
                  <c:v>44503</c:v>
                </c:pt>
                <c:pt idx="1" c:formatCode="m/d;@">
                  <c:v>44504</c:v>
                </c:pt>
                <c:pt idx="2" c:formatCode="m/d;@">
                  <c:v>44505</c:v>
                </c:pt>
                <c:pt idx="3" c:formatCode="m/d;@">
                  <c:v>44506</c:v>
                </c:pt>
                <c:pt idx="4" c:formatCode="m/d;@">
                  <c:v>44507</c:v>
                </c:pt>
                <c:pt idx="5" c:formatCode="m/d;@">
                  <c:v>44508</c:v>
                </c:pt>
                <c:pt idx="6" c:formatCode="m/d;@">
                  <c:v>44509</c:v>
                </c:pt>
                <c:pt idx="7" c:formatCode="m/d;@">
                  <c:v>44510</c:v>
                </c:pt>
                <c:pt idx="8" c:formatCode="m/d;@">
                  <c:v>44511</c:v>
                </c:pt>
                <c:pt idx="9" c:formatCode="m/d;@">
                  <c:v>44512</c:v>
                </c:pt>
              </c:numCache>
            </c:numRef>
          </c:cat>
          <c:val>
            <c:numRef>
              <c:f>'2021.11.12'!$B$31:$B$40</c:f>
              <c:numCache>
                <c:formatCode>0.00_ </c:formatCode>
                <c:ptCount val="10"/>
                <c:pt idx="0">
                  <c:v>38.55</c:v>
                </c:pt>
                <c:pt idx="1">
                  <c:v>39.66</c:v>
                </c:pt>
                <c:pt idx="2">
                  <c:v>71.07</c:v>
                </c:pt>
                <c:pt idx="3">
                  <c:v>33.07</c:v>
                </c:pt>
                <c:pt idx="4">
                  <c:v>64.11</c:v>
                </c:pt>
                <c:pt idx="5">
                  <c:v>63.29</c:v>
                </c:pt>
                <c:pt idx="6">
                  <c:v>63.95</c:v>
                </c:pt>
                <c:pt idx="7">
                  <c:v>54.13</c:v>
                </c:pt>
                <c:pt idx="8">
                  <c:v>54.16</c:v>
                </c:pt>
                <c:pt idx="9">
                  <c:v>46.53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'2021.11.12'!$A$23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('2021.11.12'!$B$23,'2021.11.12'!$C$23:$D$23)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70</c:v>
                </c:pt>
              </c:numCache>
            </c:numRef>
          </c:val>
        </c:ser>
        <c:ser>
          <c:idx val="1"/>
          <c:order val="1"/>
          <c:tx>
            <c:strRef>
              <c:f>'2021.11.12'!$A$24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('2021.11.12'!$B$24,'2021.11.12'!$C$24:$D$24)</c:f>
              <c:numCache>
                <c:formatCode>General</c:formatCode>
                <c:ptCount val="3"/>
                <c:pt idx="0">
                  <c:v>74</c:v>
                </c:pt>
                <c:pt idx="1">
                  <c:v>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'2021.11.12'!$A$25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('2021.11.12'!$B$25,'2021.11.12'!$C$25:$D$25)</c:f>
              <c:numCache>
                <c:formatCode>General</c:formatCode>
                <c:ptCount val="3"/>
                <c:pt idx="0">
                  <c:v>5606</c:v>
                </c:pt>
                <c:pt idx="1">
                  <c:v>0</c:v>
                </c:pt>
                <c:pt idx="2">
                  <c:v>5675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'2021.11.13'!$A$31:$A$40</c:f>
              <c:numCache>
                <c:formatCode>m/d;@</c:formatCode>
                <c:ptCount val="10"/>
                <c:pt idx="0" c:formatCode="m/d;@">
                  <c:v>44504</c:v>
                </c:pt>
                <c:pt idx="1" c:formatCode="m/d;@">
                  <c:v>44505</c:v>
                </c:pt>
                <c:pt idx="2" c:formatCode="m/d;@">
                  <c:v>44506</c:v>
                </c:pt>
                <c:pt idx="3" c:formatCode="m/d;@">
                  <c:v>44507</c:v>
                </c:pt>
                <c:pt idx="4" c:formatCode="m/d;@">
                  <c:v>44508</c:v>
                </c:pt>
                <c:pt idx="5" c:formatCode="m/d;@">
                  <c:v>44509</c:v>
                </c:pt>
                <c:pt idx="6" c:formatCode="m/d;@">
                  <c:v>44510</c:v>
                </c:pt>
                <c:pt idx="7" c:formatCode="m/d;@">
                  <c:v>44511</c:v>
                </c:pt>
                <c:pt idx="8" c:formatCode="m/d;@">
                  <c:v>44512</c:v>
                </c:pt>
                <c:pt idx="9" c:formatCode="m/d;@">
                  <c:v>44513</c:v>
                </c:pt>
              </c:numCache>
            </c:numRef>
          </c:cat>
          <c:val>
            <c:numRef>
              <c:f>'2021.11.13'!$B$31:$B$40</c:f>
              <c:numCache>
                <c:formatCode>0.00_ </c:formatCode>
                <c:ptCount val="10"/>
                <c:pt idx="0">
                  <c:v>39.66</c:v>
                </c:pt>
                <c:pt idx="1">
                  <c:v>71.07</c:v>
                </c:pt>
                <c:pt idx="2">
                  <c:v>33.07</c:v>
                </c:pt>
                <c:pt idx="3">
                  <c:v>64.11</c:v>
                </c:pt>
                <c:pt idx="4">
                  <c:v>63.29</c:v>
                </c:pt>
                <c:pt idx="5">
                  <c:v>63.95</c:v>
                </c:pt>
                <c:pt idx="6">
                  <c:v>54.13</c:v>
                </c:pt>
                <c:pt idx="7">
                  <c:v>54.16</c:v>
                </c:pt>
                <c:pt idx="8">
                  <c:v>46.53</c:v>
                </c:pt>
                <c:pt idx="9">
                  <c:v>49.95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'2021.11.13'!$A$23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('2021.11.13'!$B$23,'2021.11.13'!$C$23:$D$23)</c:f>
              <c:numCache>
                <c:formatCode>General</c:formatCode>
                <c:ptCount val="3"/>
                <c:pt idx="0">
                  <c:v>103</c:v>
                </c:pt>
                <c:pt idx="1">
                  <c:v>0</c:v>
                </c:pt>
                <c:pt idx="2">
                  <c:v>73</c:v>
                </c:pt>
              </c:numCache>
            </c:numRef>
          </c:val>
        </c:ser>
        <c:ser>
          <c:idx val="1"/>
          <c:order val="1"/>
          <c:tx>
            <c:strRef>
              <c:f>'2021.11.13'!$A$24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('2021.11.13'!$B$24,'2021.11.13'!$C$24:$D$24)</c:f>
              <c:numCache>
                <c:formatCode>General</c:formatCode>
                <c:ptCount val="3"/>
                <c:pt idx="0">
                  <c:v>77</c:v>
                </c:pt>
                <c:pt idx="1">
                  <c:v>0</c:v>
                </c:pt>
                <c:pt idx="2">
                  <c:v>55</c:v>
                </c:pt>
              </c:numCache>
            </c:numRef>
          </c:val>
        </c:ser>
        <c:ser>
          <c:idx val="2"/>
          <c:order val="2"/>
          <c:tx>
            <c:strRef>
              <c:f>'2021.11.13'!$A$25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('2021.11.13'!$B$25,'2021.11.13'!$C$25:$D$25)</c:f>
              <c:numCache>
                <c:formatCode>General</c:formatCode>
                <c:ptCount val="3"/>
                <c:pt idx="0">
                  <c:v>5600</c:v>
                </c:pt>
                <c:pt idx="1">
                  <c:v>0</c:v>
                </c:pt>
                <c:pt idx="2">
                  <c:v>5652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'2021.11.14'!$A$31:$A$40</c:f>
              <c:numCache>
                <c:formatCode>m/d;@</c:formatCode>
                <c:ptCount val="10"/>
                <c:pt idx="0" c:formatCode="m/d;@">
                  <c:v>44505</c:v>
                </c:pt>
                <c:pt idx="1" c:formatCode="m/d;@">
                  <c:v>44506</c:v>
                </c:pt>
                <c:pt idx="2" c:formatCode="m/d;@">
                  <c:v>44507</c:v>
                </c:pt>
                <c:pt idx="3" c:formatCode="m/d;@">
                  <c:v>44508</c:v>
                </c:pt>
                <c:pt idx="4" c:formatCode="m/d;@">
                  <c:v>44509</c:v>
                </c:pt>
                <c:pt idx="5" c:formatCode="m/d;@">
                  <c:v>44510</c:v>
                </c:pt>
                <c:pt idx="6" c:formatCode="m/d;@">
                  <c:v>44511</c:v>
                </c:pt>
                <c:pt idx="7" c:formatCode="m/d;@">
                  <c:v>44512</c:v>
                </c:pt>
                <c:pt idx="8" c:formatCode="m/d;@">
                  <c:v>44513</c:v>
                </c:pt>
                <c:pt idx="9" c:formatCode="m/d;@">
                  <c:v>44514</c:v>
                </c:pt>
              </c:numCache>
            </c:numRef>
          </c:cat>
          <c:val>
            <c:numRef>
              <c:f>'2021.11.14'!$B$31:$B$40</c:f>
              <c:numCache>
                <c:formatCode>0.00_ </c:formatCode>
                <c:ptCount val="10"/>
                <c:pt idx="0">
                  <c:v>71.07</c:v>
                </c:pt>
                <c:pt idx="1">
                  <c:v>33.07</c:v>
                </c:pt>
                <c:pt idx="2">
                  <c:v>64.11</c:v>
                </c:pt>
                <c:pt idx="3">
                  <c:v>63.29</c:v>
                </c:pt>
                <c:pt idx="4">
                  <c:v>63.95</c:v>
                </c:pt>
                <c:pt idx="5">
                  <c:v>54.13</c:v>
                </c:pt>
                <c:pt idx="6">
                  <c:v>54.16</c:v>
                </c:pt>
                <c:pt idx="7">
                  <c:v>46.53</c:v>
                </c:pt>
                <c:pt idx="8">
                  <c:v>49.95</c:v>
                </c:pt>
                <c:pt idx="9">
                  <c:v>39.31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'2021.11.14'!$A$23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('2021.11.14'!$B$23,'2021.11.14'!$C$23:$D$23)</c:f>
              <c:numCache>
                <c:formatCode>General</c:formatCode>
                <c:ptCount val="3"/>
                <c:pt idx="0">
                  <c:v>105</c:v>
                </c:pt>
                <c:pt idx="1">
                  <c:v>0</c:v>
                </c:pt>
                <c:pt idx="2">
                  <c:v>73</c:v>
                </c:pt>
              </c:numCache>
            </c:numRef>
          </c:val>
        </c:ser>
        <c:ser>
          <c:idx val="1"/>
          <c:order val="1"/>
          <c:tx>
            <c:strRef>
              <c:f>'2021.11.14'!$A$24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('2021.11.14'!$B$24,'2021.11.14'!$C$24:$D$24)</c:f>
              <c:numCache>
                <c:formatCode>General</c:formatCode>
                <c:ptCount val="3"/>
                <c:pt idx="0">
                  <c:v>80</c:v>
                </c:pt>
                <c:pt idx="1">
                  <c:v>0</c:v>
                </c:pt>
                <c:pt idx="2">
                  <c:v>61</c:v>
                </c:pt>
              </c:numCache>
            </c:numRef>
          </c:val>
        </c:ser>
        <c:ser>
          <c:idx val="2"/>
          <c:order val="2"/>
          <c:tx>
            <c:strRef>
              <c:f>'2021.11.14'!$A$25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('2021.11.14'!$B$25,'2021.11.14'!$C$25:$D$25)</c:f>
              <c:numCache>
                <c:formatCode>General</c:formatCode>
                <c:ptCount val="3"/>
                <c:pt idx="0">
                  <c:v>5595</c:v>
                </c:pt>
                <c:pt idx="1">
                  <c:v>0</c:v>
                </c:pt>
                <c:pt idx="2">
                  <c:v>5646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'2021.11.15'!$A$31:$A$40</c:f>
              <c:numCache>
                <c:formatCode>m/d;@</c:formatCode>
                <c:ptCount val="10"/>
                <c:pt idx="0" c:formatCode="m/d;@">
                  <c:v>44506</c:v>
                </c:pt>
                <c:pt idx="1" c:formatCode="m/d;@">
                  <c:v>44507</c:v>
                </c:pt>
                <c:pt idx="2" c:formatCode="m/d;@">
                  <c:v>44508</c:v>
                </c:pt>
                <c:pt idx="3" c:formatCode="m/d;@">
                  <c:v>44509</c:v>
                </c:pt>
                <c:pt idx="4" c:formatCode="m/d;@">
                  <c:v>44510</c:v>
                </c:pt>
                <c:pt idx="5" c:formatCode="m/d;@">
                  <c:v>44511</c:v>
                </c:pt>
                <c:pt idx="6" c:formatCode="m/d;@">
                  <c:v>44512</c:v>
                </c:pt>
                <c:pt idx="7" c:formatCode="m/d;@">
                  <c:v>44513</c:v>
                </c:pt>
                <c:pt idx="8" c:formatCode="m/d;@">
                  <c:v>44514</c:v>
                </c:pt>
                <c:pt idx="9" c:formatCode="m/d;@">
                  <c:v>44515</c:v>
                </c:pt>
              </c:numCache>
            </c:numRef>
          </c:cat>
          <c:val>
            <c:numRef>
              <c:f>'2021.11.15'!$B$31:$B$40</c:f>
              <c:numCache>
                <c:formatCode>0.00_ </c:formatCode>
                <c:ptCount val="10"/>
                <c:pt idx="0">
                  <c:v>33.07</c:v>
                </c:pt>
                <c:pt idx="1">
                  <c:v>64.11</c:v>
                </c:pt>
                <c:pt idx="2">
                  <c:v>63.29</c:v>
                </c:pt>
                <c:pt idx="3">
                  <c:v>63.95</c:v>
                </c:pt>
                <c:pt idx="4">
                  <c:v>54.13</c:v>
                </c:pt>
                <c:pt idx="5">
                  <c:v>54.16</c:v>
                </c:pt>
                <c:pt idx="6">
                  <c:v>46.53</c:v>
                </c:pt>
                <c:pt idx="7">
                  <c:v>49.95</c:v>
                </c:pt>
                <c:pt idx="8">
                  <c:v>39.31</c:v>
                </c:pt>
                <c:pt idx="9">
                  <c:v>90.92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'2021.11.15'!$A$23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('2021.11.15'!$B$23,'2021.11.15'!$C$23:$D$23)</c:f>
              <c:numCache>
                <c:formatCode>General</c:formatCode>
                <c:ptCount val="3"/>
                <c:pt idx="0">
                  <c:v>109</c:v>
                </c:pt>
                <c:pt idx="1">
                  <c:v>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'2021.11.15'!$A$24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('2021.11.15'!$B$24,'2021.11.15'!$C$24:$D$24)</c:f>
              <c:numCache>
                <c:formatCode>General</c:formatCode>
                <c:ptCount val="3"/>
                <c:pt idx="0">
                  <c:v>86</c:v>
                </c:pt>
                <c:pt idx="1">
                  <c:v>0</c:v>
                </c:pt>
                <c:pt idx="2">
                  <c:v>63</c:v>
                </c:pt>
              </c:numCache>
            </c:numRef>
          </c:val>
        </c:ser>
        <c:ser>
          <c:idx val="2"/>
          <c:order val="2"/>
          <c:tx>
            <c:strRef>
              <c:f>'2021.11.15'!$A$25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('2021.11.15'!$B$25,'2021.11.15'!$C$25:$D$25)</c:f>
              <c:numCache>
                <c:formatCode>General</c:formatCode>
                <c:ptCount val="3"/>
                <c:pt idx="0">
                  <c:v>5585</c:v>
                </c:pt>
                <c:pt idx="1">
                  <c:v>0</c:v>
                </c:pt>
                <c:pt idx="2">
                  <c:v>5637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'2021.11.16'!$A$31:$A$40</c:f>
              <c:numCache>
                <c:formatCode>m/d;@</c:formatCode>
                <c:ptCount val="10"/>
                <c:pt idx="0" c:formatCode="m/d;@">
                  <c:v>44507</c:v>
                </c:pt>
                <c:pt idx="1" c:formatCode="m/d;@">
                  <c:v>44508</c:v>
                </c:pt>
                <c:pt idx="2" c:formatCode="m/d;@">
                  <c:v>44509</c:v>
                </c:pt>
                <c:pt idx="3" c:formatCode="m/d;@">
                  <c:v>44510</c:v>
                </c:pt>
                <c:pt idx="4" c:formatCode="m/d;@">
                  <c:v>44511</c:v>
                </c:pt>
                <c:pt idx="5" c:formatCode="m/d;@">
                  <c:v>44512</c:v>
                </c:pt>
                <c:pt idx="6" c:formatCode="m/d;@">
                  <c:v>44513</c:v>
                </c:pt>
                <c:pt idx="7" c:formatCode="m/d;@">
                  <c:v>44514</c:v>
                </c:pt>
                <c:pt idx="8" c:formatCode="m/d;@">
                  <c:v>44515</c:v>
                </c:pt>
                <c:pt idx="9" c:formatCode="m/d;@">
                  <c:v>44516</c:v>
                </c:pt>
              </c:numCache>
            </c:numRef>
          </c:cat>
          <c:val>
            <c:numRef>
              <c:f>'2021.11.16'!$B$31:$B$40</c:f>
              <c:numCache>
                <c:formatCode>0.00_ </c:formatCode>
                <c:ptCount val="10"/>
                <c:pt idx="0">
                  <c:v>64.11</c:v>
                </c:pt>
                <c:pt idx="1">
                  <c:v>63.29</c:v>
                </c:pt>
                <c:pt idx="2">
                  <c:v>63.95</c:v>
                </c:pt>
                <c:pt idx="3">
                  <c:v>54.13</c:v>
                </c:pt>
                <c:pt idx="4">
                  <c:v>54.16</c:v>
                </c:pt>
                <c:pt idx="5">
                  <c:v>46.53</c:v>
                </c:pt>
                <c:pt idx="6">
                  <c:v>49.95</c:v>
                </c:pt>
                <c:pt idx="7">
                  <c:v>39.31</c:v>
                </c:pt>
                <c:pt idx="8">
                  <c:v>90.92</c:v>
                </c:pt>
                <c:pt idx="9">
                  <c:v>39.83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'2021.10.7'!$A$31:$A$40</c:f>
              <c:numCache>
                <c:formatCode>m/d;@</c:formatCode>
                <c:ptCount val="10"/>
                <c:pt idx="0" c:formatCode="m/d;@">
                  <c:v>44467</c:v>
                </c:pt>
                <c:pt idx="1" c:formatCode="m/d;@">
                  <c:v>44468</c:v>
                </c:pt>
                <c:pt idx="2" c:formatCode="m/d;@">
                  <c:v>44469</c:v>
                </c:pt>
                <c:pt idx="3" c:formatCode="m/d;@">
                  <c:v>44470</c:v>
                </c:pt>
                <c:pt idx="4" c:formatCode="m/d;@">
                  <c:v>44471</c:v>
                </c:pt>
                <c:pt idx="5" c:formatCode="m/d;@">
                  <c:v>44472</c:v>
                </c:pt>
                <c:pt idx="6" c:formatCode="m/d;@">
                  <c:v>44473</c:v>
                </c:pt>
                <c:pt idx="7" c:formatCode="m/d;@">
                  <c:v>44474</c:v>
                </c:pt>
                <c:pt idx="8" c:formatCode="m/d;@">
                  <c:v>44475</c:v>
                </c:pt>
                <c:pt idx="9" c:formatCode="m/d;@">
                  <c:v>44476</c:v>
                </c:pt>
              </c:numCache>
            </c:numRef>
          </c:cat>
          <c:val>
            <c:numRef>
              <c:f>'2021.10.7'!$B$31:$B$40</c:f>
              <c:numCache>
                <c:formatCode>0.00_ </c:formatCode>
                <c:ptCount val="10"/>
                <c:pt idx="0">
                  <c:v>16.28</c:v>
                </c:pt>
                <c:pt idx="1">
                  <c:v>33.25</c:v>
                </c:pt>
                <c:pt idx="2">
                  <c:v>8.82</c:v>
                </c:pt>
                <c:pt idx="3">
                  <c:v>24.1</c:v>
                </c:pt>
                <c:pt idx="4">
                  <c:v>17.46</c:v>
                </c:pt>
                <c:pt idx="5">
                  <c:v>31.74</c:v>
                </c:pt>
                <c:pt idx="6">
                  <c:v>2</c:v>
                </c:pt>
                <c:pt idx="7">
                  <c:v>33.56</c:v>
                </c:pt>
                <c:pt idx="8">
                  <c:v>23.1</c:v>
                </c:pt>
                <c:pt idx="9">
                  <c:v>7.64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'2021.11.16'!$A$23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('2021.11.16'!$B$23,'2021.11.16'!$C$23:$D$23)</c:f>
              <c:numCache>
                <c:formatCode>General</c:formatCode>
                <c:ptCount val="3"/>
                <c:pt idx="0">
                  <c:v>111</c:v>
                </c:pt>
                <c:pt idx="1">
                  <c:v>0</c:v>
                </c:pt>
                <c:pt idx="2">
                  <c:v>84</c:v>
                </c:pt>
              </c:numCache>
            </c:numRef>
          </c:val>
        </c:ser>
        <c:ser>
          <c:idx val="1"/>
          <c:order val="1"/>
          <c:tx>
            <c:strRef>
              <c:f>'2021.11.16'!$A$24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('2021.11.16'!$B$24,'2021.11.16'!$C$24:$D$24)</c:f>
              <c:numCache>
                <c:formatCode>General</c:formatCode>
                <c:ptCount val="3"/>
                <c:pt idx="0">
                  <c:v>89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'2021.11.16'!$A$25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('2021.11.16'!$B$25,'2021.11.16'!$C$25:$D$25)</c:f>
              <c:numCache>
                <c:formatCode>General</c:formatCode>
                <c:ptCount val="3"/>
                <c:pt idx="0">
                  <c:v>5580</c:v>
                </c:pt>
                <c:pt idx="1">
                  <c:v>0</c:v>
                </c:pt>
                <c:pt idx="2">
                  <c:v>5630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'2021.11.17'!$A$31:$A$40</c:f>
              <c:numCache>
                <c:formatCode>m/d;@</c:formatCode>
                <c:ptCount val="10"/>
                <c:pt idx="0" c:formatCode="m/d;@">
                  <c:v>44508</c:v>
                </c:pt>
                <c:pt idx="1" c:formatCode="m/d;@">
                  <c:v>44509</c:v>
                </c:pt>
                <c:pt idx="2" c:formatCode="m/d;@">
                  <c:v>44510</c:v>
                </c:pt>
                <c:pt idx="3" c:formatCode="m/d;@">
                  <c:v>44511</c:v>
                </c:pt>
                <c:pt idx="4" c:formatCode="m/d;@">
                  <c:v>44512</c:v>
                </c:pt>
                <c:pt idx="5" c:formatCode="m/d;@">
                  <c:v>44513</c:v>
                </c:pt>
                <c:pt idx="6" c:formatCode="m/d;@">
                  <c:v>44514</c:v>
                </c:pt>
                <c:pt idx="7" c:formatCode="m/d;@">
                  <c:v>44515</c:v>
                </c:pt>
                <c:pt idx="8" c:formatCode="m/d;@">
                  <c:v>44516</c:v>
                </c:pt>
                <c:pt idx="9" c:formatCode="m/d;@">
                  <c:v>44517</c:v>
                </c:pt>
              </c:numCache>
            </c:numRef>
          </c:cat>
          <c:val>
            <c:numRef>
              <c:f>'2021.11.17'!$B$31:$B$40</c:f>
              <c:numCache>
                <c:formatCode>0.00_ </c:formatCode>
                <c:ptCount val="10"/>
                <c:pt idx="0">
                  <c:v>63.29</c:v>
                </c:pt>
                <c:pt idx="1">
                  <c:v>63.95</c:v>
                </c:pt>
                <c:pt idx="2">
                  <c:v>54.13</c:v>
                </c:pt>
                <c:pt idx="3">
                  <c:v>54.16</c:v>
                </c:pt>
                <c:pt idx="4">
                  <c:v>46.53</c:v>
                </c:pt>
                <c:pt idx="5">
                  <c:v>49.95</c:v>
                </c:pt>
                <c:pt idx="6">
                  <c:v>39.31</c:v>
                </c:pt>
                <c:pt idx="7">
                  <c:v>90.92</c:v>
                </c:pt>
                <c:pt idx="8">
                  <c:v>39.83</c:v>
                </c:pt>
                <c:pt idx="9">
                  <c:v>52.26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'2021.11.17'!$A$23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('2021.11.17'!$B$23,'2021.11.17'!$C$23:$D$23)</c:f>
              <c:numCache>
                <c:formatCode>General</c:formatCode>
                <c:ptCount val="3"/>
                <c:pt idx="0">
                  <c:v>114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'2021.11.17'!$A$24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('2021.11.17'!$B$24,'2021.11.17'!$C$24:$D$24)</c:f>
              <c:numCache>
                <c:formatCode>General</c:formatCode>
                <c:ptCount val="3"/>
                <c:pt idx="0">
                  <c:v>92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'2021.11.17'!$A$25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('2021.11.17'!$B$25,'2021.11.17'!$C$25:$D$25)</c:f>
              <c:numCache>
                <c:formatCode>General</c:formatCode>
                <c:ptCount val="3"/>
                <c:pt idx="0">
                  <c:v>5574</c:v>
                </c:pt>
                <c:pt idx="1">
                  <c:v>0</c:v>
                </c:pt>
                <c:pt idx="2">
                  <c:v>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'2021.11.18'!$A$31:$A$40</c:f>
              <c:numCache>
                <c:formatCode>m/d;@</c:formatCode>
                <c:ptCount val="10"/>
                <c:pt idx="0" c:formatCode="m/d;@">
                  <c:v>44509</c:v>
                </c:pt>
                <c:pt idx="1" c:formatCode="m/d;@">
                  <c:v>44510</c:v>
                </c:pt>
                <c:pt idx="2" c:formatCode="m/d;@">
                  <c:v>44511</c:v>
                </c:pt>
                <c:pt idx="3" c:formatCode="m/d;@">
                  <c:v>44512</c:v>
                </c:pt>
                <c:pt idx="4" c:formatCode="m/d;@">
                  <c:v>44513</c:v>
                </c:pt>
                <c:pt idx="5" c:formatCode="m/d;@">
                  <c:v>44514</c:v>
                </c:pt>
                <c:pt idx="6" c:formatCode="m/d;@">
                  <c:v>44515</c:v>
                </c:pt>
                <c:pt idx="7" c:formatCode="m/d;@">
                  <c:v>44516</c:v>
                </c:pt>
                <c:pt idx="8" c:formatCode="m/d;@">
                  <c:v>44517</c:v>
                </c:pt>
                <c:pt idx="9" c:formatCode="m/d;@">
                  <c:v>44518</c:v>
                </c:pt>
              </c:numCache>
            </c:numRef>
          </c:cat>
          <c:val>
            <c:numRef>
              <c:f>'2021.11.18'!$B$31:$B$40</c:f>
              <c:numCache>
                <c:formatCode>0.00_ </c:formatCode>
                <c:ptCount val="10"/>
                <c:pt idx="0">
                  <c:v>63.95</c:v>
                </c:pt>
                <c:pt idx="1">
                  <c:v>54.13</c:v>
                </c:pt>
                <c:pt idx="2">
                  <c:v>54.16</c:v>
                </c:pt>
                <c:pt idx="3">
                  <c:v>46.53</c:v>
                </c:pt>
                <c:pt idx="4">
                  <c:v>49.95</c:v>
                </c:pt>
                <c:pt idx="5">
                  <c:v>39.31</c:v>
                </c:pt>
                <c:pt idx="6">
                  <c:v>90.92</c:v>
                </c:pt>
                <c:pt idx="7">
                  <c:v>39.83</c:v>
                </c:pt>
                <c:pt idx="8">
                  <c:v>52.26</c:v>
                </c:pt>
                <c:pt idx="9">
                  <c:v>89.14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'2021.11.18'!$A$23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('2021.11.18'!$B$23,'2021.11.18'!$C$23:$D$23)</c:f>
              <c:numCache>
                <c:formatCode>General</c:formatCode>
                <c:ptCount val="3"/>
                <c:pt idx="0">
                  <c:v>117</c:v>
                </c:pt>
                <c:pt idx="1">
                  <c:v>0</c:v>
                </c:pt>
                <c:pt idx="2">
                  <c:v>86</c:v>
                </c:pt>
              </c:numCache>
            </c:numRef>
          </c:val>
        </c:ser>
        <c:ser>
          <c:idx val="1"/>
          <c:order val="1"/>
          <c:tx>
            <c:strRef>
              <c:f>'2021.11.18'!$A$24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('2021.11.18'!$B$24,'2021.11.18'!$C$24:$D$24)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'2021.11.18'!$A$25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('2021.11.18'!$B$25,'2021.11.18'!$C$25:$D$25)</c:f>
              <c:numCache>
                <c:formatCode>General</c:formatCode>
                <c:ptCount val="3"/>
                <c:pt idx="0">
                  <c:v>5563</c:v>
                </c:pt>
                <c:pt idx="1">
                  <c:v>0</c:v>
                </c:pt>
                <c:pt idx="2">
                  <c:v>5628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'2021.11.19'!$A$31:$A$40</c:f>
              <c:numCache>
                <c:formatCode>m/d;@</c:formatCode>
                <c:ptCount val="10"/>
                <c:pt idx="0" c:formatCode="m/d;@">
                  <c:v>44510</c:v>
                </c:pt>
                <c:pt idx="1" c:formatCode="m/d;@">
                  <c:v>44511</c:v>
                </c:pt>
                <c:pt idx="2" c:formatCode="m/d;@">
                  <c:v>44512</c:v>
                </c:pt>
                <c:pt idx="3" c:formatCode="m/d;@">
                  <c:v>44513</c:v>
                </c:pt>
                <c:pt idx="4" c:formatCode="m/d;@">
                  <c:v>44514</c:v>
                </c:pt>
                <c:pt idx="5" c:formatCode="m/d;@">
                  <c:v>44515</c:v>
                </c:pt>
                <c:pt idx="6" c:formatCode="m/d;@">
                  <c:v>44516</c:v>
                </c:pt>
                <c:pt idx="7" c:formatCode="m/d;@">
                  <c:v>44517</c:v>
                </c:pt>
                <c:pt idx="8" c:formatCode="m/d;@">
                  <c:v>44518</c:v>
                </c:pt>
                <c:pt idx="9" c:formatCode="m/d;@">
                  <c:v>44519</c:v>
                </c:pt>
              </c:numCache>
            </c:numRef>
          </c:cat>
          <c:val>
            <c:numRef>
              <c:f>'2021.11.19'!$B$31:$B$40</c:f>
              <c:numCache>
                <c:formatCode>0.00_ </c:formatCode>
                <c:ptCount val="10"/>
                <c:pt idx="0">
                  <c:v>54.13</c:v>
                </c:pt>
                <c:pt idx="1">
                  <c:v>54.16</c:v>
                </c:pt>
                <c:pt idx="2">
                  <c:v>46.53</c:v>
                </c:pt>
                <c:pt idx="3">
                  <c:v>49.95</c:v>
                </c:pt>
                <c:pt idx="4">
                  <c:v>39.31</c:v>
                </c:pt>
                <c:pt idx="5">
                  <c:v>90.92</c:v>
                </c:pt>
                <c:pt idx="6">
                  <c:v>39.83</c:v>
                </c:pt>
                <c:pt idx="7">
                  <c:v>52.26</c:v>
                </c:pt>
                <c:pt idx="8">
                  <c:v>89.14</c:v>
                </c:pt>
                <c:pt idx="9">
                  <c:v>65.73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'2021.11.19'!$A$23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('2021.11.19'!$B$23,'2021.11.19'!$C$23:$D$23)</c:f>
              <c:numCache>
                <c:formatCode>General</c:formatCode>
                <c:ptCount val="3"/>
                <c:pt idx="0">
                  <c:v>119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'2021.11.19'!$A$24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('2021.11.19'!$B$24,'2021.11.19'!$C$24:$D$24)</c:f>
              <c:numCache>
                <c:formatCode>General</c:formatCode>
                <c:ptCount val="3"/>
                <c:pt idx="0">
                  <c:v>105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'2021.11.19'!$A$25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('2021.11.19'!$B$25,'2021.11.19'!$C$25:$D$25)</c:f>
              <c:numCache>
                <c:formatCode>General</c:formatCode>
                <c:ptCount val="3"/>
                <c:pt idx="0">
                  <c:v>5556</c:v>
                </c:pt>
                <c:pt idx="1">
                  <c:v>0</c:v>
                </c:pt>
                <c:pt idx="2">
                  <c:v>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'2021.11.20'!$A$31:$A$40</c:f>
              <c:numCache>
                <c:formatCode>m/d;@</c:formatCode>
                <c:ptCount val="10"/>
                <c:pt idx="0" c:formatCode="m/d;@">
                  <c:v>44511</c:v>
                </c:pt>
                <c:pt idx="1" c:formatCode="m/d;@">
                  <c:v>44512</c:v>
                </c:pt>
                <c:pt idx="2" c:formatCode="m/d;@">
                  <c:v>44513</c:v>
                </c:pt>
                <c:pt idx="3" c:formatCode="m/d;@">
                  <c:v>44514</c:v>
                </c:pt>
                <c:pt idx="4" c:formatCode="m/d;@">
                  <c:v>44515</c:v>
                </c:pt>
                <c:pt idx="5" c:formatCode="m/d;@">
                  <c:v>44516</c:v>
                </c:pt>
                <c:pt idx="6" c:formatCode="m/d;@">
                  <c:v>44517</c:v>
                </c:pt>
                <c:pt idx="7" c:formatCode="m/d;@">
                  <c:v>44518</c:v>
                </c:pt>
                <c:pt idx="8" c:formatCode="m/d;@">
                  <c:v>44519</c:v>
                </c:pt>
                <c:pt idx="9" c:formatCode="m/d;@">
                  <c:v>44520</c:v>
                </c:pt>
              </c:numCache>
            </c:numRef>
          </c:cat>
          <c:val>
            <c:numRef>
              <c:f>'2021.11.20'!$B$31:$B$40</c:f>
              <c:numCache>
                <c:formatCode>0.00_ </c:formatCode>
                <c:ptCount val="10"/>
                <c:pt idx="0">
                  <c:v>54.16</c:v>
                </c:pt>
                <c:pt idx="1">
                  <c:v>46.53</c:v>
                </c:pt>
                <c:pt idx="2">
                  <c:v>49.95</c:v>
                </c:pt>
                <c:pt idx="3">
                  <c:v>39.31</c:v>
                </c:pt>
                <c:pt idx="4">
                  <c:v>90.92</c:v>
                </c:pt>
                <c:pt idx="5">
                  <c:v>39.83</c:v>
                </c:pt>
                <c:pt idx="6">
                  <c:v>52.26</c:v>
                </c:pt>
                <c:pt idx="7">
                  <c:v>89.14</c:v>
                </c:pt>
                <c:pt idx="8">
                  <c:v>65.73</c:v>
                </c:pt>
                <c:pt idx="9">
                  <c:v>46.37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'2021.11.20'!$A$23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('2021.11.20'!$B$23,'2021.11.20'!$C$23:$D$23)</c:f>
              <c:numCache>
                <c:formatCode>General</c:formatCode>
                <c:ptCount val="3"/>
                <c:pt idx="0">
                  <c:v>121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'2021.11.20'!$A$24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('2021.11.20'!$B$24,'2021.11.20'!$C$24:$D$24)</c:f>
              <c:numCache>
                <c:formatCode>General</c:formatCode>
                <c:ptCount val="3"/>
                <c:pt idx="0">
                  <c:v>109</c:v>
                </c:pt>
                <c:pt idx="1">
                  <c:v>0</c:v>
                </c:pt>
                <c:pt idx="2">
                  <c:v>66</c:v>
                </c:pt>
              </c:numCache>
            </c:numRef>
          </c:val>
        </c:ser>
        <c:ser>
          <c:idx val="2"/>
          <c:order val="2"/>
          <c:tx>
            <c:strRef>
              <c:f>'2021.11.20'!$A$25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('2021.11.20'!$B$25,'2021.11.20'!$C$25:$D$25)</c:f>
              <c:numCache>
                <c:formatCode>General</c:formatCode>
                <c:ptCount val="3"/>
                <c:pt idx="0">
                  <c:v>5550</c:v>
                </c:pt>
                <c:pt idx="1">
                  <c:v>0</c:v>
                </c:pt>
                <c:pt idx="2">
                  <c:v>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'2021.11.21'!$A$31:$A$40</c:f>
              <c:numCache>
                <c:formatCode>m/d;@</c:formatCode>
                <c:ptCount val="10"/>
                <c:pt idx="0" c:formatCode="m/d;@">
                  <c:v>44512</c:v>
                </c:pt>
                <c:pt idx="1" c:formatCode="m/d;@">
                  <c:v>44513</c:v>
                </c:pt>
                <c:pt idx="2" c:formatCode="m/d;@">
                  <c:v>44514</c:v>
                </c:pt>
                <c:pt idx="3" c:formatCode="m/d;@">
                  <c:v>44515</c:v>
                </c:pt>
                <c:pt idx="4" c:formatCode="m/d;@">
                  <c:v>44516</c:v>
                </c:pt>
                <c:pt idx="5" c:formatCode="m/d;@">
                  <c:v>44517</c:v>
                </c:pt>
                <c:pt idx="6" c:formatCode="m/d;@">
                  <c:v>44518</c:v>
                </c:pt>
                <c:pt idx="7" c:formatCode="m/d;@">
                  <c:v>44519</c:v>
                </c:pt>
                <c:pt idx="8" c:formatCode="m/d;@">
                  <c:v>44520</c:v>
                </c:pt>
                <c:pt idx="9" c:formatCode="m/d;@">
                  <c:v>44521</c:v>
                </c:pt>
              </c:numCache>
            </c:numRef>
          </c:cat>
          <c:val>
            <c:numRef>
              <c:f>'2021.11.21'!$B$31:$B$40</c:f>
              <c:numCache>
                <c:formatCode>0.00_ </c:formatCode>
                <c:ptCount val="10"/>
                <c:pt idx="0">
                  <c:v>46.53</c:v>
                </c:pt>
                <c:pt idx="1">
                  <c:v>49.95</c:v>
                </c:pt>
                <c:pt idx="2">
                  <c:v>39.31</c:v>
                </c:pt>
                <c:pt idx="3">
                  <c:v>90.92</c:v>
                </c:pt>
                <c:pt idx="4">
                  <c:v>39.83</c:v>
                </c:pt>
                <c:pt idx="5">
                  <c:v>52.26</c:v>
                </c:pt>
                <c:pt idx="6">
                  <c:v>89.14</c:v>
                </c:pt>
                <c:pt idx="7">
                  <c:v>65.73</c:v>
                </c:pt>
                <c:pt idx="8">
                  <c:v>46.37</c:v>
                </c:pt>
                <c:pt idx="9">
                  <c:v>51.87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'2021.10.8'!$A$31:$A$40</c:f>
              <c:numCache>
                <c:formatCode>m/d;@</c:formatCode>
                <c:ptCount val="10"/>
                <c:pt idx="0" c:formatCode="m/d;@">
                  <c:v>44468</c:v>
                </c:pt>
                <c:pt idx="1" c:formatCode="m/d;@">
                  <c:v>44469</c:v>
                </c:pt>
                <c:pt idx="2" c:formatCode="m/d;@">
                  <c:v>44470</c:v>
                </c:pt>
                <c:pt idx="3" c:formatCode="m/d;@">
                  <c:v>44471</c:v>
                </c:pt>
                <c:pt idx="4" c:formatCode="m/d;@">
                  <c:v>44472</c:v>
                </c:pt>
                <c:pt idx="5" c:formatCode="m/d;@">
                  <c:v>44473</c:v>
                </c:pt>
                <c:pt idx="6" c:formatCode="m/d;@">
                  <c:v>44474</c:v>
                </c:pt>
                <c:pt idx="7" c:formatCode="m/d;@">
                  <c:v>44475</c:v>
                </c:pt>
                <c:pt idx="8" c:formatCode="m/d;@">
                  <c:v>44476</c:v>
                </c:pt>
                <c:pt idx="9" c:formatCode="m/d;@">
                  <c:v>44477</c:v>
                </c:pt>
              </c:numCache>
            </c:numRef>
          </c:cat>
          <c:val>
            <c:numRef>
              <c:f>'2021.10.8'!$B$31:$B$40</c:f>
              <c:numCache>
                <c:formatCode>0.00_ </c:formatCode>
                <c:ptCount val="10"/>
                <c:pt idx="0">
                  <c:v>33.25</c:v>
                </c:pt>
                <c:pt idx="1">
                  <c:v>8.82</c:v>
                </c:pt>
                <c:pt idx="2">
                  <c:v>24.1</c:v>
                </c:pt>
                <c:pt idx="3">
                  <c:v>17.46</c:v>
                </c:pt>
                <c:pt idx="4">
                  <c:v>31.74</c:v>
                </c:pt>
                <c:pt idx="5">
                  <c:v>2</c:v>
                </c:pt>
                <c:pt idx="6">
                  <c:v>33.56</c:v>
                </c:pt>
                <c:pt idx="7">
                  <c:v>23.1</c:v>
                </c:pt>
                <c:pt idx="8">
                  <c:v>7.64</c:v>
                </c:pt>
                <c:pt idx="9">
                  <c:v>1.65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'2021.11.21'!$A$23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('2021.11.21'!$B$23,'2021.11.21'!$C$23:$D$23)</c:f>
              <c:numCache>
                <c:formatCode>General</c:formatCode>
                <c:ptCount val="3"/>
                <c:pt idx="0">
                  <c:v>123</c:v>
                </c:pt>
                <c:pt idx="1">
                  <c:v>0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'2021.11.21'!$A$24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('2021.11.21'!$B$24,'2021.11.21'!$C$24:$D$24)</c:f>
              <c:numCache>
                <c:formatCode>General</c:formatCode>
                <c:ptCount val="3"/>
                <c:pt idx="0">
                  <c:v>113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'2021.11.21'!$A$25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('2021.11.21'!$B$25,'2021.11.21'!$C$25:$D$25)</c:f>
              <c:numCache>
                <c:formatCode>General</c:formatCode>
                <c:ptCount val="3"/>
                <c:pt idx="0">
                  <c:v>5544</c:v>
                </c:pt>
                <c:pt idx="1">
                  <c:v>0</c:v>
                </c:pt>
                <c:pt idx="2">
                  <c:v>5618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'2021.11.22'!$A$31:$A$40</c:f>
              <c:numCache>
                <c:formatCode>m/d;@</c:formatCode>
                <c:ptCount val="10"/>
                <c:pt idx="0" c:formatCode="m/d;@">
                  <c:v>44513</c:v>
                </c:pt>
                <c:pt idx="1" c:formatCode="m/d;@">
                  <c:v>44514</c:v>
                </c:pt>
                <c:pt idx="2" c:formatCode="m/d;@">
                  <c:v>44515</c:v>
                </c:pt>
                <c:pt idx="3" c:formatCode="m/d;@">
                  <c:v>44516</c:v>
                </c:pt>
                <c:pt idx="4" c:formatCode="m/d;@">
                  <c:v>44517</c:v>
                </c:pt>
                <c:pt idx="5" c:formatCode="m/d;@">
                  <c:v>44518</c:v>
                </c:pt>
                <c:pt idx="6" c:formatCode="m/d;@">
                  <c:v>44519</c:v>
                </c:pt>
                <c:pt idx="7" c:formatCode="m/d;@">
                  <c:v>44520</c:v>
                </c:pt>
                <c:pt idx="8" c:formatCode="m/d;@">
                  <c:v>44521</c:v>
                </c:pt>
                <c:pt idx="9" c:formatCode="m/d;@">
                  <c:v>44522</c:v>
                </c:pt>
              </c:numCache>
            </c:numRef>
          </c:cat>
          <c:val>
            <c:numRef>
              <c:f>'2021.11.22'!$B$31:$B$40</c:f>
              <c:numCache>
                <c:formatCode>0.00_ </c:formatCode>
                <c:ptCount val="10"/>
                <c:pt idx="0">
                  <c:v>49.95</c:v>
                </c:pt>
                <c:pt idx="1">
                  <c:v>39.31</c:v>
                </c:pt>
                <c:pt idx="2">
                  <c:v>90.92</c:v>
                </c:pt>
                <c:pt idx="3">
                  <c:v>39.83</c:v>
                </c:pt>
                <c:pt idx="4">
                  <c:v>52.26</c:v>
                </c:pt>
                <c:pt idx="5">
                  <c:v>89.14</c:v>
                </c:pt>
                <c:pt idx="6">
                  <c:v>65.73</c:v>
                </c:pt>
                <c:pt idx="7">
                  <c:v>46.37</c:v>
                </c:pt>
                <c:pt idx="8">
                  <c:v>51.87</c:v>
                </c:pt>
                <c:pt idx="9">
                  <c:v>70.33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'2021.11.22'!$A$23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('2021.11.22'!$B$23,'2021.11.22'!$C$23:$D$23)</c:f>
              <c:numCache>
                <c:formatCode>General</c:formatCode>
                <c:ptCount val="3"/>
                <c:pt idx="0">
                  <c:v>125</c:v>
                </c:pt>
                <c:pt idx="1">
                  <c:v>0</c:v>
                </c:pt>
                <c:pt idx="2">
                  <c:v>86</c:v>
                </c:pt>
              </c:numCache>
            </c:numRef>
          </c:val>
        </c:ser>
        <c:ser>
          <c:idx val="1"/>
          <c:order val="1"/>
          <c:tx>
            <c:strRef>
              <c:f>'2021.11.22'!$A$24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('2021.11.22'!$B$24,'2021.11.22'!$C$24:$D$24)</c:f>
              <c:numCache>
                <c:formatCode>General</c:formatCode>
                <c:ptCount val="3"/>
                <c:pt idx="0">
                  <c:v>119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'2021.11.22'!$A$25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('2021.11.22'!$B$25,'2021.11.22'!$C$25:$D$25)</c:f>
              <c:numCache>
                <c:formatCode>General</c:formatCode>
                <c:ptCount val="3"/>
                <c:pt idx="0">
                  <c:v>5536</c:v>
                </c:pt>
                <c:pt idx="1">
                  <c:v>0</c:v>
                </c:pt>
                <c:pt idx="2">
                  <c:v>5617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'2021.11.23'!$A$31:$A$40</c:f>
              <c:numCache>
                <c:formatCode>m/d;@</c:formatCode>
                <c:ptCount val="10"/>
                <c:pt idx="0" c:formatCode="m/d;@">
                  <c:v>44514</c:v>
                </c:pt>
                <c:pt idx="1" c:formatCode="m/d;@">
                  <c:v>44515</c:v>
                </c:pt>
                <c:pt idx="2" c:formatCode="m/d;@">
                  <c:v>44516</c:v>
                </c:pt>
                <c:pt idx="3" c:formatCode="m/d;@">
                  <c:v>44517</c:v>
                </c:pt>
                <c:pt idx="4" c:formatCode="m/d;@">
                  <c:v>44518</c:v>
                </c:pt>
                <c:pt idx="5" c:formatCode="m/d;@">
                  <c:v>44519</c:v>
                </c:pt>
                <c:pt idx="6" c:formatCode="m/d;@">
                  <c:v>44520</c:v>
                </c:pt>
                <c:pt idx="7" c:formatCode="m/d;@">
                  <c:v>44521</c:v>
                </c:pt>
                <c:pt idx="8" c:formatCode="m/d;@">
                  <c:v>44522</c:v>
                </c:pt>
                <c:pt idx="9" c:formatCode="m/d;@">
                  <c:v>44523</c:v>
                </c:pt>
              </c:numCache>
            </c:numRef>
          </c:cat>
          <c:val>
            <c:numRef>
              <c:f>'2021.11.23'!$B$31:$B$40</c:f>
              <c:numCache>
                <c:formatCode>0.00_ </c:formatCode>
                <c:ptCount val="10"/>
                <c:pt idx="0">
                  <c:v>39.31</c:v>
                </c:pt>
                <c:pt idx="1">
                  <c:v>90.92</c:v>
                </c:pt>
                <c:pt idx="2">
                  <c:v>39.83</c:v>
                </c:pt>
                <c:pt idx="3">
                  <c:v>52.26</c:v>
                </c:pt>
                <c:pt idx="4">
                  <c:v>89.14</c:v>
                </c:pt>
                <c:pt idx="5">
                  <c:v>65.73</c:v>
                </c:pt>
                <c:pt idx="6">
                  <c:v>46.37</c:v>
                </c:pt>
                <c:pt idx="7">
                  <c:v>51.87</c:v>
                </c:pt>
                <c:pt idx="8">
                  <c:v>70.33</c:v>
                </c:pt>
                <c:pt idx="9">
                  <c:v>31.48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'2021.11.23'!$A$23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('2021.11.23'!$B$23,'2021.11.23'!$C$23:$D$23)</c:f>
              <c:numCache>
                <c:formatCode>General</c:formatCode>
                <c:ptCount val="3"/>
                <c:pt idx="0">
                  <c:v>126</c:v>
                </c:pt>
                <c:pt idx="1">
                  <c:v>0</c:v>
                </c:pt>
                <c:pt idx="2">
                  <c:v>90</c:v>
                </c:pt>
              </c:numCache>
            </c:numRef>
          </c:val>
        </c:ser>
        <c:ser>
          <c:idx val="1"/>
          <c:order val="1"/>
          <c:tx>
            <c:strRef>
              <c:f>'2021.11.23'!$A$24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('2021.11.23'!$B$24,'2021.11.23'!$C$24:$D$24)</c:f>
              <c:numCache>
                <c:formatCode>General</c:formatCode>
                <c:ptCount val="3"/>
                <c:pt idx="0">
                  <c:v>122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'2021.11.23'!$A$25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('2021.11.23'!$B$25,'2021.11.23'!$C$25:$D$25)</c:f>
              <c:numCache>
                <c:formatCode>General</c:formatCode>
                <c:ptCount val="3"/>
                <c:pt idx="0">
                  <c:v>5532</c:v>
                </c:pt>
                <c:pt idx="1">
                  <c:v>0</c:v>
                </c:pt>
                <c:pt idx="2">
                  <c:v>5613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'2021.11.24'!$A$31:$A$40</c:f>
              <c:numCache>
                <c:formatCode>m/d;@</c:formatCode>
                <c:ptCount val="10"/>
                <c:pt idx="0" c:formatCode="m/d;@">
                  <c:v>44515</c:v>
                </c:pt>
                <c:pt idx="1" c:formatCode="m/d;@">
                  <c:v>44516</c:v>
                </c:pt>
                <c:pt idx="2" c:formatCode="m/d;@">
                  <c:v>44517</c:v>
                </c:pt>
                <c:pt idx="3" c:formatCode="m/d;@">
                  <c:v>44518</c:v>
                </c:pt>
                <c:pt idx="4" c:formatCode="m/d;@">
                  <c:v>44519</c:v>
                </c:pt>
                <c:pt idx="5" c:formatCode="m/d;@">
                  <c:v>44520</c:v>
                </c:pt>
                <c:pt idx="6" c:formatCode="m/d;@">
                  <c:v>44521</c:v>
                </c:pt>
                <c:pt idx="7" c:formatCode="m/d;@">
                  <c:v>44522</c:v>
                </c:pt>
                <c:pt idx="8" c:formatCode="m/d;@">
                  <c:v>44523</c:v>
                </c:pt>
                <c:pt idx="9" c:formatCode="m/d;@">
                  <c:v>44524</c:v>
                </c:pt>
              </c:numCache>
            </c:numRef>
          </c:cat>
          <c:val>
            <c:numRef>
              <c:f>'2021.11.24'!$B$31:$B$40</c:f>
              <c:numCache>
                <c:formatCode>0.00_ </c:formatCode>
                <c:ptCount val="10"/>
                <c:pt idx="0">
                  <c:v>90.92</c:v>
                </c:pt>
                <c:pt idx="1">
                  <c:v>39.83</c:v>
                </c:pt>
                <c:pt idx="2">
                  <c:v>52.26</c:v>
                </c:pt>
                <c:pt idx="3">
                  <c:v>89.14</c:v>
                </c:pt>
                <c:pt idx="4">
                  <c:v>65.73</c:v>
                </c:pt>
                <c:pt idx="5">
                  <c:v>46.37</c:v>
                </c:pt>
                <c:pt idx="6">
                  <c:v>51.87</c:v>
                </c:pt>
                <c:pt idx="7">
                  <c:v>70.33</c:v>
                </c:pt>
                <c:pt idx="8">
                  <c:v>31.48</c:v>
                </c:pt>
                <c:pt idx="9">
                  <c:v>38.89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'2021.11.24'!$A$23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('2021.11.24'!$B$23,'2021.11.24'!$C$23:$D$23)</c:f>
              <c:numCache>
                <c:formatCode>General</c:formatCode>
                <c:ptCount val="3"/>
                <c:pt idx="0">
                  <c:v>129</c:v>
                </c:pt>
                <c:pt idx="1">
                  <c:v>0</c:v>
                </c:pt>
                <c:pt idx="2">
                  <c:v>92</c:v>
                </c:pt>
              </c:numCache>
            </c:numRef>
          </c:val>
        </c:ser>
        <c:ser>
          <c:idx val="1"/>
          <c:order val="1"/>
          <c:tx>
            <c:strRef>
              <c:f>'2021.11.24'!$A$24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('2021.11.24'!$B$24,'2021.11.24'!$C$24:$D$24)</c:f>
              <c:numCache>
                <c:formatCode>General</c:formatCode>
                <c:ptCount val="3"/>
                <c:pt idx="0">
                  <c:v>123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'2021.11.24'!$A$25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('2021.11.24'!$B$25,'2021.11.24'!$C$25:$D$25)</c:f>
              <c:numCache>
                <c:formatCode>General</c:formatCode>
                <c:ptCount val="3"/>
                <c:pt idx="0">
                  <c:v>5528</c:v>
                </c:pt>
                <c:pt idx="1">
                  <c:v>0</c:v>
                </c:pt>
                <c:pt idx="2">
                  <c:v>5611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'2021.11.25'!$A$31:$A$40</c:f>
              <c:numCache>
                <c:formatCode>m/d;@</c:formatCode>
                <c:ptCount val="10"/>
                <c:pt idx="0" c:formatCode="m/d;@">
                  <c:v>44516</c:v>
                </c:pt>
                <c:pt idx="1" c:formatCode="m/d;@">
                  <c:v>44517</c:v>
                </c:pt>
                <c:pt idx="2" c:formatCode="m/d;@">
                  <c:v>44518</c:v>
                </c:pt>
                <c:pt idx="3" c:formatCode="m/d;@">
                  <c:v>44519</c:v>
                </c:pt>
                <c:pt idx="4" c:formatCode="m/d;@">
                  <c:v>44520</c:v>
                </c:pt>
                <c:pt idx="5" c:formatCode="m/d;@">
                  <c:v>44521</c:v>
                </c:pt>
                <c:pt idx="6" c:formatCode="m/d;@">
                  <c:v>44522</c:v>
                </c:pt>
                <c:pt idx="7" c:formatCode="m/d;@">
                  <c:v>44523</c:v>
                </c:pt>
                <c:pt idx="8" c:formatCode="m/d;@">
                  <c:v>44524</c:v>
                </c:pt>
                <c:pt idx="9" c:formatCode="m/d;@">
                  <c:v>44525</c:v>
                </c:pt>
              </c:numCache>
            </c:numRef>
          </c:cat>
          <c:val>
            <c:numRef>
              <c:f>'2021.11.25'!$B$31:$B$40</c:f>
              <c:numCache>
                <c:formatCode>0.00_ </c:formatCode>
                <c:ptCount val="10"/>
                <c:pt idx="0">
                  <c:v>39.83</c:v>
                </c:pt>
                <c:pt idx="1">
                  <c:v>52.26</c:v>
                </c:pt>
                <c:pt idx="2">
                  <c:v>89.14</c:v>
                </c:pt>
                <c:pt idx="3">
                  <c:v>65.73</c:v>
                </c:pt>
                <c:pt idx="4">
                  <c:v>46.37</c:v>
                </c:pt>
                <c:pt idx="5">
                  <c:v>51.87</c:v>
                </c:pt>
                <c:pt idx="6">
                  <c:v>70.33</c:v>
                </c:pt>
                <c:pt idx="7">
                  <c:v>31.48</c:v>
                </c:pt>
                <c:pt idx="8">
                  <c:v>38.89</c:v>
                </c:pt>
                <c:pt idx="9">
                  <c:v>69.01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'2021.11.25'!$A$23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('2021.11.25'!$B$23,'2021.11.25'!$C$23:$D$23)</c:f>
              <c:numCache>
                <c:formatCode>General</c:formatCode>
                <c:ptCount val="3"/>
                <c:pt idx="0">
                  <c:v>132</c:v>
                </c:pt>
                <c:pt idx="1">
                  <c:v>0</c:v>
                </c:pt>
                <c:pt idx="2">
                  <c:v>97</c:v>
                </c:pt>
              </c:numCache>
            </c:numRef>
          </c:val>
        </c:ser>
        <c:ser>
          <c:idx val="1"/>
          <c:order val="1"/>
          <c:tx>
            <c:strRef>
              <c:f>'2021.11.25'!$A$24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('2021.11.25'!$B$24,'2021.11.25'!$C$24:$D$24)</c:f>
              <c:numCache>
                <c:formatCode>General</c:formatCode>
                <c:ptCount val="3"/>
                <c:pt idx="0">
                  <c:v>127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'2021.11.25'!$A$25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('2021.11.25'!$B$25,'2021.11.25'!$C$25:$D$25)</c:f>
              <c:numCache>
                <c:formatCode>General</c:formatCode>
                <c:ptCount val="3"/>
                <c:pt idx="0">
                  <c:v>5521</c:v>
                </c:pt>
                <c:pt idx="1">
                  <c:v>0</c:v>
                </c:pt>
                <c:pt idx="2">
                  <c:v>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'2021.11.26'!$A$31:$A$40</c:f>
              <c:numCache>
                <c:formatCode>m/d;@</c:formatCode>
                <c:ptCount val="10"/>
                <c:pt idx="0" c:formatCode="m/d;@">
                  <c:v>44517</c:v>
                </c:pt>
                <c:pt idx="1" c:formatCode="m/d;@">
                  <c:v>44518</c:v>
                </c:pt>
                <c:pt idx="2" c:formatCode="m/d;@">
                  <c:v>44519</c:v>
                </c:pt>
                <c:pt idx="3" c:formatCode="m/d;@">
                  <c:v>44520</c:v>
                </c:pt>
                <c:pt idx="4" c:formatCode="m/d;@">
                  <c:v>44521</c:v>
                </c:pt>
                <c:pt idx="5" c:formatCode="m/d;@">
                  <c:v>44522</c:v>
                </c:pt>
                <c:pt idx="6" c:formatCode="m/d;@">
                  <c:v>44523</c:v>
                </c:pt>
                <c:pt idx="7" c:formatCode="m/d;@">
                  <c:v>44524</c:v>
                </c:pt>
                <c:pt idx="8" c:formatCode="m/d;@">
                  <c:v>44525</c:v>
                </c:pt>
                <c:pt idx="9" c:formatCode="m/d;@">
                  <c:v>44526</c:v>
                </c:pt>
              </c:numCache>
            </c:numRef>
          </c:cat>
          <c:val>
            <c:numRef>
              <c:f>'2021.11.26'!$B$31:$B$40</c:f>
              <c:numCache>
                <c:formatCode>0.00_ </c:formatCode>
                <c:ptCount val="10"/>
                <c:pt idx="0">
                  <c:v>52.26</c:v>
                </c:pt>
                <c:pt idx="1">
                  <c:v>89.14</c:v>
                </c:pt>
                <c:pt idx="2">
                  <c:v>65.73</c:v>
                </c:pt>
                <c:pt idx="3">
                  <c:v>46.37</c:v>
                </c:pt>
                <c:pt idx="4">
                  <c:v>51.87</c:v>
                </c:pt>
                <c:pt idx="5">
                  <c:v>70.33</c:v>
                </c:pt>
                <c:pt idx="6">
                  <c:v>31.48</c:v>
                </c:pt>
                <c:pt idx="7">
                  <c:v>38.89</c:v>
                </c:pt>
                <c:pt idx="8">
                  <c:v>69.01</c:v>
                </c:pt>
                <c:pt idx="9">
                  <c:v>77.51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'2021.10.9'!$A$31:$A$40</c:f>
              <c:numCache>
                <c:formatCode>m/d;@</c:formatCode>
                <c:ptCount val="10"/>
                <c:pt idx="0" c:formatCode="m/d;@">
                  <c:v>44469</c:v>
                </c:pt>
                <c:pt idx="1" c:formatCode="m/d;@">
                  <c:v>44470</c:v>
                </c:pt>
                <c:pt idx="2" c:formatCode="m/d;@">
                  <c:v>44471</c:v>
                </c:pt>
                <c:pt idx="3" c:formatCode="m/d;@">
                  <c:v>44472</c:v>
                </c:pt>
                <c:pt idx="4" c:formatCode="m/d;@">
                  <c:v>44473</c:v>
                </c:pt>
                <c:pt idx="5" c:formatCode="m/d;@">
                  <c:v>44474</c:v>
                </c:pt>
                <c:pt idx="6" c:formatCode="m/d;@">
                  <c:v>44475</c:v>
                </c:pt>
                <c:pt idx="7" c:formatCode="m/d;@">
                  <c:v>44476</c:v>
                </c:pt>
                <c:pt idx="8" c:formatCode="m/d;@">
                  <c:v>44477</c:v>
                </c:pt>
                <c:pt idx="9" c:formatCode="m/d;@">
                  <c:v>44478</c:v>
                </c:pt>
              </c:numCache>
            </c:numRef>
          </c:cat>
          <c:val>
            <c:numRef>
              <c:f>'2021.10.9'!$B$31:$B$40</c:f>
              <c:numCache>
                <c:formatCode>0.00_ </c:formatCode>
                <c:ptCount val="10"/>
                <c:pt idx="0">
                  <c:v>8.82</c:v>
                </c:pt>
                <c:pt idx="1">
                  <c:v>24.1</c:v>
                </c:pt>
                <c:pt idx="2">
                  <c:v>17.46</c:v>
                </c:pt>
                <c:pt idx="3">
                  <c:v>31.74</c:v>
                </c:pt>
                <c:pt idx="4">
                  <c:v>2</c:v>
                </c:pt>
                <c:pt idx="5">
                  <c:v>33.56</c:v>
                </c:pt>
                <c:pt idx="6">
                  <c:v>23.1</c:v>
                </c:pt>
                <c:pt idx="7">
                  <c:v>7.64</c:v>
                </c:pt>
                <c:pt idx="8">
                  <c:v>1.65</c:v>
                </c:pt>
                <c:pt idx="9">
                  <c:v>15.46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'2021.11.26'!$A$23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('2021.11.26'!$B$23,'2021.11.26'!$C$23:$D$23)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'2021.11.26'!$A$24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('2021.11.26'!$B$24,'2021.11.26'!$C$24:$D$24)</c:f>
              <c:numCache>
                <c:formatCode>General</c:formatCode>
                <c:ptCount val="3"/>
                <c:pt idx="0">
                  <c:v>132</c:v>
                </c:pt>
                <c:pt idx="1">
                  <c:v>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tx>
            <c:strRef>
              <c:f>'2021.11.26'!$A$25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('2021.11.26'!$B$25,'2021.11.26'!$C$25:$D$25)</c:f>
              <c:numCache>
                <c:formatCode>General</c:formatCode>
                <c:ptCount val="3"/>
                <c:pt idx="0">
                  <c:v>5513</c:v>
                </c:pt>
                <c:pt idx="1">
                  <c:v>0</c:v>
                </c:pt>
                <c:pt idx="2">
                  <c:v>5603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'2021.11.27'!$A$31:$A$40</c:f>
              <c:numCache>
                <c:formatCode>m/d;@</c:formatCode>
                <c:ptCount val="10"/>
                <c:pt idx="0" c:formatCode="m/d;@">
                  <c:v>44518</c:v>
                </c:pt>
                <c:pt idx="1" c:formatCode="m/d;@">
                  <c:v>44519</c:v>
                </c:pt>
                <c:pt idx="2" c:formatCode="m/d;@">
                  <c:v>44520</c:v>
                </c:pt>
                <c:pt idx="3" c:formatCode="m/d;@">
                  <c:v>44521</c:v>
                </c:pt>
                <c:pt idx="4" c:formatCode="m/d;@">
                  <c:v>44522</c:v>
                </c:pt>
                <c:pt idx="5" c:formatCode="m/d;@">
                  <c:v>44523</c:v>
                </c:pt>
                <c:pt idx="6" c:formatCode="m/d;@">
                  <c:v>44524</c:v>
                </c:pt>
                <c:pt idx="7" c:formatCode="m/d;@">
                  <c:v>44525</c:v>
                </c:pt>
                <c:pt idx="8" c:formatCode="m/d;@">
                  <c:v>44526</c:v>
                </c:pt>
                <c:pt idx="9" c:formatCode="m/d;@">
                  <c:v>44527</c:v>
                </c:pt>
              </c:numCache>
            </c:numRef>
          </c:cat>
          <c:val>
            <c:numRef>
              <c:f>'2021.11.27'!$B$31:$B$40</c:f>
              <c:numCache>
                <c:formatCode>0.00_ </c:formatCode>
                <c:ptCount val="10"/>
                <c:pt idx="0">
                  <c:v>89.14</c:v>
                </c:pt>
                <c:pt idx="1">
                  <c:v>65.73</c:v>
                </c:pt>
                <c:pt idx="2">
                  <c:v>46.37</c:v>
                </c:pt>
                <c:pt idx="3">
                  <c:v>51.87</c:v>
                </c:pt>
                <c:pt idx="4">
                  <c:v>70.33</c:v>
                </c:pt>
                <c:pt idx="5">
                  <c:v>31.48</c:v>
                </c:pt>
                <c:pt idx="6">
                  <c:v>38.89</c:v>
                </c:pt>
                <c:pt idx="7">
                  <c:v>69.01</c:v>
                </c:pt>
                <c:pt idx="8">
                  <c:v>77.51</c:v>
                </c:pt>
                <c:pt idx="9">
                  <c:v>72.17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'2021.11.27'!$A$23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('2021.11.27'!$B$23,'2021.11.27'!$C$23:$D$23)</c:f>
              <c:numCache>
                <c:formatCode>General</c:formatCode>
                <c:ptCount val="3"/>
                <c:pt idx="0">
                  <c:v>137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'2021.11.27'!$A$24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('2021.11.27'!$B$24,'2021.11.27'!$C$24:$D$24)</c:f>
              <c:numCache>
                <c:formatCode>General</c:formatCode>
                <c:ptCount val="3"/>
                <c:pt idx="0">
                  <c:v>136</c:v>
                </c:pt>
                <c:pt idx="1">
                  <c:v>0</c:v>
                </c:pt>
                <c:pt idx="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'2021.11.27'!$A$25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('2021.11.27'!$B$25,'2021.11.27'!$C$25:$D$25)</c:f>
              <c:numCache>
                <c:formatCode>General</c:formatCode>
                <c:ptCount val="3"/>
                <c:pt idx="0">
                  <c:v>5507</c:v>
                </c:pt>
                <c:pt idx="1">
                  <c:v>0</c:v>
                </c:pt>
                <c:pt idx="2">
                  <c:v>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'2021.11.28'!$A$31:$A$40</c:f>
              <c:numCache>
                <c:formatCode>m/d;@</c:formatCode>
                <c:ptCount val="10"/>
                <c:pt idx="0" c:formatCode="m/d;@">
                  <c:v>44519</c:v>
                </c:pt>
                <c:pt idx="1" c:formatCode="m/d;@">
                  <c:v>44520</c:v>
                </c:pt>
                <c:pt idx="2" c:formatCode="m/d;@">
                  <c:v>44521</c:v>
                </c:pt>
                <c:pt idx="3" c:formatCode="m/d;@">
                  <c:v>44522</c:v>
                </c:pt>
                <c:pt idx="4" c:formatCode="m/d;@">
                  <c:v>44523</c:v>
                </c:pt>
                <c:pt idx="5" c:formatCode="m/d;@">
                  <c:v>44524</c:v>
                </c:pt>
                <c:pt idx="6" c:formatCode="m/d;@">
                  <c:v>44525</c:v>
                </c:pt>
                <c:pt idx="7" c:formatCode="m/d;@">
                  <c:v>44526</c:v>
                </c:pt>
                <c:pt idx="8" c:formatCode="m/d;@">
                  <c:v>44527</c:v>
                </c:pt>
                <c:pt idx="9" c:formatCode="m/d;@">
                  <c:v>44528</c:v>
                </c:pt>
              </c:numCache>
            </c:numRef>
          </c:cat>
          <c:val>
            <c:numRef>
              <c:f>'2021.11.28'!$B$31:$B$40</c:f>
              <c:numCache>
                <c:formatCode>0.00_ </c:formatCode>
                <c:ptCount val="10"/>
                <c:pt idx="0">
                  <c:v>65.73</c:v>
                </c:pt>
                <c:pt idx="1">
                  <c:v>46.37</c:v>
                </c:pt>
                <c:pt idx="2">
                  <c:v>51.87</c:v>
                </c:pt>
                <c:pt idx="3">
                  <c:v>70.33</c:v>
                </c:pt>
                <c:pt idx="4">
                  <c:v>31.48</c:v>
                </c:pt>
                <c:pt idx="5">
                  <c:v>38.89</c:v>
                </c:pt>
                <c:pt idx="6">
                  <c:v>69.01</c:v>
                </c:pt>
                <c:pt idx="7">
                  <c:v>77.51</c:v>
                </c:pt>
                <c:pt idx="8">
                  <c:v>72.17</c:v>
                </c:pt>
                <c:pt idx="9">
                  <c:v>104.73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'2021.11.28'!$A$23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('2021.11.28'!$B$23,'2021.11.28'!$C$23:$D$23)</c:f>
              <c:numCache>
                <c:formatCode>General</c:formatCode>
                <c:ptCount val="3"/>
                <c:pt idx="0">
                  <c:v>139</c:v>
                </c:pt>
                <c:pt idx="1">
                  <c:v>0</c:v>
                </c:pt>
                <c:pt idx="2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'2021.11.28'!$A$24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('2021.11.28'!$B$24,'2021.11.28'!$C$24:$D$24)</c:f>
              <c:numCache>
                <c:formatCode>General</c:formatCode>
                <c:ptCount val="3"/>
                <c:pt idx="0">
                  <c:v>143</c:v>
                </c:pt>
                <c:pt idx="1">
                  <c:v>0</c:v>
                </c:pt>
                <c:pt idx="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'2021.11.28'!$A$25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('2021.11.28'!$B$25,'2021.11.28'!$C$25:$D$25)</c:f>
              <c:numCache>
                <c:formatCode>General</c:formatCode>
                <c:ptCount val="3"/>
                <c:pt idx="0">
                  <c:v>5498</c:v>
                </c:pt>
                <c:pt idx="1">
                  <c:v>0</c:v>
                </c:pt>
                <c:pt idx="2">
                  <c:v>5571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'2021.11.29'!$A$31:$A$40</c:f>
              <c:numCache>
                <c:formatCode>m/d;@</c:formatCode>
                <c:ptCount val="10"/>
                <c:pt idx="0" c:formatCode="m/d;@">
                  <c:v>44520</c:v>
                </c:pt>
                <c:pt idx="1" c:formatCode="m/d;@">
                  <c:v>44521</c:v>
                </c:pt>
                <c:pt idx="2" c:formatCode="m/d;@">
                  <c:v>44522</c:v>
                </c:pt>
                <c:pt idx="3" c:formatCode="m/d;@">
                  <c:v>44523</c:v>
                </c:pt>
                <c:pt idx="4" c:formatCode="m/d;@">
                  <c:v>44524</c:v>
                </c:pt>
                <c:pt idx="5" c:formatCode="m/d;@">
                  <c:v>44525</c:v>
                </c:pt>
                <c:pt idx="6" c:formatCode="m/d;@">
                  <c:v>44526</c:v>
                </c:pt>
                <c:pt idx="7" c:formatCode="m/d;@">
                  <c:v>44527</c:v>
                </c:pt>
                <c:pt idx="8" c:formatCode="m/d;@">
                  <c:v>44528</c:v>
                </c:pt>
                <c:pt idx="9" c:formatCode="m/d;@">
                  <c:v>44529</c:v>
                </c:pt>
              </c:numCache>
            </c:numRef>
          </c:cat>
          <c:val>
            <c:numRef>
              <c:f>'2021.11.29'!$B$31:$B$40</c:f>
              <c:numCache>
                <c:formatCode>0.00_ </c:formatCode>
                <c:ptCount val="10"/>
                <c:pt idx="0">
                  <c:v>46.37</c:v>
                </c:pt>
                <c:pt idx="1">
                  <c:v>51.87</c:v>
                </c:pt>
                <c:pt idx="2">
                  <c:v>70.33</c:v>
                </c:pt>
                <c:pt idx="3">
                  <c:v>31.48</c:v>
                </c:pt>
                <c:pt idx="4">
                  <c:v>38.89</c:v>
                </c:pt>
                <c:pt idx="5">
                  <c:v>69.01</c:v>
                </c:pt>
                <c:pt idx="6">
                  <c:v>77.51</c:v>
                </c:pt>
                <c:pt idx="7">
                  <c:v>72.17</c:v>
                </c:pt>
                <c:pt idx="8">
                  <c:v>104.73</c:v>
                </c:pt>
                <c:pt idx="9">
                  <c:v>77.14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'2021.11.29'!$A$23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('2021.11.29'!$B$23,'2021.11.29'!$C$23:$D$23)</c:f>
              <c:numCache>
                <c:formatCode>General</c:formatCode>
                <c:ptCount val="3"/>
                <c:pt idx="0">
                  <c:v>142</c:v>
                </c:pt>
                <c:pt idx="1">
                  <c:v>0</c:v>
                </c:pt>
                <c:pt idx="2">
                  <c:v>106</c:v>
                </c:pt>
              </c:numCache>
            </c:numRef>
          </c:val>
        </c:ser>
        <c:ser>
          <c:idx val="1"/>
          <c:order val="1"/>
          <c:tx>
            <c:strRef>
              <c:f>'2021.11.29'!$A$24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('2021.11.29'!$B$24,'2021.11.29'!$C$24:$D$24)</c:f>
              <c:numCache>
                <c:formatCode>General</c:formatCode>
                <c:ptCount val="3"/>
                <c:pt idx="0">
                  <c:v>149</c:v>
                </c:pt>
                <c:pt idx="1">
                  <c:v>0</c:v>
                </c:pt>
                <c:pt idx="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'2021.11.29'!$A$25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('2021.11.29'!$B$25,'2021.11.29'!$C$25:$D$25)</c:f>
              <c:numCache>
                <c:formatCode>General</c:formatCode>
                <c:ptCount val="3"/>
                <c:pt idx="0">
                  <c:v>5489</c:v>
                </c:pt>
                <c:pt idx="1">
                  <c:v>0</c:v>
                </c:pt>
                <c:pt idx="2">
                  <c:v>5570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'2021.11.30'!$A$31:$A$40</c:f>
              <c:numCache>
                <c:formatCode>m/d;@</c:formatCode>
                <c:ptCount val="10"/>
                <c:pt idx="0" c:formatCode="m/d;@">
                  <c:v>44521</c:v>
                </c:pt>
                <c:pt idx="1" c:formatCode="m/d;@">
                  <c:v>44522</c:v>
                </c:pt>
                <c:pt idx="2" c:formatCode="m/d;@">
                  <c:v>44523</c:v>
                </c:pt>
                <c:pt idx="3" c:formatCode="m/d;@">
                  <c:v>44524</c:v>
                </c:pt>
                <c:pt idx="4" c:formatCode="m/d;@">
                  <c:v>44525</c:v>
                </c:pt>
                <c:pt idx="5" c:formatCode="m/d;@">
                  <c:v>44526</c:v>
                </c:pt>
                <c:pt idx="6" c:formatCode="m/d;@">
                  <c:v>44527</c:v>
                </c:pt>
                <c:pt idx="7" c:formatCode="m/d;@">
                  <c:v>44528</c:v>
                </c:pt>
                <c:pt idx="8" c:formatCode="m/d;@">
                  <c:v>44529</c:v>
                </c:pt>
                <c:pt idx="9" c:formatCode="m/d;@">
                  <c:v>44530</c:v>
                </c:pt>
              </c:numCache>
            </c:numRef>
          </c:cat>
          <c:val>
            <c:numRef>
              <c:f>'2021.11.30'!$B$31:$B$40</c:f>
              <c:numCache>
                <c:formatCode>0.00_ </c:formatCode>
                <c:ptCount val="10"/>
                <c:pt idx="0">
                  <c:v>51.87</c:v>
                </c:pt>
                <c:pt idx="1">
                  <c:v>70.33</c:v>
                </c:pt>
                <c:pt idx="2">
                  <c:v>31.48</c:v>
                </c:pt>
                <c:pt idx="3">
                  <c:v>38.89</c:v>
                </c:pt>
                <c:pt idx="4">
                  <c:v>69.01</c:v>
                </c:pt>
                <c:pt idx="5">
                  <c:v>77.51</c:v>
                </c:pt>
                <c:pt idx="6">
                  <c:v>72.17</c:v>
                </c:pt>
                <c:pt idx="7">
                  <c:v>104.73</c:v>
                </c:pt>
                <c:pt idx="8">
                  <c:v>77.14</c:v>
                </c:pt>
                <c:pt idx="9">
                  <c:v>90.41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'2021.11.30'!$A$23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('2021.11.30'!$B$23,'2021.11.30'!$C$23:$D$23)</c:f>
              <c:numCache>
                <c:formatCode>General</c:formatCode>
                <c:ptCount val="3"/>
                <c:pt idx="0">
                  <c:v>145</c:v>
                </c:pt>
                <c:pt idx="1">
                  <c:v>0</c:v>
                </c:pt>
                <c:pt idx="2">
                  <c:v>106</c:v>
                </c:pt>
              </c:numCache>
            </c:numRef>
          </c:val>
        </c:ser>
        <c:ser>
          <c:idx val="1"/>
          <c:order val="1"/>
          <c:tx>
            <c:strRef>
              <c:f>'2021.11.30'!$A$24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('2021.11.30'!$B$24,'2021.11.30'!$C$24:$D$24)</c:f>
              <c:numCache>
                <c:formatCode>General</c:formatCode>
                <c:ptCount val="3"/>
                <c:pt idx="0">
                  <c:v>154</c:v>
                </c:pt>
                <c:pt idx="1">
                  <c:v>0</c:v>
                </c:pt>
                <c:pt idx="2">
                  <c:v>116</c:v>
                </c:pt>
              </c:numCache>
            </c:numRef>
          </c:val>
        </c:ser>
        <c:ser>
          <c:idx val="2"/>
          <c:order val="2"/>
          <c:tx>
            <c:strRef>
              <c:f>'2021.11.30'!$A$25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('2021.11.30'!$B$25,'2021.11.30'!$C$25:$D$25)</c:f>
              <c:numCache>
                <c:formatCode>General</c:formatCode>
                <c:ptCount val="3"/>
                <c:pt idx="0">
                  <c:v>5481</c:v>
                </c:pt>
                <c:pt idx="1">
                  <c:v>0</c:v>
                </c:pt>
                <c:pt idx="2">
                  <c:v>5558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'2021.12.1'!$A$31:$A$40</c:f>
              <c:numCache>
                <c:formatCode>m/d;@</c:formatCode>
                <c:ptCount val="10"/>
                <c:pt idx="0" c:formatCode="m/d;@">
                  <c:v>44522</c:v>
                </c:pt>
                <c:pt idx="1" c:formatCode="m/d;@">
                  <c:v>44523</c:v>
                </c:pt>
                <c:pt idx="2" c:formatCode="m/d;@">
                  <c:v>44524</c:v>
                </c:pt>
                <c:pt idx="3" c:formatCode="m/d;@">
                  <c:v>44525</c:v>
                </c:pt>
                <c:pt idx="4" c:formatCode="m/d;@">
                  <c:v>44526</c:v>
                </c:pt>
                <c:pt idx="5" c:formatCode="m/d;@">
                  <c:v>44527</c:v>
                </c:pt>
                <c:pt idx="6" c:formatCode="m/d;@">
                  <c:v>44528</c:v>
                </c:pt>
                <c:pt idx="7" c:formatCode="m/d;@">
                  <c:v>44529</c:v>
                </c:pt>
                <c:pt idx="8" c:formatCode="m/d;@">
                  <c:v>44530</c:v>
                </c:pt>
                <c:pt idx="9" c:formatCode="m/d;@">
                  <c:v>44531</c:v>
                </c:pt>
              </c:numCache>
            </c:numRef>
          </c:cat>
          <c:val>
            <c:numRef>
              <c:f>'2021.12.1'!$B$31:$B$40</c:f>
              <c:numCache>
                <c:formatCode>0.00_ </c:formatCode>
                <c:ptCount val="10"/>
                <c:pt idx="0">
                  <c:v>70.33</c:v>
                </c:pt>
                <c:pt idx="1">
                  <c:v>31.48</c:v>
                </c:pt>
                <c:pt idx="2">
                  <c:v>38.89</c:v>
                </c:pt>
                <c:pt idx="3">
                  <c:v>69.01</c:v>
                </c:pt>
                <c:pt idx="4">
                  <c:v>77.51</c:v>
                </c:pt>
                <c:pt idx="5">
                  <c:v>72.17</c:v>
                </c:pt>
                <c:pt idx="6">
                  <c:v>104.73</c:v>
                </c:pt>
                <c:pt idx="7">
                  <c:v>77.14</c:v>
                </c:pt>
                <c:pt idx="8">
                  <c:v>90.41</c:v>
                </c:pt>
                <c:pt idx="9">
                  <c:v>96.34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'2021.10.10'!$A$31:$A$40</c:f>
              <c:numCache>
                <c:formatCode>m/d;@</c:formatCode>
                <c:ptCount val="10"/>
                <c:pt idx="0" c:formatCode="m/d;@">
                  <c:v>44470</c:v>
                </c:pt>
                <c:pt idx="1" c:formatCode="m/d;@">
                  <c:v>44471</c:v>
                </c:pt>
                <c:pt idx="2" c:formatCode="m/d;@">
                  <c:v>44472</c:v>
                </c:pt>
                <c:pt idx="3" c:formatCode="m/d;@">
                  <c:v>44473</c:v>
                </c:pt>
                <c:pt idx="4" c:formatCode="m/d;@">
                  <c:v>44474</c:v>
                </c:pt>
                <c:pt idx="5" c:formatCode="m/d;@">
                  <c:v>44475</c:v>
                </c:pt>
                <c:pt idx="6" c:formatCode="m/d;@">
                  <c:v>44476</c:v>
                </c:pt>
                <c:pt idx="7" c:formatCode="m/d;@">
                  <c:v>44477</c:v>
                </c:pt>
                <c:pt idx="8" c:formatCode="m/d;@">
                  <c:v>44478</c:v>
                </c:pt>
                <c:pt idx="9" c:formatCode="m/d;@">
                  <c:v>44479</c:v>
                </c:pt>
              </c:numCache>
            </c:numRef>
          </c:cat>
          <c:val>
            <c:numRef>
              <c:f>'2021.10.10'!$B$31:$B$40</c:f>
              <c:numCache>
                <c:formatCode>0.00_ </c:formatCode>
                <c:ptCount val="10"/>
                <c:pt idx="0">
                  <c:v>24.1</c:v>
                </c:pt>
                <c:pt idx="1">
                  <c:v>17.46</c:v>
                </c:pt>
                <c:pt idx="2">
                  <c:v>31.74</c:v>
                </c:pt>
                <c:pt idx="3">
                  <c:v>2</c:v>
                </c:pt>
                <c:pt idx="4">
                  <c:v>33.56</c:v>
                </c:pt>
                <c:pt idx="5">
                  <c:v>23.1</c:v>
                </c:pt>
                <c:pt idx="6">
                  <c:v>7.64</c:v>
                </c:pt>
                <c:pt idx="7">
                  <c:v>1.65</c:v>
                </c:pt>
                <c:pt idx="8">
                  <c:v>15.46</c:v>
                </c:pt>
                <c:pt idx="9">
                  <c:v>9.82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/>
                  <a:t>过去</a:t>
                </a:r>
                <a:r>
                  <a:rPr lang="en-US" altLang="zh-CN" sz="1050" b="1"/>
                  <a:t>10</a:t>
                </a:r>
                <a:r>
                  <a:rPr lang="zh-CN" altLang="en-US" sz="1050" b="1"/>
                  <a:t>天总产值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'2021.12.1'!$A$23</c:f>
              <c:strCache>
                <c:ptCount val="1"/>
                <c:pt idx="0">
                  <c:v>1#浇筑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('2021.12.1'!$B$23,'2021.12.1'!$C$23:$D$23)</c:f>
              <c:numCache>
                <c:formatCode>General</c:formatCode>
                <c:ptCount val="3"/>
                <c:pt idx="0">
                  <c:v>147</c:v>
                </c:pt>
                <c:pt idx="1">
                  <c:v>0</c:v>
                </c:pt>
                <c:pt idx="2">
                  <c:v>107</c:v>
                </c:pt>
              </c:numCache>
            </c:numRef>
          </c:val>
        </c:ser>
        <c:ser>
          <c:idx val="1"/>
          <c:order val="1"/>
          <c:tx>
            <c:strRef>
              <c:f>'2021.12.1'!$A$24</c:f>
              <c:strCache>
                <c:ptCount val="1"/>
                <c:pt idx="0">
                  <c:v>2#浇筑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('2021.12.1'!$B$24,'2021.12.1'!$C$24:$D$24)</c:f>
              <c:numCache>
                <c:formatCode>General</c:formatCode>
                <c:ptCount val="3"/>
                <c:pt idx="0">
                  <c:v>161</c:v>
                </c:pt>
                <c:pt idx="1">
                  <c:v>0</c:v>
                </c:pt>
                <c:pt idx="2">
                  <c:v>116</c:v>
                </c:pt>
              </c:numCache>
            </c:numRef>
          </c:val>
        </c:ser>
        <c:ser>
          <c:idx val="2"/>
          <c:order val="2"/>
          <c:tx>
            <c:strRef>
              <c:f>'2021.12.1'!$A$25</c:f>
              <c:strCache>
                <c:ptCount val="1"/>
                <c:pt idx="0">
                  <c:v>剩余数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('2021.12.1'!$B$25,'2021.12.1'!$C$25:$D$25)</c:f>
              <c:numCache>
                <c:formatCode>General</c:formatCode>
                <c:ptCount val="3"/>
                <c:pt idx="0">
                  <c:v>5472</c:v>
                </c:pt>
                <c:pt idx="1">
                  <c:v>0</c:v>
                </c:pt>
                <c:pt idx="2">
                  <c:v>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8815696"/>
        <c:axId val="658826928"/>
      </c:barChart>
      <c:catAx>
        <c:axId val="65881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26928"/>
        <c:crosses val="autoZero"/>
        <c:auto val="1"/>
        <c:lblAlgn val="ctr"/>
        <c:lblOffset val="100"/>
        <c:noMultiLvlLbl val="0"/>
      </c:catAx>
      <c:valAx>
        <c:axId val="6588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'2021.12.2'!$A$34:$A$43</c:f>
              <c:numCache>
                <c:formatCode>m/d;@</c:formatCode>
                <c:ptCount val="10"/>
                <c:pt idx="0" c:formatCode="m/d;@">
                  <c:v>44523</c:v>
                </c:pt>
                <c:pt idx="1" c:formatCode="m/d;@">
                  <c:v>44524</c:v>
                </c:pt>
                <c:pt idx="2" c:formatCode="m/d;@">
                  <c:v>44525</c:v>
                </c:pt>
                <c:pt idx="3" c:formatCode="m/d;@">
                  <c:v>44526</c:v>
                </c:pt>
                <c:pt idx="4" c:formatCode="m/d;@">
                  <c:v>44527</c:v>
                </c:pt>
                <c:pt idx="5" c:formatCode="m/d;@">
                  <c:v>44528</c:v>
                </c:pt>
                <c:pt idx="6" c:formatCode="m/d;@">
                  <c:v>44529</c:v>
                </c:pt>
                <c:pt idx="7" c:formatCode="m/d;@">
                  <c:v>44530</c:v>
                </c:pt>
                <c:pt idx="8" c:formatCode="m/d;@">
                  <c:v>44531</c:v>
                </c:pt>
                <c:pt idx="9" c:formatCode="m/d;@">
                  <c:v>44532</c:v>
                </c:pt>
              </c:numCache>
            </c:numRef>
          </c:cat>
          <c:val>
            <c:numRef>
              <c:f>'2021.12.2'!$B$34:$B$43</c:f>
              <c:numCache>
                <c:formatCode>0.00_ </c:formatCode>
                <c:ptCount val="10"/>
                <c:pt idx="0">
                  <c:v>31.48</c:v>
                </c:pt>
                <c:pt idx="1">
                  <c:v>38.89</c:v>
                </c:pt>
                <c:pt idx="2">
                  <c:v>69.01</c:v>
                </c:pt>
                <c:pt idx="3">
                  <c:v>77.51</c:v>
                </c:pt>
                <c:pt idx="4">
                  <c:v>72.17</c:v>
                </c:pt>
                <c:pt idx="5">
                  <c:v>104.73</c:v>
                </c:pt>
                <c:pt idx="6">
                  <c:v>77.14</c:v>
                </c:pt>
                <c:pt idx="7">
                  <c:v>90.41</c:v>
                </c:pt>
                <c:pt idx="8">
                  <c:v>96.34</c:v>
                </c:pt>
                <c:pt idx="9">
                  <c:v>73.83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过去</a:t>
                </a:r>
                <a:r>
                  <a:rPr lang="en-US"/>
                  <a:t>10</a:t>
                </a:r>
                <a:r>
                  <a:rPr lang="zh-CN"/>
                  <a:t>天总产值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'2021.12.2'!$B$27:$B$29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'2021.12.2'!$C$27:$C$29</c:f>
              <c:numCache>
                <c:formatCode>General</c:formatCode>
                <c:ptCount val="3"/>
                <c:pt idx="0">
                  <c:v>149</c:v>
                </c:pt>
                <c:pt idx="1">
                  <c:v>167</c:v>
                </c:pt>
                <c:pt idx="2">
                  <c:v>5464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'2021.12.2'!$D$27:$D$29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'2021.12.2'!$E$27:$E$29</c:f>
              <c:numCache>
                <c:formatCode>General</c:formatCode>
                <c:ptCount val="3"/>
                <c:pt idx="0">
                  <c:v>110</c:v>
                </c:pt>
                <c:pt idx="1">
                  <c:v>116</c:v>
                </c:pt>
                <c:pt idx="2">
                  <c:v>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'2021.12.3'!$A$34:$A$43</c:f>
              <c:numCache>
                <c:formatCode>m/d;@</c:formatCode>
                <c:ptCount val="10"/>
                <c:pt idx="0" c:formatCode="m/d;@">
                  <c:v>44524</c:v>
                </c:pt>
                <c:pt idx="1" c:formatCode="m/d;@">
                  <c:v>44525</c:v>
                </c:pt>
                <c:pt idx="2" c:formatCode="m/d;@">
                  <c:v>44526</c:v>
                </c:pt>
                <c:pt idx="3" c:formatCode="m/d;@">
                  <c:v>44527</c:v>
                </c:pt>
                <c:pt idx="4" c:formatCode="m/d;@">
                  <c:v>44528</c:v>
                </c:pt>
                <c:pt idx="5" c:formatCode="m/d;@">
                  <c:v>44529</c:v>
                </c:pt>
                <c:pt idx="6" c:formatCode="m/d;@">
                  <c:v>44530</c:v>
                </c:pt>
                <c:pt idx="7" c:formatCode="m/d;@">
                  <c:v>44531</c:v>
                </c:pt>
                <c:pt idx="8" c:formatCode="m/d;@">
                  <c:v>44532</c:v>
                </c:pt>
                <c:pt idx="9" c:formatCode="m/d;@">
                  <c:v>44533</c:v>
                </c:pt>
              </c:numCache>
            </c:numRef>
          </c:cat>
          <c:val>
            <c:numRef>
              <c:f>'2021.12.3'!$B$34:$B$43</c:f>
              <c:numCache>
                <c:formatCode>0.00_ </c:formatCode>
                <c:ptCount val="10"/>
                <c:pt idx="0">
                  <c:v>38.89</c:v>
                </c:pt>
                <c:pt idx="1">
                  <c:v>69.01</c:v>
                </c:pt>
                <c:pt idx="2">
                  <c:v>77.51</c:v>
                </c:pt>
                <c:pt idx="3">
                  <c:v>72.17</c:v>
                </c:pt>
                <c:pt idx="4">
                  <c:v>104.73</c:v>
                </c:pt>
                <c:pt idx="5">
                  <c:v>77.14</c:v>
                </c:pt>
                <c:pt idx="6">
                  <c:v>90.41</c:v>
                </c:pt>
                <c:pt idx="7">
                  <c:v>96.34</c:v>
                </c:pt>
                <c:pt idx="8">
                  <c:v>73.83</c:v>
                </c:pt>
                <c:pt idx="9">
                  <c:v>101.02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'2021.12.3'!$B$27:$B$29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'2021.12.3'!$C$27:$C$29</c:f>
              <c:numCache>
                <c:formatCode>General</c:formatCode>
                <c:ptCount val="3"/>
                <c:pt idx="0">
                  <c:v>153</c:v>
                </c:pt>
                <c:pt idx="1">
                  <c:v>171</c:v>
                </c:pt>
                <c:pt idx="2">
                  <c:v>5456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'2021.12.3'!$D$27:$D$29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'2021.12.3'!$E$27:$E$29</c:f>
              <c:numCache>
                <c:formatCode>General</c:formatCode>
                <c:ptCount val="3"/>
                <c:pt idx="0">
                  <c:v>115</c:v>
                </c:pt>
                <c:pt idx="1">
                  <c:v>116</c:v>
                </c:pt>
                <c:pt idx="2">
                  <c:v>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'2021.12.4'!$A$34:$A$43</c:f>
              <c:numCache>
                <c:formatCode>m/d;@</c:formatCode>
                <c:ptCount val="10"/>
                <c:pt idx="0" c:formatCode="m/d;@">
                  <c:v>44525</c:v>
                </c:pt>
                <c:pt idx="1" c:formatCode="m/d;@">
                  <c:v>44526</c:v>
                </c:pt>
                <c:pt idx="2" c:formatCode="m/d;@">
                  <c:v>44527</c:v>
                </c:pt>
                <c:pt idx="3" c:formatCode="m/d;@">
                  <c:v>44528</c:v>
                </c:pt>
                <c:pt idx="4" c:formatCode="m/d;@">
                  <c:v>44529</c:v>
                </c:pt>
                <c:pt idx="5" c:formatCode="m/d;@">
                  <c:v>44530</c:v>
                </c:pt>
                <c:pt idx="6" c:formatCode="m/d;@">
                  <c:v>44531</c:v>
                </c:pt>
                <c:pt idx="7" c:formatCode="m/d;@">
                  <c:v>44532</c:v>
                </c:pt>
                <c:pt idx="8" c:formatCode="m/d;@">
                  <c:v>44533</c:v>
                </c:pt>
                <c:pt idx="9" c:formatCode="m/d;@">
                  <c:v>44534</c:v>
                </c:pt>
              </c:numCache>
            </c:numRef>
          </c:cat>
          <c:val>
            <c:numRef>
              <c:f>'2021.12.4'!$B$34:$B$43</c:f>
              <c:numCache>
                <c:formatCode>0.00_ </c:formatCode>
                <c:ptCount val="10"/>
                <c:pt idx="0">
                  <c:v>69.01</c:v>
                </c:pt>
                <c:pt idx="1">
                  <c:v>77.51</c:v>
                </c:pt>
                <c:pt idx="2">
                  <c:v>72.17</c:v>
                </c:pt>
                <c:pt idx="3">
                  <c:v>104.73</c:v>
                </c:pt>
                <c:pt idx="4">
                  <c:v>77.14</c:v>
                </c:pt>
                <c:pt idx="5">
                  <c:v>90.41</c:v>
                </c:pt>
                <c:pt idx="6">
                  <c:v>96.34</c:v>
                </c:pt>
                <c:pt idx="7">
                  <c:v>73.83</c:v>
                </c:pt>
                <c:pt idx="8">
                  <c:v>101.02</c:v>
                </c:pt>
                <c:pt idx="9">
                  <c:v>150.96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93358304"/>
        <c:axId val="1693354976"/>
      </c:barChart>
      <c:dateAx>
        <c:axId val="1693358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过去10天总产值</a:t>
                </a:r>
              </a:p>
            </c:rich>
          </c:tx>
          <c:layout>
            <c:manualLayout>
              <c:xMode val="edge"/>
              <c:yMode val="edge"/>
              <c:x val="0.403935185185185"/>
              <c:y val="0.7979504611103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4976"/>
        <c:crosses val="autoZero"/>
        <c:auto val="1"/>
        <c:lblOffset val="100"/>
        <c:baseTimeUnit val="days"/>
      </c:dateAx>
      <c:valAx>
        <c:axId val="169335497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3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'2021.12.4'!$B$27:$B$29</c:f>
              <c:strCache>
                <c:ptCount val="3"/>
                <c:pt idx="0">
                  <c:v>1#浇筑</c:v>
                </c:pt>
                <c:pt idx="1">
                  <c:v>2#浇筑</c:v>
                </c:pt>
                <c:pt idx="2">
                  <c:v>剩余数</c:v>
                </c:pt>
              </c:strCache>
            </c:strRef>
          </c:cat>
          <c:val>
            <c:numRef>
              <c:f>'2021.12.4'!$C$27:$C$29</c:f>
              <c:numCache>
                <c:formatCode>General</c:formatCode>
                <c:ptCount val="3"/>
                <c:pt idx="0">
                  <c:v>155</c:v>
                </c:pt>
                <c:pt idx="1">
                  <c:v>180</c:v>
                </c:pt>
                <c:pt idx="2">
                  <c:v>5445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4190541"/>
        <c:axId val="977842171"/>
      </c:barChart>
      <c:catAx>
        <c:axId val="79419054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77842171"/>
        <c:crosses val="autoZero"/>
        <c:auto val="1"/>
        <c:lblAlgn val="ctr"/>
        <c:lblOffset val="100"/>
        <c:noMultiLvlLbl val="0"/>
      </c:catAx>
      <c:valAx>
        <c:axId val="977842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9419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28220112004"/>
          <c:y val="0.112359550561798"/>
          <c:w val="0.691356221085951"/>
          <c:h val="0.64065372829417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'2021.12.4'!$D$27:$D$29</c:f>
              <c:strCache>
                <c:ptCount val="3"/>
                <c:pt idx="0">
                  <c:v>1#安装</c:v>
                </c:pt>
                <c:pt idx="1">
                  <c:v>2#安装</c:v>
                </c:pt>
                <c:pt idx="2">
                  <c:v>剩余安装</c:v>
                </c:pt>
              </c:strCache>
            </c:strRef>
          </c:cat>
          <c:val>
            <c:numRef>
              <c:f>'2021.12.4'!$E$27:$E$29</c:f>
              <c:numCache>
                <c:formatCode>General</c:formatCode>
                <c:ptCount val="3"/>
                <c:pt idx="0">
                  <c:v>115</c:v>
                </c:pt>
                <c:pt idx="1">
                  <c:v>116</c:v>
                </c:pt>
                <c:pt idx="2">
                  <c:v>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11292353"/>
        <c:axId val="99348706"/>
      </c:barChart>
      <c:catAx>
        <c:axId val="7112923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9348706"/>
        <c:crosses val="autoZero"/>
        <c:auto val="1"/>
        <c:lblAlgn val="ctr"/>
        <c:lblOffset val="100"/>
        <c:noMultiLvlLbl val="0"/>
      </c:catAx>
      <c:valAx>
        <c:axId val="99348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11292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1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1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1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2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7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/Relationships>
</file>

<file path=xl/drawings/_rels/drawing10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0.xml"/><Relationship Id="rId2" Type="http://schemas.openxmlformats.org/officeDocument/2006/relationships/chart" Target="../charts/chart209.xml"/><Relationship Id="rId1" Type="http://schemas.openxmlformats.org/officeDocument/2006/relationships/chart" Target="../charts/chart208.xml"/></Relationships>
</file>

<file path=xl/drawings/_rels/drawing10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3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6.xml"/><Relationship Id="rId2" Type="http://schemas.openxmlformats.org/officeDocument/2006/relationships/chart" Target="../charts/chart215.xml"/><Relationship Id="rId1" Type="http://schemas.openxmlformats.org/officeDocument/2006/relationships/chart" Target="../charts/chart214.xml"/></Relationships>
</file>

<file path=xl/drawings/_rels/drawing10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9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/Relationships>
</file>

<file path=xl/drawings/_rels/drawing10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2.xml"/><Relationship Id="rId2" Type="http://schemas.openxmlformats.org/officeDocument/2006/relationships/chart" Target="../charts/chart221.xml"/><Relationship Id="rId1" Type="http://schemas.openxmlformats.org/officeDocument/2006/relationships/chart" Target="../charts/chart220.xml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5.xml"/><Relationship Id="rId2" Type="http://schemas.openxmlformats.org/officeDocument/2006/relationships/chart" Target="../charts/chart224.xml"/><Relationship Id="rId1" Type="http://schemas.openxmlformats.org/officeDocument/2006/relationships/chart" Target="../charts/chart223.xml"/></Relationships>
</file>

<file path=xl/drawings/_rels/drawing10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8.xml"/><Relationship Id="rId2" Type="http://schemas.openxmlformats.org/officeDocument/2006/relationships/chart" Target="../charts/chart227.xml"/><Relationship Id="rId1" Type="http://schemas.openxmlformats.org/officeDocument/2006/relationships/chart" Target="../charts/chart226.xml"/></Relationships>
</file>

<file path=xl/drawings/_rels/drawing10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1.xml"/><Relationship Id="rId2" Type="http://schemas.openxmlformats.org/officeDocument/2006/relationships/chart" Target="../charts/chart230.xml"/><Relationship Id="rId1" Type="http://schemas.openxmlformats.org/officeDocument/2006/relationships/chart" Target="../charts/chart229.xml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4.xml"/><Relationship Id="rId2" Type="http://schemas.openxmlformats.org/officeDocument/2006/relationships/chart" Target="../charts/chart233.xml"/><Relationship Id="rId1" Type="http://schemas.openxmlformats.org/officeDocument/2006/relationships/chart" Target="../charts/chart2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7.xml"/><Relationship Id="rId2" Type="http://schemas.openxmlformats.org/officeDocument/2006/relationships/chart" Target="../charts/chart236.xml"/><Relationship Id="rId1" Type="http://schemas.openxmlformats.org/officeDocument/2006/relationships/chart" Target="../charts/chart235.xml"/></Relationships>
</file>

<file path=xl/drawings/_rels/drawing1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0.xml"/><Relationship Id="rId2" Type="http://schemas.openxmlformats.org/officeDocument/2006/relationships/chart" Target="../charts/chart239.xml"/><Relationship Id="rId1" Type="http://schemas.openxmlformats.org/officeDocument/2006/relationships/chart" Target="../charts/chart238.xml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3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/Relationships>
</file>

<file path=xl/drawings/_rels/drawing1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6.xml"/><Relationship Id="rId2" Type="http://schemas.openxmlformats.org/officeDocument/2006/relationships/chart" Target="../charts/chart245.xml"/><Relationship Id="rId1" Type="http://schemas.openxmlformats.org/officeDocument/2006/relationships/chart" Target="../charts/chart244.xml"/></Relationships>
</file>

<file path=xl/drawings/_rels/drawing1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9.xml"/><Relationship Id="rId2" Type="http://schemas.openxmlformats.org/officeDocument/2006/relationships/chart" Target="../charts/chart248.xml"/><Relationship Id="rId1" Type="http://schemas.openxmlformats.org/officeDocument/2006/relationships/chart" Target="../charts/chart247.xml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2.xml"/><Relationship Id="rId2" Type="http://schemas.openxmlformats.org/officeDocument/2006/relationships/chart" Target="../charts/chart251.xml"/><Relationship Id="rId1" Type="http://schemas.openxmlformats.org/officeDocument/2006/relationships/chart" Target="../charts/chart250.xml"/></Relationships>
</file>

<file path=xl/drawings/_rels/drawing1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5.xml"/><Relationship Id="rId2" Type="http://schemas.openxmlformats.org/officeDocument/2006/relationships/chart" Target="../charts/chart254.xml"/><Relationship Id="rId1" Type="http://schemas.openxmlformats.org/officeDocument/2006/relationships/chart" Target="../charts/chart253.xml"/></Relationships>
</file>

<file path=xl/drawings/_rels/drawing1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8.xml"/><Relationship Id="rId2" Type="http://schemas.openxmlformats.org/officeDocument/2006/relationships/chart" Target="../charts/chart257.xml"/><Relationship Id="rId1" Type="http://schemas.openxmlformats.org/officeDocument/2006/relationships/chart" Target="../charts/chart256.xml"/></Relationships>
</file>

<file path=xl/drawings/_rels/drawing1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1.xml"/><Relationship Id="rId2" Type="http://schemas.openxmlformats.org/officeDocument/2006/relationships/chart" Target="../charts/chart260.xml"/><Relationship Id="rId1" Type="http://schemas.openxmlformats.org/officeDocument/2006/relationships/chart" Target="../charts/chart259.xml"/></Relationships>
</file>

<file path=xl/drawings/_rels/drawing1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4.xml"/><Relationship Id="rId2" Type="http://schemas.openxmlformats.org/officeDocument/2006/relationships/chart" Target="../charts/chart263.xml"/><Relationship Id="rId1" Type="http://schemas.openxmlformats.org/officeDocument/2006/relationships/chart" Target="../charts/chart26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7.xml"/><Relationship Id="rId2" Type="http://schemas.openxmlformats.org/officeDocument/2006/relationships/chart" Target="../charts/chart266.xml"/><Relationship Id="rId1" Type="http://schemas.openxmlformats.org/officeDocument/2006/relationships/chart" Target="../charts/chart265.xml"/></Relationships>
</file>

<file path=xl/drawings/_rels/drawing12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71.xml"/><Relationship Id="rId3" Type="http://schemas.openxmlformats.org/officeDocument/2006/relationships/chart" Target="../charts/chart270.xml"/><Relationship Id="rId2" Type="http://schemas.openxmlformats.org/officeDocument/2006/relationships/chart" Target="../charts/chart269.xml"/><Relationship Id="rId1" Type="http://schemas.openxmlformats.org/officeDocument/2006/relationships/chart" Target="../charts/chart268.xml"/></Relationships>
</file>

<file path=xl/drawings/_rels/drawing12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75.xml"/><Relationship Id="rId3" Type="http://schemas.openxmlformats.org/officeDocument/2006/relationships/chart" Target="../charts/chart274.xml"/><Relationship Id="rId2" Type="http://schemas.openxmlformats.org/officeDocument/2006/relationships/chart" Target="../charts/chart273.xml"/><Relationship Id="rId1" Type="http://schemas.openxmlformats.org/officeDocument/2006/relationships/chart" Target="../charts/chart272.xml"/></Relationships>
</file>

<file path=xl/drawings/_rels/drawing12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79.xml"/><Relationship Id="rId3" Type="http://schemas.openxmlformats.org/officeDocument/2006/relationships/chart" Target="../charts/chart278.xml"/><Relationship Id="rId2" Type="http://schemas.openxmlformats.org/officeDocument/2006/relationships/chart" Target="../charts/chart277.xml"/><Relationship Id="rId1" Type="http://schemas.openxmlformats.org/officeDocument/2006/relationships/chart" Target="../charts/chart276.xml"/></Relationships>
</file>

<file path=xl/drawings/_rels/drawing12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83.xml"/><Relationship Id="rId3" Type="http://schemas.openxmlformats.org/officeDocument/2006/relationships/chart" Target="../charts/chart282.xml"/><Relationship Id="rId2" Type="http://schemas.openxmlformats.org/officeDocument/2006/relationships/chart" Target="../charts/chart281.xml"/><Relationship Id="rId1" Type="http://schemas.openxmlformats.org/officeDocument/2006/relationships/chart" Target="../charts/chart280.xml"/></Relationships>
</file>

<file path=xl/drawings/_rels/drawing12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87.xml"/><Relationship Id="rId3" Type="http://schemas.openxmlformats.org/officeDocument/2006/relationships/chart" Target="../charts/chart286.xml"/><Relationship Id="rId2" Type="http://schemas.openxmlformats.org/officeDocument/2006/relationships/chart" Target="../charts/chart285.xml"/><Relationship Id="rId1" Type="http://schemas.openxmlformats.org/officeDocument/2006/relationships/chart" Target="../charts/chart284.xml"/></Relationships>
</file>

<file path=xl/drawings/_rels/drawing12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1.xml"/><Relationship Id="rId3" Type="http://schemas.openxmlformats.org/officeDocument/2006/relationships/chart" Target="../charts/chart290.xml"/><Relationship Id="rId2" Type="http://schemas.openxmlformats.org/officeDocument/2006/relationships/chart" Target="../charts/chart289.xml"/><Relationship Id="rId1" Type="http://schemas.openxmlformats.org/officeDocument/2006/relationships/chart" Target="../charts/chart288.xml"/></Relationships>
</file>

<file path=xl/drawings/_rels/drawing127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5.xml"/><Relationship Id="rId3" Type="http://schemas.openxmlformats.org/officeDocument/2006/relationships/chart" Target="../charts/chart294.xml"/><Relationship Id="rId2" Type="http://schemas.openxmlformats.org/officeDocument/2006/relationships/chart" Target="../charts/chart293.xml"/><Relationship Id="rId1" Type="http://schemas.openxmlformats.org/officeDocument/2006/relationships/chart" Target="../charts/chart292.xml"/></Relationships>
</file>

<file path=xl/drawings/_rels/drawing12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9.xml"/><Relationship Id="rId3" Type="http://schemas.openxmlformats.org/officeDocument/2006/relationships/chart" Target="../charts/chart298.xml"/><Relationship Id="rId2" Type="http://schemas.openxmlformats.org/officeDocument/2006/relationships/chart" Target="../charts/chart297.xml"/><Relationship Id="rId1" Type="http://schemas.openxmlformats.org/officeDocument/2006/relationships/chart" Target="../charts/chart296.xml"/></Relationships>
</file>

<file path=xl/drawings/_rels/drawing129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03.xml"/><Relationship Id="rId3" Type="http://schemas.openxmlformats.org/officeDocument/2006/relationships/chart" Target="../charts/chart302.xml"/><Relationship Id="rId2" Type="http://schemas.openxmlformats.org/officeDocument/2006/relationships/chart" Target="../charts/chart301.xml"/><Relationship Id="rId1" Type="http://schemas.openxmlformats.org/officeDocument/2006/relationships/chart" Target="../charts/chart30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07.xml"/><Relationship Id="rId3" Type="http://schemas.openxmlformats.org/officeDocument/2006/relationships/chart" Target="../charts/chart306.xml"/><Relationship Id="rId2" Type="http://schemas.openxmlformats.org/officeDocument/2006/relationships/chart" Target="../charts/chart305.xml"/><Relationship Id="rId1" Type="http://schemas.openxmlformats.org/officeDocument/2006/relationships/chart" Target="../charts/chart304.xml"/></Relationships>
</file>

<file path=xl/drawings/_rels/drawing13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11.xml"/><Relationship Id="rId3" Type="http://schemas.openxmlformats.org/officeDocument/2006/relationships/chart" Target="../charts/chart310.xml"/><Relationship Id="rId2" Type="http://schemas.openxmlformats.org/officeDocument/2006/relationships/chart" Target="../charts/chart309.xml"/><Relationship Id="rId1" Type="http://schemas.openxmlformats.org/officeDocument/2006/relationships/chart" Target="../charts/chart308.xml"/></Relationships>
</file>

<file path=xl/drawings/_rels/drawing13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15.xml"/><Relationship Id="rId3" Type="http://schemas.openxmlformats.org/officeDocument/2006/relationships/chart" Target="../charts/chart314.xml"/><Relationship Id="rId2" Type="http://schemas.openxmlformats.org/officeDocument/2006/relationships/chart" Target="../charts/chart313.xml"/><Relationship Id="rId1" Type="http://schemas.openxmlformats.org/officeDocument/2006/relationships/chart" Target="../charts/chart312.xml"/></Relationships>
</file>

<file path=xl/drawings/_rels/drawing13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19.xml"/><Relationship Id="rId3" Type="http://schemas.openxmlformats.org/officeDocument/2006/relationships/chart" Target="../charts/chart318.xml"/><Relationship Id="rId2" Type="http://schemas.openxmlformats.org/officeDocument/2006/relationships/chart" Target="../charts/chart317.xml"/><Relationship Id="rId1" Type="http://schemas.openxmlformats.org/officeDocument/2006/relationships/chart" Target="../charts/chart316.xml"/></Relationships>
</file>

<file path=xl/drawings/_rels/drawing13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23.xml"/><Relationship Id="rId3" Type="http://schemas.openxmlformats.org/officeDocument/2006/relationships/chart" Target="../charts/chart322.xml"/><Relationship Id="rId2" Type="http://schemas.openxmlformats.org/officeDocument/2006/relationships/chart" Target="../charts/chart321.xml"/><Relationship Id="rId1" Type="http://schemas.openxmlformats.org/officeDocument/2006/relationships/chart" Target="../charts/chart320.xml"/></Relationships>
</file>

<file path=xl/drawings/_rels/drawing13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27.xml"/><Relationship Id="rId3" Type="http://schemas.openxmlformats.org/officeDocument/2006/relationships/chart" Target="../charts/chart326.xml"/><Relationship Id="rId2" Type="http://schemas.openxmlformats.org/officeDocument/2006/relationships/chart" Target="../charts/chart325.xml"/><Relationship Id="rId1" Type="http://schemas.openxmlformats.org/officeDocument/2006/relationships/chart" Target="../charts/chart324.xml"/></Relationships>
</file>

<file path=xl/drawings/_rels/drawing13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31.xml"/><Relationship Id="rId3" Type="http://schemas.openxmlformats.org/officeDocument/2006/relationships/chart" Target="../charts/chart330.xml"/><Relationship Id="rId2" Type="http://schemas.openxmlformats.org/officeDocument/2006/relationships/chart" Target="../charts/chart329.xml"/><Relationship Id="rId1" Type="http://schemas.openxmlformats.org/officeDocument/2006/relationships/chart" Target="../charts/chart328.xml"/></Relationships>
</file>

<file path=xl/drawings/_rels/drawing137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35.xml"/><Relationship Id="rId3" Type="http://schemas.openxmlformats.org/officeDocument/2006/relationships/chart" Target="../charts/chart334.xml"/><Relationship Id="rId2" Type="http://schemas.openxmlformats.org/officeDocument/2006/relationships/chart" Target="../charts/chart333.xml"/><Relationship Id="rId1" Type="http://schemas.openxmlformats.org/officeDocument/2006/relationships/chart" Target="../charts/chart332.xml"/></Relationships>
</file>

<file path=xl/drawings/_rels/drawing13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39.xml"/><Relationship Id="rId3" Type="http://schemas.openxmlformats.org/officeDocument/2006/relationships/chart" Target="../charts/chart338.xml"/><Relationship Id="rId2" Type="http://schemas.openxmlformats.org/officeDocument/2006/relationships/chart" Target="../charts/chart337.xml"/><Relationship Id="rId1" Type="http://schemas.openxmlformats.org/officeDocument/2006/relationships/chart" Target="../charts/chart336.xml"/></Relationships>
</file>

<file path=xl/drawings/_rels/drawing139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43.xml"/><Relationship Id="rId3" Type="http://schemas.openxmlformats.org/officeDocument/2006/relationships/chart" Target="../charts/chart342.xml"/><Relationship Id="rId2" Type="http://schemas.openxmlformats.org/officeDocument/2006/relationships/chart" Target="../charts/chart341.xml"/><Relationship Id="rId1" Type="http://schemas.openxmlformats.org/officeDocument/2006/relationships/chart" Target="../charts/chart3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47.xml"/><Relationship Id="rId3" Type="http://schemas.openxmlformats.org/officeDocument/2006/relationships/chart" Target="../charts/chart346.xml"/><Relationship Id="rId2" Type="http://schemas.openxmlformats.org/officeDocument/2006/relationships/chart" Target="../charts/chart345.xml"/><Relationship Id="rId1" Type="http://schemas.openxmlformats.org/officeDocument/2006/relationships/chart" Target="../charts/chart344.xml"/></Relationships>
</file>

<file path=xl/drawings/_rels/drawing14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51.xml"/><Relationship Id="rId3" Type="http://schemas.openxmlformats.org/officeDocument/2006/relationships/chart" Target="../charts/chart350.xml"/><Relationship Id="rId2" Type="http://schemas.openxmlformats.org/officeDocument/2006/relationships/chart" Target="../charts/chart349.xml"/><Relationship Id="rId1" Type="http://schemas.openxmlformats.org/officeDocument/2006/relationships/chart" Target="../charts/chart348.xml"/></Relationships>
</file>

<file path=xl/drawings/_rels/drawing14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55.xml"/><Relationship Id="rId3" Type="http://schemas.openxmlformats.org/officeDocument/2006/relationships/chart" Target="../charts/chart354.xml"/><Relationship Id="rId2" Type="http://schemas.openxmlformats.org/officeDocument/2006/relationships/chart" Target="../charts/chart353.xml"/><Relationship Id="rId1" Type="http://schemas.openxmlformats.org/officeDocument/2006/relationships/chart" Target="../charts/chart352.xml"/></Relationships>
</file>

<file path=xl/drawings/_rels/drawing14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59.xml"/><Relationship Id="rId3" Type="http://schemas.openxmlformats.org/officeDocument/2006/relationships/chart" Target="../charts/chart358.xml"/><Relationship Id="rId2" Type="http://schemas.openxmlformats.org/officeDocument/2006/relationships/chart" Target="../charts/chart357.xml"/><Relationship Id="rId1" Type="http://schemas.openxmlformats.org/officeDocument/2006/relationships/chart" Target="../charts/chart356.xml"/></Relationships>
</file>

<file path=xl/drawings/_rels/drawing14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63.xml"/><Relationship Id="rId3" Type="http://schemas.openxmlformats.org/officeDocument/2006/relationships/chart" Target="../charts/chart362.xml"/><Relationship Id="rId2" Type="http://schemas.openxmlformats.org/officeDocument/2006/relationships/chart" Target="../charts/chart361.xml"/><Relationship Id="rId1" Type="http://schemas.openxmlformats.org/officeDocument/2006/relationships/chart" Target="../charts/chart360.xml"/></Relationships>
</file>

<file path=xl/drawings/_rels/drawing14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67.xml"/><Relationship Id="rId3" Type="http://schemas.openxmlformats.org/officeDocument/2006/relationships/chart" Target="../charts/chart366.xml"/><Relationship Id="rId2" Type="http://schemas.openxmlformats.org/officeDocument/2006/relationships/chart" Target="../charts/chart365.xml"/><Relationship Id="rId1" Type="http://schemas.openxmlformats.org/officeDocument/2006/relationships/chart" Target="../charts/chart364.xml"/></Relationships>
</file>

<file path=xl/drawings/_rels/drawing1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9.xml"/><Relationship Id="rId1" Type="http://schemas.openxmlformats.org/officeDocument/2006/relationships/chart" Target="../charts/chart368.xml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1.xml"/><Relationship Id="rId1" Type="http://schemas.openxmlformats.org/officeDocument/2006/relationships/chart" Target="../charts/chart370.xml"/></Relationships>
</file>

<file path=xl/drawings/_rels/drawing1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3.xml"/><Relationship Id="rId1" Type="http://schemas.openxmlformats.org/officeDocument/2006/relationships/chart" Target="../charts/chart372.xml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5.xml"/><Relationship Id="rId1" Type="http://schemas.openxmlformats.org/officeDocument/2006/relationships/chart" Target="../charts/chart37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7.xml"/><Relationship Id="rId1" Type="http://schemas.openxmlformats.org/officeDocument/2006/relationships/chart" Target="../charts/chart376.xml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9.xml"/><Relationship Id="rId1" Type="http://schemas.openxmlformats.org/officeDocument/2006/relationships/chart" Target="../charts/chart378.xml"/></Relationships>
</file>

<file path=xl/drawings/_rels/drawing1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1.xml"/><Relationship Id="rId1" Type="http://schemas.openxmlformats.org/officeDocument/2006/relationships/chart" Target="../charts/chart380.xml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3.xml"/><Relationship Id="rId1" Type="http://schemas.openxmlformats.org/officeDocument/2006/relationships/chart" Target="../charts/chart382.xml"/></Relationships>
</file>

<file path=xl/drawings/_rels/drawing1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5.xml"/><Relationship Id="rId1" Type="http://schemas.openxmlformats.org/officeDocument/2006/relationships/chart" Target="../charts/chart384.xml"/></Relationships>
</file>

<file path=xl/drawings/_rels/drawing1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7.xml"/><Relationship Id="rId1" Type="http://schemas.openxmlformats.org/officeDocument/2006/relationships/chart" Target="../charts/chart386.xml"/></Relationships>
</file>

<file path=xl/drawings/_rels/drawing1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9.xml"/><Relationship Id="rId1" Type="http://schemas.openxmlformats.org/officeDocument/2006/relationships/chart" Target="../charts/chart388.xml"/></Relationships>
</file>

<file path=xl/drawings/_rels/drawing1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1.xml"/><Relationship Id="rId1" Type="http://schemas.openxmlformats.org/officeDocument/2006/relationships/chart" Target="../charts/chart390.xml"/></Relationships>
</file>

<file path=xl/drawings/_rels/drawing1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3.xml"/><Relationship Id="rId1" Type="http://schemas.openxmlformats.org/officeDocument/2006/relationships/chart" Target="../charts/chart392.xml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5.xml"/><Relationship Id="rId1" Type="http://schemas.openxmlformats.org/officeDocument/2006/relationships/chart" Target="../charts/chart39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7.xml"/><Relationship Id="rId1" Type="http://schemas.openxmlformats.org/officeDocument/2006/relationships/chart" Target="../charts/chart396.xml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9.xml"/><Relationship Id="rId1" Type="http://schemas.openxmlformats.org/officeDocument/2006/relationships/chart" Target="../charts/chart398.xml"/></Relationships>
</file>

<file path=xl/drawings/_rels/drawing1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1.xml"/><Relationship Id="rId1" Type="http://schemas.openxmlformats.org/officeDocument/2006/relationships/chart" Target="../charts/chart400.xml"/></Relationships>
</file>

<file path=xl/drawings/_rels/drawing16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3.xml"/><Relationship Id="rId1" Type="http://schemas.openxmlformats.org/officeDocument/2006/relationships/chart" Target="../charts/chart402.xml"/></Relationships>
</file>

<file path=xl/drawings/_rels/drawing16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5.xml"/><Relationship Id="rId1" Type="http://schemas.openxmlformats.org/officeDocument/2006/relationships/chart" Target="../charts/chart404.xml"/></Relationships>
</file>

<file path=xl/drawings/_rels/drawing16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7.xml"/><Relationship Id="rId1" Type="http://schemas.openxmlformats.org/officeDocument/2006/relationships/chart" Target="../charts/chart406.xml"/></Relationships>
</file>

<file path=xl/drawings/_rels/drawing16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9.xml"/><Relationship Id="rId1" Type="http://schemas.openxmlformats.org/officeDocument/2006/relationships/chart" Target="../charts/chart408.xml"/></Relationships>
</file>

<file path=xl/drawings/_rels/drawing16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1.xml"/><Relationship Id="rId1" Type="http://schemas.openxmlformats.org/officeDocument/2006/relationships/chart" Target="../charts/chart410.xml"/></Relationships>
</file>

<file path=xl/drawings/_rels/drawing16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3.xml"/><Relationship Id="rId1" Type="http://schemas.openxmlformats.org/officeDocument/2006/relationships/chart" Target="../charts/chart412.xml"/></Relationships>
</file>

<file path=xl/drawings/_rels/drawing16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5.xml"/><Relationship Id="rId1" Type="http://schemas.openxmlformats.org/officeDocument/2006/relationships/chart" Target="../charts/chart4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7.xml"/><Relationship Id="rId1" Type="http://schemas.openxmlformats.org/officeDocument/2006/relationships/chart" Target="../charts/chart416.xml"/></Relationships>
</file>

<file path=xl/drawings/_rels/drawing17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9.xml"/><Relationship Id="rId1" Type="http://schemas.openxmlformats.org/officeDocument/2006/relationships/chart" Target="../charts/chart418.xml"/></Relationships>
</file>

<file path=xl/drawings/_rels/drawing17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1.xml"/><Relationship Id="rId1" Type="http://schemas.openxmlformats.org/officeDocument/2006/relationships/chart" Target="../charts/chart420.xml"/></Relationships>
</file>

<file path=xl/drawings/_rels/drawing17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3.xml"/><Relationship Id="rId1" Type="http://schemas.openxmlformats.org/officeDocument/2006/relationships/chart" Target="../charts/chart422.xml"/></Relationships>
</file>

<file path=xl/drawings/_rels/drawing17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5.xml"/><Relationship Id="rId1" Type="http://schemas.openxmlformats.org/officeDocument/2006/relationships/chart" Target="../charts/chart424.xml"/></Relationships>
</file>

<file path=xl/drawings/_rels/drawing17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7.xml"/><Relationship Id="rId1" Type="http://schemas.openxmlformats.org/officeDocument/2006/relationships/chart" Target="../charts/chart426.xml"/></Relationships>
</file>

<file path=xl/drawings/_rels/drawing17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9.xml"/><Relationship Id="rId1" Type="http://schemas.openxmlformats.org/officeDocument/2006/relationships/chart" Target="../charts/chart428.xml"/></Relationships>
</file>

<file path=xl/drawings/_rels/drawing17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1.xml"/><Relationship Id="rId1" Type="http://schemas.openxmlformats.org/officeDocument/2006/relationships/chart" Target="../charts/chart4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2.xml"/><Relationship Id="rId2" Type="http://schemas.openxmlformats.org/officeDocument/2006/relationships/chart" Target="../charts/chart131.xml"/><Relationship Id="rId1" Type="http://schemas.openxmlformats.org/officeDocument/2006/relationships/chart" Target="../charts/chart130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1.xml"/><Relationship Id="rId2" Type="http://schemas.openxmlformats.org/officeDocument/2006/relationships/chart" Target="../charts/chart140.xml"/><Relationship Id="rId1" Type="http://schemas.openxmlformats.org/officeDocument/2006/relationships/chart" Target="../charts/chart139.xml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4.xml"/><Relationship Id="rId2" Type="http://schemas.openxmlformats.org/officeDocument/2006/relationships/chart" Target="../charts/chart143.xml"/><Relationship Id="rId1" Type="http://schemas.openxmlformats.org/officeDocument/2006/relationships/chart" Target="../charts/chart14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/Relationships>
</file>

<file path=xl/drawings/_rels/drawing8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0.xml"/><Relationship Id="rId2" Type="http://schemas.openxmlformats.org/officeDocument/2006/relationships/chart" Target="../charts/chart149.xml"/><Relationship Id="rId1" Type="http://schemas.openxmlformats.org/officeDocument/2006/relationships/chart" Target="../charts/chart148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8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6.xml"/><Relationship Id="rId2" Type="http://schemas.openxmlformats.org/officeDocument/2006/relationships/chart" Target="../charts/chart155.xml"/><Relationship Id="rId1" Type="http://schemas.openxmlformats.org/officeDocument/2006/relationships/chart" Target="../charts/chart154.xml"/></Relationships>
</file>

<file path=xl/drawings/_rels/drawing8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9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2.xml"/><Relationship Id="rId2" Type="http://schemas.openxmlformats.org/officeDocument/2006/relationships/chart" Target="../charts/chart161.xml"/><Relationship Id="rId1" Type="http://schemas.openxmlformats.org/officeDocument/2006/relationships/chart" Target="../charts/chart160.xml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5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/Relationships>
</file>

<file path=xl/drawings/_rels/drawing8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8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1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/Relationships>
</file>

<file path=xl/drawings/_rels/drawing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4.xml"/><Relationship Id="rId2" Type="http://schemas.openxmlformats.org/officeDocument/2006/relationships/chart" Target="../charts/chart173.xml"/><Relationship Id="rId1" Type="http://schemas.openxmlformats.org/officeDocument/2006/relationships/chart" Target="../charts/chart17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7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0.xml"/><Relationship Id="rId2" Type="http://schemas.openxmlformats.org/officeDocument/2006/relationships/chart" Target="../charts/chart179.xml"/><Relationship Id="rId1" Type="http://schemas.openxmlformats.org/officeDocument/2006/relationships/chart" Target="../charts/chart178.xml"/></Relationships>
</file>

<file path=xl/drawings/_rels/drawing9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/Relationships>
</file>

<file path=xl/drawings/_rels/drawing9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6.xml"/><Relationship Id="rId2" Type="http://schemas.openxmlformats.org/officeDocument/2006/relationships/chart" Target="../charts/chart185.xml"/><Relationship Id="rId1" Type="http://schemas.openxmlformats.org/officeDocument/2006/relationships/chart" Target="../charts/chart184.xml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9.xml"/><Relationship Id="rId2" Type="http://schemas.openxmlformats.org/officeDocument/2006/relationships/chart" Target="../charts/chart188.xml"/><Relationship Id="rId1" Type="http://schemas.openxmlformats.org/officeDocument/2006/relationships/chart" Target="../charts/chart187.xml"/></Relationships>
</file>

<file path=xl/drawings/_rels/drawing9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2.xml"/><Relationship Id="rId2" Type="http://schemas.openxmlformats.org/officeDocument/2006/relationships/chart" Target="../charts/chart191.xml"/><Relationship Id="rId1" Type="http://schemas.openxmlformats.org/officeDocument/2006/relationships/chart" Target="../charts/chart190.xml"/></Relationships>
</file>

<file path=xl/drawings/_rels/drawing9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5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8.xml"/><Relationship Id="rId2" Type="http://schemas.openxmlformats.org/officeDocument/2006/relationships/chart" Target="../charts/chart197.xml"/><Relationship Id="rId1" Type="http://schemas.openxmlformats.org/officeDocument/2006/relationships/chart" Target="../charts/chart196.xml"/></Relationships>
</file>

<file path=xl/drawings/_rels/drawing9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1.xml"/><Relationship Id="rId2" Type="http://schemas.openxmlformats.org/officeDocument/2006/relationships/chart" Target="../charts/chart200.xml"/><Relationship Id="rId1" Type="http://schemas.openxmlformats.org/officeDocument/2006/relationships/chart" Target="../charts/chart199.xml"/></Relationships>
</file>

<file path=xl/drawings/_rels/drawing9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4.xml"/><Relationship Id="rId2" Type="http://schemas.openxmlformats.org/officeDocument/2006/relationships/chart" Target="../charts/chart203.xml"/><Relationship Id="rId1" Type="http://schemas.openxmlformats.org/officeDocument/2006/relationships/chart" Target="../charts/chart20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08419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6" name="图表 5"/>
        <xdr:cNvGraphicFramePr/>
      </xdr:nvGraphicFramePr>
      <xdr:xfrm>
        <a:off x="13335" y="71951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6007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27</xdr:row>
      <xdr:rowOff>13335</xdr:rowOff>
    </xdr:from>
    <xdr:to>
      <xdr:col>5</xdr:col>
      <xdr:colOff>848360</xdr:colOff>
      <xdr:row>33</xdr:row>
      <xdr:rowOff>161290</xdr:rowOff>
    </xdr:to>
    <xdr:graphicFrame>
      <xdr:nvGraphicFramePr>
        <xdr:cNvPr id="5" name="图表 4"/>
        <xdr:cNvGraphicFramePr/>
      </xdr:nvGraphicFramePr>
      <xdr:xfrm>
        <a:off x="13335" y="7004685"/>
        <a:ext cx="5445125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27</xdr:row>
      <xdr:rowOff>10886</xdr:rowOff>
    </xdr:from>
    <xdr:to>
      <xdr:col>5</xdr:col>
      <xdr:colOff>859973</xdr:colOff>
      <xdr:row>34</xdr:row>
      <xdr:rowOff>0</xdr:rowOff>
    </xdr:to>
    <xdr:graphicFrame>
      <xdr:nvGraphicFramePr>
        <xdr:cNvPr id="5" name="图表 4"/>
        <xdr:cNvGraphicFramePr/>
      </xdr:nvGraphicFramePr>
      <xdr:xfrm>
        <a:off x="0" y="7002145"/>
        <a:ext cx="5469890" cy="121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11429</xdr:rowOff>
    </xdr:from>
    <xdr:to>
      <xdr:col>5</xdr:col>
      <xdr:colOff>860425</xdr:colOff>
      <xdr:row>26</xdr:row>
      <xdr:rowOff>174170</xdr:rowOff>
    </xdr:to>
    <xdr:graphicFrame>
      <xdr:nvGraphicFramePr>
        <xdr:cNvPr id="2" name="图表 1"/>
        <xdr:cNvGraphicFramePr/>
      </xdr:nvGraphicFramePr>
      <xdr:xfrm>
        <a:off x="8890" y="5600065"/>
        <a:ext cx="5461635" cy="139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69894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69875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27</xdr:row>
      <xdr:rowOff>8255</xdr:rowOff>
    </xdr:from>
    <xdr:to>
      <xdr:col>5</xdr:col>
      <xdr:colOff>846455</xdr:colOff>
      <xdr:row>33</xdr:row>
      <xdr:rowOff>161925</xdr:rowOff>
    </xdr:to>
    <xdr:graphicFrame>
      <xdr:nvGraphicFramePr>
        <xdr:cNvPr id="5" name="图表 4"/>
        <xdr:cNvGraphicFramePr/>
      </xdr:nvGraphicFramePr>
      <xdr:xfrm>
        <a:off x="19050" y="6999605"/>
        <a:ext cx="5437505" cy="1205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7" name="组合 6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2" name="图表 1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5" name="图表 4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74820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19</xdr:row>
      <xdr:rowOff>52070</xdr:rowOff>
    </xdr:from>
    <xdr:to>
      <xdr:col>5</xdr:col>
      <xdr:colOff>790575</xdr:colOff>
      <xdr:row>33</xdr:row>
      <xdr:rowOff>134620</xdr:rowOff>
    </xdr:to>
    <xdr:grpSp>
      <xdr:nvGrpSpPr>
        <xdr:cNvPr id="2" name="组合 1"/>
        <xdr:cNvGrpSpPr/>
      </xdr:nvGrpSpPr>
      <xdr:grpSpPr>
        <a:xfrm>
          <a:off x="70485" y="5641340"/>
          <a:ext cx="5330190" cy="2536190"/>
          <a:chOff x="49" y="8933"/>
          <a:chExt cx="8548" cy="3970"/>
        </a:xfrm>
      </xdr:grpSpPr>
      <xdr:graphicFrame>
        <xdr:nvGraphicFramePr>
          <xdr:cNvPr id="3" name="图表 2"/>
          <xdr:cNvGraphicFramePr/>
        </xdr:nvGraphicFramePr>
        <xdr:xfrm>
          <a:off x="49" y="8933"/>
          <a:ext cx="8548" cy="20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49" y="11091"/>
          <a:ext cx="8548" cy="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08419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08419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843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843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2843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02526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40829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02526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40829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22860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4531995"/>
        <a:ext cx="5471160" cy="13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</xdr:rowOff>
    </xdr:from>
    <xdr:to>
      <xdr:col>5</xdr:col>
      <xdr:colOff>861060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0" y="5915025"/>
        <a:ext cx="5471160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32385</xdr:rowOff>
    </xdr:from>
    <xdr:to>
      <xdr:col>5</xdr:col>
      <xdr:colOff>861060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36195" y="4541520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17145" y="5915025"/>
        <a:ext cx="5445125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74713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17145" y="5915025"/>
        <a:ext cx="5445125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167640</xdr:rowOff>
    </xdr:to>
    <xdr:graphicFrame>
      <xdr:nvGraphicFramePr>
        <xdr:cNvPr id="3" name="图表 2"/>
        <xdr:cNvGraphicFramePr/>
      </xdr:nvGraphicFramePr>
      <xdr:xfrm>
        <a:off x="17145" y="5915025"/>
        <a:ext cx="5445125" cy="121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37635"/>
        <a:ext cx="5486400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</xdr:colOff>
      <xdr:row>14</xdr:row>
      <xdr:rowOff>22860</xdr:rowOff>
    </xdr:from>
    <xdr:to>
      <xdr:col>5</xdr:col>
      <xdr:colOff>861060</xdr:colOff>
      <xdr:row>21</xdr:row>
      <xdr:rowOff>158115</xdr:rowOff>
    </xdr:to>
    <xdr:graphicFrame>
      <xdr:nvGraphicFramePr>
        <xdr:cNvPr id="2" name="图表 1"/>
        <xdr:cNvGraphicFramePr/>
      </xdr:nvGraphicFramePr>
      <xdr:xfrm>
        <a:off x="36195" y="4531995"/>
        <a:ext cx="5434965" cy="136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</xdr:colOff>
      <xdr:row>22</xdr:row>
      <xdr:rowOff>3810</xdr:rowOff>
    </xdr:from>
    <xdr:to>
      <xdr:col>5</xdr:col>
      <xdr:colOff>852170</xdr:colOff>
      <xdr:row>28</xdr:row>
      <xdr:rowOff>158115</xdr:rowOff>
    </xdr:to>
    <xdr:graphicFrame>
      <xdr:nvGraphicFramePr>
        <xdr:cNvPr id="3" name="图表 2"/>
        <xdr:cNvGraphicFramePr/>
      </xdr:nvGraphicFramePr>
      <xdr:xfrm>
        <a:off x="17145" y="5915025"/>
        <a:ext cx="5445125" cy="120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10160</xdr:rowOff>
    </xdr:from>
    <xdr:to>
      <xdr:col>5</xdr:col>
      <xdr:colOff>869315</xdr:colOff>
      <xdr:row>25</xdr:row>
      <xdr:rowOff>0</xdr:rowOff>
    </xdr:to>
    <xdr:graphicFrame>
      <xdr:nvGraphicFramePr>
        <xdr:cNvPr id="2" name="图表 1"/>
        <xdr:cNvGraphicFramePr/>
      </xdr:nvGraphicFramePr>
      <xdr:xfrm>
        <a:off x="8890" y="5090795"/>
        <a:ext cx="5470525" cy="13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4" name="图表 3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5" name="图表 4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092065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480810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478905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17</xdr:row>
      <xdr:rowOff>11430</xdr:rowOff>
    </xdr:from>
    <xdr:to>
      <xdr:col>5</xdr:col>
      <xdr:colOff>860425</xdr:colOff>
      <xdr:row>24</xdr:row>
      <xdr:rowOff>170180</xdr:rowOff>
    </xdr:to>
    <xdr:graphicFrame>
      <xdr:nvGraphicFramePr>
        <xdr:cNvPr id="2" name="图表 1"/>
        <xdr:cNvGraphicFramePr/>
      </xdr:nvGraphicFramePr>
      <xdr:xfrm>
        <a:off x="8890" y="5410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24</xdr:row>
      <xdr:rowOff>173989</xdr:rowOff>
    </xdr:from>
    <xdr:to>
      <xdr:col>3</xdr:col>
      <xdr:colOff>0</xdr:colOff>
      <xdr:row>32</xdr:row>
      <xdr:rowOff>0</xdr:rowOff>
    </xdr:to>
    <xdr:graphicFrame>
      <xdr:nvGraphicFramePr>
        <xdr:cNvPr id="3" name="图表 2"/>
        <xdr:cNvGraphicFramePr/>
      </xdr:nvGraphicFramePr>
      <xdr:xfrm>
        <a:off x="7620" y="6798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5</xdr:col>
      <xdr:colOff>869950</xdr:colOff>
      <xdr:row>31</xdr:row>
      <xdr:rowOff>174625</xdr:rowOff>
    </xdr:to>
    <xdr:graphicFrame>
      <xdr:nvGraphicFramePr>
        <xdr:cNvPr id="4" name="图表 3"/>
        <xdr:cNvGraphicFramePr/>
      </xdr:nvGraphicFramePr>
      <xdr:xfrm>
        <a:off x="2857500" y="6797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30480</xdr:rowOff>
    </xdr:from>
    <xdr:to>
      <xdr:col>6</xdr:col>
      <xdr:colOff>0</xdr:colOff>
      <xdr:row>21</xdr:row>
      <xdr:rowOff>167640</xdr:rowOff>
    </xdr:to>
    <xdr:graphicFrame>
      <xdr:nvGraphicFramePr>
        <xdr:cNvPr id="2" name="图表 1"/>
        <xdr:cNvGraphicFramePr/>
      </xdr:nvGraphicFramePr>
      <xdr:xfrm>
        <a:off x="0" y="3979545"/>
        <a:ext cx="5486400" cy="136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19</xdr:row>
      <xdr:rowOff>11430</xdr:rowOff>
    </xdr:from>
    <xdr:to>
      <xdr:col>5</xdr:col>
      <xdr:colOff>860425</xdr:colOff>
      <xdr:row>26</xdr:row>
      <xdr:rowOff>170180</xdr:rowOff>
    </xdr:to>
    <xdr:graphicFrame>
      <xdr:nvGraphicFramePr>
        <xdr:cNvPr id="2" name="图表 1"/>
        <xdr:cNvGraphicFramePr/>
      </xdr:nvGraphicFramePr>
      <xdr:xfrm>
        <a:off x="8890" y="5791200"/>
        <a:ext cx="5461635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173989</xdr:rowOff>
    </xdr:from>
    <xdr:to>
      <xdr:col>3</xdr:col>
      <xdr:colOff>0</xdr:colOff>
      <xdr:row>34</xdr:row>
      <xdr:rowOff>0</xdr:rowOff>
    </xdr:to>
    <xdr:graphicFrame>
      <xdr:nvGraphicFramePr>
        <xdr:cNvPr id="3" name="图表 2"/>
        <xdr:cNvGraphicFramePr/>
      </xdr:nvGraphicFramePr>
      <xdr:xfrm>
        <a:off x="7620" y="7179945"/>
        <a:ext cx="2849880" cy="122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171450</xdr:rowOff>
    </xdr:from>
    <xdr:to>
      <xdr:col>5</xdr:col>
      <xdr:colOff>869950</xdr:colOff>
      <xdr:row>33</xdr:row>
      <xdr:rowOff>174625</xdr:rowOff>
    </xdr:to>
    <xdr:graphicFrame>
      <xdr:nvGraphicFramePr>
        <xdr:cNvPr id="4" name="图表 3"/>
        <xdr:cNvGraphicFramePr/>
      </xdr:nvGraphicFramePr>
      <xdr:xfrm>
        <a:off x="2857500" y="7178040"/>
        <a:ext cx="2622550" cy="122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14"/>
  <sheetViews>
    <sheetView workbookViewId="0">
      <selection activeCell="F19" sqref="F19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30" customHeight="1" spans="1:6">
      <c r="A1" s="40" t="s">
        <v>0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64" t="s">
        <v>3</v>
      </c>
      <c r="D2" s="264" t="s">
        <v>4</v>
      </c>
      <c r="E2" s="48" t="s">
        <v>5</v>
      </c>
      <c r="F2" s="48" t="s">
        <v>6</v>
      </c>
    </row>
    <row r="3" ht="15" customHeight="1" spans="1:6">
      <c r="A3" s="218">
        <v>44463</v>
      </c>
      <c r="B3" s="35" t="s">
        <v>7</v>
      </c>
      <c r="C3" s="35">
        <v>1</v>
      </c>
      <c r="D3" s="35">
        <v>15.28</v>
      </c>
      <c r="E3" s="35">
        <f>C5+D5</f>
        <v>17.28</v>
      </c>
      <c r="F3" s="270" t="s">
        <v>8</v>
      </c>
    </row>
    <row r="4" ht="15" customHeight="1" spans="1:6">
      <c r="A4" s="35"/>
      <c r="B4" s="35" t="s">
        <v>9</v>
      </c>
      <c r="C4" s="35">
        <v>1</v>
      </c>
      <c r="D4" s="35"/>
      <c r="E4" s="35"/>
      <c r="F4" s="271"/>
    </row>
    <row r="5" ht="15" customHeight="1" spans="1:6">
      <c r="A5" s="35"/>
      <c r="B5" s="48" t="s">
        <v>10</v>
      </c>
      <c r="C5" s="35">
        <f>SUM(C3:C4)</f>
        <v>2</v>
      </c>
      <c r="D5" s="35">
        <f>SUM(D3:D4)</f>
        <v>15.28</v>
      </c>
      <c r="E5" s="35"/>
      <c r="F5" s="271"/>
    </row>
    <row r="6" ht="15" customHeight="1" spans="1:6">
      <c r="A6" s="35"/>
      <c r="B6" s="48" t="s">
        <v>11</v>
      </c>
      <c r="C6" s="35">
        <f>E6-D6</f>
        <v>5430.96</v>
      </c>
      <c r="D6" s="35">
        <v>183.32</v>
      </c>
      <c r="E6" s="35">
        <v>5614.28</v>
      </c>
      <c r="F6" s="271"/>
    </row>
    <row r="7" ht="15" customHeight="1" spans="1:6">
      <c r="A7" s="35"/>
      <c r="B7" s="48" t="s">
        <v>12</v>
      </c>
      <c r="C7" s="35">
        <f>E7-D7</f>
        <v>5430.96</v>
      </c>
      <c r="D7" s="35">
        <v>183.32</v>
      </c>
      <c r="E7" s="35">
        <v>5614.28</v>
      </c>
      <c r="F7" s="271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69" t="s">
        <v>14</v>
      </c>
      <c r="D9" s="269"/>
      <c r="E9" s="269" t="s">
        <v>15</v>
      </c>
      <c r="F9" s="269"/>
    </row>
    <row r="10" spans="1:6">
      <c r="A10" s="48"/>
      <c r="B10" s="48"/>
      <c r="C10" s="269" t="s">
        <v>16</v>
      </c>
      <c r="D10" s="269" t="s">
        <v>17</v>
      </c>
      <c r="E10" s="269" t="s">
        <v>16</v>
      </c>
      <c r="F10" s="269" t="s">
        <v>17</v>
      </c>
    </row>
    <row r="11" spans="1:6">
      <c r="A11" s="272">
        <v>44463</v>
      </c>
      <c r="B11" s="35" t="s">
        <v>7</v>
      </c>
      <c r="C11" s="56"/>
      <c r="D11" s="224"/>
      <c r="E11" s="56">
        <v>1</v>
      </c>
      <c r="F11" s="224">
        <v>15.28</v>
      </c>
    </row>
    <row r="12" spans="1:6">
      <c r="A12" s="273"/>
      <c r="B12" s="35" t="s">
        <v>9</v>
      </c>
      <c r="C12" s="56"/>
      <c r="D12" s="224"/>
      <c r="E12" s="56"/>
      <c r="F12" s="224"/>
    </row>
    <row r="13" spans="1:6">
      <c r="A13" s="273"/>
      <c r="B13" s="35" t="s">
        <v>18</v>
      </c>
      <c r="C13" s="56">
        <f>C11+C12</f>
        <v>0</v>
      </c>
      <c r="D13" s="224">
        <f t="shared" ref="D13:F13" si="0">D11+D12</f>
        <v>0</v>
      </c>
      <c r="E13" s="56">
        <f t="shared" si="0"/>
        <v>1</v>
      </c>
      <c r="F13" s="224">
        <f t="shared" si="0"/>
        <v>15.28</v>
      </c>
    </row>
    <row r="14" spans="1:6">
      <c r="A14" s="274"/>
      <c r="B14" s="48" t="s">
        <v>5</v>
      </c>
      <c r="C14" s="145">
        <f>D13+F13</f>
        <v>15.28</v>
      </c>
      <c r="D14" s="275"/>
      <c r="E14" s="275"/>
      <c r="F14" s="146"/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44472</v>
      </c>
      <c r="B3" s="157" t="s">
        <v>7</v>
      </c>
      <c r="C3" s="157">
        <v>1</v>
      </c>
      <c r="D3" s="157">
        <f>D11+F11</f>
        <v>15.28</v>
      </c>
      <c r="E3" s="250">
        <f>C5+D5</f>
        <v>31.74</v>
      </c>
      <c r="F3" s="243" t="s">
        <v>34</v>
      </c>
    </row>
    <row r="4" ht="15" customHeight="1" spans="1:6">
      <c r="A4" s="157"/>
      <c r="B4" s="157" t="s">
        <v>9</v>
      </c>
      <c r="C4" s="157"/>
      <c r="D4" s="157">
        <f>D12+F12</f>
        <v>15.46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1</v>
      </c>
      <c r="D5" s="157">
        <f>SUM(D3:D4)</f>
        <v>30.74</v>
      </c>
      <c r="E5" s="250"/>
      <c r="F5" s="244"/>
      <c r="H5"/>
      <c r="I5"/>
      <c r="J5"/>
      <c r="K5"/>
    </row>
    <row r="6" ht="15" customHeight="1" spans="1:11">
      <c r="A6" s="157"/>
      <c r="B6" s="239" t="s">
        <v>11</v>
      </c>
      <c r="C6" s="258">
        <f>5450.78+1</f>
        <v>5451.78</v>
      </c>
      <c r="D6" s="258">
        <f>ROUND(229.687+7.82+0.1625+23.1+15.46+30.74,2)</f>
        <v>306.97</v>
      </c>
      <c r="E6" s="239">
        <f>C6+D6</f>
        <v>5758.75</v>
      </c>
      <c r="F6" s="244"/>
      <c r="H6"/>
      <c r="I6"/>
      <c r="J6"/>
      <c r="K6"/>
    </row>
    <row r="7" ht="15" customHeight="1" spans="1:11">
      <c r="A7" s="157"/>
      <c r="B7" s="239" t="s">
        <v>12</v>
      </c>
      <c r="C7" s="258">
        <f>5450.78+1</f>
        <v>5451.78</v>
      </c>
      <c r="D7" s="258">
        <f>ROUND(229.687+7.82+0.1625+23.1+15.46+30.74,2)</f>
        <v>306.97</v>
      </c>
      <c r="E7" s="239">
        <f>C7+D7</f>
        <v>5758.75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spans="1:6">
      <c r="A11" s="241">
        <v>44472</v>
      </c>
      <c r="B11" s="157" t="s">
        <v>7</v>
      </c>
      <c r="C11" s="247"/>
      <c r="D11" s="248"/>
      <c r="E11" s="247">
        <v>1</v>
      </c>
      <c r="F11" s="248">
        <v>15.28</v>
      </c>
    </row>
    <row r="12" spans="1:6">
      <c r="A12" s="157"/>
      <c r="B12" s="157" t="s">
        <v>9</v>
      </c>
      <c r="C12" s="247">
        <v>2</v>
      </c>
      <c r="D12" s="248">
        <f>7.82+7.64</f>
        <v>15.46</v>
      </c>
      <c r="E12" s="247"/>
      <c r="F12" s="248"/>
    </row>
    <row r="13" spans="1:6">
      <c r="A13" s="157"/>
      <c r="B13" s="157" t="s">
        <v>18</v>
      </c>
      <c r="C13" s="247">
        <f>C11+C12</f>
        <v>2</v>
      </c>
      <c r="D13" s="248">
        <f>ROUND(D11+D12,2)</f>
        <v>15.46</v>
      </c>
      <c r="E13" s="247">
        <f t="shared" ref="E13" si="0">E11+E12</f>
        <v>1</v>
      </c>
      <c r="F13" s="248">
        <f>ROUND(F11+F12,2)</f>
        <v>15.28</v>
      </c>
    </row>
    <row r="14" spans="1:6">
      <c r="A14" s="157"/>
      <c r="B14" s="239" t="s">
        <v>5</v>
      </c>
      <c r="C14" s="250">
        <f>D13+F13</f>
        <v>30.74</v>
      </c>
      <c r="D14" s="250"/>
      <c r="E14" s="250"/>
      <c r="F14" s="250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44463</v>
      </c>
      <c r="B31" s="235">
        <v>17.28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44464</v>
      </c>
      <c r="B32" s="235">
        <v>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44465</v>
      </c>
      <c r="B33" s="235">
        <v>8.82</v>
      </c>
      <c r="C33" s="35">
        <v>19</v>
      </c>
      <c r="D33" s="35">
        <v>5</v>
      </c>
      <c r="E33" s="35">
        <v>11</v>
      </c>
      <c r="F33" s="35">
        <v>0</v>
      </c>
    </row>
    <row r="34" ht="15.6" spans="1:6">
      <c r="A34" s="53">
        <v>44466</v>
      </c>
      <c r="B34" s="235">
        <v>2</v>
      </c>
      <c r="C34" s="35"/>
      <c r="D34" s="35"/>
      <c r="E34" s="35">
        <v>0</v>
      </c>
      <c r="F34" s="35">
        <v>37582</v>
      </c>
    </row>
    <row r="35" ht="15.6" spans="1:6">
      <c r="A35" s="53">
        <v>44467</v>
      </c>
      <c r="B35" s="235">
        <v>16.28</v>
      </c>
      <c r="C35" s="35"/>
      <c r="D35" s="35"/>
      <c r="E35" s="35"/>
      <c r="F35" s="35"/>
    </row>
    <row r="36" ht="15.6" spans="1:6">
      <c r="A36" s="53">
        <v>44468</v>
      </c>
      <c r="B36" s="235">
        <v>33.25</v>
      </c>
      <c r="C36" s="35"/>
      <c r="D36" s="35"/>
      <c r="E36" s="35"/>
      <c r="F36" s="35"/>
    </row>
    <row r="37" ht="15.6" spans="1:6">
      <c r="A37" s="53">
        <v>44469</v>
      </c>
      <c r="B37" s="235">
        <v>8.82</v>
      </c>
      <c r="C37" s="35"/>
      <c r="D37" s="35"/>
      <c r="E37" s="35"/>
      <c r="F37" s="35"/>
    </row>
    <row r="38" ht="15.6" spans="1:6">
      <c r="A38" s="53">
        <v>44470</v>
      </c>
      <c r="B38" s="235">
        <v>24.1</v>
      </c>
      <c r="C38" s="35"/>
      <c r="D38" s="35"/>
      <c r="E38" s="35"/>
      <c r="F38" s="35"/>
    </row>
    <row r="39" ht="15.6" spans="1:6">
      <c r="A39" s="53">
        <v>44471</v>
      </c>
      <c r="B39" s="235">
        <v>17.46</v>
      </c>
      <c r="C39" s="35"/>
      <c r="D39" s="35"/>
      <c r="E39" s="35"/>
      <c r="F39" s="35"/>
    </row>
    <row r="40" ht="15.6" spans="1:6">
      <c r="A40" s="53">
        <v>44472</v>
      </c>
      <c r="B40" s="235">
        <v>31.74</v>
      </c>
      <c r="C40" s="104">
        <f>C33+D33+E33+F33</f>
        <v>35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:E13" formula="1"/>
  </ignoredErrors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E7" sqref="E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44562</v>
      </c>
      <c r="B3" s="12" t="s">
        <v>7</v>
      </c>
      <c r="C3" s="12">
        <v>0</v>
      </c>
      <c r="D3" s="12">
        <f>ROUND(D11+D12+D15+D16+D17+D13+D14,2)</f>
        <v>34.52</v>
      </c>
      <c r="E3" s="13">
        <f>ROUND(C5+D5,2)</f>
        <v>88.18</v>
      </c>
      <c r="F3" s="143" t="s">
        <v>175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53.66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88.18</v>
      </c>
      <c r="E5" s="13"/>
      <c r="F5" s="144"/>
      <c r="I5" t="str">
        <f>ROUND(E6/90284.4*100,2)&amp;"%"</f>
        <v>0.1%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88.18</v>
      </c>
      <c r="E6" s="8">
        <f>ROUND(C6+D6,2)</f>
        <v>88.18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f>6181.53-1.42</f>
        <v>6180.11</v>
      </c>
      <c r="E7" s="8">
        <f>ROUND(C7+D7,2)</f>
        <v>12180.89</v>
      </c>
      <c r="F7" s="144"/>
      <c r="H7" s="3">
        <v>10165.33</v>
      </c>
      <c r="I7"/>
      <c r="J7">
        <f>E7-H7</f>
        <v>2015.56</v>
      </c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44562</v>
      </c>
      <c r="B11" s="32" t="s">
        <v>172</v>
      </c>
      <c r="C11" s="33">
        <v>0</v>
      </c>
      <c r="D11" s="8">
        <v>0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30.45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/>
      <c r="E13" s="33"/>
      <c r="F13" s="8"/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/>
      <c r="D14" s="8"/>
      <c r="E14" s="33"/>
      <c r="F14" s="8"/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100</v>
      </c>
      <c r="D15" s="8">
        <v>4.07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D11+D12+D15+D16+D17+D13+D14</f>
        <v>34.52</v>
      </c>
      <c r="D18" s="134"/>
      <c r="E18" s="25">
        <f>F11+F12+F15+F16+F17+F13+F14</f>
        <v>53.66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88.18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252</v>
      </c>
      <c r="D29" s="132" t="s">
        <v>75</v>
      </c>
      <c r="E29" s="12">
        <f>C39+D39</f>
        <v>195</v>
      </c>
      <c r="F29" s="12"/>
    </row>
    <row r="30" spans="1:6">
      <c r="A30" s="35"/>
      <c r="B30" s="132" t="s">
        <v>76</v>
      </c>
      <c r="C30" s="12">
        <f>E38+F38</f>
        <v>353</v>
      </c>
      <c r="D30" s="132" t="s">
        <v>77</v>
      </c>
      <c r="E30" s="12">
        <f>E39+F39</f>
        <v>265</v>
      </c>
      <c r="F30" s="12"/>
    </row>
    <row r="31" spans="1:6">
      <c r="A31" s="35"/>
      <c r="B31" s="132" t="s">
        <v>78</v>
      </c>
      <c r="C31" s="12">
        <f>C32-C29-C30</f>
        <v>5175</v>
      </c>
      <c r="D31" s="132" t="s">
        <v>79</v>
      </c>
      <c r="E31" s="12">
        <f>E32-E29-E30</f>
        <v>5320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44553</v>
      </c>
      <c r="B36" s="184">
        <v>91.5</v>
      </c>
      <c r="C36" s="185" t="s">
        <v>32</v>
      </c>
      <c r="D36" s="185"/>
      <c r="E36" s="185" t="s">
        <v>33</v>
      </c>
      <c r="F36" s="185"/>
      <c r="I36" s="3">
        <v>5913</v>
      </c>
      <c r="N36" s="4"/>
    </row>
    <row r="37" ht="15.6" spans="1:14">
      <c r="A37" s="53">
        <v>44554</v>
      </c>
      <c r="B37" s="184">
        <v>108.53</v>
      </c>
      <c r="C37" s="186" t="s">
        <v>14</v>
      </c>
      <c r="D37" s="186" t="s">
        <v>15</v>
      </c>
      <c r="E37" s="186" t="s">
        <v>14</v>
      </c>
      <c r="F37" s="186" t="s">
        <v>15</v>
      </c>
      <c r="I37" s="3">
        <v>5913</v>
      </c>
      <c r="N37" s="4"/>
    </row>
    <row r="38" ht="15.6" spans="1:14">
      <c r="A38" s="53">
        <v>44555</v>
      </c>
      <c r="B38" s="184">
        <v>121.36</v>
      </c>
      <c r="C38" s="187">
        <v>169</v>
      </c>
      <c r="D38" s="187">
        <v>83</v>
      </c>
      <c r="E38" s="187">
        <v>307</v>
      </c>
      <c r="F38" s="187">
        <v>46</v>
      </c>
      <c r="I38" s="3">
        <v>135185</v>
      </c>
      <c r="N38" s="4"/>
    </row>
    <row r="39" ht="15.6" spans="1:14">
      <c r="A39" s="53">
        <v>44556</v>
      </c>
      <c r="B39" s="184">
        <v>109.49</v>
      </c>
      <c r="C39" s="188">
        <v>130</v>
      </c>
      <c r="D39" s="188">
        <v>65</v>
      </c>
      <c r="E39" s="188">
        <v>258</v>
      </c>
      <c r="F39" s="188">
        <v>7</v>
      </c>
      <c r="I39" s="3">
        <v>67098.02</v>
      </c>
      <c r="N39" s="4"/>
    </row>
    <row r="40" ht="15.6" spans="1:14">
      <c r="A40" s="53">
        <v>44557</v>
      </c>
      <c r="B40" s="184">
        <v>134.71</v>
      </c>
      <c r="C40" s="187" t="s">
        <v>68</v>
      </c>
      <c r="D40" s="187">
        <f>C38+D38+E38+F38</f>
        <v>605</v>
      </c>
      <c r="E40" s="188" t="s">
        <v>69</v>
      </c>
      <c r="F40" s="188">
        <f>C39+D39+E39+F39</f>
        <v>460</v>
      </c>
      <c r="I40" s="3">
        <v>405202.2</v>
      </c>
      <c r="N40" s="4"/>
    </row>
    <row r="41" ht="15.6" spans="1:14">
      <c r="A41" s="53">
        <v>44558</v>
      </c>
      <c r="B41" s="184">
        <v>124.05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44559</v>
      </c>
      <c r="B42" s="184">
        <v>108.03</v>
      </c>
      <c r="C42" s="189" t="s">
        <v>108</v>
      </c>
      <c r="D42" s="190"/>
      <c r="E42" s="194">
        <f>C50</f>
        <v>0</v>
      </c>
      <c r="F42" s="191">
        <v>0</v>
      </c>
      <c r="I42" s="3" t="str">
        <f>ROUND(D40/I36*100,2)&amp;"%"</f>
        <v>10.23%</v>
      </c>
      <c r="N42" s="4"/>
    </row>
    <row r="43" ht="15.6" spans="1:14">
      <c r="A43" s="53">
        <v>44560</v>
      </c>
      <c r="B43" s="184">
        <v>109.25</v>
      </c>
      <c r="C43" s="189" t="s">
        <v>109</v>
      </c>
      <c r="D43" s="190"/>
      <c r="E43" s="194">
        <f>C49</f>
        <v>0</v>
      </c>
      <c r="F43" s="191">
        <v>2032.04</v>
      </c>
      <c r="I43" s="3" t="str">
        <f>ROUND(F40/I37*100,2)&amp;"%"</f>
        <v>7.78%</v>
      </c>
      <c r="N43" s="4"/>
    </row>
    <row r="44" ht="15.6" spans="1:14">
      <c r="A44" s="53">
        <v>44561</v>
      </c>
      <c r="B44" s="184">
        <v>89.94</v>
      </c>
      <c r="C44" s="189" t="s">
        <v>99</v>
      </c>
      <c r="D44" s="192"/>
      <c r="E44" s="194">
        <f>C48</f>
        <v>100</v>
      </c>
      <c r="F44" s="191">
        <v>6205</v>
      </c>
      <c r="I44" s="3" t="str">
        <f>ROUND(F44/I38*100,2)&amp;"%"</f>
        <v>4.59%</v>
      </c>
      <c r="N44" s="4"/>
    </row>
    <row r="45" ht="15.6" spans="1:14">
      <c r="A45" s="53">
        <v>44562</v>
      </c>
      <c r="B45" s="184">
        <v>88.18</v>
      </c>
      <c r="C45" s="193" t="s">
        <v>100</v>
      </c>
      <c r="D45" s="193"/>
      <c r="E45" s="195">
        <v>0</v>
      </c>
      <c r="F45" s="193">
        <v>41682</v>
      </c>
      <c r="I45" s="3" t="str">
        <f>ROUND(F43/I39*100,2)&amp;"%"</f>
        <v>3.03%</v>
      </c>
      <c r="N45" s="4"/>
    </row>
    <row r="46" spans="1:9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/>
      <c r="E47" s="79"/>
      <c r="F47" s="79"/>
    </row>
    <row r="48" spans="1:6">
      <c r="A48" s="151"/>
      <c r="B48" s="79" t="s">
        <v>112</v>
      </c>
      <c r="C48" s="79">
        <v>100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2022年01月01日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2022年01月01日累计完成产值88.18万元，占总产值90284.4万元的0.1%，100章临建完成6000.78万元，400章桥梁完成6180.11万元。已完成梁片预制605片，占设计量的10.23%；梁片安装460片，占设计量的7.78%；湿接缝6205米，占设计量的4.59%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L17" sqref="L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44563</v>
      </c>
      <c r="B3" s="12" t="s">
        <v>7</v>
      </c>
      <c r="C3" s="12">
        <v>0</v>
      </c>
      <c r="D3" s="12">
        <f>ROUND(D11+D12+D15+D16+D17+D13+D14,2)</f>
        <v>42.92</v>
      </c>
      <c r="E3" s="13">
        <f>ROUND(C5+D5,2)</f>
        <v>89.63</v>
      </c>
      <c r="F3" s="143" t="s">
        <v>176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46.71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89.63</v>
      </c>
      <c r="E5" s="13"/>
      <c r="F5" s="144"/>
      <c r="I5" t="str">
        <f>ROUND(E6/90284.4*100,2)&amp;"%"</f>
        <v>0.2%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177.81</v>
      </c>
      <c r="E6" s="8">
        <f>ROUND(C6+D6,2)</f>
        <v>177.81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6269.74</v>
      </c>
      <c r="E7" s="8">
        <f>ROUND(C7+D7,2)</f>
        <v>12270.52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44563</v>
      </c>
      <c r="B11" s="32" t="s">
        <v>172</v>
      </c>
      <c r="C11" s="33">
        <v>1</v>
      </c>
      <c r="D11" s="8">
        <v>7.64</v>
      </c>
      <c r="E11" s="33">
        <v>3</v>
      </c>
      <c r="F11" s="8">
        <v>23.28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30.45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100</v>
      </c>
      <c r="D15" s="8">
        <v>4.07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D11+D12+D15+D16+D17+D13+D14</f>
        <v>42.916</v>
      </c>
      <c r="D18" s="134"/>
      <c r="E18" s="25">
        <f>F11+F12+F15+F16+F17+F13+F14</f>
        <v>46.71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89.626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255</v>
      </c>
      <c r="D29" s="132" t="s">
        <v>75</v>
      </c>
      <c r="E29" s="12">
        <f>C39+D39</f>
        <v>198</v>
      </c>
      <c r="F29" s="12"/>
    </row>
    <row r="30" spans="1:6">
      <c r="A30" s="35"/>
      <c r="B30" s="132" t="s">
        <v>76</v>
      </c>
      <c r="C30" s="12">
        <f>E38+F38</f>
        <v>357</v>
      </c>
      <c r="D30" s="132" t="s">
        <v>77</v>
      </c>
      <c r="E30" s="12">
        <f>E39+F39</f>
        <v>265</v>
      </c>
      <c r="F30" s="12"/>
    </row>
    <row r="31" spans="1:6">
      <c r="A31" s="35"/>
      <c r="B31" s="132" t="s">
        <v>78</v>
      </c>
      <c r="C31" s="12">
        <f>C32-C29-C30</f>
        <v>5168</v>
      </c>
      <c r="D31" s="132" t="s">
        <v>79</v>
      </c>
      <c r="E31" s="12">
        <f>E32-E29-E30</f>
        <v>5317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44554</v>
      </c>
      <c r="B36" s="184">
        <v>108.53</v>
      </c>
      <c r="C36" s="185" t="s">
        <v>32</v>
      </c>
      <c r="D36" s="185"/>
      <c r="E36" s="185" t="s">
        <v>33</v>
      </c>
      <c r="F36" s="185"/>
      <c r="I36" s="3">
        <v>5913</v>
      </c>
      <c r="N36" s="4"/>
    </row>
    <row r="37" ht="15.6" spans="1:14">
      <c r="A37" s="53">
        <v>44555</v>
      </c>
      <c r="B37" s="184">
        <v>121.36</v>
      </c>
      <c r="C37" s="186" t="s">
        <v>14</v>
      </c>
      <c r="D37" s="186" t="s">
        <v>15</v>
      </c>
      <c r="E37" s="186" t="s">
        <v>14</v>
      </c>
      <c r="F37" s="186" t="s">
        <v>15</v>
      </c>
      <c r="I37" s="3">
        <v>5913</v>
      </c>
      <c r="N37" s="4"/>
    </row>
    <row r="38" ht="15.6" spans="1:14">
      <c r="A38" s="53">
        <v>44556</v>
      </c>
      <c r="B38" s="184">
        <v>109.49</v>
      </c>
      <c r="C38" s="187">
        <v>170</v>
      </c>
      <c r="D38" s="187">
        <v>85</v>
      </c>
      <c r="E38" s="187">
        <v>310</v>
      </c>
      <c r="F38" s="187">
        <v>47</v>
      </c>
      <c r="I38" s="3">
        <v>135185</v>
      </c>
      <c r="N38" s="4"/>
    </row>
    <row r="39" ht="15.6" spans="1:14">
      <c r="A39" s="53">
        <v>44557</v>
      </c>
      <c r="B39" s="184">
        <v>134.71</v>
      </c>
      <c r="C39" s="188">
        <v>130</v>
      </c>
      <c r="D39" s="188">
        <v>68</v>
      </c>
      <c r="E39" s="188">
        <v>258</v>
      </c>
      <c r="F39" s="188">
        <v>7</v>
      </c>
      <c r="I39" s="3">
        <v>67098.02</v>
      </c>
      <c r="N39" s="4"/>
    </row>
    <row r="40" ht="15.6" spans="1:14">
      <c r="A40" s="53">
        <v>44558</v>
      </c>
      <c r="B40" s="184">
        <v>124.05</v>
      </c>
      <c r="C40" s="187" t="s">
        <v>68</v>
      </c>
      <c r="D40" s="187">
        <f>C38+D38+E38+F38</f>
        <v>612</v>
      </c>
      <c r="E40" s="188" t="s">
        <v>69</v>
      </c>
      <c r="F40" s="188">
        <f>C39+D39+E39+F39</f>
        <v>463</v>
      </c>
      <c r="I40" s="3">
        <v>405202.2</v>
      </c>
      <c r="N40" s="4"/>
    </row>
    <row r="41" ht="15.6" spans="1:14">
      <c r="A41" s="53">
        <v>44559</v>
      </c>
      <c r="B41" s="184">
        <v>108.03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44560</v>
      </c>
      <c r="B42" s="184">
        <v>109.25</v>
      </c>
      <c r="C42" s="189" t="s">
        <v>108</v>
      </c>
      <c r="D42" s="190"/>
      <c r="E42" s="194">
        <f>C50</f>
        <v>0</v>
      </c>
      <c r="F42" s="191">
        <v>0</v>
      </c>
      <c r="I42" s="3" t="str">
        <f>ROUND(D40/I36*100,2)&amp;"%"</f>
        <v>10.35%</v>
      </c>
      <c r="N42" s="4"/>
    </row>
    <row r="43" ht="15.6" spans="1:14">
      <c r="A43" s="53">
        <v>44561</v>
      </c>
      <c r="B43" s="184">
        <v>89.94</v>
      </c>
      <c r="C43" s="189" t="s">
        <v>109</v>
      </c>
      <c r="D43" s="190"/>
      <c r="E43" s="194">
        <f>C49</f>
        <v>0</v>
      </c>
      <c r="F43" s="191">
        <v>2032.04</v>
      </c>
      <c r="I43" s="3" t="str">
        <f>ROUND(F40/I37*100,2)&amp;"%"</f>
        <v>7.83%</v>
      </c>
      <c r="N43" s="4"/>
    </row>
    <row r="44" ht="15.6" spans="1:14">
      <c r="A44" s="53">
        <v>44562</v>
      </c>
      <c r="B44" s="184">
        <v>88.18</v>
      </c>
      <c r="C44" s="189" t="s">
        <v>99</v>
      </c>
      <c r="D44" s="192"/>
      <c r="E44" s="194">
        <f>C48</f>
        <v>300</v>
      </c>
      <c r="F44" s="191">
        <v>6505</v>
      </c>
      <c r="I44" s="3" t="str">
        <f>ROUND(F44/I38*100,2)&amp;"%"</f>
        <v>4.81%</v>
      </c>
      <c r="N44" s="4"/>
    </row>
    <row r="45" ht="15.6" spans="1:14">
      <c r="A45" s="53">
        <v>44563</v>
      </c>
      <c r="B45" s="184">
        <v>89.63</v>
      </c>
      <c r="C45" s="193" t="s">
        <v>100</v>
      </c>
      <c r="D45" s="193"/>
      <c r="E45" s="195">
        <v>0</v>
      </c>
      <c r="F45" s="193">
        <v>41682</v>
      </c>
      <c r="I45" s="3" t="str">
        <f>ROUND(F43/I39*100,2)&amp;"%"</f>
        <v>3.03%</v>
      </c>
      <c r="N45" s="4"/>
    </row>
    <row r="46" spans="1:9">
      <c r="A46" s="147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3</v>
      </c>
      <c r="F46" s="79">
        <f>E12</f>
        <v>1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3</v>
      </c>
      <c r="E47" s="79">
        <v>0</v>
      </c>
      <c r="F47" s="79">
        <v>0</v>
      </c>
    </row>
    <row r="48" spans="1:6">
      <c r="A48" s="151"/>
      <c r="B48" s="79" t="s">
        <v>112</v>
      </c>
      <c r="C48" s="79">
        <v>300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2022年01月02日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2022年01月02日累计完成产值177.81万元，占总产值90284.4万元的0.2%，100章临建完成6000.78万元，400章桥梁完成6269.74万元。已完成梁片预制612片，占设计量的10.35%；梁片安装463片，占设计量的7.83%；湿接缝6505米，占设计量的4.81%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H14" sqref="H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44564</v>
      </c>
      <c r="B3" s="12" t="s">
        <v>7</v>
      </c>
      <c r="C3" s="12">
        <v>0</v>
      </c>
      <c r="D3" s="12">
        <f>ROUND(D11+D12+D15+D16+D17+D13+D14,2)</f>
        <v>31.07</v>
      </c>
      <c r="E3" s="13">
        <f>ROUND(C5+D5,2)</f>
        <v>111.87</v>
      </c>
      <c r="F3" s="143" t="s">
        <v>177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80.8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111.87</v>
      </c>
      <c r="E5" s="13"/>
      <c r="F5" s="144"/>
      <c r="I5" t="str">
        <f>ROUND(E7/90284.4*100,2)&amp;"%"</f>
        <v>13.71%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289.68</v>
      </c>
      <c r="E6" s="8">
        <f>ROUND(C6+D6,2)</f>
        <v>289.68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6381.61</v>
      </c>
      <c r="E7" s="8">
        <f>ROUND(C7+D7,2)</f>
        <v>12382.39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44564</v>
      </c>
      <c r="B11" s="32" t="s">
        <v>172</v>
      </c>
      <c r="C11" s="33">
        <v>0</v>
      </c>
      <c r="D11" s="8">
        <v>0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30.57</v>
      </c>
      <c r="E12" s="33">
        <v>2</v>
      </c>
      <c r="F12" s="8">
        <v>30.55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11</v>
      </c>
      <c r="F13" s="8">
        <v>2.232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2</v>
      </c>
      <c r="D14" s="8">
        <v>0.504</v>
      </c>
      <c r="E14" s="33">
        <v>6</v>
      </c>
      <c r="F14" s="8">
        <v>1.512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0</v>
      </c>
      <c r="D15" s="8">
        <v>0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31.07</v>
      </c>
      <c r="D18" s="134"/>
      <c r="E18" s="25">
        <f>ROUND(F11+F12+F15+F16+F17+F13+F14,2)</f>
        <v>80.8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111.87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257</v>
      </c>
      <c r="D29" s="132" t="s">
        <v>75</v>
      </c>
      <c r="E29" s="12">
        <f>C39+D39</f>
        <v>200</v>
      </c>
      <c r="F29" s="12"/>
    </row>
    <row r="30" spans="1:6">
      <c r="A30" s="35"/>
      <c r="B30" s="132" t="s">
        <v>76</v>
      </c>
      <c r="C30" s="12">
        <f>E38+F38</f>
        <v>364</v>
      </c>
      <c r="D30" s="132" t="s">
        <v>77</v>
      </c>
      <c r="E30" s="12">
        <f>E39+F39</f>
        <v>282</v>
      </c>
      <c r="F30" s="12"/>
    </row>
    <row r="31" spans="1:6">
      <c r="A31" s="35"/>
      <c r="B31" s="132" t="s">
        <v>78</v>
      </c>
      <c r="C31" s="12">
        <f>C32-C29-C30</f>
        <v>5159</v>
      </c>
      <c r="D31" s="132" t="s">
        <v>79</v>
      </c>
      <c r="E31" s="12">
        <f>E32-E29-E30</f>
        <v>5298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44555</v>
      </c>
      <c r="B36" s="184">
        <v>121.36</v>
      </c>
      <c r="C36" s="185" t="s">
        <v>32</v>
      </c>
      <c r="D36" s="185"/>
      <c r="E36" s="185" t="s">
        <v>33</v>
      </c>
      <c r="F36" s="185"/>
      <c r="I36" s="3">
        <v>5913</v>
      </c>
      <c r="N36" s="4"/>
    </row>
    <row r="37" ht="15.6" spans="1:14">
      <c r="A37" s="53">
        <v>44556</v>
      </c>
      <c r="B37" s="184">
        <v>109.49</v>
      </c>
      <c r="C37" s="186" t="s">
        <v>14</v>
      </c>
      <c r="D37" s="186" t="s">
        <v>15</v>
      </c>
      <c r="E37" s="186" t="s">
        <v>14</v>
      </c>
      <c r="F37" s="186" t="s">
        <v>15</v>
      </c>
      <c r="I37" s="3">
        <v>5913</v>
      </c>
      <c r="N37" s="4"/>
    </row>
    <row r="38" ht="15.6" spans="1:14">
      <c r="A38" s="53">
        <v>44557</v>
      </c>
      <c r="B38" s="184">
        <v>134.71</v>
      </c>
      <c r="C38" s="187">
        <v>170</v>
      </c>
      <c r="D38" s="187">
        <v>87</v>
      </c>
      <c r="E38" s="187">
        <v>315</v>
      </c>
      <c r="F38" s="187">
        <v>49</v>
      </c>
      <c r="I38" s="3">
        <v>135185</v>
      </c>
      <c r="N38" s="4"/>
    </row>
    <row r="39" ht="15.6" spans="1:14">
      <c r="A39" s="53">
        <v>44558</v>
      </c>
      <c r="B39" s="184">
        <v>124.05</v>
      </c>
      <c r="C39" s="188">
        <v>130</v>
      </c>
      <c r="D39" s="188">
        <v>70</v>
      </c>
      <c r="E39" s="188">
        <v>269</v>
      </c>
      <c r="F39" s="188">
        <v>13</v>
      </c>
      <c r="I39" s="3">
        <v>67098.02</v>
      </c>
      <c r="N39" s="4"/>
    </row>
    <row r="40" ht="15.6" spans="1:14">
      <c r="A40" s="53">
        <v>44559</v>
      </c>
      <c r="B40" s="184">
        <v>108.03</v>
      </c>
      <c r="C40" s="187" t="s">
        <v>68</v>
      </c>
      <c r="D40" s="187">
        <f>C38+D38+E38+F38</f>
        <v>621</v>
      </c>
      <c r="E40" s="188" t="s">
        <v>69</v>
      </c>
      <c r="F40" s="188">
        <f>C39+D39+E39+F39</f>
        <v>482</v>
      </c>
      <c r="I40" s="3">
        <v>405202.2</v>
      </c>
      <c r="N40" s="4"/>
    </row>
    <row r="41" ht="15.6" spans="1:14">
      <c r="A41" s="53">
        <v>44560</v>
      </c>
      <c r="B41" s="184">
        <v>109.25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44561</v>
      </c>
      <c r="B42" s="184">
        <v>89.94</v>
      </c>
      <c r="C42" s="189" t="s">
        <v>108</v>
      </c>
      <c r="D42" s="190"/>
      <c r="E42" s="194">
        <f>C50</f>
        <v>0</v>
      </c>
      <c r="F42" s="191">
        <v>0</v>
      </c>
      <c r="I42" s="3" t="str">
        <f>ROUND(D40/I36*100,2)&amp;"%"</f>
        <v>10.5%</v>
      </c>
      <c r="N42" s="4"/>
    </row>
    <row r="43" ht="15.6" spans="1:14">
      <c r="A43" s="53">
        <v>44562</v>
      </c>
      <c r="B43" s="184">
        <v>88.18</v>
      </c>
      <c r="C43" s="189" t="s">
        <v>109</v>
      </c>
      <c r="D43" s="190"/>
      <c r="E43" s="194">
        <f>C49</f>
        <v>0</v>
      </c>
      <c r="F43" s="191">
        <v>2032.04</v>
      </c>
      <c r="I43" s="3" t="str">
        <f>ROUND(F40/I37*100,2)&amp;"%"</f>
        <v>8.15%</v>
      </c>
      <c r="N43" s="4"/>
    </row>
    <row r="44" ht="15.6" spans="1:14">
      <c r="A44" s="53">
        <v>44563</v>
      </c>
      <c r="B44" s="184">
        <v>89.63</v>
      </c>
      <c r="C44" s="189" t="s">
        <v>99</v>
      </c>
      <c r="D44" s="192"/>
      <c r="E44" s="194">
        <f>C48</f>
        <v>200</v>
      </c>
      <c r="F44" s="191">
        <v>6705</v>
      </c>
      <c r="I44" s="3" t="str">
        <f>ROUND(F44/I38*100,2)&amp;"%"</f>
        <v>4.96%</v>
      </c>
      <c r="N44" s="4"/>
    </row>
    <row r="45" ht="15.6" spans="1:14">
      <c r="A45" s="53">
        <v>44564</v>
      </c>
      <c r="B45" s="184">
        <v>111.87</v>
      </c>
      <c r="C45" s="193" t="s">
        <v>100</v>
      </c>
      <c r="D45" s="193"/>
      <c r="E45" s="195">
        <v>0</v>
      </c>
      <c r="F45" s="193">
        <v>41682</v>
      </c>
      <c r="I45" s="3" t="str">
        <f>ROUND(F43/I39*100,2)&amp;"%"</f>
        <v>3.03%</v>
      </c>
      <c r="N45" s="4"/>
    </row>
    <row r="46" spans="1:9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5</v>
      </c>
      <c r="F46" s="79">
        <f>E12</f>
        <v>2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2</v>
      </c>
      <c r="E47" s="79">
        <v>11</v>
      </c>
      <c r="F47" s="79">
        <v>6</v>
      </c>
    </row>
    <row r="48" spans="1:6">
      <c r="A48" s="151"/>
      <c r="B48" s="79" t="s">
        <v>112</v>
      </c>
      <c r="C48" s="79">
        <v>200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2022年01月03日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03日自年初完成产值289.68万元，自开工累计完成产值12382.39万元，自开工占总产值90284.4万元的13.71%，100章临建完成6000.78万元，400章桥梁完成6381.61万元。已完成梁片预制621片，占设计量的10.5%；梁片安装482片，占设计量的8.15%；湿接缝6705米，占设计量的4.96%；防撞护栏2032.04米，占设计量的3.03%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topLeftCell="A7" workbookViewId="0">
      <selection activeCell="L19" sqref="L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44565</v>
      </c>
      <c r="B3" s="12" t="s">
        <v>7</v>
      </c>
      <c r="C3" s="12">
        <v>0</v>
      </c>
      <c r="D3" s="12">
        <f>ROUND(D11+D12+D15+D16+D17+D13+D14,2)</f>
        <v>37.09</v>
      </c>
      <c r="E3" s="13">
        <f>ROUND(C5+D5,2)</f>
        <v>108.09</v>
      </c>
      <c r="F3" s="143" t="s">
        <v>178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71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108.09</v>
      </c>
      <c r="E5" s="13"/>
      <c r="F5" s="144"/>
      <c r="I5" t="str">
        <f>ROUND(E7/90284.4*100,2)&amp;"%"</f>
        <v>13.83%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397.77</v>
      </c>
      <c r="E6" s="8">
        <f>ROUND(C6+D6,2)</f>
        <v>397.77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6489.7</v>
      </c>
      <c r="E7" s="8">
        <f>ROUND(C7+D7,2)</f>
        <v>12490.48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44565</v>
      </c>
      <c r="B11" s="32" t="s">
        <v>172</v>
      </c>
      <c r="C11" s="33">
        <v>2</v>
      </c>
      <c r="D11" s="8">
        <v>15.28</v>
      </c>
      <c r="E11" s="33">
        <v>3</v>
      </c>
      <c r="F11" s="8">
        <v>23.28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1</v>
      </c>
      <c r="D12" s="8">
        <v>15.28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15</v>
      </c>
      <c r="F13" s="8">
        <v>2.43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160</v>
      </c>
      <c r="D15" s="8">
        <v>6.53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49.2</v>
      </c>
      <c r="F16" s="8">
        <v>6.58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37.09</v>
      </c>
      <c r="D18" s="134"/>
      <c r="E18" s="25">
        <f>ROUND(F11+F12+F15+F16+F17+F13+F14,2)</f>
        <v>71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108.09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260</v>
      </c>
      <c r="D29" s="132" t="s">
        <v>75</v>
      </c>
      <c r="E29" s="12">
        <f>C39+D39</f>
        <v>200</v>
      </c>
      <c r="F29" s="12"/>
    </row>
    <row r="30" spans="1:6">
      <c r="A30" s="35"/>
      <c r="B30" s="132" t="s">
        <v>76</v>
      </c>
      <c r="C30" s="12">
        <f>E38+F38</f>
        <v>369</v>
      </c>
      <c r="D30" s="132" t="s">
        <v>77</v>
      </c>
      <c r="E30" s="12">
        <f>E39+F39</f>
        <v>297</v>
      </c>
      <c r="F30" s="12"/>
    </row>
    <row r="31" spans="1:6">
      <c r="A31" s="35"/>
      <c r="B31" s="132" t="s">
        <v>78</v>
      </c>
      <c r="C31" s="12">
        <f>C32-C29-C30</f>
        <v>5151</v>
      </c>
      <c r="D31" s="132" t="s">
        <v>79</v>
      </c>
      <c r="E31" s="12">
        <f>E32-E29-E30</f>
        <v>5283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44556</v>
      </c>
      <c r="B36" s="184">
        <v>109.49</v>
      </c>
      <c r="C36" s="185" t="s">
        <v>32</v>
      </c>
      <c r="D36" s="185"/>
      <c r="E36" s="185" t="s">
        <v>33</v>
      </c>
      <c r="F36" s="185"/>
      <c r="I36" s="3">
        <v>5913</v>
      </c>
      <c r="N36" s="4"/>
    </row>
    <row r="37" ht="15.6" spans="1:14">
      <c r="A37" s="53">
        <v>44557</v>
      </c>
      <c r="B37" s="184">
        <v>134.71</v>
      </c>
      <c r="C37" s="186" t="s">
        <v>14</v>
      </c>
      <c r="D37" s="186" t="s">
        <v>15</v>
      </c>
      <c r="E37" s="186" t="s">
        <v>14</v>
      </c>
      <c r="F37" s="186" t="s">
        <v>15</v>
      </c>
      <c r="I37" s="3">
        <v>5913</v>
      </c>
      <c r="N37" s="4"/>
    </row>
    <row r="38" ht="15.6" spans="1:14">
      <c r="A38" s="53">
        <v>44558</v>
      </c>
      <c r="B38" s="184">
        <v>124.05</v>
      </c>
      <c r="C38" s="187">
        <v>172</v>
      </c>
      <c r="D38" s="187">
        <v>88</v>
      </c>
      <c r="E38" s="187">
        <v>318</v>
      </c>
      <c r="F38" s="187">
        <v>51</v>
      </c>
      <c r="I38" s="3">
        <v>135185</v>
      </c>
      <c r="N38" s="4"/>
    </row>
    <row r="39" ht="15.6" spans="1:14">
      <c r="A39" s="53">
        <v>44559</v>
      </c>
      <c r="B39" s="184">
        <v>108.03</v>
      </c>
      <c r="C39" s="188">
        <v>130</v>
      </c>
      <c r="D39" s="188">
        <v>70</v>
      </c>
      <c r="E39" s="188">
        <v>284</v>
      </c>
      <c r="F39" s="188">
        <v>13</v>
      </c>
      <c r="I39" s="3">
        <v>67098.02</v>
      </c>
      <c r="N39" s="4"/>
    </row>
    <row r="40" ht="15.6" spans="1:14">
      <c r="A40" s="53">
        <v>44560</v>
      </c>
      <c r="B40" s="184">
        <v>109.25</v>
      </c>
      <c r="C40" s="187" t="s">
        <v>68</v>
      </c>
      <c r="D40" s="187">
        <f>C38+D38+E38+F38</f>
        <v>629</v>
      </c>
      <c r="E40" s="188" t="s">
        <v>69</v>
      </c>
      <c r="F40" s="188">
        <f>C39+D39+E39+F39</f>
        <v>497</v>
      </c>
      <c r="I40" s="3">
        <v>405202.2</v>
      </c>
      <c r="N40" s="4"/>
    </row>
    <row r="41" ht="15.6" spans="1:14">
      <c r="A41" s="53">
        <v>44561</v>
      </c>
      <c r="B41" s="184">
        <v>89.94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44562</v>
      </c>
      <c r="B42" s="184">
        <v>88.18</v>
      </c>
      <c r="C42" s="189" t="s">
        <v>108</v>
      </c>
      <c r="D42" s="190"/>
      <c r="E42" s="191">
        <f>C50</f>
        <v>0</v>
      </c>
      <c r="F42" s="191">
        <v>0</v>
      </c>
      <c r="I42" s="3" t="str">
        <f>ROUND(D40/I36*100,2)&amp;"%"</f>
        <v>10.64%</v>
      </c>
      <c r="N42" s="4"/>
    </row>
    <row r="43" ht="15.6" spans="1:14">
      <c r="A43" s="53">
        <v>44563</v>
      </c>
      <c r="B43" s="184">
        <v>89.63</v>
      </c>
      <c r="C43" s="189" t="s">
        <v>109</v>
      </c>
      <c r="D43" s="190"/>
      <c r="E43" s="191">
        <f>C49</f>
        <v>49.2</v>
      </c>
      <c r="F43" s="191">
        <v>2081.24</v>
      </c>
      <c r="I43" s="3" t="str">
        <f>ROUND(F40/I37*100,2)&amp;"%"</f>
        <v>8.41%</v>
      </c>
      <c r="N43" s="4"/>
    </row>
    <row r="44" ht="15.6" spans="1:14">
      <c r="A44" s="53">
        <v>44564</v>
      </c>
      <c r="B44" s="184">
        <v>111.87</v>
      </c>
      <c r="C44" s="189" t="s">
        <v>99</v>
      </c>
      <c r="D44" s="192"/>
      <c r="E44" s="191">
        <f>C48</f>
        <v>360</v>
      </c>
      <c r="F44" s="191">
        <v>7065</v>
      </c>
      <c r="I44" s="3" t="str">
        <f>ROUND(F44/I38*100,2)&amp;"%"</f>
        <v>5.23%</v>
      </c>
      <c r="N44" s="4"/>
    </row>
    <row r="45" ht="15.6" spans="1:14">
      <c r="A45" s="53">
        <v>44565</v>
      </c>
      <c r="B45" s="184">
        <v>108.09</v>
      </c>
      <c r="C45" s="193" t="s">
        <v>100</v>
      </c>
      <c r="D45" s="193"/>
      <c r="E45" s="193">
        <v>0</v>
      </c>
      <c r="F45" s="193">
        <v>41682</v>
      </c>
      <c r="I45" s="3" t="str">
        <f>ROUND(F43/I39*100,2)&amp;"%"</f>
        <v>3.1%</v>
      </c>
      <c r="N45" s="4"/>
    </row>
    <row r="46" spans="1:9">
      <c r="A46" s="147" t="s">
        <v>138</v>
      </c>
      <c r="B46" s="79" t="s">
        <v>110</v>
      </c>
      <c r="C46" s="79">
        <f>C11</f>
        <v>2</v>
      </c>
      <c r="D46" s="79">
        <f>C12</f>
        <v>1</v>
      </c>
      <c r="E46" s="79">
        <f>E11</f>
        <v>3</v>
      </c>
      <c r="F46" s="79">
        <f>E12</f>
        <v>2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0</v>
      </c>
      <c r="E47" s="79">
        <v>15</v>
      </c>
      <c r="F47" s="79">
        <v>0</v>
      </c>
    </row>
    <row r="48" spans="1:6">
      <c r="A48" s="151"/>
      <c r="B48" s="79" t="s">
        <v>112</v>
      </c>
      <c r="C48" s="79">
        <v>360</v>
      </c>
      <c r="D48" s="79"/>
      <c r="E48" s="79"/>
      <c r="F48" s="79"/>
    </row>
    <row r="49" spans="1:9">
      <c r="A49" s="151"/>
      <c r="B49" s="79" t="s">
        <v>113</v>
      </c>
      <c r="C49" s="148">
        <v>49.2</v>
      </c>
      <c r="D49" s="149"/>
      <c r="E49" s="149"/>
      <c r="F49" s="150"/>
      <c r="I49" s="3" t="str">
        <f>TEXT(A3,"yyyy年mm月dd日")</f>
        <v>2022年01月04日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04日自年初完成产值397.77万元，自开工累计完成产值12490.48万元，自开工占总产值90284.4万元的13.83%，100章临建完成6000.78万元，400章桥梁完成6489.7万元。已完成梁片预制629片，占设计量的10.64%；梁片安装497片，占设计量的8.41%；湿接缝7065米，占设计量的5.23%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topLeftCell="A7" workbookViewId="0">
      <selection activeCell="L19" sqref="L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44566</v>
      </c>
      <c r="B3" s="12" t="s">
        <v>7</v>
      </c>
      <c r="C3" s="12">
        <v>0</v>
      </c>
      <c r="D3" s="12">
        <f>ROUND(D11+D12+D15+D16+D17+D13+D14,2)</f>
        <v>38.95</v>
      </c>
      <c r="E3" s="13">
        <f>ROUND(C5+D5,2)</f>
        <v>101.62</v>
      </c>
      <c r="F3" s="143" t="s">
        <v>179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62.67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101.62</v>
      </c>
      <c r="E5" s="13"/>
      <c r="F5" s="144"/>
      <c r="I5" t="str">
        <f>ROUND(E7/90284.4*100,2)&amp;"%"</f>
        <v>13.95%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499.39</v>
      </c>
      <c r="E6" s="8">
        <f>ROUND(C6+D6,2)</f>
        <v>499.39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6591.32</v>
      </c>
      <c r="E7" s="8">
        <f>ROUND(C7+D7,2)</f>
        <v>12592.1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44566</v>
      </c>
      <c r="B11" s="32" t="s">
        <v>172</v>
      </c>
      <c r="C11" s="33">
        <v>1</v>
      </c>
      <c r="D11" s="8">
        <v>7.64</v>
      </c>
      <c r="E11" s="33">
        <v>5</v>
      </c>
      <c r="F11" s="8">
        <v>38.19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30.55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6</v>
      </c>
      <c r="F13" s="8">
        <v>0.972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0</v>
      </c>
      <c r="D15" s="8">
        <v>0</v>
      </c>
      <c r="E15" s="33">
        <v>200</v>
      </c>
      <c r="F15" s="8">
        <v>8.28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38.95</v>
      </c>
      <c r="D18" s="134"/>
      <c r="E18" s="25">
        <f>ROUND(F11+F12+F15+F16+F17+F13+F14,2)</f>
        <v>62.67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101.62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263</v>
      </c>
      <c r="D29" s="132" t="s">
        <v>75</v>
      </c>
      <c r="E29" s="12">
        <f>C39+D39</f>
        <v>203</v>
      </c>
      <c r="F29" s="12"/>
    </row>
    <row r="30" spans="1:6">
      <c r="A30" s="35"/>
      <c r="B30" s="132" t="s">
        <v>76</v>
      </c>
      <c r="C30" s="12">
        <f>E38+F38</f>
        <v>375</v>
      </c>
      <c r="D30" s="132" t="s">
        <v>77</v>
      </c>
      <c r="E30" s="12">
        <f>E39+F39</f>
        <v>303</v>
      </c>
      <c r="F30" s="12"/>
    </row>
    <row r="31" spans="1:6">
      <c r="A31" s="35"/>
      <c r="B31" s="132" t="s">
        <v>78</v>
      </c>
      <c r="C31" s="12">
        <f>C32-C29-C30</f>
        <v>5142</v>
      </c>
      <c r="D31" s="132" t="s">
        <v>79</v>
      </c>
      <c r="E31" s="12">
        <f>E32-E29-E30</f>
        <v>5274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44557</v>
      </c>
      <c r="B36" s="184">
        <v>134.71</v>
      </c>
      <c r="C36" s="185" t="s">
        <v>32</v>
      </c>
      <c r="D36" s="185"/>
      <c r="E36" s="185" t="s">
        <v>33</v>
      </c>
      <c r="F36" s="185"/>
      <c r="I36" s="3">
        <v>5913</v>
      </c>
      <c r="N36" s="4"/>
    </row>
    <row r="37" ht="15.6" spans="1:14">
      <c r="A37" s="53">
        <v>44558</v>
      </c>
      <c r="B37" s="184">
        <v>124.05</v>
      </c>
      <c r="C37" s="186" t="s">
        <v>14</v>
      </c>
      <c r="D37" s="186" t="s">
        <v>15</v>
      </c>
      <c r="E37" s="186" t="s">
        <v>14</v>
      </c>
      <c r="F37" s="186" t="s">
        <v>15</v>
      </c>
      <c r="I37" s="3">
        <v>5913</v>
      </c>
      <c r="N37" s="4"/>
    </row>
    <row r="38" ht="15.6" spans="1:14">
      <c r="A38" s="53">
        <v>44559</v>
      </c>
      <c r="B38" s="184">
        <v>108.03</v>
      </c>
      <c r="C38" s="187">
        <v>173</v>
      </c>
      <c r="D38" s="187">
        <v>90</v>
      </c>
      <c r="E38" s="187">
        <v>323</v>
      </c>
      <c r="F38" s="187">
        <v>52</v>
      </c>
      <c r="I38" s="3">
        <v>135185</v>
      </c>
      <c r="N38" s="4"/>
    </row>
    <row r="39" ht="15.6" spans="1:14">
      <c r="A39" s="53">
        <v>44560</v>
      </c>
      <c r="B39" s="184">
        <v>109.25</v>
      </c>
      <c r="C39" s="188">
        <v>130</v>
      </c>
      <c r="D39" s="188">
        <v>73</v>
      </c>
      <c r="E39" s="188">
        <v>290</v>
      </c>
      <c r="F39" s="188">
        <v>13</v>
      </c>
      <c r="I39" s="3">
        <v>67098.02</v>
      </c>
      <c r="N39" s="4"/>
    </row>
    <row r="40" ht="15.6" spans="1:14">
      <c r="A40" s="53">
        <v>44561</v>
      </c>
      <c r="B40" s="184">
        <v>89.94</v>
      </c>
      <c r="C40" s="187" t="s">
        <v>68</v>
      </c>
      <c r="D40" s="187">
        <f>C38+D38+E38+F38</f>
        <v>638</v>
      </c>
      <c r="E40" s="188" t="s">
        <v>69</v>
      </c>
      <c r="F40" s="188">
        <f>C39+D39+E39+F39</f>
        <v>506</v>
      </c>
      <c r="I40" s="3">
        <v>405202.2</v>
      </c>
      <c r="N40" s="4"/>
    </row>
    <row r="41" ht="15.6" spans="1:14">
      <c r="A41" s="53">
        <v>44562</v>
      </c>
      <c r="B41" s="184">
        <v>88.18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44563</v>
      </c>
      <c r="B42" s="184">
        <v>89.63</v>
      </c>
      <c r="C42" s="189" t="s">
        <v>108</v>
      </c>
      <c r="D42" s="190"/>
      <c r="E42" s="191">
        <f>C50</f>
        <v>0</v>
      </c>
      <c r="F42" s="191">
        <v>0</v>
      </c>
      <c r="I42" s="3" t="str">
        <f>ROUND(D40/I36*100,2)&amp;"%"</f>
        <v>10.79%</v>
      </c>
      <c r="N42" s="4"/>
    </row>
    <row r="43" ht="15.6" spans="1:14">
      <c r="A43" s="53">
        <v>44564</v>
      </c>
      <c r="B43" s="184">
        <v>111.87</v>
      </c>
      <c r="C43" s="189" t="s">
        <v>109</v>
      </c>
      <c r="D43" s="190"/>
      <c r="E43" s="191">
        <f>C49</f>
        <v>0</v>
      </c>
      <c r="F43" s="191">
        <v>2081.24</v>
      </c>
      <c r="I43" s="3" t="str">
        <f>ROUND(F40/I37*100,2)&amp;"%"</f>
        <v>8.56%</v>
      </c>
      <c r="N43" s="4"/>
    </row>
    <row r="44" ht="15.6" spans="1:14">
      <c r="A44" s="53">
        <v>44565</v>
      </c>
      <c r="B44" s="184">
        <v>108.09</v>
      </c>
      <c r="C44" s="189" t="s">
        <v>99</v>
      </c>
      <c r="D44" s="192"/>
      <c r="E44" s="191">
        <f>C48</f>
        <v>200</v>
      </c>
      <c r="F44" s="191">
        <v>7265</v>
      </c>
      <c r="I44" s="3" t="str">
        <f>ROUND(F44/I38*100,2)&amp;"%"</f>
        <v>5.37%</v>
      </c>
      <c r="N44" s="4"/>
    </row>
    <row r="45" ht="15.6" spans="1:14">
      <c r="A45" s="53">
        <v>44566</v>
      </c>
      <c r="B45" s="184">
        <v>101.62</v>
      </c>
      <c r="C45" s="193" t="s">
        <v>100</v>
      </c>
      <c r="D45" s="193"/>
      <c r="E45" s="193">
        <v>0</v>
      </c>
      <c r="F45" s="193">
        <v>41682</v>
      </c>
      <c r="I45" s="3" t="str">
        <f>ROUND(F43/I39*100,2)&amp;"%"</f>
        <v>3.1%</v>
      </c>
      <c r="N45" s="4"/>
    </row>
    <row r="46" spans="1:9">
      <c r="A46" s="147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3</v>
      </c>
      <c r="E47" s="79">
        <v>6</v>
      </c>
      <c r="F47" s="79">
        <v>0</v>
      </c>
    </row>
    <row r="48" spans="1:6">
      <c r="A48" s="151"/>
      <c r="B48" s="79" t="s">
        <v>112</v>
      </c>
      <c r="C48" s="79">
        <v>200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2022年01月05日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05日自年初完成产值499.39万元，自开工累计完成产值12592.1万元，自开工占总产值90284.4万元的13.95%，100章临建完成6000.78万元，400章桥梁完成6591.32万元。已完成梁片预制638片，占设计量的10.79%；梁片安装506片，占设计量的8.56%；湿接缝7265米，占设计量的5.37%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topLeftCell="A20" workbookViewId="0">
      <selection activeCell="J29" sqref="J2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44567</v>
      </c>
      <c r="B3" s="12" t="s">
        <v>7</v>
      </c>
      <c r="C3" s="12">
        <v>0</v>
      </c>
      <c r="D3" s="12">
        <f>ROUND(D11+D12+D15+D16+D17+D13+D14,2)</f>
        <v>45.25</v>
      </c>
      <c r="E3" s="13">
        <f>ROUND(C5+D5,2)</f>
        <v>84.08</v>
      </c>
      <c r="F3" s="143" t="s">
        <v>180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38.83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84.08</v>
      </c>
      <c r="E5" s="13"/>
      <c r="F5" s="144"/>
      <c r="I5" t="str">
        <f>ROUND(E7/90284.4*100,2)&amp;"%"</f>
        <v>14.04%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583.47</v>
      </c>
      <c r="E6" s="8">
        <f>ROUND(C6+D6,2)</f>
        <v>583.47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6675.4</v>
      </c>
      <c r="E7" s="8">
        <f>ROUND(C7+D7,2)</f>
        <v>12676.18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44567</v>
      </c>
      <c r="B11" s="32" t="s">
        <v>172</v>
      </c>
      <c r="C11" s="33">
        <v>1</v>
      </c>
      <c r="D11" s="8">
        <v>7.64</v>
      </c>
      <c r="E11" s="33">
        <v>2</v>
      </c>
      <c r="F11" s="8">
        <v>15.46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30.58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2</v>
      </c>
      <c r="D14" s="8">
        <v>0.504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160</v>
      </c>
      <c r="D15" s="8">
        <v>6.53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45.25</v>
      </c>
      <c r="D18" s="134"/>
      <c r="E18" s="25">
        <f>ROUND(F11+F12+F15+F16+F17+F13+F14,2)</f>
        <v>38.83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84.08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266</v>
      </c>
      <c r="D29" s="132" t="s">
        <v>75</v>
      </c>
      <c r="E29" s="12">
        <f>C39+D39</f>
        <v>205</v>
      </c>
      <c r="F29" s="12"/>
    </row>
    <row r="30" spans="1:6">
      <c r="A30" s="35"/>
      <c r="B30" s="132" t="s">
        <v>76</v>
      </c>
      <c r="C30" s="12">
        <f>E38+F38</f>
        <v>378</v>
      </c>
      <c r="D30" s="132" t="s">
        <v>77</v>
      </c>
      <c r="E30" s="12">
        <f>E39+F39</f>
        <v>303</v>
      </c>
      <c r="F30" s="12"/>
    </row>
    <row r="31" spans="1:6">
      <c r="A31" s="35"/>
      <c r="B31" s="132" t="s">
        <v>78</v>
      </c>
      <c r="C31" s="12">
        <f>C32-C29-C30</f>
        <v>5136</v>
      </c>
      <c r="D31" s="132" t="s">
        <v>79</v>
      </c>
      <c r="E31" s="12">
        <f>E32-E29-E30</f>
        <v>5272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44558</v>
      </c>
      <c r="B36" s="184">
        <v>124.05</v>
      </c>
      <c r="C36" s="185" t="s">
        <v>32</v>
      </c>
      <c r="D36" s="185"/>
      <c r="E36" s="185" t="s">
        <v>33</v>
      </c>
      <c r="F36" s="185"/>
      <c r="I36" s="3">
        <v>5913</v>
      </c>
      <c r="N36" s="4"/>
    </row>
    <row r="37" ht="15.6" spans="1:14">
      <c r="A37" s="53">
        <v>44559</v>
      </c>
      <c r="B37" s="184">
        <v>108.03</v>
      </c>
      <c r="C37" s="186" t="s">
        <v>14</v>
      </c>
      <c r="D37" s="186" t="s">
        <v>15</v>
      </c>
      <c r="E37" s="186" t="s">
        <v>14</v>
      </c>
      <c r="F37" s="186" t="s">
        <v>15</v>
      </c>
      <c r="I37" s="3">
        <v>5913</v>
      </c>
      <c r="N37" s="4"/>
    </row>
    <row r="38" ht="15.6" spans="1:14">
      <c r="A38" s="53">
        <v>44560</v>
      </c>
      <c r="B38" s="184">
        <v>109.25</v>
      </c>
      <c r="C38" s="187">
        <v>174</v>
      </c>
      <c r="D38" s="187">
        <v>92</v>
      </c>
      <c r="E38" s="187">
        <v>325</v>
      </c>
      <c r="F38" s="187">
        <v>53</v>
      </c>
      <c r="I38" s="3">
        <v>135185</v>
      </c>
      <c r="N38" s="4"/>
    </row>
    <row r="39" ht="15.6" spans="1:14">
      <c r="A39" s="53">
        <v>44561</v>
      </c>
      <c r="B39" s="184">
        <v>89.94</v>
      </c>
      <c r="C39" s="188">
        <v>130</v>
      </c>
      <c r="D39" s="188">
        <v>75</v>
      </c>
      <c r="E39" s="188">
        <v>290</v>
      </c>
      <c r="F39" s="188">
        <v>13</v>
      </c>
      <c r="I39" s="3">
        <v>67098.02</v>
      </c>
      <c r="N39" s="4"/>
    </row>
    <row r="40" ht="15.6" spans="1:14">
      <c r="A40" s="53">
        <v>44562</v>
      </c>
      <c r="B40" s="184">
        <v>88.18</v>
      </c>
      <c r="C40" s="187" t="s">
        <v>182</v>
      </c>
      <c r="D40" s="187">
        <f>C38+D38+E38+F38</f>
        <v>644</v>
      </c>
      <c r="E40" s="188" t="s">
        <v>69</v>
      </c>
      <c r="F40" s="188">
        <f>C39+D39+E39+F39</f>
        <v>508</v>
      </c>
      <c r="I40" s="3">
        <v>405202.2</v>
      </c>
      <c r="N40" s="4"/>
    </row>
    <row r="41" ht="15.6" spans="1:14">
      <c r="A41" s="53">
        <v>44563</v>
      </c>
      <c r="B41" s="184">
        <v>89.63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44564</v>
      </c>
      <c r="B42" s="184">
        <v>111.87</v>
      </c>
      <c r="C42" s="189" t="s">
        <v>108</v>
      </c>
      <c r="D42" s="190"/>
      <c r="E42" s="191">
        <f>C50</f>
        <v>0</v>
      </c>
      <c r="F42" s="191">
        <v>0</v>
      </c>
      <c r="I42" s="3" t="str">
        <f>ROUND(D40/I36*100,2)&amp;"%"</f>
        <v>10.89%</v>
      </c>
      <c r="N42" s="4"/>
    </row>
    <row r="43" ht="15.6" spans="1:14">
      <c r="A43" s="53">
        <v>44565</v>
      </c>
      <c r="B43" s="184">
        <v>108.09</v>
      </c>
      <c r="C43" s="189" t="s">
        <v>109</v>
      </c>
      <c r="D43" s="190"/>
      <c r="E43" s="191">
        <f>C49</f>
        <v>0</v>
      </c>
      <c r="F43" s="191">
        <v>2081.24</v>
      </c>
      <c r="I43" s="3" t="str">
        <f>ROUND(F40/I37*100,2)&amp;"%"</f>
        <v>8.59%</v>
      </c>
      <c r="N43" s="4"/>
    </row>
    <row r="44" ht="15.6" spans="1:14">
      <c r="A44" s="53">
        <v>44566</v>
      </c>
      <c r="B44" s="184">
        <v>101.62</v>
      </c>
      <c r="C44" s="189" t="s">
        <v>99</v>
      </c>
      <c r="D44" s="192"/>
      <c r="E44" s="191">
        <f>C48</f>
        <v>360</v>
      </c>
      <c r="F44" s="191">
        <v>7625</v>
      </c>
      <c r="I44" s="3" t="str">
        <f>ROUND(F44/I38*100,2)&amp;"%"</f>
        <v>5.64%</v>
      </c>
      <c r="N44" s="4"/>
    </row>
    <row r="45" ht="15.6" spans="1:14">
      <c r="A45" s="53">
        <v>44567</v>
      </c>
      <c r="B45" s="184">
        <v>84.08</v>
      </c>
      <c r="C45" s="193" t="s">
        <v>100</v>
      </c>
      <c r="D45" s="193"/>
      <c r="E45" s="193">
        <v>0</v>
      </c>
      <c r="F45" s="193">
        <v>41682</v>
      </c>
      <c r="I45" s="3" t="str">
        <f>ROUND(F43/I39*100,2)&amp;"%"</f>
        <v>3.1%</v>
      </c>
      <c r="N45" s="4"/>
    </row>
    <row r="46" spans="1:9">
      <c r="A46" s="147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2</v>
      </c>
      <c r="F46" s="79">
        <f>E12</f>
        <v>1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2</v>
      </c>
      <c r="E47" s="79">
        <v>0</v>
      </c>
      <c r="F47" s="79">
        <v>0</v>
      </c>
    </row>
    <row r="48" spans="1:6">
      <c r="A48" s="151"/>
      <c r="B48" s="79" t="s">
        <v>112</v>
      </c>
      <c r="C48" s="79">
        <v>360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2022年01月06日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06日自年初完成产值583.47万元，自开工累计完成产值12676.18万元，自开工占总产值90284.4万元的14.04%，100章临建完成6000.78万元，400章桥梁完成6675.4万元。已完成梁片预制644片，占设计量的10.89%；梁片安装508片，占设计量的8.59%；湿接缝7625米，占设计量的5.64%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70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44568</v>
      </c>
      <c r="B3" s="12" t="s">
        <v>7</v>
      </c>
      <c r="C3" s="12">
        <v>0</v>
      </c>
      <c r="D3" s="12">
        <f>ROUND(D11+D12+D15+D16+D17+D13+D14,2)</f>
        <v>38.95</v>
      </c>
      <c r="E3" s="13">
        <f>ROUND(C5+D5,2)</f>
        <v>101.35</v>
      </c>
      <c r="F3" s="143" t="s">
        <v>183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62.4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101.35</v>
      </c>
      <c r="E5" s="13"/>
      <c r="F5" s="144"/>
      <c r="I5" t="str">
        <f>ROUND(E7/90284.4*100,2)&amp;"%"</f>
        <v>14.15%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684.82</v>
      </c>
      <c r="E6" s="8">
        <f>ROUND(C6+D6,2)</f>
        <v>684.82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6776.75</v>
      </c>
      <c r="E7" s="8">
        <f>ROUND(C7+D7,2)</f>
        <v>12777.53</v>
      </c>
      <c r="F7" s="144"/>
      <c r="H7" s="3">
        <v>10165.33</v>
      </c>
      <c r="I7"/>
      <c r="J7">
        <f>E7-H7</f>
        <v>2612.2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44568</v>
      </c>
      <c r="B11" s="133" t="s">
        <v>172</v>
      </c>
      <c r="C11" s="33">
        <v>1</v>
      </c>
      <c r="D11" s="8">
        <v>7.64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30.55</v>
      </c>
      <c r="E12" s="33">
        <v>1</v>
      </c>
      <c r="F12" s="8">
        <v>15.24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4</v>
      </c>
      <c r="F13" s="8">
        <v>0.648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0</v>
      </c>
      <c r="D15" s="8">
        <v>0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38.95</v>
      </c>
      <c r="D18" s="134"/>
      <c r="E18" s="25">
        <f>ROUND(F11+F12+F15+F16+F17+F13+F14,2)</f>
        <v>62.4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101.35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269</v>
      </c>
      <c r="D29" s="132" t="s">
        <v>75</v>
      </c>
      <c r="E29" s="12">
        <f>C39+D39</f>
        <v>208</v>
      </c>
      <c r="F29" s="12"/>
    </row>
    <row r="30" spans="1:6">
      <c r="A30" s="35"/>
      <c r="B30" s="132" t="s">
        <v>76</v>
      </c>
      <c r="C30" s="12">
        <f>E38+F38</f>
        <v>384</v>
      </c>
      <c r="D30" s="132" t="s">
        <v>77</v>
      </c>
      <c r="E30" s="12">
        <f>E39+F39</f>
        <v>307</v>
      </c>
      <c r="F30" s="12"/>
    </row>
    <row r="31" spans="1:6">
      <c r="A31" s="35"/>
      <c r="B31" s="132" t="s">
        <v>78</v>
      </c>
      <c r="C31" s="12">
        <f>C32-C29-C30</f>
        <v>5127</v>
      </c>
      <c r="D31" s="132" t="s">
        <v>79</v>
      </c>
      <c r="E31" s="12">
        <f>E32-E29-E30</f>
        <v>5265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44559</v>
      </c>
      <c r="B36" s="168">
        <v>108.03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44560</v>
      </c>
      <c r="B37" s="168">
        <v>109.25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44561</v>
      </c>
      <c r="B38" s="168">
        <v>89.94</v>
      </c>
      <c r="C38" s="33">
        <v>175</v>
      </c>
      <c r="D38" s="33">
        <v>94</v>
      </c>
      <c r="E38" s="33">
        <v>330</v>
      </c>
      <c r="F38" s="33">
        <v>54</v>
      </c>
      <c r="I38" s="3">
        <v>135185</v>
      </c>
      <c r="N38" s="4"/>
    </row>
    <row r="39" ht="15.6" spans="1:14">
      <c r="A39" s="53">
        <v>44562</v>
      </c>
      <c r="B39" s="168">
        <v>88.18</v>
      </c>
      <c r="C39" s="169">
        <v>130</v>
      </c>
      <c r="D39" s="169">
        <v>78</v>
      </c>
      <c r="E39" s="169">
        <v>294</v>
      </c>
      <c r="F39" s="169">
        <v>13</v>
      </c>
      <c r="I39" s="3">
        <v>67098.02</v>
      </c>
      <c r="N39" s="4"/>
    </row>
    <row r="40" ht="15.6" spans="1:14">
      <c r="A40" s="53">
        <v>44563</v>
      </c>
      <c r="B40" s="168">
        <v>89.63</v>
      </c>
      <c r="C40" s="33" t="s">
        <v>182</v>
      </c>
      <c r="D40" s="33">
        <f>C38+D38+E38+F38</f>
        <v>653</v>
      </c>
      <c r="E40" s="169" t="s">
        <v>69</v>
      </c>
      <c r="F40" s="169">
        <f>C39+D39+E39+F39</f>
        <v>515</v>
      </c>
      <c r="I40" s="3">
        <v>405202.2</v>
      </c>
      <c r="N40" s="4"/>
    </row>
    <row r="41" ht="15.6" spans="1:14">
      <c r="A41" s="53">
        <v>44564</v>
      </c>
      <c r="B41" s="168">
        <v>111.87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44565</v>
      </c>
      <c r="B42" s="168">
        <v>108.09</v>
      </c>
      <c r="C42" s="170" t="s">
        <v>108</v>
      </c>
      <c r="D42" s="171"/>
      <c r="E42" s="20">
        <f>C50</f>
        <v>0</v>
      </c>
      <c r="F42" s="20">
        <v>0</v>
      </c>
      <c r="I42" s="3" t="str">
        <f>ROUND(D40/I36*100,2)&amp;"%"</f>
        <v>11.04%</v>
      </c>
      <c r="N42" s="4"/>
    </row>
    <row r="43" ht="15.6" spans="1:14">
      <c r="A43" s="53">
        <v>44566</v>
      </c>
      <c r="B43" s="168">
        <v>101.62</v>
      </c>
      <c r="C43" s="170" t="s">
        <v>109</v>
      </c>
      <c r="D43" s="171"/>
      <c r="E43" s="20">
        <f>C49</f>
        <v>0</v>
      </c>
      <c r="F43" s="20">
        <v>2081.24</v>
      </c>
      <c r="I43" s="3" t="str">
        <f>ROUND(F40/I37*100,2)&amp;"%"</f>
        <v>8.71%</v>
      </c>
      <c r="N43" s="4"/>
    </row>
    <row r="44" ht="15.6" spans="1:14">
      <c r="A44" s="53">
        <v>44567</v>
      </c>
      <c r="B44" s="168">
        <v>84.08</v>
      </c>
      <c r="C44" s="170" t="s">
        <v>99</v>
      </c>
      <c r="D44" s="172"/>
      <c r="E44" s="20">
        <f>C48</f>
        <v>200</v>
      </c>
      <c r="F44" s="20">
        <v>7825</v>
      </c>
      <c r="I44" s="3" t="str">
        <f>ROUND(F44/I38*100,2)&amp;"%"</f>
        <v>5.79%</v>
      </c>
      <c r="N44" s="4"/>
    </row>
    <row r="45" ht="15.6" spans="1:14">
      <c r="A45" s="53">
        <v>44568</v>
      </c>
      <c r="B45" s="168">
        <v>101.35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3.1%</v>
      </c>
      <c r="N45" s="4"/>
    </row>
    <row r="46" spans="1:9">
      <c r="A46" s="147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f>C13</f>
        <v>0</v>
      </c>
      <c r="D47" s="79">
        <f>C14</f>
        <v>3</v>
      </c>
      <c r="E47" s="79">
        <f>E13</f>
        <v>4</v>
      </c>
      <c r="F47" s="79">
        <f>E14</f>
        <v>0</v>
      </c>
    </row>
    <row r="48" spans="1:6">
      <c r="A48" s="151"/>
      <c r="B48" s="79" t="s">
        <v>112</v>
      </c>
      <c r="C48" s="79">
        <v>200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2022年01月07日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07日自年初完成产值684.82万元，自开工累计完成产值12777.53万元，自开工占总产值90284.4万元的14.15%，100章临建完成6000.78万元，400章桥梁完成6776.75万元。已完成梁片预制653片，占设计量的11.04%；梁片安装515片，占设计量的8.71%；湿接缝7825米，占设计量的5.79%；防撞护栏2081.24米，占设计量的3.1%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70" zoomScaleNormal="70" topLeftCell="A25" workbookViewId="0">
      <selection activeCell="J43" sqref="J4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44569</v>
      </c>
      <c r="B3" s="12" t="s">
        <v>7</v>
      </c>
      <c r="C3" s="12">
        <v>0</v>
      </c>
      <c r="D3" s="12">
        <f>ROUND(D11+D12+D15+D16+D17+D13+D14,2)</f>
        <v>72.6</v>
      </c>
      <c r="E3" s="13">
        <f>ROUND(C5+D5,2)</f>
        <v>136.25</v>
      </c>
      <c r="F3" s="143" t="s">
        <v>185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63.65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136.25</v>
      </c>
      <c r="E5" s="13"/>
      <c r="F5" s="144"/>
      <c r="I5" t="str">
        <f>ROUND(E7/90284.4*100,2)&amp;"%"</f>
        <v>14.3%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821.07</v>
      </c>
      <c r="E6" s="8">
        <f>ROUND(C6+D6,2)</f>
        <v>821.07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6913</v>
      </c>
      <c r="E7" s="8">
        <f>ROUND(C7+D7,2)</f>
        <v>12913.78</v>
      </c>
      <c r="F7" s="144"/>
      <c r="I7"/>
      <c r="J7"/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44569</v>
      </c>
      <c r="B11" s="133" t="s">
        <v>172</v>
      </c>
      <c r="C11" s="33">
        <v>1</v>
      </c>
      <c r="D11" s="8">
        <v>7.64</v>
      </c>
      <c r="E11" s="33">
        <v>5</v>
      </c>
      <c r="F11" s="8">
        <v>38.74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30.52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4</v>
      </c>
      <c r="F13" s="8">
        <v>0.648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2</v>
      </c>
      <c r="D14" s="8">
        <v>0.504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160</v>
      </c>
      <c r="D15" s="8">
        <v>6.53</v>
      </c>
      <c r="E15" s="33">
        <v>200</v>
      </c>
      <c r="F15" s="8">
        <v>8.28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276</v>
      </c>
      <c r="D16" s="8">
        <v>27.41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72.6</v>
      </c>
      <c r="D18" s="134"/>
      <c r="E18" s="25">
        <f>ROUND(F11+F12+F15+F16+F17+F13+F14,2)</f>
        <v>63.65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136.25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272</v>
      </c>
      <c r="D29" s="132" t="s">
        <v>75</v>
      </c>
      <c r="E29" s="12">
        <f>C39+D39</f>
        <v>210</v>
      </c>
      <c r="F29" s="12"/>
    </row>
    <row r="30" spans="1:6">
      <c r="A30" s="35"/>
      <c r="B30" s="132" t="s">
        <v>76</v>
      </c>
      <c r="C30" s="12">
        <f>E38+F38</f>
        <v>390</v>
      </c>
      <c r="D30" s="132" t="s">
        <v>77</v>
      </c>
      <c r="E30" s="12">
        <f>E39+F39</f>
        <v>314</v>
      </c>
      <c r="F30" s="12"/>
    </row>
    <row r="31" spans="1:6">
      <c r="A31" s="35"/>
      <c r="B31" s="132" t="s">
        <v>78</v>
      </c>
      <c r="C31" s="12">
        <f>C32-C29-C30</f>
        <v>5118</v>
      </c>
      <c r="D31" s="132" t="s">
        <v>79</v>
      </c>
      <c r="E31" s="12">
        <f>E32-E29-E30</f>
        <v>5256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44560</v>
      </c>
      <c r="B36" s="168">
        <v>109.25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44561</v>
      </c>
      <c r="B37" s="168">
        <v>89.94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44562</v>
      </c>
      <c r="B38" s="168">
        <v>88.18</v>
      </c>
      <c r="C38" s="33">
        <v>176</v>
      </c>
      <c r="D38" s="33">
        <v>96</v>
      </c>
      <c r="E38" s="33">
        <v>335</v>
      </c>
      <c r="F38" s="33">
        <v>55</v>
      </c>
      <c r="I38" s="3">
        <v>135185</v>
      </c>
      <c r="N38" s="4"/>
    </row>
    <row r="39" ht="15.6" spans="1:14">
      <c r="A39" s="53">
        <v>44563</v>
      </c>
      <c r="B39" s="168">
        <v>89.63</v>
      </c>
      <c r="C39" s="169">
        <v>130</v>
      </c>
      <c r="D39" s="169">
        <v>80</v>
      </c>
      <c r="E39" s="169">
        <v>298</v>
      </c>
      <c r="F39" s="169">
        <v>16</v>
      </c>
      <c r="I39" s="3">
        <v>67098.02</v>
      </c>
      <c r="N39" s="4"/>
    </row>
    <row r="40" ht="15.6" spans="1:14">
      <c r="A40" s="53">
        <v>44564</v>
      </c>
      <c r="B40" s="168">
        <v>111.87</v>
      </c>
      <c r="C40" s="33" t="s">
        <v>182</v>
      </c>
      <c r="D40" s="33">
        <f>C38+D38+E38+F38</f>
        <v>662</v>
      </c>
      <c r="E40" s="169" t="s">
        <v>69</v>
      </c>
      <c r="F40" s="169">
        <f>C39+D39+E39+F39</f>
        <v>524</v>
      </c>
      <c r="I40" s="3">
        <v>405202.2</v>
      </c>
      <c r="N40" s="4"/>
    </row>
    <row r="41" ht="15.6" spans="1:14">
      <c r="A41" s="53">
        <v>44565</v>
      </c>
      <c r="B41" s="168">
        <v>108.09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44566</v>
      </c>
      <c r="B42" s="168">
        <v>101.62</v>
      </c>
      <c r="C42" s="170" t="s">
        <v>108</v>
      </c>
      <c r="D42" s="171"/>
      <c r="E42" s="20">
        <f>C50</f>
        <v>0</v>
      </c>
      <c r="F42" s="20">
        <v>0</v>
      </c>
      <c r="I42" s="3" t="str">
        <f>ROUND(D40/I36*100,2)&amp;"%"</f>
        <v>11.2%</v>
      </c>
      <c r="N42" s="4"/>
    </row>
    <row r="43" ht="15.6" spans="1:14">
      <c r="A43" s="53">
        <v>44567</v>
      </c>
      <c r="B43" s="168">
        <v>84.08</v>
      </c>
      <c r="C43" s="170" t="s">
        <v>109</v>
      </c>
      <c r="D43" s="171"/>
      <c r="E43" s="20">
        <f>C49</f>
        <v>276</v>
      </c>
      <c r="F43" s="20">
        <v>2357.24</v>
      </c>
      <c r="I43" s="3" t="str">
        <f>ROUND(F40/I37*100,2)&amp;"%"</f>
        <v>8.86%</v>
      </c>
      <c r="N43" s="4"/>
    </row>
    <row r="44" ht="15.6" spans="1:14">
      <c r="A44" s="53">
        <v>44568</v>
      </c>
      <c r="B44" s="168">
        <v>101.35</v>
      </c>
      <c r="C44" s="170" t="s">
        <v>99</v>
      </c>
      <c r="D44" s="172"/>
      <c r="E44" s="20">
        <f>C48</f>
        <v>360</v>
      </c>
      <c r="F44" s="20">
        <v>8185</v>
      </c>
      <c r="I44" s="3" t="str">
        <f>ROUND(F44/I38*100,2)&amp;"%"</f>
        <v>6.05%</v>
      </c>
      <c r="N44" s="4"/>
    </row>
    <row r="45" ht="15.6" spans="1:14">
      <c r="A45" s="53">
        <v>44569</v>
      </c>
      <c r="B45" s="168">
        <v>136.25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47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1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2</v>
      </c>
      <c r="E47" s="79">
        <v>4</v>
      </c>
      <c r="F47" s="79">
        <v>3</v>
      </c>
    </row>
    <row r="48" spans="1:6">
      <c r="A48" s="151"/>
      <c r="B48" s="79" t="s">
        <v>112</v>
      </c>
      <c r="C48" s="79">
        <v>360</v>
      </c>
      <c r="D48" s="79"/>
      <c r="E48" s="79"/>
      <c r="F48" s="79"/>
    </row>
    <row r="49" spans="1:9">
      <c r="A49" s="151"/>
      <c r="B49" s="79" t="s">
        <v>113</v>
      </c>
      <c r="C49" s="148">
        <v>276</v>
      </c>
      <c r="D49" s="149"/>
      <c r="E49" s="149"/>
      <c r="F49" s="150"/>
      <c r="I49" s="3" t="str">
        <f>TEXT(A3,"yyyy年mm月dd日")</f>
        <v>2022年01月08日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08日自年初完成产值821.07万元，自开工累计完成产值12913.78万元，自开工占总产值90284.4万元的14.3%，100章临建完成6000.78万元，400章桥梁完成6913万元。已完成梁片预制662片，占设计量的11.2%；梁片安装524片，占设计量的8.86%；湿接缝8185米，占设计量的6.05%；防撞护栏2357.24米，占设计量的3.51%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70" zoomScaleNormal="70" topLeftCell="A25" workbookViewId="0">
      <selection activeCell="J43" sqref="J4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44570</v>
      </c>
      <c r="B3" s="12" t="s">
        <v>7</v>
      </c>
      <c r="C3" s="12">
        <v>0</v>
      </c>
      <c r="D3" s="12">
        <f>ROUND(D11+D12+D15+D16+D17+D13+D14,2)</f>
        <v>31.73</v>
      </c>
      <c r="E3" s="13">
        <f>ROUND(C5+D5,2)</f>
        <v>95.17</v>
      </c>
      <c r="F3" s="143" t="s">
        <v>186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63.44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95.17</v>
      </c>
      <c r="E5" s="13"/>
      <c r="F5" s="144"/>
      <c r="I5" t="str">
        <f>ROUND(E7/90284.4*100,2)&amp;"%"</f>
        <v>14.41%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916.24</v>
      </c>
      <c r="E6" s="8">
        <f>ROUND(C6+D6,2)</f>
        <v>916.24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7008.17</v>
      </c>
      <c r="E7" s="8">
        <f>ROUND(C7+D7,2)</f>
        <v>13008.95</v>
      </c>
      <c r="F7" s="144"/>
      <c r="I7"/>
      <c r="J7"/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44570</v>
      </c>
      <c r="B11" s="133" t="s">
        <v>172</v>
      </c>
      <c r="C11" s="33">
        <v>0</v>
      </c>
      <c r="D11" s="8">
        <v>0</v>
      </c>
      <c r="E11" s="33">
        <v>6</v>
      </c>
      <c r="F11" s="8">
        <v>46.19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30.47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9</v>
      </c>
      <c r="F13" s="8">
        <v>1.458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5</v>
      </c>
      <c r="D14" s="8">
        <v>1.26</v>
      </c>
      <c r="E14" s="33">
        <v>2</v>
      </c>
      <c r="F14" s="8">
        <v>0.504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31.73</v>
      </c>
      <c r="D18" s="134"/>
      <c r="E18" s="25">
        <f>ROUND(F11+F12+F15+F16+F17+F13+F14,2)</f>
        <v>63.44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95.17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274</v>
      </c>
      <c r="D29" s="132" t="s">
        <v>75</v>
      </c>
      <c r="E29" s="12">
        <f>C39+D39</f>
        <v>215</v>
      </c>
      <c r="F29" s="12"/>
    </row>
    <row r="30" spans="1:6">
      <c r="A30" s="35"/>
      <c r="B30" s="132" t="s">
        <v>76</v>
      </c>
      <c r="C30" s="12">
        <f>E38+F38</f>
        <v>397</v>
      </c>
      <c r="D30" s="132" t="s">
        <v>77</v>
      </c>
      <c r="E30" s="12">
        <f>E39+F39</f>
        <v>325</v>
      </c>
      <c r="F30" s="12"/>
    </row>
    <row r="31" spans="1:6">
      <c r="A31" s="35"/>
      <c r="B31" s="132" t="s">
        <v>78</v>
      </c>
      <c r="C31" s="12">
        <f>C32-C29-C30</f>
        <v>5109</v>
      </c>
      <c r="D31" s="132" t="s">
        <v>79</v>
      </c>
      <c r="E31" s="12">
        <f>E32-E29-E30</f>
        <v>5240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44561</v>
      </c>
      <c r="B36" s="168">
        <v>89.94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44562</v>
      </c>
      <c r="B37" s="168">
        <v>88.18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44563</v>
      </c>
      <c r="B38" s="168">
        <v>89.63</v>
      </c>
      <c r="C38" s="33">
        <v>176</v>
      </c>
      <c r="D38" s="33">
        <v>98</v>
      </c>
      <c r="E38" s="33">
        <v>341</v>
      </c>
      <c r="F38" s="33">
        <v>56</v>
      </c>
      <c r="I38" s="3">
        <v>135185</v>
      </c>
      <c r="N38" s="4"/>
    </row>
    <row r="39" ht="15.6" spans="1:14">
      <c r="A39" s="53">
        <v>44564</v>
      </c>
      <c r="B39" s="168">
        <v>111.87</v>
      </c>
      <c r="C39" s="169">
        <v>130</v>
      </c>
      <c r="D39" s="169">
        <v>85</v>
      </c>
      <c r="E39" s="169">
        <v>307</v>
      </c>
      <c r="F39" s="169">
        <v>18</v>
      </c>
      <c r="I39" s="3">
        <v>67098.02</v>
      </c>
      <c r="N39" s="4"/>
    </row>
    <row r="40" ht="15.6" spans="1:14">
      <c r="A40" s="53">
        <v>44565</v>
      </c>
      <c r="B40" s="168">
        <v>108.09</v>
      </c>
      <c r="C40" s="33" t="s">
        <v>182</v>
      </c>
      <c r="D40" s="33">
        <f>C38+D38+E38+F38</f>
        <v>671</v>
      </c>
      <c r="E40" s="169" t="s">
        <v>69</v>
      </c>
      <c r="F40" s="169">
        <f>C39+D39+E39+F39</f>
        <v>540</v>
      </c>
      <c r="I40" s="3">
        <v>405202.2</v>
      </c>
      <c r="N40" s="4"/>
    </row>
    <row r="41" ht="15.6" spans="1:14">
      <c r="A41" s="53">
        <v>44566</v>
      </c>
      <c r="B41" s="168">
        <v>101.62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44567</v>
      </c>
      <c r="B42" s="168">
        <v>84.08</v>
      </c>
      <c r="C42" s="170" t="s">
        <v>108</v>
      </c>
      <c r="D42" s="171"/>
      <c r="E42" s="20">
        <f>C50</f>
        <v>0</v>
      </c>
      <c r="F42" s="20">
        <v>0</v>
      </c>
      <c r="I42" s="3" t="str">
        <f>ROUND(D40/I36*100,2)&amp;"%"</f>
        <v>11.35%</v>
      </c>
      <c r="N42" s="4"/>
    </row>
    <row r="43" ht="15.6" spans="1:14">
      <c r="A43" s="53">
        <v>44568</v>
      </c>
      <c r="B43" s="168">
        <v>101.35</v>
      </c>
      <c r="C43" s="170" t="s">
        <v>109</v>
      </c>
      <c r="D43" s="171"/>
      <c r="E43" s="20">
        <f>C49</f>
        <v>0</v>
      </c>
      <c r="F43" s="20">
        <v>2357.24</v>
      </c>
      <c r="I43" s="3" t="str">
        <f>ROUND(F40/I37*100,2)&amp;"%"</f>
        <v>9.13%</v>
      </c>
      <c r="N43" s="4"/>
    </row>
    <row r="44" ht="15.6" spans="1:14">
      <c r="A44" s="53">
        <v>44569</v>
      </c>
      <c r="B44" s="168">
        <v>136.25</v>
      </c>
      <c r="C44" s="170" t="s">
        <v>99</v>
      </c>
      <c r="D44" s="172"/>
      <c r="E44" s="20">
        <f>C48</f>
        <v>0</v>
      </c>
      <c r="F44" s="20">
        <v>8185</v>
      </c>
      <c r="I44" s="3" t="str">
        <f>ROUND(F44/I38*100,2)&amp;"%"</f>
        <v>6.05%</v>
      </c>
      <c r="N44" s="4"/>
    </row>
    <row r="45" ht="15.6" spans="1:14">
      <c r="A45" s="53">
        <v>44570</v>
      </c>
      <c r="B45" s="168">
        <v>95.17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6</v>
      </c>
      <c r="F46" s="79">
        <f>E12</f>
        <v>1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5</v>
      </c>
      <c r="E47" s="79">
        <v>9</v>
      </c>
      <c r="F47" s="79">
        <v>2</v>
      </c>
    </row>
    <row r="48" spans="1:6">
      <c r="A48" s="151"/>
      <c r="B48" s="79" t="s">
        <v>112</v>
      </c>
      <c r="C48" s="79">
        <v>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2022年01月09日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09日自年初完成产值916.24万元，自开工累计完成产值13008.95万元，自开工占总产值90284.4万元的14.41%，100章临建完成6000.78万元，400章桥梁完成7008.17万元。已完成梁片预制671片，占设计量的11.35%；梁片安装540片，占设计量的9.13%；湿接缝8185米，占设计量的6.05%；防撞护栏2357.24米，占设计量的3.51%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44571</v>
      </c>
      <c r="B3" s="12" t="s">
        <v>7</v>
      </c>
      <c r="C3" s="12"/>
      <c r="D3" s="12">
        <f>ROUND(D11+D12+D15+D16+D17+D13+D14,2)</f>
        <v>37.12</v>
      </c>
      <c r="E3" s="13">
        <f>ROUND(C5+D5,2)</f>
        <v>99.87</v>
      </c>
      <c r="F3" s="143" t="s">
        <v>188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62.75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99.87</v>
      </c>
      <c r="E5" s="13"/>
      <c r="F5" s="144"/>
      <c r="I5" t="str">
        <f>ROUND(E7/90284.4*100,2)&amp;"%"</f>
        <v>14.52%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1016.11</v>
      </c>
      <c r="E6" s="8">
        <f>ROUND(C6+D6,2)</f>
        <v>1016.11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7108.04</v>
      </c>
      <c r="E7" s="8">
        <f>ROUND(C7+D7,2)</f>
        <v>13108.82</v>
      </c>
      <c r="F7" s="144"/>
      <c r="H7" s="3">
        <v>10165.33</v>
      </c>
      <c r="I7"/>
      <c r="J7">
        <f>E7-H7</f>
        <v>2943.49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44571</v>
      </c>
      <c r="B11" s="133" t="s">
        <v>172</v>
      </c>
      <c r="C11" s="33">
        <v>0</v>
      </c>
      <c r="D11" s="8">
        <v>0</v>
      </c>
      <c r="E11" s="33">
        <v>4</v>
      </c>
      <c r="F11" s="8">
        <v>30.73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30.47</v>
      </c>
      <c r="E12" s="33">
        <v>2</v>
      </c>
      <c r="F12" s="8">
        <v>30.45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5</v>
      </c>
      <c r="F13" s="8">
        <v>0.81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0</v>
      </c>
      <c r="D14" s="8">
        <v>0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160</v>
      </c>
      <c r="D15" s="8">
        <v>6.65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37.12</v>
      </c>
      <c r="D18" s="134"/>
      <c r="E18" s="25">
        <f>ROUND(F11+F12+F15+F16+F17+F13+F14,2)</f>
        <v>62.75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99.87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276</v>
      </c>
      <c r="D29" s="132" t="s">
        <v>75</v>
      </c>
      <c r="E29" s="12">
        <f>C39+D39</f>
        <v>215</v>
      </c>
      <c r="F29" s="12"/>
    </row>
    <row r="30" spans="1:6">
      <c r="A30" s="35"/>
      <c r="B30" s="132" t="s">
        <v>76</v>
      </c>
      <c r="C30" s="12">
        <f>E38+F38</f>
        <v>403</v>
      </c>
      <c r="D30" s="132" t="s">
        <v>77</v>
      </c>
      <c r="E30" s="12">
        <f>E39+F39</f>
        <v>333</v>
      </c>
      <c r="F30" s="12"/>
    </row>
    <row r="31" spans="1:6">
      <c r="A31" s="35"/>
      <c r="B31" s="132" t="s">
        <v>78</v>
      </c>
      <c r="C31" s="12">
        <f>C32-C29-C30</f>
        <v>5101</v>
      </c>
      <c r="D31" s="132" t="s">
        <v>79</v>
      </c>
      <c r="E31" s="12">
        <f>E32-E29-E30</f>
        <v>5232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44562</v>
      </c>
      <c r="B36" s="168">
        <v>88.18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44563</v>
      </c>
      <c r="B37" s="168">
        <v>89.63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44564</v>
      </c>
      <c r="B38" s="168">
        <v>111.87</v>
      </c>
      <c r="C38" s="33">
        <v>176</v>
      </c>
      <c r="D38" s="33">
        <v>100</v>
      </c>
      <c r="E38" s="33">
        <v>345</v>
      </c>
      <c r="F38" s="33">
        <v>58</v>
      </c>
      <c r="I38" s="3">
        <v>135185</v>
      </c>
      <c r="N38" s="4"/>
    </row>
    <row r="39" ht="15.6" spans="1:14">
      <c r="A39" s="53">
        <v>44565</v>
      </c>
      <c r="B39" s="168">
        <v>108.09</v>
      </c>
      <c r="C39" s="169">
        <v>130</v>
      </c>
      <c r="D39" s="169">
        <v>85</v>
      </c>
      <c r="E39" s="169">
        <v>312</v>
      </c>
      <c r="F39" s="169">
        <v>21</v>
      </c>
      <c r="I39" s="3">
        <v>67098.02</v>
      </c>
      <c r="N39" s="4"/>
    </row>
    <row r="40" ht="15.6" spans="1:14">
      <c r="A40" s="53">
        <v>44566</v>
      </c>
      <c r="B40" s="168">
        <v>101.62</v>
      </c>
      <c r="C40" s="33" t="s">
        <v>182</v>
      </c>
      <c r="D40" s="33">
        <f>C38+D38+E38+F38</f>
        <v>679</v>
      </c>
      <c r="E40" s="169" t="s">
        <v>69</v>
      </c>
      <c r="F40" s="169">
        <f>C39+D39+E39+F39</f>
        <v>548</v>
      </c>
      <c r="I40" s="3">
        <v>405202.2</v>
      </c>
      <c r="N40" s="4"/>
    </row>
    <row r="41" ht="15.6" spans="1:14">
      <c r="A41" s="53">
        <v>44567</v>
      </c>
      <c r="B41" s="168">
        <v>84.08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44568</v>
      </c>
      <c r="B42" s="168">
        <v>101.35</v>
      </c>
      <c r="C42" s="170" t="s">
        <v>108</v>
      </c>
      <c r="D42" s="171"/>
      <c r="E42" s="20">
        <f>C50</f>
        <v>0</v>
      </c>
      <c r="F42" s="20">
        <v>0</v>
      </c>
      <c r="I42" s="3" t="str">
        <f>ROUND(D40/I36*100,2)&amp;"%"</f>
        <v>11.48%</v>
      </c>
      <c r="N42" s="4"/>
    </row>
    <row r="43" ht="15.6" spans="1:14">
      <c r="A43" s="53">
        <v>44569</v>
      </c>
      <c r="B43" s="168">
        <v>136.25</v>
      </c>
      <c r="C43" s="170" t="s">
        <v>109</v>
      </c>
      <c r="D43" s="171"/>
      <c r="E43" s="20">
        <f>C49</f>
        <v>0</v>
      </c>
      <c r="F43" s="20">
        <v>2357.24</v>
      </c>
      <c r="I43" s="3" t="str">
        <f>ROUND(F40/I37*100,2)&amp;"%"</f>
        <v>9.27%</v>
      </c>
      <c r="N43" s="4"/>
    </row>
    <row r="44" ht="15.6" spans="1:14">
      <c r="A44" s="53">
        <v>44570</v>
      </c>
      <c r="B44" s="168">
        <v>95.17</v>
      </c>
      <c r="C44" s="170" t="s">
        <v>99</v>
      </c>
      <c r="D44" s="172"/>
      <c r="E44" s="20">
        <f>C48</f>
        <v>160</v>
      </c>
      <c r="F44" s="20">
        <v>8345</v>
      </c>
      <c r="I44" s="3" t="str">
        <f>ROUND(F44/I38*100,2)&amp;"%"</f>
        <v>6.17%</v>
      </c>
      <c r="N44" s="4"/>
    </row>
    <row r="45" ht="15.6" spans="1:14">
      <c r="A45" s="53">
        <v>44571</v>
      </c>
      <c r="B45" s="168">
        <v>99.87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2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0</v>
      </c>
      <c r="E47" s="79">
        <v>5</v>
      </c>
      <c r="F47" s="79">
        <v>3</v>
      </c>
    </row>
    <row r="48" spans="1:6">
      <c r="A48" s="151"/>
      <c r="B48" s="79" t="s">
        <v>112</v>
      </c>
      <c r="C48" s="79">
        <v>160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2022年01月10日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10日自年初完成产值1016.11万元，自开工累计完成产值13108.82万元，自开工占总产值90284.4万元的14.52%，100章临建完成6000.78万元，400章桥梁完成7108.04万元。已完成梁片预制679片，占设计量的11.48%；梁片安装548片，占设计量的9.27%；湿接缝8345米，占设计量的6.17%；防撞护栏2357.24米，占设计量的3.51%；桥面铺装0平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K40"/>
  <sheetViews>
    <sheetView topLeftCell="A18" workbookViewId="0">
      <selection activeCell="E34" sqref="E3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44473</v>
      </c>
      <c r="B3" s="157" t="s">
        <v>7</v>
      </c>
      <c r="C3" s="157">
        <v>1</v>
      </c>
      <c r="D3" s="157">
        <f>D11+F11</f>
        <v>0</v>
      </c>
      <c r="E3" s="250">
        <f>C5+D5</f>
        <v>2</v>
      </c>
      <c r="F3" s="243" t="s">
        <v>35</v>
      </c>
    </row>
    <row r="4" ht="15" customHeight="1" spans="1:6">
      <c r="A4" s="157"/>
      <c r="B4" s="157" t="s">
        <v>9</v>
      </c>
      <c r="C4" s="157">
        <v>1</v>
      </c>
      <c r="D4" s="157">
        <f>D12+F12</f>
        <v>0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2</v>
      </c>
      <c r="D5" s="157">
        <f>SUM(D3:D4)</f>
        <v>0</v>
      </c>
      <c r="E5" s="250"/>
      <c r="F5" s="244"/>
      <c r="H5"/>
      <c r="I5"/>
      <c r="J5"/>
      <c r="K5"/>
    </row>
    <row r="6" ht="15" customHeight="1" spans="1:11">
      <c r="A6" s="157"/>
      <c r="B6" s="239" t="s">
        <v>11</v>
      </c>
      <c r="C6" s="258">
        <v>5453.78</v>
      </c>
      <c r="D6" s="258">
        <v>306.97</v>
      </c>
      <c r="E6" s="239">
        <f>C6+D6</f>
        <v>5760.75</v>
      </c>
      <c r="F6" s="244"/>
      <c r="H6"/>
      <c r="I6"/>
      <c r="J6"/>
      <c r="K6"/>
    </row>
    <row r="7" ht="15" customHeight="1" spans="1:11">
      <c r="A7" s="157"/>
      <c r="B7" s="239" t="s">
        <v>12</v>
      </c>
      <c r="C7" s="258">
        <v>5453.78</v>
      </c>
      <c r="D7" s="258">
        <v>306.97</v>
      </c>
      <c r="E7" s="239">
        <f>C7+D7</f>
        <v>5760.75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spans="1:6">
      <c r="A11" s="241">
        <v>44473</v>
      </c>
      <c r="B11" s="157" t="s">
        <v>7</v>
      </c>
      <c r="C11" s="247">
        <v>0</v>
      </c>
      <c r="D11" s="248">
        <v>0</v>
      </c>
      <c r="E11" s="247">
        <v>0</v>
      </c>
      <c r="F11" s="248">
        <v>0</v>
      </c>
    </row>
    <row r="12" spans="1:6">
      <c r="A12" s="157"/>
      <c r="B12" s="157" t="s">
        <v>9</v>
      </c>
      <c r="C12" s="247">
        <v>0</v>
      </c>
      <c r="D12" s="248">
        <v>0</v>
      </c>
      <c r="E12" s="247">
        <v>0</v>
      </c>
      <c r="F12" s="248">
        <v>0</v>
      </c>
    </row>
    <row r="13" spans="1:6">
      <c r="A13" s="157"/>
      <c r="B13" s="157" t="s">
        <v>18</v>
      </c>
      <c r="C13" s="247">
        <f>C11+C12</f>
        <v>0</v>
      </c>
      <c r="D13" s="248">
        <f>ROUND(D11+D12,2)</f>
        <v>0</v>
      </c>
      <c r="E13" s="247">
        <f t="shared" ref="E13" si="0">E11+E12</f>
        <v>0</v>
      </c>
      <c r="F13" s="248">
        <f>ROUND(F11+F12,2)</f>
        <v>0</v>
      </c>
    </row>
    <row r="14" spans="1:6">
      <c r="A14" s="157"/>
      <c r="B14" s="239" t="s">
        <v>5</v>
      </c>
      <c r="C14" s="238">
        <f>D13+F13</f>
        <v>0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44464</v>
      </c>
      <c r="B31" s="235">
        <v>2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44465</v>
      </c>
      <c r="B32" s="235">
        <v>8.82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44466</v>
      </c>
      <c r="B33" s="235">
        <v>2</v>
      </c>
      <c r="C33" s="35">
        <v>19</v>
      </c>
      <c r="D33" s="35">
        <v>5</v>
      </c>
      <c r="E33" s="35">
        <v>11</v>
      </c>
      <c r="F33" s="35">
        <v>0</v>
      </c>
    </row>
    <row r="34" ht="15.6" spans="1:6">
      <c r="A34" s="53">
        <v>44467</v>
      </c>
      <c r="B34" s="235">
        <v>16.28</v>
      </c>
      <c r="C34" s="35"/>
      <c r="D34" s="35"/>
      <c r="E34" s="35">
        <v>450</v>
      </c>
      <c r="F34" s="35">
        <v>38032</v>
      </c>
    </row>
    <row r="35" ht="15.6" spans="1:6">
      <c r="A35" s="53">
        <v>44468</v>
      </c>
      <c r="B35" s="235">
        <v>33.25</v>
      </c>
      <c r="C35" s="35"/>
      <c r="D35" s="35"/>
      <c r="E35" s="35"/>
      <c r="F35" s="35"/>
    </row>
    <row r="36" ht="15.6" spans="1:6">
      <c r="A36" s="53">
        <v>44469</v>
      </c>
      <c r="B36" s="235">
        <v>8.82</v>
      </c>
      <c r="C36" s="35"/>
      <c r="D36" s="35"/>
      <c r="E36" s="35"/>
      <c r="F36" s="35"/>
    </row>
    <row r="37" ht="15.6" spans="1:6">
      <c r="A37" s="53">
        <v>44470</v>
      </c>
      <c r="B37" s="235">
        <v>24.1</v>
      </c>
      <c r="C37" s="35"/>
      <c r="D37" s="35"/>
      <c r="E37" s="35"/>
      <c r="F37" s="35"/>
    </row>
    <row r="38" ht="15.6" spans="1:6">
      <c r="A38" s="53">
        <v>44471</v>
      </c>
      <c r="B38" s="235">
        <v>17.46</v>
      </c>
      <c r="C38" s="35"/>
      <c r="D38" s="35"/>
      <c r="E38" s="35"/>
      <c r="F38" s="35"/>
    </row>
    <row r="39" ht="15.6" spans="1:6">
      <c r="A39" s="53">
        <v>44472</v>
      </c>
      <c r="B39" s="235">
        <v>31.74</v>
      </c>
      <c r="C39" s="35"/>
      <c r="D39" s="35"/>
      <c r="E39" s="35"/>
      <c r="F39" s="35"/>
    </row>
    <row r="40" ht="15.6" spans="1:6">
      <c r="A40" s="53">
        <v>44473</v>
      </c>
      <c r="B40" s="235">
        <v>2</v>
      </c>
      <c r="C40" s="104">
        <f>C33+D33+E33+F33</f>
        <v>35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E7" sqref="E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44572</v>
      </c>
      <c r="B3" s="12" t="s">
        <v>7</v>
      </c>
      <c r="C3" s="12">
        <v>0</v>
      </c>
      <c r="D3" s="12">
        <f>ROUND(D11+D12+D15+D16+D17+D13+D14,2)</f>
        <v>50.13</v>
      </c>
      <c r="E3" s="13">
        <f>ROUND(C5+D5,2)</f>
        <v>97.56</v>
      </c>
      <c r="F3" s="143" t="s">
        <v>189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47.43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97.56</v>
      </c>
      <c r="E5" s="13"/>
      <c r="F5" s="144"/>
      <c r="I5" t="str">
        <f>ROUND(E7/90284.4*100,2)&amp;"%"</f>
        <v>14.63%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f>1129.21-15.29-0.252</f>
        <v>1113.668</v>
      </c>
      <c r="E6" s="8">
        <f>ROUND(C6+D6,2)</f>
        <v>1113.67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7205.59</v>
      </c>
      <c r="E7" s="8">
        <f>ROUND(C7+D7,2)</f>
        <v>13206.37</v>
      </c>
      <c r="F7" s="144"/>
      <c r="H7" s="3">
        <v>10165.33</v>
      </c>
      <c r="I7"/>
      <c r="J7" s="3">
        <f>E7-H7</f>
        <v>3041.04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44572</v>
      </c>
      <c r="B11" s="133" t="s">
        <v>172</v>
      </c>
      <c r="C11" s="33">
        <v>0</v>
      </c>
      <c r="D11" s="8">
        <v>0</v>
      </c>
      <c r="E11" s="33">
        <v>5</v>
      </c>
      <c r="F11" s="8">
        <v>38.55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30.47</v>
      </c>
      <c r="E12" s="33">
        <v>0</v>
      </c>
      <c r="F12" s="8"/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3</v>
      </c>
      <c r="F13" s="8">
        <v>0.486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0</v>
      </c>
      <c r="D14" s="8">
        <v>0</v>
      </c>
      <c r="E14" s="33">
        <v>1</v>
      </c>
      <c r="F14" s="8">
        <f>0.504-0.252</f>
        <v>0.252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0</v>
      </c>
      <c r="D15" s="8">
        <v>0</v>
      </c>
      <c r="E15" s="33">
        <v>200</v>
      </c>
      <c r="F15" s="8">
        <v>8.14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1606</v>
      </c>
      <c r="D17" s="8">
        <v>19.66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50.13</v>
      </c>
      <c r="D18" s="134"/>
      <c r="E18" s="182">
        <f>ROUND(F11+F12+F15+F16+F17+F13+F14,2)</f>
        <v>47.43</v>
      </c>
      <c r="F18" s="183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97.56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278</v>
      </c>
      <c r="D29" s="132" t="s">
        <v>75</v>
      </c>
      <c r="E29" s="12">
        <f>C39+D39</f>
        <v>215</v>
      </c>
      <c r="F29" s="12"/>
    </row>
    <row r="30" spans="1:6">
      <c r="A30" s="35"/>
      <c r="B30" s="132" t="s">
        <v>76</v>
      </c>
      <c r="C30" s="12">
        <f>E38+F38</f>
        <v>408</v>
      </c>
      <c r="D30" s="132" t="s">
        <v>77</v>
      </c>
      <c r="E30" s="12">
        <f>E39+F39</f>
        <v>337</v>
      </c>
      <c r="F30" s="12"/>
    </row>
    <row r="31" spans="1:6">
      <c r="A31" s="35"/>
      <c r="B31" s="132" t="s">
        <v>78</v>
      </c>
      <c r="C31" s="12">
        <f>C32-C29-C30</f>
        <v>5094</v>
      </c>
      <c r="D31" s="132" t="s">
        <v>79</v>
      </c>
      <c r="E31" s="12">
        <f>E32-E29-E30</f>
        <v>5228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44563</v>
      </c>
      <c r="B36" s="168">
        <v>89.63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44564</v>
      </c>
      <c r="B37" s="168">
        <v>111.87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44565</v>
      </c>
      <c r="B38" s="168">
        <v>108.09</v>
      </c>
      <c r="C38" s="33">
        <v>176</v>
      </c>
      <c r="D38" s="33">
        <v>102</v>
      </c>
      <c r="E38" s="33">
        <v>350</v>
      </c>
      <c r="F38" s="33">
        <v>58</v>
      </c>
      <c r="I38" s="3">
        <v>135185</v>
      </c>
      <c r="N38" s="4"/>
    </row>
    <row r="39" ht="15.6" spans="1:14">
      <c r="A39" s="53">
        <v>44566</v>
      </c>
      <c r="B39" s="168">
        <v>101.62</v>
      </c>
      <c r="C39" s="169">
        <v>130</v>
      </c>
      <c r="D39" s="169">
        <v>85</v>
      </c>
      <c r="E39" s="169">
        <v>315</v>
      </c>
      <c r="F39" s="169">
        <v>22</v>
      </c>
      <c r="I39" s="3">
        <v>67098.02</v>
      </c>
      <c r="N39" s="4"/>
    </row>
    <row r="40" ht="15.6" spans="1:14">
      <c r="A40" s="53">
        <v>44567</v>
      </c>
      <c r="B40" s="168">
        <v>84.08</v>
      </c>
      <c r="C40" s="33" t="s">
        <v>182</v>
      </c>
      <c r="D40" s="33">
        <f>C38+D38+E38+F38</f>
        <v>686</v>
      </c>
      <c r="E40" s="169" t="s">
        <v>69</v>
      </c>
      <c r="F40" s="169">
        <f>C39+D39+E39+F39</f>
        <v>552</v>
      </c>
      <c r="I40" s="3">
        <v>405202.2</v>
      </c>
      <c r="N40" s="4"/>
    </row>
    <row r="41" ht="15.6" spans="1:14">
      <c r="A41" s="53">
        <v>44568</v>
      </c>
      <c r="B41" s="168">
        <v>101.35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44569</v>
      </c>
      <c r="B42" s="168">
        <v>136.25</v>
      </c>
      <c r="C42" s="170" t="s">
        <v>108</v>
      </c>
      <c r="D42" s="171"/>
      <c r="E42" s="20">
        <f>C50</f>
        <v>1606</v>
      </c>
      <c r="F42" s="20">
        <v>1606</v>
      </c>
      <c r="I42" s="3" t="str">
        <f>ROUND(D40/I36*100,2)&amp;"%"</f>
        <v>11.6%</v>
      </c>
      <c r="N42" s="4"/>
    </row>
    <row r="43" ht="15.6" spans="1:14">
      <c r="A43" s="53">
        <v>44570</v>
      </c>
      <c r="B43" s="168">
        <v>95.17</v>
      </c>
      <c r="C43" s="170" t="s">
        <v>109</v>
      </c>
      <c r="D43" s="171"/>
      <c r="E43" s="20">
        <f>C49</f>
        <v>0</v>
      </c>
      <c r="F43" s="20">
        <v>2357.24</v>
      </c>
      <c r="I43" s="3" t="str">
        <f>ROUND(F40/I37*100,2)&amp;"%"</f>
        <v>9.34%</v>
      </c>
      <c r="N43" s="4"/>
    </row>
    <row r="44" ht="15.6" spans="1:14">
      <c r="A44" s="53">
        <v>44571</v>
      </c>
      <c r="B44" s="168">
        <v>99.87</v>
      </c>
      <c r="C44" s="170" t="s">
        <v>99</v>
      </c>
      <c r="D44" s="172"/>
      <c r="E44" s="20">
        <f>C48</f>
        <v>200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44572</v>
      </c>
      <c r="B45" s="168">
        <v>97.56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5</v>
      </c>
      <c r="F46" s="79">
        <f>E12</f>
        <v>0</v>
      </c>
      <c r="I46" s="3" t="str">
        <f>ROUND(F42/I40*100,2)&amp;"%"</f>
        <v>0.4%</v>
      </c>
    </row>
    <row r="47" spans="1:6">
      <c r="A47" s="151"/>
      <c r="B47" s="79" t="s">
        <v>111</v>
      </c>
      <c r="C47" s="79">
        <v>0</v>
      </c>
      <c r="D47" s="79">
        <v>0</v>
      </c>
      <c r="E47" s="79">
        <v>3</v>
      </c>
      <c r="F47" s="79">
        <v>2</v>
      </c>
    </row>
    <row r="48" spans="1:6">
      <c r="A48" s="151"/>
      <c r="B48" s="79" t="s">
        <v>112</v>
      </c>
      <c r="C48" s="79">
        <v>200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2022年01月11日</v>
      </c>
    </row>
    <row r="50" spans="1:6">
      <c r="A50" s="152"/>
      <c r="B50" s="79" t="s">
        <v>114</v>
      </c>
      <c r="C50" s="148">
        <v>1606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11日自年初完成产值1113.67万元，自开工累计完成产值13206.37万元，自开工占总产值90284.4万元的14.63%，100章临建完成6000.78万元，400章桥梁完成7205.59万元。已完成梁片预制686片，占设计量的11.6%；梁片安装552片，占设计量的9.34%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44573</v>
      </c>
      <c r="B3" s="12" t="s">
        <v>7</v>
      </c>
      <c r="C3" s="12">
        <v>0</v>
      </c>
      <c r="D3" s="12">
        <f>ROUND(D11+D12+D15+D16+D17+D13+D14,2)</f>
        <v>31.23</v>
      </c>
      <c r="E3" s="13">
        <f>ROUND(C5+D5,2)</f>
        <v>77.35</v>
      </c>
      <c r="F3" s="143" t="s">
        <v>190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46.12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77.35</v>
      </c>
      <c r="E5" s="13"/>
      <c r="F5" s="144"/>
      <c r="I5" t="str">
        <f>ROUND(E7/90284.4*100,2)&amp;"%"</f>
        <v>14.71%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1191.018</v>
      </c>
      <c r="E6" s="8">
        <f>ROUND(C6+D6,2)</f>
        <v>1191.02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7282.94</v>
      </c>
      <c r="E7" s="8">
        <f>ROUND(C7+D7,2)</f>
        <v>13283.72</v>
      </c>
      <c r="F7" s="144"/>
      <c r="H7" s="3">
        <v>10165.33</v>
      </c>
      <c r="I7"/>
      <c r="J7">
        <f>E7-H7</f>
        <v>3118.39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44573</v>
      </c>
      <c r="B11" s="133" t="s">
        <v>172</v>
      </c>
      <c r="C11" s="33">
        <v>0</v>
      </c>
      <c r="D11" s="8">
        <v>0</v>
      </c>
      <c r="E11" s="33">
        <v>2</v>
      </c>
      <c r="F11" s="8">
        <v>15.28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30.47</v>
      </c>
      <c r="E12" s="33">
        <v>2</v>
      </c>
      <c r="F12" s="8">
        <v>30.52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2</v>
      </c>
      <c r="F13" s="8">
        <v>0.324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3</v>
      </c>
      <c r="D14" s="8">
        <v>0.756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31.23</v>
      </c>
      <c r="D18" s="134"/>
      <c r="E18" s="25">
        <f>ROUND(F11+F12+F15+F16+F17+F13+F14,2)</f>
        <v>46.12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77.35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280</v>
      </c>
      <c r="D29" s="132" t="s">
        <v>75</v>
      </c>
      <c r="E29" s="12">
        <f>C39+D39</f>
        <v>218</v>
      </c>
      <c r="F29" s="12"/>
    </row>
    <row r="30" spans="1:6">
      <c r="A30" s="35"/>
      <c r="B30" s="132" t="s">
        <v>76</v>
      </c>
      <c r="C30" s="12">
        <f>E38+F38</f>
        <v>412</v>
      </c>
      <c r="D30" s="132" t="s">
        <v>77</v>
      </c>
      <c r="E30" s="12">
        <f>E39+F39</f>
        <v>339</v>
      </c>
      <c r="F30" s="12"/>
    </row>
    <row r="31" spans="1:6">
      <c r="A31" s="35"/>
      <c r="B31" s="132" t="s">
        <v>78</v>
      </c>
      <c r="C31" s="12">
        <f>C32-C29-C30</f>
        <v>5088</v>
      </c>
      <c r="D31" s="132" t="s">
        <v>79</v>
      </c>
      <c r="E31" s="12">
        <f>E32-E29-E30</f>
        <v>5223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44564</v>
      </c>
      <c r="B36" s="168">
        <v>111.87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44565</v>
      </c>
      <c r="B37" s="168">
        <v>108.09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44566</v>
      </c>
      <c r="B38" s="168">
        <v>101.62</v>
      </c>
      <c r="C38" s="33">
        <v>176</v>
      </c>
      <c r="D38" s="33">
        <v>104</v>
      </c>
      <c r="E38" s="33">
        <v>352</v>
      </c>
      <c r="F38" s="33">
        <v>60</v>
      </c>
      <c r="I38" s="3">
        <v>135185</v>
      </c>
      <c r="N38" s="4"/>
    </row>
    <row r="39" ht="15.6" spans="1:14">
      <c r="A39" s="53">
        <v>44567</v>
      </c>
      <c r="B39" s="168">
        <v>84.08</v>
      </c>
      <c r="C39" s="169">
        <v>130</v>
      </c>
      <c r="D39" s="169">
        <v>88</v>
      </c>
      <c r="E39" s="169">
        <v>317</v>
      </c>
      <c r="F39" s="169">
        <v>22</v>
      </c>
      <c r="I39" s="3">
        <v>67098.02</v>
      </c>
      <c r="N39" s="4"/>
    </row>
    <row r="40" ht="15.6" spans="1:14">
      <c r="A40" s="53">
        <v>44568</v>
      </c>
      <c r="B40" s="168">
        <v>101.35</v>
      </c>
      <c r="C40" s="33" t="s">
        <v>182</v>
      </c>
      <c r="D40" s="33">
        <f>C38+D38+E38+F38</f>
        <v>692</v>
      </c>
      <c r="E40" s="169" t="s">
        <v>69</v>
      </c>
      <c r="F40" s="169">
        <f>C39+D39+E39+F39</f>
        <v>557</v>
      </c>
      <c r="I40" s="3">
        <v>405202.2</v>
      </c>
      <c r="N40" s="4"/>
    </row>
    <row r="41" ht="15.6" spans="1:14">
      <c r="A41" s="53">
        <v>44569</v>
      </c>
      <c r="B41" s="168">
        <v>136.25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44570</v>
      </c>
      <c r="B42" s="168">
        <v>95.17</v>
      </c>
      <c r="C42" s="170" t="s">
        <v>108</v>
      </c>
      <c r="D42" s="171"/>
      <c r="E42" s="20">
        <f>C50</f>
        <v>0</v>
      </c>
      <c r="F42" s="20">
        <v>1606</v>
      </c>
      <c r="I42" s="3" t="str">
        <f>ROUND(D40/I36*100,2)&amp;"%"</f>
        <v>11.7%</v>
      </c>
      <c r="N42" s="4"/>
    </row>
    <row r="43" ht="15.6" spans="1:14">
      <c r="A43" s="53">
        <v>44571</v>
      </c>
      <c r="B43" s="168">
        <v>99.87</v>
      </c>
      <c r="C43" s="170" t="s">
        <v>109</v>
      </c>
      <c r="D43" s="171"/>
      <c r="E43" s="20">
        <f>C49</f>
        <v>0</v>
      </c>
      <c r="F43" s="20">
        <v>2357.24</v>
      </c>
      <c r="I43" s="3" t="str">
        <f>ROUND(F40/I37*100,2)&amp;"%"</f>
        <v>9.42%</v>
      </c>
      <c r="N43" s="4"/>
    </row>
    <row r="44" ht="15.6" spans="1:14">
      <c r="A44" s="53">
        <v>44572</v>
      </c>
      <c r="B44" s="168">
        <v>97.56</v>
      </c>
      <c r="C44" s="170" t="s">
        <v>99</v>
      </c>
      <c r="D44" s="172"/>
      <c r="E44" s="20">
        <f>C48</f>
        <v>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44573</v>
      </c>
      <c r="B45" s="168">
        <v>77.35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2</v>
      </c>
      <c r="F46" s="79">
        <f>E12</f>
        <v>2</v>
      </c>
      <c r="I46" s="3" t="str">
        <f>ROUND(F42/I40*100,2)&amp;"%"</f>
        <v>0.4%</v>
      </c>
    </row>
    <row r="47" spans="1:6">
      <c r="A47" s="151"/>
      <c r="B47" s="79" t="s">
        <v>111</v>
      </c>
      <c r="C47" s="79">
        <v>0</v>
      </c>
      <c r="D47" s="79">
        <v>3</v>
      </c>
      <c r="E47" s="79">
        <v>2</v>
      </c>
      <c r="F47" s="79">
        <v>0</v>
      </c>
    </row>
    <row r="48" spans="1:6">
      <c r="A48" s="151"/>
      <c r="B48" s="79" t="s">
        <v>112</v>
      </c>
      <c r="C48" s="79">
        <v>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2022年01月12日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12日自年初完成产值1191.02万元，自开工累计完成产值13283.72万元，自开工占总产值90284.4万元的14.71%，100章临建完成6000.78万元，400章桥梁完成7282.94万元。已完成梁片预制692片，占设计量的11.7%；梁片安装557片，占设计量的9.42%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H7" sqref="H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44574</v>
      </c>
      <c r="B3" s="12" t="s">
        <v>7</v>
      </c>
      <c r="C3" s="12">
        <v>0</v>
      </c>
      <c r="D3" s="12">
        <f>ROUND(D11+D12+D15+D16+D17+D13+D14,2)</f>
        <v>31.02</v>
      </c>
      <c r="E3" s="13">
        <f>ROUND(C5+D5,2)</f>
        <v>79.04</v>
      </c>
      <c r="F3" s="143" t="s">
        <v>191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48.02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79.04</v>
      </c>
      <c r="E5" s="13"/>
      <c r="F5" s="144"/>
      <c r="I5" t="str">
        <f>ROUND(E7/90284.4*100,2)&amp;"%"</f>
        <v>14.8%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1270.058</v>
      </c>
      <c r="E6" s="8">
        <f>ROUND(C6+D6,2)</f>
        <v>1270.06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7361.98</v>
      </c>
      <c r="E7" s="8">
        <f>ROUND(C7+D7,2)</f>
        <v>13362.76</v>
      </c>
      <c r="F7" s="144"/>
      <c r="H7" s="3">
        <v>10165.33</v>
      </c>
      <c r="I7"/>
      <c r="J7">
        <f>E7-H7</f>
        <v>3197.43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44574</v>
      </c>
      <c r="B11" s="133" t="s">
        <v>172</v>
      </c>
      <c r="C11" s="33">
        <v>0</v>
      </c>
      <c r="D11" s="8">
        <v>0</v>
      </c>
      <c r="E11" s="33">
        <v>4</v>
      </c>
      <c r="F11" s="8">
        <v>30.92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30.52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5</v>
      </c>
      <c r="F13" s="8">
        <v>0.81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2</v>
      </c>
      <c r="D14" s="8">
        <v>0.504</v>
      </c>
      <c r="E14" s="33">
        <v>4</v>
      </c>
      <c r="F14" s="8">
        <v>1.008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31.02</v>
      </c>
      <c r="D18" s="134"/>
      <c r="E18" s="25">
        <f>ROUND(F11+F12+F15+F16+F17+F13+F14,2)</f>
        <v>48.02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79.04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282</v>
      </c>
      <c r="D29" s="132" t="s">
        <v>75</v>
      </c>
      <c r="E29" s="12">
        <f>C39+D39</f>
        <v>220</v>
      </c>
      <c r="F29" s="12"/>
    </row>
    <row r="30" spans="1:6">
      <c r="A30" s="35"/>
      <c r="B30" s="132" t="s">
        <v>76</v>
      </c>
      <c r="C30" s="12">
        <f>E38+F38</f>
        <v>417</v>
      </c>
      <c r="D30" s="132" t="s">
        <v>77</v>
      </c>
      <c r="E30" s="12">
        <f>E39+F39</f>
        <v>348</v>
      </c>
      <c r="F30" s="12"/>
    </row>
    <row r="31" spans="1:6">
      <c r="A31" s="35"/>
      <c r="B31" s="132" t="s">
        <v>78</v>
      </c>
      <c r="C31" s="12">
        <f>C32-C29-C30</f>
        <v>5081</v>
      </c>
      <c r="D31" s="132" t="s">
        <v>79</v>
      </c>
      <c r="E31" s="12">
        <f>E32-E29-E30</f>
        <v>5212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44565</v>
      </c>
      <c r="B36" s="168">
        <v>108.09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44566</v>
      </c>
      <c r="B37" s="168">
        <v>101.62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44567</v>
      </c>
      <c r="B38" s="168">
        <v>84.08</v>
      </c>
      <c r="C38" s="33">
        <v>176</v>
      </c>
      <c r="D38" s="33">
        <v>106</v>
      </c>
      <c r="E38" s="33">
        <v>356</v>
      </c>
      <c r="F38" s="33">
        <v>61</v>
      </c>
      <c r="I38" s="3">
        <v>135185</v>
      </c>
      <c r="N38" s="4"/>
    </row>
    <row r="39" ht="15.6" spans="1:14">
      <c r="A39" s="53">
        <v>44568</v>
      </c>
      <c r="B39" s="168">
        <v>101.35</v>
      </c>
      <c r="C39" s="169">
        <v>130</v>
      </c>
      <c r="D39" s="169">
        <v>90</v>
      </c>
      <c r="E39" s="169">
        <v>322</v>
      </c>
      <c r="F39" s="169">
        <v>26</v>
      </c>
      <c r="I39" s="3">
        <v>67098.02</v>
      </c>
      <c r="N39" s="4"/>
    </row>
    <row r="40" ht="15.6" spans="1:14">
      <c r="A40" s="53">
        <v>44569</v>
      </c>
      <c r="B40" s="168">
        <v>136.25</v>
      </c>
      <c r="C40" s="33" t="s">
        <v>182</v>
      </c>
      <c r="D40" s="33">
        <f>C38+D38+E38+F38</f>
        <v>699</v>
      </c>
      <c r="E40" s="169" t="s">
        <v>69</v>
      </c>
      <c r="F40" s="169">
        <f>C39+D39+E39+F39</f>
        <v>568</v>
      </c>
      <c r="I40" s="3">
        <v>405202.2</v>
      </c>
      <c r="N40" s="4"/>
    </row>
    <row r="41" ht="15.6" spans="1:14">
      <c r="A41" s="53">
        <v>44570</v>
      </c>
      <c r="B41" s="168">
        <v>95.17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44571</v>
      </c>
      <c r="B42" s="168">
        <v>99.87</v>
      </c>
      <c r="C42" s="170" t="s">
        <v>108</v>
      </c>
      <c r="D42" s="171"/>
      <c r="E42" s="20">
        <f>C50</f>
        <v>0</v>
      </c>
      <c r="F42" s="20">
        <v>1606</v>
      </c>
      <c r="I42" s="3" t="str">
        <f>ROUND(D40/I36*100,2)&amp;"%"</f>
        <v>11.82%</v>
      </c>
      <c r="N42" s="4"/>
    </row>
    <row r="43" ht="15.6" spans="1:14">
      <c r="A43" s="53">
        <v>44572</v>
      </c>
      <c r="B43" s="168">
        <v>97.56</v>
      </c>
      <c r="C43" s="170" t="s">
        <v>109</v>
      </c>
      <c r="D43" s="171"/>
      <c r="E43" s="20">
        <f>C49</f>
        <v>0</v>
      </c>
      <c r="F43" s="20">
        <v>2357.24</v>
      </c>
      <c r="I43" s="3" t="str">
        <f>ROUND(F40/I37*100,2)&amp;"%"</f>
        <v>9.61%</v>
      </c>
      <c r="N43" s="4"/>
    </row>
    <row r="44" ht="15.6" spans="1:14">
      <c r="A44" s="53">
        <v>44573</v>
      </c>
      <c r="B44" s="168">
        <v>77.35</v>
      </c>
      <c r="C44" s="170" t="s">
        <v>99</v>
      </c>
      <c r="D44" s="172"/>
      <c r="E44" s="20">
        <f>C48</f>
        <v>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44574</v>
      </c>
      <c r="B45" s="168">
        <v>79.04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1</v>
      </c>
      <c r="I46" s="3" t="str">
        <f>ROUND(F42/I40*100,2)&amp;"%"</f>
        <v>0.4%</v>
      </c>
    </row>
    <row r="47" spans="1:6">
      <c r="A47" s="151"/>
      <c r="B47" s="79" t="s">
        <v>111</v>
      </c>
      <c r="C47" s="79">
        <v>0</v>
      </c>
      <c r="D47" s="79">
        <v>2</v>
      </c>
      <c r="E47" s="79">
        <v>5</v>
      </c>
      <c r="F47" s="79">
        <v>4</v>
      </c>
    </row>
    <row r="48" spans="1:6">
      <c r="A48" s="151"/>
      <c r="B48" s="79" t="s">
        <v>112</v>
      </c>
      <c r="C48" s="79">
        <v>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2022年01月13日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13日自年初完成产值1270.06万元，自开工累计完成产值13362.76万元，自开工占总产值90284.4万元的14.8%，100章临建完成6000.78万元，400章桥梁完成7361.98万元。已完成梁片预制699片，占设计量的11.82%；梁片安装568片，占设计量的9.61%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K16" sqref="K1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44575</v>
      </c>
      <c r="B3" s="12" t="s">
        <v>7</v>
      </c>
      <c r="C3" s="12">
        <v>0</v>
      </c>
      <c r="D3" s="12">
        <f>ROUND(D11+D12+D15+D16+D17+D13+D14,2)</f>
        <v>30.57</v>
      </c>
      <c r="E3" s="13">
        <f>ROUND(C5+D5,2)</f>
        <v>70.2</v>
      </c>
      <c r="F3" s="143" t="s">
        <v>192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39.63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70.2</v>
      </c>
      <c r="E5" s="13"/>
      <c r="F5" s="144"/>
      <c r="I5" t="str">
        <f>ROUND(E7/90284.4*100,2)&amp;"%"</f>
        <v>14.88%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1340.258</v>
      </c>
      <c r="E6" s="8">
        <f>ROUND(C6+D6,2)</f>
        <v>1340.26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7432.18</v>
      </c>
      <c r="E7" s="8">
        <f>ROUND(C7+D7,2)</f>
        <v>13432.96</v>
      </c>
      <c r="F7" s="144"/>
      <c r="H7" s="180">
        <v>10165.33</v>
      </c>
      <c r="I7"/>
      <c r="J7">
        <f>E7-H7</f>
        <v>3267.63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44575</v>
      </c>
      <c r="B11" s="133" t="s">
        <v>172</v>
      </c>
      <c r="C11" s="33">
        <v>0</v>
      </c>
      <c r="D11" s="8">
        <v>0</v>
      </c>
      <c r="E11" s="33">
        <v>3</v>
      </c>
      <c r="F11" s="8">
        <v>23.1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30.57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3</v>
      </c>
      <c r="F13" s="8">
        <v>0.486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0</v>
      </c>
      <c r="D14" s="8">
        <v>0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30.57</v>
      </c>
      <c r="D18" s="134"/>
      <c r="E18" s="25">
        <f>ROUND(F11+F12+F15+F16+F17+F13+F14,2)</f>
        <v>39.63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70.2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284</v>
      </c>
      <c r="D29" s="132" t="s">
        <v>75</v>
      </c>
      <c r="E29" s="12">
        <f>C39+D39</f>
        <v>220</v>
      </c>
      <c r="F29" s="12"/>
    </row>
    <row r="30" spans="1:6">
      <c r="A30" s="35"/>
      <c r="B30" s="132" t="s">
        <v>76</v>
      </c>
      <c r="C30" s="12">
        <f>E38+F38</f>
        <v>421</v>
      </c>
      <c r="D30" s="132" t="s">
        <v>77</v>
      </c>
      <c r="E30" s="12">
        <f>E39+F39</f>
        <v>354</v>
      </c>
      <c r="F30" s="12"/>
    </row>
    <row r="31" spans="1:6">
      <c r="A31" s="35"/>
      <c r="B31" s="132" t="s">
        <v>78</v>
      </c>
      <c r="C31" s="12">
        <f>C32-C29-C30</f>
        <v>5075</v>
      </c>
      <c r="D31" s="132" t="s">
        <v>79</v>
      </c>
      <c r="E31" s="12">
        <f>E32-E29-E30</f>
        <v>5206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44566</v>
      </c>
      <c r="B36" s="168">
        <v>101.62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44567</v>
      </c>
      <c r="B37" s="168">
        <v>84.08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44568</v>
      </c>
      <c r="B38" s="168">
        <v>101.35</v>
      </c>
      <c r="C38" s="33">
        <v>176</v>
      </c>
      <c r="D38" s="33">
        <v>108</v>
      </c>
      <c r="E38" s="33">
        <v>359</v>
      </c>
      <c r="F38" s="33">
        <v>62</v>
      </c>
      <c r="I38" s="3">
        <v>135185</v>
      </c>
      <c r="N38" s="4"/>
    </row>
    <row r="39" ht="15.6" spans="1:14">
      <c r="A39" s="53">
        <v>44569</v>
      </c>
      <c r="B39" s="168">
        <v>136.25</v>
      </c>
      <c r="C39" s="169">
        <v>130</v>
      </c>
      <c r="D39" s="169">
        <v>90</v>
      </c>
      <c r="E39" s="169">
        <v>325</v>
      </c>
      <c r="F39" s="169">
        <v>29</v>
      </c>
      <c r="I39" s="3">
        <v>67098.02</v>
      </c>
      <c r="N39" s="4"/>
    </row>
    <row r="40" ht="15.6" spans="1:14">
      <c r="A40" s="53">
        <v>44570</v>
      </c>
      <c r="B40" s="168">
        <v>95.17</v>
      </c>
      <c r="C40" s="33" t="s">
        <v>182</v>
      </c>
      <c r="D40" s="33">
        <f>C38+D38+E38+F38</f>
        <v>705</v>
      </c>
      <c r="E40" s="169" t="s">
        <v>69</v>
      </c>
      <c r="F40" s="169">
        <f>C39+D39+E39+F39</f>
        <v>574</v>
      </c>
      <c r="I40" s="3">
        <v>405202.2</v>
      </c>
      <c r="N40" s="4"/>
    </row>
    <row r="41" ht="15.6" spans="1:14">
      <c r="A41" s="53">
        <v>44571</v>
      </c>
      <c r="B41" s="168">
        <v>99.87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44572</v>
      </c>
      <c r="B42" s="168">
        <v>97.56</v>
      </c>
      <c r="C42" s="170" t="s">
        <v>108</v>
      </c>
      <c r="D42" s="171"/>
      <c r="E42" s="20">
        <f>C50</f>
        <v>0</v>
      </c>
      <c r="F42" s="20">
        <v>1606</v>
      </c>
      <c r="I42" s="3" t="str">
        <f>ROUND(D40/I36*100,2)&amp;"%"</f>
        <v>11.92%</v>
      </c>
      <c r="N42" s="4"/>
    </row>
    <row r="43" ht="15.6" spans="1:14">
      <c r="A43" s="53">
        <v>44573</v>
      </c>
      <c r="B43" s="168">
        <v>77.35</v>
      </c>
      <c r="C43" s="170" t="s">
        <v>109</v>
      </c>
      <c r="D43" s="171"/>
      <c r="E43" s="20">
        <f>C49</f>
        <v>0</v>
      </c>
      <c r="F43" s="20">
        <v>2357.24</v>
      </c>
      <c r="I43" s="3" t="str">
        <f>ROUND(F40/I37*100,2)&amp;"%"</f>
        <v>9.71%</v>
      </c>
      <c r="N43" s="4"/>
    </row>
    <row r="44" ht="15.6" spans="1:14">
      <c r="A44" s="53">
        <v>44574</v>
      </c>
      <c r="B44" s="168">
        <v>79.04</v>
      </c>
      <c r="C44" s="170" t="s">
        <v>99</v>
      </c>
      <c r="D44" s="172"/>
      <c r="E44" s="20">
        <f>C48</f>
        <v>0</v>
      </c>
      <c r="F44" s="20">
        <v>8545</v>
      </c>
      <c r="I44" s="3" t="str">
        <f>ROUND(F44/I38*100,2)&amp;"%"</f>
        <v>6.32%</v>
      </c>
      <c r="N44" s="4"/>
    </row>
    <row r="45" ht="15.6" spans="1:14">
      <c r="A45" s="53">
        <v>44575</v>
      </c>
      <c r="B45" s="168">
        <v>70.2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3</v>
      </c>
      <c r="F46" s="79">
        <f>E12</f>
        <v>1</v>
      </c>
      <c r="I46" s="3" t="str">
        <f>ROUND(F42/I40*100,2)&amp;"%"</f>
        <v>0.4%</v>
      </c>
    </row>
    <row r="47" spans="1:6">
      <c r="A47" s="151"/>
      <c r="B47" s="79" t="s">
        <v>111</v>
      </c>
      <c r="C47" s="79">
        <v>0</v>
      </c>
      <c r="D47" s="79">
        <v>0</v>
      </c>
      <c r="E47" s="79">
        <v>3</v>
      </c>
      <c r="F47" s="79">
        <v>3</v>
      </c>
    </row>
    <row r="48" spans="1:6">
      <c r="A48" s="151"/>
      <c r="B48" s="79" t="s">
        <v>112</v>
      </c>
      <c r="C48" s="79">
        <v>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2022年01月14日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14日自年初完成产值1340.26万元，自开工累计完成产值13432.96万元，自开工占总产值90284.4万元的14.88%，100章临建完成6000.78万元，400章桥梁完成7432.18万元。已完成梁片预制705片，占设计量的11.92%；梁片安装574片，占设计量的9.71%；湿接缝8545米，占设计量的6.32%；防撞护栏2357.24米，占设计量的3.51%；桥面铺装1606平米，占设计量的0.4%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L7" sqref="L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9.44444444444444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44576</v>
      </c>
      <c r="B3" s="12" t="s">
        <v>7</v>
      </c>
      <c r="C3" s="12">
        <v>0</v>
      </c>
      <c r="D3" s="12">
        <f>ROUND(D11+D12+D15+D16+D17+D13+D14,2)</f>
        <v>46.92</v>
      </c>
      <c r="E3" s="13">
        <f>ROUND(C5+D5,2)</f>
        <v>101.47</v>
      </c>
      <c r="F3" s="143" t="s">
        <v>193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54.55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101.47</v>
      </c>
      <c r="E5" s="13"/>
      <c r="F5" s="144"/>
      <c r="I5" t="str">
        <f>ROUND(E7/90284.4*100,2)&amp;"%"</f>
        <v>14.99%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1441.728</v>
      </c>
      <c r="E6" s="8">
        <f>ROUND(C6+D6,2)</f>
        <v>1441.73</v>
      </c>
      <c r="F6" s="144"/>
      <c r="H6" s="177"/>
      <c r="I6" s="177"/>
      <c r="J6" s="181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7533.65</v>
      </c>
      <c r="E7" s="8">
        <f>ROUND(C7+D7,2)</f>
        <v>13534.43</v>
      </c>
      <c r="F7" s="144"/>
      <c r="G7"/>
      <c r="H7" s="180">
        <v>10165.33</v>
      </c>
      <c r="I7"/>
      <c r="J7">
        <f>E7-H7</f>
        <v>3369.1</v>
      </c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44576</v>
      </c>
      <c r="B11" s="133" t="s">
        <v>172</v>
      </c>
      <c r="C11" s="33">
        <v>0</v>
      </c>
      <c r="D11" s="8">
        <v>0</v>
      </c>
      <c r="E11" s="33">
        <v>4</v>
      </c>
      <c r="F11" s="8">
        <v>30.92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30.55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2</v>
      </c>
      <c r="F13" s="8">
        <v>0.324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3</v>
      </c>
      <c r="D14" s="8">
        <v>0.756</v>
      </c>
      <c r="E14" s="33">
        <v>1</v>
      </c>
      <c r="F14" s="8">
        <v>0.252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0</v>
      </c>
      <c r="D15" s="8">
        <v>0</v>
      </c>
      <c r="E15" s="33">
        <v>225</v>
      </c>
      <c r="F15" s="8">
        <v>7.77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1606</v>
      </c>
      <c r="D17" s="8">
        <v>15.61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46.92</v>
      </c>
      <c r="D18" s="134"/>
      <c r="E18" s="25">
        <f>ROUND(F11+F12+F15+F16+F17+F13+F14,2)</f>
        <v>54.55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101.47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286</v>
      </c>
      <c r="D29" s="132" t="s">
        <v>75</v>
      </c>
      <c r="E29" s="12">
        <f>C39+D39</f>
        <v>223</v>
      </c>
      <c r="F29" s="12"/>
    </row>
    <row r="30" spans="1:6">
      <c r="A30" s="35"/>
      <c r="B30" s="132" t="s">
        <v>76</v>
      </c>
      <c r="C30" s="12">
        <f>E38+F38</f>
        <v>426</v>
      </c>
      <c r="D30" s="132" t="s">
        <v>77</v>
      </c>
      <c r="E30" s="12">
        <f>E39+F39</f>
        <v>357</v>
      </c>
      <c r="F30" s="12"/>
    </row>
    <row r="31" spans="1:6">
      <c r="A31" s="35"/>
      <c r="B31" s="132" t="s">
        <v>78</v>
      </c>
      <c r="C31" s="12">
        <f>C32-C29-C30</f>
        <v>5068</v>
      </c>
      <c r="D31" s="132" t="s">
        <v>79</v>
      </c>
      <c r="E31" s="12">
        <f>E32-E29-E30</f>
        <v>5200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44567</v>
      </c>
      <c r="B36" s="168">
        <v>84.08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44568</v>
      </c>
      <c r="B37" s="168">
        <v>101.35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44569</v>
      </c>
      <c r="B38" s="168">
        <v>136.25</v>
      </c>
      <c r="C38" s="33">
        <v>176</v>
      </c>
      <c r="D38" s="33">
        <v>110</v>
      </c>
      <c r="E38" s="33">
        <v>363</v>
      </c>
      <c r="F38" s="33">
        <v>63</v>
      </c>
      <c r="I38" s="3">
        <v>135185</v>
      </c>
      <c r="N38" s="4"/>
    </row>
    <row r="39" ht="15.6" spans="1:14">
      <c r="A39" s="53">
        <v>44570</v>
      </c>
      <c r="B39" s="168">
        <v>95.17</v>
      </c>
      <c r="C39" s="169">
        <v>130</v>
      </c>
      <c r="D39" s="169">
        <v>93</v>
      </c>
      <c r="E39" s="169">
        <v>327</v>
      </c>
      <c r="F39" s="169">
        <v>30</v>
      </c>
      <c r="I39" s="3">
        <v>67098.02</v>
      </c>
      <c r="N39" s="4"/>
    </row>
    <row r="40" ht="15.6" spans="1:14">
      <c r="A40" s="53">
        <v>44571</v>
      </c>
      <c r="B40" s="168">
        <v>99.87</v>
      </c>
      <c r="C40" s="33" t="s">
        <v>182</v>
      </c>
      <c r="D40" s="33">
        <f>C38+D38+E38+F38</f>
        <v>712</v>
      </c>
      <c r="E40" s="169" t="s">
        <v>69</v>
      </c>
      <c r="F40" s="169">
        <f>C39+D39+E39+F39</f>
        <v>580</v>
      </c>
      <c r="I40" s="3">
        <v>405202.2</v>
      </c>
      <c r="N40" s="4"/>
    </row>
    <row r="41" ht="15.6" spans="1:14">
      <c r="A41" s="53">
        <v>44572</v>
      </c>
      <c r="B41" s="168">
        <v>97.56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44573</v>
      </c>
      <c r="B42" s="168">
        <v>77.35</v>
      </c>
      <c r="C42" s="170" t="s">
        <v>108</v>
      </c>
      <c r="D42" s="171"/>
      <c r="E42" s="20">
        <f>C50</f>
        <v>1606</v>
      </c>
      <c r="F42" s="20">
        <v>3212</v>
      </c>
      <c r="I42" s="3" t="str">
        <f>ROUND(D40/I36*100,2)&amp;"%"</f>
        <v>12.04%</v>
      </c>
      <c r="N42" s="4"/>
    </row>
    <row r="43" ht="15.6" spans="1:14">
      <c r="A43" s="53">
        <v>44574</v>
      </c>
      <c r="B43" s="168">
        <v>79.04</v>
      </c>
      <c r="C43" s="170" t="s">
        <v>109</v>
      </c>
      <c r="D43" s="171"/>
      <c r="E43" s="20">
        <f>C49</f>
        <v>0</v>
      </c>
      <c r="F43" s="20">
        <v>2357.24</v>
      </c>
      <c r="I43" s="3" t="str">
        <f>ROUND(F40/I37*100,2)&amp;"%"</f>
        <v>9.81%</v>
      </c>
      <c r="N43" s="4"/>
    </row>
    <row r="44" ht="15.6" spans="1:14">
      <c r="A44" s="53">
        <v>44575</v>
      </c>
      <c r="B44" s="168">
        <v>70.2</v>
      </c>
      <c r="C44" s="170" t="s">
        <v>99</v>
      </c>
      <c r="D44" s="172"/>
      <c r="E44" s="20">
        <f>C48</f>
        <v>225</v>
      </c>
      <c r="F44" s="20">
        <v>8770</v>
      </c>
      <c r="I44" s="3" t="str">
        <f>ROUND(F44/I38*100,2)&amp;"%"</f>
        <v>6.49%</v>
      </c>
      <c r="N44" s="4"/>
    </row>
    <row r="45" ht="15.6" spans="1:14">
      <c r="A45" s="53">
        <v>44576</v>
      </c>
      <c r="B45" s="168">
        <v>101.47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1</v>
      </c>
      <c r="I46" s="3" t="str">
        <f>ROUND(F42/I40*100,2)&amp;"%"</f>
        <v>0.79%</v>
      </c>
    </row>
    <row r="47" spans="1:6">
      <c r="A47" s="151"/>
      <c r="B47" s="79" t="s">
        <v>111</v>
      </c>
      <c r="C47" s="79">
        <v>0</v>
      </c>
      <c r="D47" s="79">
        <v>3</v>
      </c>
      <c r="E47" s="79">
        <v>2</v>
      </c>
      <c r="F47" s="79">
        <v>1</v>
      </c>
    </row>
    <row r="48" spans="1:6">
      <c r="A48" s="151"/>
      <c r="B48" s="79" t="s">
        <v>112</v>
      </c>
      <c r="C48" s="79">
        <v>225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2022年01月15日</v>
      </c>
    </row>
    <row r="50" spans="1:6">
      <c r="A50" s="152"/>
      <c r="B50" s="79" t="s">
        <v>114</v>
      </c>
      <c r="C50" s="148">
        <v>1606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15日自年初完成产值1441.73万元，自开工累计完成产值13534.43万元，自开工占总产值90284.4万元的14.99%，100章临建完成6000.78万元，400章桥梁完成7533.65万元。已完成梁片预制712片，占设计量的12.04%；梁片安装580片，占设计量的9.81%；湿接缝8770米，占设计量的6.49%；防撞护栏2357.24米，占设计量的3.51%；桥面铺装3212平米，占设计量的0.79%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44577</v>
      </c>
      <c r="B3" s="12" t="s">
        <v>7</v>
      </c>
      <c r="C3" s="12">
        <v>0</v>
      </c>
      <c r="D3" s="12">
        <f>ROUND(D11+D12+D15+D16+D17+D13+D14,2)</f>
        <v>31.07</v>
      </c>
      <c r="E3" s="13">
        <f>ROUND(C5+D5,2)</f>
        <v>87.24</v>
      </c>
      <c r="F3" s="143" t="s">
        <v>194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56.17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87.24</v>
      </c>
      <c r="E5" s="13"/>
      <c r="F5" s="144"/>
      <c r="I5" t="str">
        <f>ROUND(E7/90284.4*100,2)&amp;"%"</f>
        <v>15.09%</v>
      </c>
      <c r="J5"/>
      <c r="K5" s="3"/>
      <c r="L5" s="3"/>
    </row>
    <row r="6" ht="70.05" customHeight="1" spans="1:12">
      <c r="A6" s="132"/>
      <c r="B6" s="8" t="s">
        <v>11</v>
      </c>
      <c r="C6" s="20">
        <v>0</v>
      </c>
      <c r="D6" s="20">
        <v>1528.968</v>
      </c>
      <c r="E6" s="8">
        <f>ROUND(C6+D6,2)</f>
        <v>1528.97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7620.89</v>
      </c>
      <c r="E7" s="8">
        <f>ROUND(C7+D7,2)</f>
        <v>13621.67</v>
      </c>
      <c r="F7" s="144"/>
      <c r="I7"/>
      <c r="J7"/>
      <c r="K7" s="3"/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44577</v>
      </c>
      <c r="B11" s="133" t="s">
        <v>172</v>
      </c>
      <c r="C11" s="33">
        <v>0</v>
      </c>
      <c r="D11" s="8">
        <v>0</v>
      </c>
      <c r="E11" s="33">
        <v>4</v>
      </c>
      <c r="F11" s="8">
        <v>30.73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30.57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1</v>
      </c>
      <c r="F13" s="8">
        <v>0.162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2</v>
      </c>
      <c r="D14" s="8">
        <v>0.504</v>
      </c>
      <c r="E14" s="33">
        <v>2</v>
      </c>
      <c r="F14" s="8">
        <v>0.504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0</v>
      </c>
      <c r="D15" s="8">
        <v>0</v>
      </c>
      <c r="E15" s="33">
        <v>275</v>
      </c>
      <c r="F15" s="8">
        <v>9.49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31.07</v>
      </c>
      <c r="D18" s="134"/>
      <c r="E18" s="25">
        <f>ROUND(F11+F12+F15+F16+F17+F13+F14,2)</f>
        <v>56.17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87.24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288</v>
      </c>
      <c r="D29" s="132" t="s">
        <v>75</v>
      </c>
      <c r="E29" s="12">
        <f>C39+D39</f>
        <v>225</v>
      </c>
      <c r="F29" s="12"/>
    </row>
    <row r="30" spans="1:6">
      <c r="A30" s="35"/>
      <c r="B30" s="132" t="s">
        <v>76</v>
      </c>
      <c r="C30" s="12">
        <f>E38+F38</f>
        <v>431</v>
      </c>
      <c r="D30" s="132" t="s">
        <v>77</v>
      </c>
      <c r="E30" s="12">
        <f>E39+F39</f>
        <v>360</v>
      </c>
      <c r="F30" s="12"/>
    </row>
    <row r="31" spans="1:6">
      <c r="A31" s="35"/>
      <c r="B31" s="132" t="s">
        <v>78</v>
      </c>
      <c r="C31" s="12">
        <f>C32-C29-C30</f>
        <v>5061</v>
      </c>
      <c r="D31" s="132" t="s">
        <v>79</v>
      </c>
      <c r="E31" s="12">
        <f>E32-E29-E30</f>
        <v>5195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44568</v>
      </c>
      <c r="B36" s="168">
        <v>101.35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44569</v>
      </c>
      <c r="B37" s="168">
        <v>136.25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44570</v>
      </c>
      <c r="B38" s="168">
        <v>95.17</v>
      </c>
      <c r="C38" s="33">
        <v>176</v>
      </c>
      <c r="D38" s="33">
        <v>112</v>
      </c>
      <c r="E38" s="33">
        <v>367</v>
      </c>
      <c r="F38" s="33">
        <v>64</v>
      </c>
      <c r="I38" s="3">
        <v>135185</v>
      </c>
      <c r="N38" s="4"/>
    </row>
    <row r="39" ht="15.6" spans="1:14">
      <c r="A39" s="53">
        <v>44571</v>
      </c>
      <c r="B39" s="168">
        <v>99.87</v>
      </c>
      <c r="C39" s="169">
        <v>130</v>
      </c>
      <c r="D39" s="169">
        <v>95</v>
      </c>
      <c r="E39" s="169">
        <v>328</v>
      </c>
      <c r="F39" s="169">
        <v>32</v>
      </c>
      <c r="I39" s="3">
        <v>67098.02</v>
      </c>
      <c r="N39" s="4"/>
    </row>
    <row r="40" ht="15.6" spans="1:14">
      <c r="A40" s="53">
        <v>44572</v>
      </c>
      <c r="B40" s="168">
        <v>97.56</v>
      </c>
      <c r="C40" s="33" t="s">
        <v>182</v>
      </c>
      <c r="D40" s="33">
        <f>C38+D38+E38+F38</f>
        <v>719</v>
      </c>
      <c r="E40" s="169" t="s">
        <v>69</v>
      </c>
      <c r="F40" s="169">
        <f>C39+D39+E39+F39</f>
        <v>585</v>
      </c>
      <c r="I40" s="3">
        <v>405202.2</v>
      </c>
      <c r="N40" s="4"/>
    </row>
    <row r="41" ht="15.6" spans="1:14">
      <c r="A41" s="53">
        <v>44573</v>
      </c>
      <c r="B41" s="168">
        <v>77.35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44574</v>
      </c>
      <c r="B42" s="168">
        <v>79.04</v>
      </c>
      <c r="C42" s="170" t="s">
        <v>108</v>
      </c>
      <c r="D42" s="171"/>
      <c r="E42" s="20">
        <f>C50</f>
        <v>0</v>
      </c>
      <c r="F42" s="20">
        <v>3212</v>
      </c>
      <c r="I42" s="3" t="str">
        <f>ROUND(D40/I36*100,2)&amp;"%"</f>
        <v>12.16%</v>
      </c>
      <c r="N42" s="4"/>
    </row>
    <row r="43" ht="15.6" spans="1:14">
      <c r="A43" s="53">
        <v>44575</v>
      </c>
      <c r="B43" s="168">
        <v>70.2</v>
      </c>
      <c r="C43" s="170" t="s">
        <v>109</v>
      </c>
      <c r="D43" s="171"/>
      <c r="E43" s="20">
        <f>C49</f>
        <v>0</v>
      </c>
      <c r="F43" s="20">
        <v>2357.24</v>
      </c>
      <c r="I43" s="3" t="str">
        <f>ROUND(F40/I37*100,2)&amp;"%"</f>
        <v>9.89%</v>
      </c>
      <c r="N43" s="4"/>
    </row>
    <row r="44" ht="15.6" spans="1:14">
      <c r="A44" s="53">
        <v>44576</v>
      </c>
      <c r="B44" s="168">
        <v>101.47</v>
      </c>
      <c r="C44" s="170" t="s">
        <v>99</v>
      </c>
      <c r="D44" s="172"/>
      <c r="E44" s="20">
        <f>C48</f>
        <v>275</v>
      </c>
      <c r="F44" s="20">
        <v>9045</v>
      </c>
      <c r="I44" s="3" t="str">
        <f>ROUND(F44/I38*100,2)&amp;"%"</f>
        <v>6.69%</v>
      </c>
      <c r="N44" s="4"/>
    </row>
    <row r="45" ht="15.6" spans="1:14">
      <c r="A45" s="53">
        <v>44577</v>
      </c>
      <c r="B45" s="168">
        <v>87.24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3.51%</v>
      </c>
      <c r="N45" s="4"/>
    </row>
    <row r="46" spans="1:9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1</v>
      </c>
      <c r="I46" s="3" t="str">
        <f>ROUND(F42/I40*100,2)&amp;"%"</f>
        <v>0.79%</v>
      </c>
    </row>
    <row r="47" spans="1:6">
      <c r="A47" s="151"/>
      <c r="B47" s="79" t="s">
        <v>111</v>
      </c>
      <c r="C47" s="79">
        <v>0</v>
      </c>
      <c r="D47" s="79">
        <v>2</v>
      </c>
      <c r="E47" s="79">
        <v>1</v>
      </c>
      <c r="F47" s="79">
        <v>2</v>
      </c>
    </row>
    <row r="48" spans="1:6">
      <c r="A48" s="151"/>
      <c r="B48" s="79" t="s">
        <v>112</v>
      </c>
      <c r="C48" s="79">
        <v>275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2022年01月16日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16日自年初完成产值1528.97万元，自开工累计完成产值13621.67万元，自开工占总产值90284.4万元的15.09%，100章临建完成6000.78万元，400章桥梁完成7620.89万元。已完成梁片预制719片，占设计量的12.16%；梁片安装585片，占设计量的9.89%；湿接缝9045米，占设计量的6.69%；防撞护栏2357.24米，占设计量的3.51%；桥面铺装3212平米，占设计量的0.79%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workbookViewId="0">
      <selection activeCell="J11" sqref="J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187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44578</v>
      </c>
      <c r="B3" s="12" t="s">
        <v>7</v>
      </c>
      <c r="C3" s="12">
        <v>0</v>
      </c>
      <c r="D3" s="12">
        <f>ROUND(D11+D12+D15+D16+D17+D13+D14,2)</f>
        <v>86.81</v>
      </c>
      <c r="E3" s="13">
        <f>ROUND(C5+D5,2)</f>
        <v>117.91</v>
      </c>
      <c r="F3" s="143" t="s">
        <v>195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31.1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117.91</v>
      </c>
      <c r="E5" s="13"/>
      <c r="F5" s="144"/>
      <c r="I5" t="str">
        <f>ROUND(E7/90284.4*100,2)&amp;"%"</f>
        <v>15.22%</v>
      </c>
      <c r="K5"/>
      <c r="L5" s="3"/>
    </row>
    <row r="6" ht="70.05" customHeight="1" spans="1:12">
      <c r="A6" s="132"/>
      <c r="B6" s="8" t="s">
        <v>11</v>
      </c>
      <c r="C6" s="20">
        <v>0</v>
      </c>
      <c r="D6" s="20">
        <v>1646.878</v>
      </c>
      <c r="E6" s="8">
        <f>ROUND(C6+D6,2)</f>
        <v>1646.88</v>
      </c>
      <c r="F6" s="144"/>
      <c r="I6"/>
      <c r="J6" s="178" t="s">
        <v>196</v>
      </c>
      <c r="K6" s="35" t="s">
        <v>197</v>
      </c>
      <c r="L6" s="3"/>
    </row>
    <row r="7" ht="70.05" customHeight="1" spans="1:12">
      <c r="A7" s="132"/>
      <c r="B7" s="8" t="s">
        <v>12</v>
      </c>
      <c r="C7" s="20">
        <v>6000.78</v>
      </c>
      <c r="D7" s="20">
        <v>7738.8</v>
      </c>
      <c r="E7" s="8">
        <f>ROUND(C7+D7,2)</f>
        <v>13739.58</v>
      </c>
      <c r="F7" s="144"/>
      <c r="G7" s="177"/>
      <c r="I7"/>
      <c r="J7" s="95">
        <v>13534.43</v>
      </c>
      <c r="K7" s="48">
        <f>E7-J7</f>
        <v>205.15</v>
      </c>
      <c r="L7" s="3"/>
    </row>
    <row r="8" ht="30" customHeight="1" spans="1:13">
      <c r="A8" s="6" t="s">
        <v>13</v>
      </c>
      <c r="B8" s="23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44578</v>
      </c>
      <c r="B11" s="133" t="s">
        <v>172</v>
      </c>
      <c r="C11" s="33">
        <v>0</v>
      </c>
      <c r="D11" s="8">
        <v>0</v>
      </c>
      <c r="E11" s="33">
        <v>4</v>
      </c>
      <c r="F11" s="8">
        <v>31.1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30.57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5</v>
      </c>
      <c r="D14" s="8">
        <v>1.26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320</v>
      </c>
      <c r="D15" s="8">
        <v>13.17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390.4</v>
      </c>
      <c r="D16" s="8">
        <v>41.81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ROUND(D11+D12+D15+D16+D17+D13+D14,2)</f>
        <v>86.81</v>
      </c>
      <c r="D18" s="134"/>
      <c r="E18" s="25">
        <f>ROUND(F11+F12+F15+F16+F17+F13+F14,2)</f>
        <v>31.1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117.91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290</v>
      </c>
      <c r="D29" s="132" t="s">
        <v>75</v>
      </c>
      <c r="E29" s="12">
        <f>C39+D39</f>
        <v>230</v>
      </c>
      <c r="F29" s="12"/>
    </row>
    <row r="30" spans="1:6">
      <c r="A30" s="35"/>
      <c r="B30" s="132" t="s">
        <v>76</v>
      </c>
      <c r="C30" s="12">
        <f>E38+F38</f>
        <v>435</v>
      </c>
      <c r="D30" s="132" t="s">
        <v>77</v>
      </c>
      <c r="E30" s="12">
        <f>E39+F39</f>
        <v>360</v>
      </c>
      <c r="F30" s="12"/>
    </row>
    <row r="31" spans="1:6">
      <c r="A31" s="35"/>
      <c r="B31" s="132" t="s">
        <v>78</v>
      </c>
      <c r="C31" s="12">
        <f>C32-C29-C30</f>
        <v>5055</v>
      </c>
      <c r="D31" s="132" t="s">
        <v>79</v>
      </c>
      <c r="E31" s="12">
        <f>E32-E29-E30</f>
        <v>5190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181</v>
      </c>
      <c r="D35" s="12"/>
      <c r="E35" s="12"/>
      <c r="F35" s="12"/>
      <c r="N35" s="4"/>
    </row>
    <row r="36" ht="15.6" spans="1:14">
      <c r="A36" s="53">
        <v>44569</v>
      </c>
      <c r="B36" s="168">
        <v>136.25</v>
      </c>
      <c r="C36" s="28" t="s">
        <v>32</v>
      </c>
      <c r="D36" s="28"/>
      <c r="E36" s="28" t="s">
        <v>33</v>
      </c>
      <c r="F36" s="28"/>
      <c r="I36" s="3">
        <v>5913</v>
      </c>
      <c r="N36" s="4"/>
    </row>
    <row r="37" ht="15.6" spans="1:14">
      <c r="A37" s="53">
        <v>44570</v>
      </c>
      <c r="B37" s="168">
        <v>95.17</v>
      </c>
      <c r="C37" s="6" t="s">
        <v>14</v>
      </c>
      <c r="D37" s="6" t="s">
        <v>15</v>
      </c>
      <c r="E37" s="6" t="s">
        <v>14</v>
      </c>
      <c r="F37" s="6" t="s">
        <v>15</v>
      </c>
      <c r="I37" s="3">
        <v>5913</v>
      </c>
      <c r="N37" s="4"/>
    </row>
    <row r="38" ht="15.6" spans="1:14">
      <c r="A38" s="53">
        <v>44571</v>
      </c>
      <c r="B38" s="168">
        <v>99.87</v>
      </c>
      <c r="C38" s="33">
        <v>176</v>
      </c>
      <c r="D38" s="33">
        <v>114</v>
      </c>
      <c r="E38" s="33">
        <v>371</v>
      </c>
      <c r="F38" s="33">
        <v>64</v>
      </c>
      <c r="I38" s="3">
        <v>135185</v>
      </c>
      <c r="N38" s="4"/>
    </row>
    <row r="39" ht="15.6" spans="1:14">
      <c r="A39" s="53">
        <v>44572</v>
      </c>
      <c r="B39" s="168">
        <v>97.56</v>
      </c>
      <c r="C39" s="169">
        <v>130</v>
      </c>
      <c r="D39" s="169">
        <v>100</v>
      </c>
      <c r="E39" s="169">
        <v>328</v>
      </c>
      <c r="F39" s="169">
        <v>32</v>
      </c>
      <c r="I39" s="3">
        <v>67098.02</v>
      </c>
      <c r="N39" s="4"/>
    </row>
    <row r="40" ht="15.6" spans="1:14">
      <c r="A40" s="53">
        <v>44573</v>
      </c>
      <c r="B40" s="168">
        <v>77.35</v>
      </c>
      <c r="C40" s="33" t="s">
        <v>182</v>
      </c>
      <c r="D40" s="33">
        <f>C38+D38+E38+F38</f>
        <v>725</v>
      </c>
      <c r="E40" s="169" t="s">
        <v>69</v>
      </c>
      <c r="F40" s="169">
        <f>C39+D39+E39+F39</f>
        <v>590</v>
      </c>
      <c r="I40" s="3">
        <v>405202.2</v>
      </c>
      <c r="N40" s="4"/>
    </row>
    <row r="41" ht="15.6" spans="1:14">
      <c r="A41" s="53">
        <v>44574</v>
      </c>
      <c r="B41" s="168">
        <v>79.04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44575</v>
      </c>
      <c r="B42" s="168">
        <v>70.2</v>
      </c>
      <c r="C42" s="170" t="s">
        <v>108</v>
      </c>
      <c r="D42" s="171"/>
      <c r="E42" s="20">
        <f>C50</f>
        <v>0</v>
      </c>
      <c r="F42" s="20">
        <v>3212</v>
      </c>
      <c r="I42" s="3" t="str">
        <f>ROUND(D40/I36*100,2)&amp;"%"</f>
        <v>12.26%</v>
      </c>
      <c r="N42" s="4"/>
    </row>
    <row r="43" ht="15.6" spans="1:14">
      <c r="A43" s="53">
        <v>44576</v>
      </c>
      <c r="B43" s="168">
        <v>101.47</v>
      </c>
      <c r="C43" s="170" t="s">
        <v>109</v>
      </c>
      <c r="D43" s="171"/>
      <c r="E43" s="20">
        <f>C49</f>
        <v>390.4</v>
      </c>
      <c r="F43" s="20">
        <v>2747.64</v>
      </c>
      <c r="I43" s="3" t="str">
        <f>ROUND(F40/I37*100,2)&amp;"%"</f>
        <v>9.98%</v>
      </c>
      <c r="N43" s="4"/>
    </row>
    <row r="44" ht="15.6" spans="1:14">
      <c r="A44" s="53">
        <v>44577</v>
      </c>
      <c r="B44" s="168">
        <v>87.24</v>
      </c>
      <c r="C44" s="170" t="s">
        <v>99</v>
      </c>
      <c r="D44" s="172"/>
      <c r="E44" s="20">
        <f>C48</f>
        <v>320</v>
      </c>
      <c r="F44" s="20">
        <v>9365</v>
      </c>
      <c r="I44" s="3" t="str">
        <f>ROUND(F44/I38*100,2)&amp;"%"</f>
        <v>6.93%</v>
      </c>
      <c r="N44" s="4"/>
    </row>
    <row r="45" ht="15.6" spans="1:14">
      <c r="A45" s="53">
        <v>44578</v>
      </c>
      <c r="B45" s="168">
        <v>117.91</v>
      </c>
      <c r="C45" s="32" t="s">
        <v>100</v>
      </c>
      <c r="D45" s="32"/>
      <c r="E45" s="32">
        <v>0</v>
      </c>
      <c r="F45" s="32">
        <v>41682</v>
      </c>
      <c r="I45" s="3" t="str">
        <f>ROUND(F43/I39*100,2)&amp;"%"</f>
        <v>4.09%</v>
      </c>
      <c r="N45" s="4"/>
    </row>
    <row r="46" spans="1:9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4</v>
      </c>
      <c r="F46" s="79">
        <f>E12</f>
        <v>0</v>
      </c>
      <c r="I46" s="3" t="str">
        <f>ROUND(F42/I40*100,2)&amp;"%"</f>
        <v>0.79%</v>
      </c>
    </row>
    <row r="47" spans="1:6">
      <c r="A47" s="151"/>
      <c r="B47" s="79" t="s">
        <v>111</v>
      </c>
      <c r="C47" s="79">
        <v>0</v>
      </c>
      <c r="D47" s="79">
        <v>5</v>
      </c>
      <c r="E47" s="79">
        <v>0</v>
      </c>
      <c r="F47" s="79">
        <v>0</v>
      </c>
    </row>
    <row r="48" spans="1:6">
      <c r="A48" s="151"/>
      <c r="B48" s="79" t="s">
        <v>112</v>
      </c>
      <c r="C48" s="79">
        <v>320</v>
      </c>
      <c r="D48" s="79"/>
      <c r="E48" s="79"/>
      <c r="F48" s="79"/>
    </row>
    <row r="49" spans="1:9">
      <c r="A49" s="151"/>
      <c r="B49" s="79" t="s">
        <v>113</v>
      </c>
      <c r="C49" s="148">
        <v>390.4</v>
      </c>
      <c r="D49" s="149"/>
      <c r="E49" s="149"/>
      <c r="F49" s="150"/>
      <c r="I49" s="3" t="str">
        <f>TEXT(A3,"yyyy年mm月dd日")</f>
        <v>2022年01月17日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75" customHeight="1" spans="1:7">
      <c r="A51" s="82" t="str">
        <f>"ZCB1-19截止"&amp;I49&amp;"自年初完成产值"&amp;E6&amp;"万元，自开工累计完成产值"&amp;E7&amp;"万元，自开工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米，占设计量的"&amp;I45&amp;"；桥面铺装"&amp;F42&amp;"平米，占设计量的"&amp;I46&amp;"。"</f>
        <v>ZCB1-19截止2022年01月17日自年初完成产值1646.88万元，自开工累计完成产值13739.58万元，自开工占总产值90284.4万元的15.22%，100章临建完成6000.78万元，400章桥梁完成7738.8万元。已完成梁片预制725片，占设计量的12.26%；梁片安装590片，占设计量的9.98%；湿接缝9365米，占设计量的6.93%；防撞护栏2747.64米，占设计量的4.09%；桥面铺装3212平米，占设计量的0.79%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85" zoomScaleNormal="7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44579</v>
      </c>
      <c r="B3" s="12" t="s">
        <v>7</v>
      </c>
      <c r="C3" s="12">
        <v>0</v>
      </c>
      <c r="D3" s="12">
        <f>ROUND(D11+D12+D15+D16+D17+D13+D14,2)</f>
        <v>38.64</v>
      </c>
      <c r="E3" s="13">
        <f>ROUND(C5+D5,2)</f>
        <v>112.26</v>
      </c>
      <c r="F3" s="143" t="s">
        <v>198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73.62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112.26</v>
      </c>
      <c r="E5" s="13"/>
      <c r="F5" s="144"/>
      <c r="G5" s="18"/>
    </row>
    <row r="6" ht="70.05" customHeight="1" spans="1:10">
      <c r="A6" s="132"/>
      <c r="B6" s="8" t="s">
        <v>11</v>
      </c>
      <c r="C6" s="20">
        <v>0</v>
      </c>
      <c r="D6" s="20">
        <v>1759.138</v>
      </c>
      <c r="E6" s="8">
        <f>ROUND(C6+D6,2)</f>
        <v>1759.14</v>
      </c>
      <c r="F6" s="144"/>
      <c r="G6" s="18"/>
      <c r="J6"/>
    </row>
    <row r="7" ht="70.05" customHeight="1" spans="1:10">
      <c r="A7" s="132"/>
      <c r="B7" s="8" t="s">
        <v>12</v>
      </c>
      <c r="C7" s="20">
        <v>6000.78</v>
      </c>
      <c r="D7" s="20">
        <v>7851.06</v>
      </c>
      <c r="E7" s="8">
        <f>ROUND(C7+D7,2)</f>
        <v>13851.84</v>
      </c>
      <c r="F7" s="144"/>
      <c r="G7" s="18"/>
      <c r="H7" s="177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44579</v>
      </c>
      <c r="B11" s="133" t="s">
        <v>172</v>
      </c>
      <c r="C11" s="33">
        <v>1</v>
      </c>
      <c r="D11" s="8">
        <v>7.82</v>
      </c>
      <c r="E11" s="33">
        <v>5</v>
      </c>
      <c r="F11" s="8">
        <v>38.37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2</v>
      </c>
      <c r="D12" s="8">
        <v>30.57</v>
      </c>
      <c r="E12" s="33">
        <v>0</v>
      </c>
      <c r="F12" s="8">
        <v>0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54"/>
      <c r="I13" s="35">
        <f>E7</f>
        <v>13851.84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1</v>
      </c>
      <c r="D14" s="8">
        <v>0.252</v>
      </c>
      <c r="E14" s="33">
        <v>0</v>
      </c>
      <c r="F14" s="8">
        <v>0</v>
      </c>
      <c r="G14" s="10"/>
      <c r="H14" s="154"/>
      <c r="I14" s="48">
        <f>I13-P10</f>
        <v>317.41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>
        <v>0</v>
      </c>
      <c r="D15" s="8">
        <v>0</v>
      </c>
      <c r="E15" s="33">
        <v>300</v>
      </c>
      <c r="F15" s="8">
        <v>9.16</v>
      </c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>
        <v>0</v>
      </c>
      <c r="D16" s="8">
        <v>0</v>
      </c>
      <c r="E16" s="33">
        <v>205</v>
      </c>
      <c r="F16" s="8">
        <v>26.09</v>
      </c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38.64</v>
      </c>
      <c r="D18" s="134"/>
      <c r="E18" s="25">
        <f>ROUND(F11+F12+F15+F16+F17+F13+F14,2)</f>
        <v>73.62</v>
      </c>
      <c r="F18" s="134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112.26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35"/>
      <c r="D22" s="135"/>
      <c r="E22" s="135"/>
      <c r="F22" s="135"/>
      <c r="G22" s="41"/>
      <c r="H22"/>
      <c r="I22"/>
    </row>
    <row r="23" spans="1:9">
      <c r="A23" s="12"/>
      <c r="B23" s="12"/>
      <c r="C23" s="135"/>
      <c r="D23" s="135"/>
      <c r="E23" s="135"/>
      <c r="F23" s="135"/>
      <c r="G23" s="41"/>
      <c r="H23"/>
      <c r="I23"/>
    </row>
    <row r="24" spans="1:9">
      <c r="A24" s="12"/>
      <c r="B24" s="12"/>
      <c r="C24" s="135"/>
      <c r="D24" s="135"/>
      <c r="E24" s="135"/>
      <c r="F24" s="135"/>
      <c r="G24" s="41"/>
      <c r="H24"/>
      <c r="I24"/>
    </row>
    <row r="25" spans="1:9">
      <c r="A25" s="12"/>
      <c r="B25" s="12"/>
      <c r="C25" s="135"/>
      <c r="D25" s="135"/>
      <c r="E25" s="135"/>
      <c r="F25" s="135"/>
      <c r="G25" s="41"/>
      <c r="H25"/>
      <c r="I25"/>
    </row>
    <row r="26" spans="1:17">
      <c r="A26" s="12"/>
      <c r="B26" s="12"/>
      <c r="C26" s="135"/>
      <c r="D26" s="135"/>
      <c r="E26" s="135"/>
      <c r="F26" s="135"/>
      <c r="G26" s="41"/>
      <c r="H26"/>
      <c r="I26"/>
      <c r="Q26" s="1"/>
    </row>
    <row r="27" spans="1:9">
      <c r="A27" s="12"/>
      <c r="B27" s="12"/>
      <c r="C27" s="135"/>
      <c r="D27" s="135"/>
      <c r="E27" s="135"/>
      <c r="F27" s="135"/>
      <c r="G27" s="41"/>
      <c r="H27"/>
      <c r="I27"/>
    </row>
    <row r="28" spans="1:7">
      <c r="A28" s="35"/>
      <c r="B28" s="136" t="s">
        <v>135</v>
      </c>
      <c r="C28" s="137"/>
      <c r="D28" s="136" t="s">
        <v>136</v>
      </c>
      <c r="E28" s="138"/>
      <c r="F28" s="12"/>
      <c r="G28" s="38"/>
    </row>
    <row r="29" spans="1:7">
      <c r="A29" s="35"/>
      <c r="B29" s="132" t="s">
        <v>74</v>
      </c>
      <c r="C29" s="12">
        <f>C38+D38</f>
        <v>293</v>
      </c>
      <c r="D29" s="132" t="s">
        <v>75</v>
      </c>
      <c r="E29" s="12">
        <f>C39+D39</f>
        <v>231</v>
      </c>
      <c r="F29" s="12"/>
      <c r="G29" s="38"/>
    </row>
    <row r="30" spans="1:7">
      <c r="A30" s="35"/>
      <c r="B30" s="132" t="s">
        <v>76</v>
      </c>
      <c r="C30" s="12">
        <f>E38+F38</f>
        <v>440</v>
      </c>
      <c r="D30" s="132" t="s">
        <v>77</v>
      </c>
      <c r="E30" s="12">
        <f>E39+F39</f>
        <v>360</v>
      </c>
      <c r="F30" s="12"/>
      <c r="G30" s="38"/>
    </row>
    <row r="31" spans="1:7">
      <c r="A31" s="35"/>
      <c r="B31" s="132" t="s">
        <v>78</v>
      </c>
      <c r="C31" s="12">
        <f>C32-C29-C30</f>
        <v>5047</v>
      </c>
      <c r="D31" s="132" t="s">
        <v>79</v>
      </c>
      <c r="E31" s="12">
        <f>E32-E29-E30</f>
        <v>5189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44570</v>
      </c>
      <c r="B36" s="168">
        <v>95.17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44571</v>
      </c>
      <c r="B37" s="168">
        <v>99.87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44572</v>
      </c>
      <c r="B38" s="168">
        <v>97.56</v>
      </c>
      <c r="C38" s="33">
        <v>177</v>
      </c>
      <c r="D38" s="33">
        <v>116</v>
      </c>
      <c r="E38" s="33">
        <v>376</v>
      </c>
      <c r="F38" s="33">
        <v>64</v>
      </c>
      <c r="G38" s="59"/>
      <c r="U38" s="4"/>
    </row>
    <row r="39" ht="15.6" spans="1:21">
      <c r="A39" s="53">
        <v>44573</v>
      </c>
      <c r="B39" s="168">
        <v>77.35</v>
      </c>
      <c r="C39" s="169">
        <v>130</v>
      </c>
      <c r="D39" s="169">
        <v>101</v>
      </c>
      <c r="E39" s="169">
        <v>328</v>
      </c>
      <c r="F39" s="169">
        <v>32</v>
      </c>
      <c r="G39" s="61"/>
      <c r="U39" s="4"/>
    </row>
    <row r="40" ht="15.6" spans="1:21">
      <c r="A40" s="53">
        <v>44574</v>
      </c>
      <c r="B40" s="168">
        <v>79.04</v>
      </c>
      <c r="C40" s="33" t="s">
        <v>182</v>
      </c>
      <c r="D40" s="33">
        <f>C38+D38+E38+F38</f>
        <v>733</v>
      </c>
      <c r="E40" s="169" t="s">
        <v>69</v>
      </c>
      <c r="F40" s="169">
        <f>C39+D39+E39+F39</f>
        <v>591</v>
      </c>
      <c r="G40" s="61"/>
      <c r="U40" s="4"/>
    </row>
    <row r="41" ht="15.6" spans="1:21">
      <c r="A41" s="53">
        <v>44575</v>
      </c>
      <c r="B41" s="168">
        <v>70.2</v>
      </c>
      <c r="C41" s="25" t="s">
        <v>106</v>
      </c>
      <c r="D41" s="134"/>
      <c r="E41" s="8" t="s">
        <v>97</v>
      </c>
      <c r="F41" s="8" t="s">
        <v>107</v>
      </c>
      <c r="G41" s="10"/>
      <c r="U41" s="4"/>
    </row>
    <row r="42" ht="15.6" spans="1:21">
      <c r="A42" s="53">
        <v>44576</v>
      </c>
      <c r="B42" s="168">
        <v>101.47</v>
      </c>
      <c r="C42" s="170" t="s">
        <v>108</v>
      </c>
      <c r="D42" s="171"/>
      <c r="E42" s="20">
        <f>C50</f>
        <v>0</v>
      </c>
      <c r="F42" s="20">
        <v>3212</v>
      </c>
      <c r="G42" s="73"/>
      <c r="H42" s="164" t="s">
        <v>225</v>
      </c>
      <c r="I42" s="165"/>
      <c r="J42" s="165"/>
      <c r="U42" s="4"/>
    </row>
    <row r="43" ht="15.6" spans="1:21">
      <c r="A43" s="53">
        <v>44577</v>
      </c>
      <c r="B43" s="168">
        <v>87.24</v>
      </c>
      <c r="C43" s="170" t="s">
        <v>109</v>
      </c>
      <c r="D43" s="171"/>
      <c r="E43" s="20">
        <f>C49</f>
        <v>205</v>
      </c>
      <c r="F43" s="20">
        <v>2952.64</v>
      </c>
      <c r="G43" s="73"/>
      <c r="H43" s="40" t="str">
        <f>"截止"&amp;TEXT(A3,"yyyy年mm月dd日")</f>
        <v>截止2022年01月18日</v>
      </c>
      <c r="I43" s="40"/>
      <c r="J43" s="40"/>
      <c r="U43" s="4"/>
    </row>
    <row r="44" ht="15.6" spans="1:21">
      <c r="A44" s="53">
        <v>44578</v>
      </c>
      <c r="B44" s="168">
        <v>117.91</v>
      </c>
      <c r="C44" s="170" t="s">
        <v>99</v>
      </c>
      <c r="D44" s="172"/>
      <c r="E44" s="20">
        <f>C48</f>
        <v>300</v>
      </c>
      <c r="F44" s="20">
        <v>9665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44579</v>
      </c>
      <c r="B45" s="168">
        <v>112.26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12.4%</v>
      </c>
      <c r="U45" s="4"/>
    </row>
    <row r="46" spans="1:10">
      <c r="A46" s="147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5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9.99%</v>
      </c>
    </row>
    <row r="47" spans="1:10">
      <c r="A47" s="151"/>
      <c r="B47" s="79" t="s">
        <v>111</v>
      </c>
      <c r="C47" s="79">
        <v>0</v>
      </c>
      <c r="D47" s="79">
        <v>1</v>
      </c>
      <c r="E47" s="79">
        <v>0</v>
      </c>
      <c r="F47" s="79">
        <v>0</v>
      </c>
      <c r="G47" s="76"/>
      <c r="H47" s="40" t="s">
        <v>228</v>
      </c>
      <c r="I47" s="35">
        <v>135185</v>
      </c>
      <c r="J47" s="35" t="str">
        <f>ROUND(F44/I47*100,2)&amp;"%"</f>
        <v>7.15%</v>
      </c>
    </row>
    <row r="48" spans="1:10">
      <c r="A48" s="151"/>
      <c r="B48" s="79" t="s">
        <v>112</v>
      </c>
      <c r="C48" s="79">
        <v>300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51"/>
      <c r="B49" s="79" t="s">
        <v>113</v>
      </c>
      <c r="C49" s="148">
        <v>205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52"/>
      <c r="B50" s="79" t="s">
        <v>114</v>
      </c>
      <c r="C50" s="148"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15.34%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18日自年初完成产值1759.14万元，自开工累计完成产值13851.84万元，自开工占总产值90284.4万元的15.34%，100章临建完成6000.78万元，400章桥梁完成7851.06万元。已完成梁片预制733片，占设计量的12.4%；梁片安装591片，占设计量的9.99%；湿接缝9665米，占设计量的7.15%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155</v>
      </c>
      <c r="B52" s="129"/>
      <c r="C52" s="129"/>
      <c r="D52" s="129"/>
      <c r="E52" s="129"/>
      <c r="F52" s="129"/>
      <c r="G52" s="129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ignoredErrors>
    <ignoredError sqref="D46:E46" formula="1"/>
  </ignoredErrors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85" zoomScaleNormal="7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44580</v>
      </c>
      <c r="B3" s="12" t="s">
        <v>7</v>
      </c>
      <c r="C3" s="12">
        <v>0</v>
      </c>
      <c r="D3" s="12">
        <f>ROUND(D11+D12+D15+D16+D17+D13+D14,2)</f>
        <v>39.38</v>
      </c>
      <c r="E3" s="13">
        <f>ROUND(C5+D5,2)</f>
        <v>73.57</v>
      </c>
      <c r="F3" s="143" t="s">
        <v>232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34.19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73.57</v>
      </c>
      <c r="E5" s="13"/>
      <c r="F5" s="144"/>
      <c r="G5" s="18"/>
    </row>
    <row r="6" ht="70.05" customHeight="1" spans="1:10">
      <c r="A6" s="132"/>
      <c r="B6" s="8" t="s">
        <v>11</v>
      </c>
      <c r="C6" s="20">
        <v>0</v>
      </c>
      <c r="D6" s="20">
        <v>1832.708</v>
      </c>
      <c r="E6" s="8">
        <f>ROUND(C6+D6,2)</f>
        <v>1832.71</v>
      </c>
      <c r="F6" s="144"/>
      <c r="G6" s="18"/>
      <c r="J6"/>
    </row>
    <row r="7" ht="70.05" customHeight="1" spans="1:10">
      <c r="A7" s="132"/>
      <c r="B7" s="8" t="s">
        <v>12</v>
      </c>
      <c r="C7" s="20">
        <v>6000.78</v>
      </c>
      <c r="D7" s="20">
        <v>7924.63</v>
      </c>
      <c r="E7" s="8">
        <f>ROUND(C7+D7,2)</f>
        <v>13925.41</v>
      </c>
      <c r="F7" s="144"/>
      <c r="G7" s="18"/>
      <c r="H7" s="177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44580</v>
      </c>
      <c r="B11" s="133" t="s">
        <v>172</v>
      </c>
      <c r="C11" s="33">
        <v>1</v>
      </c>
      <c r="D11" s="8">
        <v>7.82</v>
      </c>
      <c r="E11" s="33">
        <v>3</v>
      </c>
      <c r="F11" s="8">
        <v>23.28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2</v>
      </c>
      <c r="D12" s="8">
        <v>30.55</v>
      </c>
      <c r="E12" s="33">
        <v>0</v>
      </c>
      <c r="F12" s="8">
        <v>0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>
        <v>0</v>
      </c>
      <c r="E13" s="33">
        <v>1</v>
      </c>
      <c r="F13" s="8">
        <v>0.162</v>
      </c>
      <c r="G13" s="10"/>
      <c r="H13" s="154"/>
      <c r="I13" s="35">
        <f>E7</f>
        <v>13925.41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4</v>
      </c>
      <c r="D14" s="8">
        <v>1.008</v>
      </c>
      <c r="E14" s="33">
        <v>3</v>
      </c>
      <c r="F14" s="8">
        <v>0.756</v>
      </c>
      <c r="G14" s="10"/>
      <c r="H14" s="154"/>
      <c r="I14" s="48">
        <f>I13-P10</f>
        <v>390.98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>
        <v>0</v>
      </c>
      <c r="D15" s="8">
        <v>0</v>
      </c>
      <c r="E15" s="33">
        <v>300</v>
      </c>
      <c r="F15" s="8">
        <v>9.99</v>
      </c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39.38</v>
      </c>
      <c r="D18" s="134"/>
      <c r="E18" s="25">
        <f>ROUND(F11+F12+F15+F16+F17+F13+F14,2)</f>
        <v>34.19</v>
      </c>
      <c r="F18" s="134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73.57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35"/>
      <c r="D22" s="135"/>
      <c r="E22" s="135"/>
      <c r="F22" s="135"/>
      <c r="G22" s="41"/>
      <c r="H22"/>
      <c r="I22"/>
    </row>
    <row r="23" spans="1:9">
      <c r="A23" s="12"/>
      <c r="B23" s="12"/>
      <c r="C23" s="135"/>
      <c r="D23" s="135"/>
      <c r="E23" s="135"/>
      <c r="F23" s="135"/>
      <c r="G23" s="41"/>
      <c r="H23"/>
      <c r="I23"/>
    </row>
    <row r="24" spans="1:9">
      <c r="A24" s="12"/>
      <c r="B24" s="12"/>
      <c r="C24" s="135"/>
      <c r="D24" s="135"/>
      <c r="E24" s="135"/>
      <c r="F24" s="135"/>
      <c r="G24" s="41"/>
      <c r="H24"/>
      <c r="I24"/>
    </row>
    <row r="25" spans="1:9">
      <c r="A25" s="12"/>
      <c r="B25" s="12"/>
      <c r="C25" s="135"/>
      <c r="D25" s="135"/>
      <c r="E25" s="135"/>
      <c r="F25" s="135"/>
      <c r="G25" s="41"/>
      <c r="H25"/>
      <c r="I25"/>
    </row>
    <row r="26" spans="1:17">
      <c r="A26" s="12"/>
      <c r="B26" s="12"/>
      <c r="C26" s="135"/>
      <c r="D26" s="135"/>
      <c r="E26" s="135"/>
      <c r="F26" s="135"/>
      <c r="G26" s="41"/>
      <c r="H26"/>
      <c r="I26"/>
      <c r="Q26" s="1"/>
    </row>
    <row r="27" spans="1:9">
      <c r="A27" s="12"/>
      <c r="B27" s="12"/>
      <c r="C27" s="135"/>
      <c r="D27" s="135"/>
      <c r="E27" s="135"/>
      <c r="F27" s="135"/>
      <c r="G27" s="41"/>
      <c r="H27"/>
      <c r="I27"/>
    </row>
    <row r="28" spans="1:7">
      <c r="A28" s="35"/>
      <c r="B28" s="136" t="s">
        <v>135</v>
      </c>
      <c r="C28" s="137"/>
      <c r="D28" s="136" t="s">
        <v>136</v>
      </c>
      <c r="E28" s="138"/>
      <c r="F28" s="12"/>
      <c r="G28" s="38"/>
    </row>
    <row r="29" spans="1:7">
      <c r="A29" s="35"/>
      <c r="B29" s="132" t="s">
        <v>74</v>
      </c>
      <c r="C29" s="12">
        <f>C38+D38</f>
        <v>296</v>
      </c>
      <c r="D29" s="132" t="s">
        <v>75</v>
      </c>
      <c r="E29" s="12">
        <f>C39+D39</f>
        <v>235</v>
      </c>
      <c r="F29" s="12"/>
      <c r="G29" s="38"/>
    </row>
    <row r="30" spans="1:7">
      <c r="A30" s="35"/>
      <c r="B30" s="132" t="s">
        <v>76</v>
      </c>
      <c r="C30" s="12">
        <f>E38+F38</f>
        <v>443</v>
      </c>
      <c r="D30" s="132" t="s">
        <v>77</v>
      </c>
      <c r="E30" s="12">
        <f>E39+F39</f>
        <v>364</v>
      </c>
      <c r="F30" s="12"/>
      <c r="G30" s="38"/>
    </row>
    <row r="31" spans="1:7">
      <c r="A31" s="35"/>
      <c r="B31" s="132" t="s">
        <v>78</v>
      </c>
      <c r="C31" s="12">
        <f>C32-C29-C30</f>
        <v>5041</v>
      </c>
      <c r="D31" s="132" t="s">
        <v>79</v>
      </c>
      <c r="E31" s="12">
        <f>E32-E29-E30</f>
        <v>5181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44571</v>
      </c>
      <c r="B36" s="168">
        <v>99.87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44572</v>
      </c>
      <c r="B37" s="168">
        <v>97.56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44573</v>
      </c>
      <c r="B38" s="168">
        <v>77.35</v>
      </c>
      <c r="C38" s="33">
        <v>178</v>
      </c>
      <c r="D38" s="33">
        <v>118</v>
      </c>
      <c r="E38" s="33">
        <v>379</v>
      </c>
      <c r="F38" s="33">
        <v>64</v>
      </c>
      <c r="G38" s="59"/>
      <c r="U38" s="4"/>
    </row>
    <row r="39" ht="15.6" spans="1:21">
      <c r="A39" s="53">
        <v>44574</v>
      </c>
      <c r="B39" s="168">
        <v>79.04</v>
      </c>
      <c r="C39" s="169">
        <v>130</v>
      </c>
      <c r="D39" s="169">
        <v>105</v>
      </c>
      <c r="E39" s="169">
        <v>329</v>
      </c>
      <c r="F39" s="169">
        <v>35</v>
      </c>
      <c r="G39" s="61"/>
      <c r="U39" s="4"/>
    </row>
    <row r="40" ht="15.6" spans="1:21">
      <c r="A40" s="53">
        <v>44575</v>
      </c>
      <c r="B40" s="168">
        <v>70.2</v>
      </c>
      <c r="C40" s="33" t="s">
        <v>182</v>
      </c>
      <c r="D40" s="33">
        <f>C38+D38+E38+F38</f>
        <v>739</v>
      </c>
      <c r="E40" s="169" t="s">
        <v>69</v>
      </c>
      <c r="F40" s="169">
        <f>C39+D39+E39+F39</f>
        <v>599</v>
      </c>
      <c r="G40" s="61"/>
      <c r="U40" s="4"/>
    </row>
    <row r="41" ht="15.6" spans="1:21">
      <c r="A41" s="53">
        <v>44576</v>
      </c>
      <c r="B41" s="168">
        <v>101.47</v>
      </c>
      <c r="C41" s="25" t="s">
        <v>106</v>
      </c>
      <c r="D41" s="134"/>
      <c r="E41" s="8" t="s">
        <v>97</v>
      </c>
      <c r="F41" s="8" t="s">
        <v>107</v>
      </c>
      <c r="G41" s="10"/>
      <c r="U41" s="4"/>
    </row>
    <row r="42" ht="15.6" spans="1:21">
      <c r="A42" s="53">
        <v>44577</v>
      </c>
      <c r="B42" s="168">
        <v>87.24</v>
      </c>
      <c r="C42" s="170" t="s">
        <v>108</v>
      </c>
      <c r="D42" s="171"/>
      <c r="E42" s="20">
        <f>C50</f>
        <v>0</v>
      </c>
      <c r="F42" s="20">
        <v>3212</v>
      </c>
      <c r="G42" s="73"/>
      <c r="H42" s="164" t="s">
        <v>225</v>
      </c>
      <c r="I42" s="165"/>
      <c r="J42" s="165"/>
      <c r="U42" s="4"/>
    </row>
    <row r="43" ht="15.6" spans="1:21">
      <c r="A43" s="53">
        <v>44578</v>
      </c>
      <c r="B43" s="168">
        <v>117.91</v>
      </c>
      <c r="C43" s="170" t="s">
        <v>109</v>
      </c>
      <c r="D43" s="171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截止2022年01月19日</v>
      </c>
      <c r="I43" s="40"/>
      <c r="J43" s="40"/>
      <c r="U43" s="4"/>
    </row>
    <row r="44" ht="15.6" spans="1:21">
      <c r="A44" s="53">
        <v>44579</v>
      </c>
      <c r="B44" s="168">
        <v>112.26</v>
      </c>
      <c r="C44" s="170" t="s">
        <v>99</v>
      </c>
      <c r="D44" s="172"/>
      <c r="E44" s="20">
        <f>C48</f>
        <v>300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44580</v>
      </c>
      <c r="B45" s="168">
        <v>73.57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12.5%</v>
      </c>
      <c r="U45" s="4"/>
    </row>
    <row r="46" spans="1:10">
      <c r="A46" s="147" t="s">
        <v>138</v>
      </c>
      <c r="B46" s="79" t="s">
        <v>110</v>
      </c>
      <c r="C46" s="79">
        <f>C11</f>
        <v>1</v>
      </c>
      <c r="D46" s="79">
        <f>C12</f>
        <v>2</v>
      </c>
      <c r="E46" s="79">
        <f>E11</f>
        <v>3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10.13%</v>
      </c>
    </row>
    <row r="47" spans="1:10">
      <c r="A47" s="151"/>
      <c r="B47" s="79" t="s">
        <v>111</v>
      </c>
      <c r="C47" s="79">
        <v>0</v>
      </c>
      <c r="D47" s="79">
        <v>4</v>
      </c>
      <c r="E47" s="79">
        <v>1</v>
      </c>
      <c r="F47" s="79">
        <v>3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51"/>
      <c r="B48" s="79" t="s">
        <v>112</v>
      </c>
      <c r="C48" s="79">
        <v>300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51"/>
      <c r="B49" s="79" t="s">
        <v>113</v>
      </c>
      <c r="C49" s="148">
        <v>0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52"/>
      <c r="B50" s="79" t="s">
        <v>114</v>
      </c>
      <c r="C50" s="148"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15.42%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19日自年初完成产值1832.71万元，自开工累计完成产值13925.41万元，自开工占总产值90284.4万元的15.42%，100章临建完成6000.78万元，400章桥梁完成7924.63万元。已完成梁片预制739片，占设计量的12.5%；梁片安装599片，占设计量的10.13%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155</v>
      </c>
      <c r="B52" s="129"/>
      <c r="C52" s="129"/>
      <c r="D52" s="129"/>
      <c r="E52" s="129"/>
      <c r="F52" s="129"/>
      <c r="G52" s="129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85" zoomScaleNormal="7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44581</v>
      </c>
      <c r="B3" s="12" t="s">
        <v>7</v>
      </c>
      <c r="C3" s="12">
        <v>0</v>
      </c>
      <c r="D3" s="12">
        <f>ROUND(D11+D12+D15+D16+D17+D13+D14,2)</f>
        <v>30.57</v>
      </c>
      <c r="E3" s="13">
        <f>ROUND(C5+D5,2)</f>
        <v>53.88</v>
      </c>
      <c r="F3" s="143" t="s">
        <v>233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23.31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53.88</v>
      </c>
      <c r="E5" s="13"/>
      <c r="F5" s="144"/>
      <c r="G5" s="18"/>
    </row>
    <row r="6" ht="70.05" customHeight="1" spans="1:10">
      <c r="A6" s="132"/>
      <c r="B6" s="8" t="s">
        <v>11</v>
      </c>
      <c r="C6" s="20">
        <v>0</v>
      </c>
      <c r="D6" s="20">
        <v>1886.588</v>
      </c>
      <c r="E6" s="8">
        <f>ROUND(C6+D6,2)</f>
        <v>1886.59</v>
      </c>
      <c r="F6" s="144"/>
      <c r="G6" s="18"/>
      <c r="J6"/>
    </row>
    <row r="7" ht="70.05" customHeight="1" spans="1:10">
      <c r="A7" s="132"/>
      <c r="B7" s="8" t="s">
        <v>12</v>
      </c>
      <c r="C7" s="20">
        <v>6000.78</v>
      </c>
      <c r="D7" s="20">
        <v>7978.51</v>
      </c>
      <c r="E7" s="8">
        <f>ROUND(C7+D7,2)</f>
        <v>13979.29</v>
      </c>
      <c r="F7" s="144"/>
      <c r="G7" s="18"/>
      <c r="H7" s="177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44581</v>
      </c>
      <c r="B11" s="133" t="s">
        <v>172</v>
      </c>
      <c r="C11" s="33">
        <v>0</v>
      </c>
      <c r="D11" s="8">
        <v>0</v>
      </c>
      <c r="E11" s="33">
        <v>1</v>
      </c>
      <c r="F11" s="8">
        <v>7.82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2</v>
      </c>
      <c r="D12" s="8">
        <v>30.57</v>
      </c>
      <c r="E12" s="33">
        <v>1</v>
      </c>
      <c r="F12" s="8">
        <v>15.24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54"/>
      <c r="I13" s="35">
        <f>E7</f>
        <v>13979.29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>
        <v>0</v>
      </c>
      <c r="E14" s="33">
        <v>1</v>
      </c>
      <c r="F14" s="8">
        <v>0.252</v>
      </c>
      <c r="G14" s="10"/>
      <c r="H14" s="154"/>
      <c r="I14" s="48">
        <f>I13-P10</f>
        <v>444.860000000001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30.57</v>
      </c>
      <c r="D18" s="134"/>
      <c r="E18" s="25">
        <f>ROUND(F11+F12+F15+F16+F17+F13+F14,2)</f>
        <v>23.31</v>
      </c>
      <c r="F18" s="134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53.88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35"/>
      <c r="D22" s="135"/>
      <c r="E22" s="135"/>
      <c r="F22" s="135"/>
      <c r="G22" s="41"/>
      <c r="H22"/>
      <c r="I22"/>
    </row>
    <row r="23" spans="1:9">
      <c r="A23" s="12"/>
      <c r="B23" s="12"/>
      <c r="C23" s="135"/>
      <c r="D23" s="135"/>
      <c r="E23" s="135"/>
      <c r="F23" s="135"/>
      <c r="G23" s="41"/>
      <c r="H23"/>
      <c r="I23"/>
    </row>
    <row r="24" spans="1:9">
      <c r="A24" s="12"/>
      <c r="B24" s="12"/>
      <c r="C24" s="135"/>
      <c r="D24" s="135"/>
      <c r="E24" s="135"/>
      <c r="F24" s="135"/>
      <c r="G24" s="41"/>
      <c r="H24"/>
      <c r="I24"/>
    </row>
    <row r="25" spans="1:9">
      <c r="A25" s="12"/>
      <c r="B25" s="12"/>
      <c r="C25" s="135"/>
      <c r="D25" s="135"/>
      <c r="E25" s="135"/>
      <c r="F25" s="135"/>
      <c r="G25" s="41"/>
      <c r="H25"/>
      <c r="I25"/>
    </row>
    <row r="26" spans="1:17">
      <c r="A26" s="12"/>
      <c r="B26" s="12"/>
      <c r="C26" s="135"/>
      <c r="D26" s="135"/>
      <c r="E26" s="135"/>
      <c r="F26" s="135"/>
      <c r="G26" s="41"/>
      <c r="H26"/>
      <c r="I26"/>
      <c r="Q26" s="1"/>
    </row>
    <row r="27" spans="1:9">
      <c r="A27" s="12"/>
      <c r="B27" s="12"/>
      <c r="C27" s="135"/>
      <c r="D27" s="135"/>
      <c r="E27" s="135"/>
      <c r="F27" s="135"/>
      <c r="G27" s="41"/>
      <c r="H27"/>
      <c r="I27"/>
    </row>
    <row r="28" spans="1:7">
      <c r="A28" s="35"/>
      <c r="B28" s="136" t="s">
        <v>135</v>
      </c>
      <c r="C28" s="137"/>
      <c r="D28" s="136" t="s">
        <v>136</v>
      </c>
      <c r="E28" s="138"/>
      <c r="F28" s="12"/>
      <c r="G28" s="38"/>
    </row>
    <row r="29" spans="1:7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235</v>
      </c>
      <c r="F29" s="12"/>
      <c r="G29" s="38"/>
    </row>
    <row r="30" spans="1:7">
      <c r="A30" s="35"/>
      <c r="B30" s="132" t="s">
        <v>76</v>
      </c>
      <c r="C30" s="12">
        <f>E38+F38</f>
        <v>445</v>
      </c>
      <c r="D30" s="132" t="s">
        <v>77</v>
      </c>
      <c r="E30" s="12">
        <f>E39+F39</f>
        <v>365</v>
      </c>
      <c r="F30" s="12"/>
      <c r="G30" s="38"/>
    </row>
    <row r="31" spans="1:7">
      <c r="A31" s="35"/>
      <c r="B31" s="132" t="s">
        <v>78</v>
      </c>
      <c r="C31" s="12">
        <f>C32-C29-C30</f>
        <v>5037</v>
      </c>
      <c r="D31" s="132" t="s">
        <v>79</v>
      </c>
      <c r="E31" s="12">
        <f>E32-E29-E30</f>
        <v>5180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44572</v>
      </c>
      <c r="B36" s="168">
        <v>97.56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44573</v>
      </c>
      <c r="B37" s="168">
        <v>77.35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44574</v>
      </c>
      <c r="B38" s="168">
        <v>79.04</v>
      </c>
      <c r="C38" s="33">
        <v>178</v>
      </c>
      <c r="D38" s="33">
        <v>120</v>
      </c>
      <c r="E38" s="33">
        <v>380</v>
      </c>
      <c r="F38" s="33">
        <v>65</v>
      </c>
      <c r="G38" s="59"/>
      <c r="U38" s="4"/>
    </row>
    <row r="39" ht="15.6" spans="1:21">
      <c r="A39" s="53">
        <v>44575</v>
      </c>
      <c r="B39" s="168">
        <v>70.2</v>
      </c>
      <c r="C39" s="169">
        <v>130</v>
      </c>
      <c r="D39" s="169">
        <v>105</v>
      </c>
      <c r="E39" s="169">
        <v>329</v>
      </c>
      <c r="F39" s="169">
        <v>36</v>
      </c>
      <c r="G39" s="61"/>
      <c r="U39" s="4"/>
    </row>
    <row r="40" ht="15.6" spans="1:21">
      <c r="A40" s="53">
        <v>44576</v>
      </c>
      <c r="B40" s="168">
        <v>101.47</v>
      </c>
      <c r="C40" s="33" t="s">
        <v>182</v>
      </c>
      <c r="D40" s="33">
        <f>C38+D38+E38+F38</f>
        <v>743</v>
      </c>
      <c r="E40" s="169" t="s">
        <v>69</v>
      </c>
      <c r="F40" s="169">
        <f>C39+D39+E39+F39</f>
        <v>600</v>
      </c>
      <c r="G40" s="61"/>
      <c r="U40" s="4"/>
    </row>
    <row r="41" ht="15.6" spans="1:21">
      <c r="A41" s="53">
        <v>44577</v>
      </c>
      <c r="B41" s="168">
        <v>87.24</v>
      </c>
      <c r="C41" s="25" t="s">
        <v>106</v>
      </c>
      <c r="D41" s="134"/>
      <c r="E41" s="8" t="s">
        <v>97</v>
      </c>
      <c r="F41" s="8" t="s">
        <v>107</v>
      </c>
      <c r="G41" s="10"/>
      <c r="U41" s="4"/>
    </row>
    <row r="42" ht="15.6" spans="1:21">
      <c r="A42" s="53">
        <v>44578</v>
      </c>
      <c r="B42" s="168">
        <v>117.91</v>
      </c>
      <c r="C42" s="170" t="s">
        <v>108</v>
      </c>
      <c r="D42" s="171"/>
      <c r="E42" s="20">
        <f>C50</f>
        <v>0</v>
      </c>
      <c r="F42" s="20">
        <v>3212</v>
      </c>
      <c r="G42" s="73"/>
      <c r="H42" s="164" t="s">
        <v>225</v>
      </c>
      <c r="I42" s="165"/>
      <c r="J42" s="165"/>
      <c r="U42" s="4"/>
    </row>
    <row r="43" ht="15.6" spans="1:21">
      <c r="A43" s="53">
        <v>44579</v>
      </c>
      <c r="B43" s="168">
        <v>112.26</v>
      </c>
      <c r="C43" s="170" t="s">
        <v>109</v>
      </c>
      <c r="D43" s="171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截止2022年01月20日</v>
      </c>
      <c r="I43" s="40"/>
      <c r="J43" s="40"/>
      <c r="U43" s="4"/>
    </row>
    <row r="44" ht="15.6" spans="1:21">
      <c r="A44" s="53">
        <v>44580</v>
      </c>
      <c r="B44" s="168">
        <v>73.57</v>
      </c>
      <c r="C44" s="170" t="s">
        <v>99</v>
      </c>
      <c r="D44" s="172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44581</v>
      </c>
      <c r="B45" s="168">
        <v>53.88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12.57%</v>
      </c>
      <c r="U45" s="4"/>
    </row>
    <row r="46" spans="1:10">
      <c r="A46" s="147" t="s">
        <v>138</v>
      </c>
      <c r="B46" s="79" t="s">
        <v>110</v>
      </c>
      <c r="C46" s="79">
        <f>C11</f>
        <v>0</v>
      </c>
      <c r="D46" s="79">
        <f>C12</f>
        <v>2</v>
      </c>
      <c r="E46" s="79">
        <f>E11</f>
        <v>1</v>
      </c>
      <c r="F46" s="79">
        <f>E12</f>
        <v>1</v>
      </c>
      <c r="G46" s="76"/>
      <c r="H46" s="40" t="s">
        <v>62</v>
      </c>
      <c r="I46" s="35">
        <v>5913</v>
      </c>
      <c r="J46" s="35" t="str">
        <f>ROUND(F40/I46*100,2)&amp;"%"</f>
        <v>10.15%</v>
      </c>
    </row>
    <row r="47" spans="1:10">
      <c r="A47" s="151"/>
      <c r="B47" s="79" t="s">
        <v>111</v>
      </c>
      <c r="C47" s="79">
        <v>0</v>
      </c>
      <c r="D47" s="79">
        <v>0</v>
      </c>
      <c r="E47" s="79">
        <v>0</v>
      </c>
      <c r="F47" s="79">
        <v>1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51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51"/>
      <c r="B49" s="79" t="s">
        <v>113</v>
      </c>
      <c r="C49" s="148">
        <v>0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52"/>
      <c r="B50" s="79" t="s">
        <v>114</v>
      </c>
      <c r="C50" s="148"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15.48%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20日自年初完成产值1886.59万元，自开工累计完成产值13979.29万元，自开工占总产值90284.4万元的15.48%，100章临建完成6000.78万元，400章桥梁完成7978.51万元。已完成梁片预制743片，占设计量的12.57%；梁片安装600片，占设计量的10.15%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155</v>
      </c>
      <c r="B52" s="129"/>
      <c r="C52" s="129"/>
      <c r="D52" s="129"/>
      <c r="E52" s="129"/>
      <c r="F52" s="129"/>
      <c r="G52" s="129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K40"/>
  <sheetViews>
    <sheetView workbookViewId="0">
      <selection activeCell="H7" sqref="H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44474</v>
      </c>
      <c r="B3" s="157" t="s">
        <v>7</v>
      </c>
      <c r="C3" s="157">
        <v>2</v>
      </c>
      <c r="D3" s="157">
        <f>D11+F11</f>
        <v>22.92</v>
      </c>
      <c r="E3" s="250">
        <f>C5+D5</f>
        <v>33.56</v>
      </c>
      <c r="F3" s="243" t="s">
        <v>36</v>
      </c>
    </row>
    <row r="4" ht="15" customHeight="1" spans="1:6">
      <c r="A4" s="157"/>
      <c r="B4" s="157" t="s">
        <v>9</v>
      </c>
      <c r="C4" s="157">
        <v>1</v>
      </c>
      <c r="D4" s="157">
        <f>D12+F12</f>
        <v>7.64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3</v>
      </c>
      <c r="D5" s="157">
        <f>SUM(D3:D4)</f>
        <v>30.56</v>
      </c>
      <c r="E5" s="250"/>
      <c r="F5" s="244"/>
      <c r="H5"/>
      <c r="I5"/>
      <c r="J5"/>
      <c r="K5"/>
    </row>
    <row r="6" ht="15" customHeight="1" spans="1:11">
      <c r="A6" s="157"/>
      <c r="B6" s="239" t="s">
        <v>11</v>
      </c>
      <c r="C6" s="258">
        <v>5456.78</v>
      </c>
      <c r="D6" s="258">
        <v>337.53</v>
      </c>
      <c r="E6" s="239">
        <f>C6+D6</f>
        <v>5794.31</v>
      </c>
      <c r="F6" s="244"/>
      <c r="H6"/>
      <c r="I6"/>
      <c r="J6"/>
      <c r="K6"/>
    </row>
    <row r="7" ht="60" customHeight="1" spans="1:11">
      <c r="A7" s="157"/>
      <c r="B7" s="239" t="s">
        <v>12</v>
      </c>
      <c r="C7" s="258">
        <v>5456.78</v>
      </c>
      <c r="D7" s="258">
        <v>337.53</v>
      </c>
      <c r="E7" s="239">
        <f>C7+D7</f>
        <v>5794.31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44474</v>
      </c>
      <c r="B11" s="157" t="s">
        <v>7</v>
      </c>
      <c r="C11" s="247">
        <v>1</v>
      </c>
      <c r="D11" s="248">
        <v>7.64</v>
      </c>
      <c r="E11" s="247">
        <v>1</v>
      </c>
      <c r="F11" s="248">
        <v>15.28</v>
      </c>
    </row>
    <row r="12" ht="15" customHeight="1" spans="1:6">
      <c r="A12" s="157"/>
      <c r="B12" s="157" t="s">
        <v>9</v>
      </c>
      <c r="C12" s="247">
        <v>1</v>
      </c>
      <c r="D12" s="248">
        <v>7.64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2</v>
      </c>
      <c r="D13" s="248">
        <f>ROUND(D11+D12,2)</f>
        <v>15.28</v>
      </c>
      <c r="E13" s="247">
        <f t="shared" ref="E13" si="0">E11+E12</f>
        <v>1</v>
      </c>
      <c r="F13" s="248">
        <f>ROUND(F11+F12,2)</f>
        <v>15.28</v>
      </c>
    </row>
    <row r="14" ht="15" customHeight="1" spans="1:6">
      <c r="A14" s="157"/>
      <c r="B14" s="239" t="s">
        <v>5</v>
      </c>
      <c r="C14" s="238">
        <f>D13+F13</f>
        <v>30.56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44465</v>
      </c>
      <c r="B31" s="235">
        <v>8.82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44466</v>
      </c>
      <c r="B32" s="235">
        <v>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44467</v>
      </c>
      <c r="B33" s="235">
        <v>16.28</v>
      </c>
      <c r="C33" s="35">
        <v>20</v>
      </c>
      <c r="D33" s="35">
        <v>6</v>
      </c>
      <c r="E33" s="35">
        <v>12</v>
      </c>
      <c r="F33" s="35">
        <v>0</v>
      </c>
    </row>
    <row r="34" ht="15.6" spans="1:6">
      <c r="A34" s="53">
        <v>44468</v>
      </c>
      <c r="B34" s="235">
        <v>33.25</v>
      </c>
      <c r="C34" s="35"/>
      <c r="D34" s="35"/>
      <c r="E34" s="35">
        <v>450</v>
      </c>
      <c r="F34" s="35">
        <v>38482</v>
      </c>
    </row>
    <row r="35" ht="15.6" spans="1:6">
      <c r="A35" s="53">
        <v>44469</v>
      </c>
      <c r="B35" s="235">
        <v>8.82</v>
      </c>
      <c r="C35" s="35"/>
      <c r="D35" s="35"/>
      <c r="E35" s="35"/>
      <c r="F35" s="35"/>
    </row>
    <row r="36" ht="15.6" spans="1:6">
      <c r="A36" s="53">
        <v>44470</v>
      </c>
      <c r="B36" s="235">
        <v>24.1</v>
      </c>
      <c r="C36" s="35"/>
      <c r="D36" s="35"/>
      <c r="E36" s="35"/>
      <c r="F36" s="35"/>
    </row>
    <row r="37" ht="15.6" spans="1:6">
      <c r="A37" s="53">
        <v>44471</v>
      </c>
      <c r="B37" s="235">
        <v>17.46</v>
      </c>
      <c r="C37" s="35"/>
      <c r="D37" s="35"/>
      <c r="E37" s="35"/>
      <c r="F37" s="35"/>
    </row>
    <row r="38" ht="15.6" spans="1:6">
      <c r="A38" s="53">
        <v>44472</v>
      </c>
      <c r="B38" s="235">
        <v>31.74</v>
      </c>
      <c r="C38" s="35"/>
      <c r="D38" s="35"/>
      <c r="E38" s="35"/>
      <c r="F38" s="35"/>
    </row>
    <row r="39" ht="15.6" spans="1:6">
      <c r="A39" s="53">
        <v>44473</v>
      </c>
      <c r="B39" s="235">
        <v>2</v>
      </c>
      <c r="C39" s="35"/>
      <c r="D39" s="35"/>
      <c r="E39" s="35"/>
      <c r="F39" s="35"/>
    </row>
    <row r="40" ht="15.6" spans="1:6">
      <c r="A40" s="53">
        <v>44474</v>
      </c>
      <c r="B40" s="235">
        <v>33.56</v>
      </c>
      <c r="C40" s="104">
        <f>C33+D33+E33+F33</f>
        <v>38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85" zoomScaleNormal="70" topLeftCell="A20" workbookViewId="0">
      <selection activeCell="I18" sqref="I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44582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15.48</v>
      </c>
      <c r="F3" s="143" t="s">
        <v>234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15.48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15.48</v>
      </c>
      <c r="E5" s="13"/>
      <c r="F5" s="144"/>
      <c r="G5" s="18"/>
    </row>
    <row r="6" ht="70.05" customHeight="1" spans="1:10">
      <c r="A6" s="132"/>
      <c r="B6" s="8" t="s">
        <v>11</v>
      </c>
      <c r="C6" s="20">
        <v>0</v>
      </c>
      <c r="D6" s="20">
        <v>1902.068</v>
      </c>
      <c r="E6" s="8">
        <f>ROUND(C6+D6,2)</f>
        <v>1902.07</v>
      </c>
      <c r="F6" s="144"/>
      <c r="G6" s="18"/>
      <c r="J6"/>
    </row>
    <row r="7" ht="70.05" customHeight="1" spans="1:10">
      <c r="A7" s="132"/>
      <c r="B7" s="8" t="s">
        <v>12</v>
      </c>
      <c r="C7" s="20">
        <v>6000.78</v>
      </c>
      <c r="D7" s="20">
        <v>7993.99</v>
      </c>
      <c r="E7" s="8">
        <f>ROUND(C7+D7,2)</f>
        <v>13994.77</v>
      </c>
      <c r="F7" s="144"/>
      <c r="G7" s="18"/>
      <c r="H7" s="177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44582</v>
      </c>
      <c r="B11" s="133" t="s">
        <v>172</v>
      </c>
      <c r="C11" s="33">
        <v>0</v>
      </c>
      <c r="D11" s="8">
        <v>0</v>
      </c>
      <c r="E11" s="33">
        <v>0</v>
      </c>
      <c r="F11" s="8">
        <v>0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0</v>
      </c>
      <c r="D12" s="8">
        <v>0</v>
      </c>
      <c r="E12" s="33">
        <v>1</v>
      </c>
      <c r="F12" s="8">
        <v>15.23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54"/>
      <c r="I13" s="35">
        <f>E7</f>
        <v>13994.77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>
        <v>0</v>
      </c>
      <c r="E14" s="33">
        <v>1</v>
      </c>
      <c r="F14" s="8">
        <v>0.252</v>
      </c>
      <c r="G14" s="10"/>
      <c r="H14" s="154"/>
      <c r="I14" s="48">
        <f>I13-P10</f>
        <v>460.34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15.48</v>
      </c>
      <c r="F18" s="134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15.48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35"/>
      <c r="D22" s="135"/>
      <c r="E22" s="135"/>
      <c r="F22" s="135"/>
      <c r="G22" s="41"/>
      <c r="H22"/>
      <c r="I22"/>
    </row>
    <row r="23" spans="1:9">
      <c r="A23" s="12"/>
      <c r="B23" s="12"/>
      <c r="C23" s="135"/>
      <c r="D23" s="135"/>
      <c r="E23" s="135"/>
      <c r="F23" s="135"/>
      <c r="G23" s="41"/>
      <c r="H23"/>
      <c r="I23"/>
    </row>
    <row r="24" spans="1:9">
      <c r="A24" s="12"/>
      <c r="B24" s="12"/>
      <c r="C24" s="135"/>
      <c r="D24" s="135"/>
      <c r="E24" s="135"/>
      <c r="F24" s="135"/>
      <c r="G24" s="41"/>
      <c r="H24"/>
      <c r="I24"/>
    </row>
    <row r="25" spans="1:9">
      <c r="A25" s="12"/>
      <c r="B25" s="12"/>
      <c r="C25" s="135"/>
      <c r="D25" s="135"/>
      <c r="E25" s="135"/>
      <c r="F25" s="135"/>
      <c r="G25" s="41"/>
      <c r="H25"/>
      <c r="I25"/>
    </row>
    <row r="26" spans="1:17">
      <c r="A26" s="12"/>
      <c r="B26" s="12"/>
      <c r="C26" s="135"/>
      <c r="D26" s="135"/>
      <c r="E26" s="135"/>
      <c r="F26" s="135"/>
      <c r="G26" s="41"/>
      <c r="H26"/>
      <c r="I26"/>
      <c r="Q26" s="1"/>
    </row>
    <row r="27" spans="1:9">
      <c r="A27" s="12"/>
      <c r="B27" s="12"/>
      <c r="C27" s="135"/>
      <c r="D27" s="135"/>
      <c r="E27" s="135"/>
      <c r="F27" s="135"/>
      <c r="G27" s="41"/>
      <c r="H27"/>
      <c r="I27"/>
    </row>
    <row r="28" spans="1:7">
      <c r="A28" s="35"/>
      <c r="B28" s="136" t="s">
        <v>135</v>
      </c>
      <c r="C28" s="137"/>
      <c r="D28" s="136" t="s">
        <v>136</v>
      </c>
      <c r="E28" s="138"/>
      <c r="F28" s="12"/>
      <c r="G28" s="38"/>
    </row>
    <row r="29" spans="1:7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235</v>
      </c>
      <c r="F29" s="12"/>
      <c r="G29" s="38"/>
    </row>
    <row r="30" spans="1:7">
      <c r="A30" s="35"/>
      <c r="B30" s="132" t="s">
        <v>76</v>
      </c>
      <c r="C30" s="12">
        <f>E38+F38</f>
        <v>446</v>
      </c>
      <c r="D30" s="132" t="s">
        <v>77</v>
      </c>
      <c r="E30" s="12">
        <f>E39+F39</f>
        <v>366</v>
      </c>
      <c r="F30" s="12"/>
      <c r="G30" s="38"/>
    </row>
    <row r="31" spans="1:7">
      <c r="A31" s="35"/>
      <c r="B31" s="132" t="s">
        <v>78</v>
      </c>
      <c r="C31" s="12">
        <f>C32-C29-C30</f>
        <v>5036</v>
      </c>
      <c r="D31" s="132" t="s">
        <v>79</v>
      </c>
      <c r="E31" s="12">
        <f>E32-E29-E30</f>
        <v>5179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44573</v>
      </c>
      <c r="B36" s="168">
        <v>77.35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44574</v>
      </c>
      <c r="B37" s="168">
        <v>79.04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44575</v>
      </c>
      <c r="B38" s="168">
        <v>70.2</v>
      </c>
      <c r="C38" s="33">
        <v>178</v>
      </c>
      <c r="D38" s="33">
        <v>120</v>
      </c>
      <c r="E38" s="33">
        <v>380</v>
      </c>
      <c r="F38" s="33">
        <v>66</v>
      </c>
      <c r="G38" s="59"/>
      <c r="U38" s="4"/>
    </row>
    <row r="39" ht="15.6" spans="1:21">
      <c r="A39" s="53">
        <v>44576</v>
      </c>
      <c r="B39" s="168">
        <v>101.47</v>
      </c>
      <c r="C39" s="169">
        <v>130</v>
      </c>
      <c r="D39" s="169">
        <v>105</v>
      </c>
      <c r="E39" s="169">
        <v>329</v>
      </c>
      <c r="F39" s="169">
        <v>37</v>
      </c>
      <c r="G39" s="61"/>
      <c r="U39" s="4"/>
    </row>
    <row r="40" ht="15.6" spans="1:21">
      <c r="A40" s="53">
        <v>44577</v>
      </c>
      <c r="B40" s="168">
        <v>87.24</v>
      </c>
      <c r="C40" s="33" t="s">
        <v>182</v>
      </c>
      <c r="D40" s="33">
        <f>C38+D38+E38+F38</f>
        <v>744</v>
      </c>
      <c r="E40" s="169" t="s">
        <v>69</v>
      </c>
      <c r="F40" s="169">
        <f>C39+D39+E39+F39</f>
        <v>601</v>
      </c>
      <c r="G40" s="61"/>
      <c r="U40" s="4"/>
    </row>
    <row r="41" ht="15.6" spans="1:21">
      <c r="A41" s="53">
        <v>44578</v>
      </c>
      <c r="B41" s="168">
        <v>117.91</v>
      </c>
      <c r="C41" s="25" t="s">
        <v>106</v>
      </c>
      <c r="D41" s="134"/>
      <c r="E41" s="8" t="s">
        <v>97</v>
      </c>
      <c r="F41" s="8" t="s">
        <v>107</v>
      </c>
      <c r="G41" s="10"/>
      <c r="U41" s="4"/>
    </row>
    <row r="42" ht="15.6" spans="1:21">
      <c r="A42" s="53">
        <v>44579</v>
      </c>
      <c r="B42" s="168">
        <v>112.26</v>
      </c>
      <c r="C42" s="170" t="s">
        <v>108</v>
      </c>
      <c r="D42" s="171"/>
      <c r="E42" s="20">
        <f>C50</f>
        <v>0</v>
      </c>
      <c r="F42" s="20">
        <v>3212</v>
      </c>
      <c r="G42" s="73"/>
      <c r="H42" s="164" t="s">
        <v>225</v>
      </c>
      <c r="I42" s="165"/>
      <c r="J42" s="165"/>
      <c r="U42" s="4"/>
    </row>
    <row r="43" ht="15.6" spans="1:21">
      <c r="A43" s="53">
        <v>44580</v>
      </c>
      <c r="B43" s="168">
        <v>73.57</v>
      </c>
      <c r="C43" s="170" t="s">
        <v>109</v>
      </c>
      <c r="D43" s="171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截止2022年01月21日</v>
      </c>
      <c r="I43" s="40"/>
      <c r="J43" s="40"/>
      <c r="U43" s="4"/>
    </row>
    <row r="44" ht="15.6" spans="1:21">
      <c r="A44" s="53">
        <v>44581</v>
      </c>
      <c r="B44" s="168">
        <v>53.88</v>
      </c>
      <c r="C44" s="170" t="s">
        <v>99</v>
      </c>
      <c r="D44" s="172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44582</v>
      </c>
      <c r="B45" s="168">
        <v>15.48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12.58%</v>
      </c>
      <c r="U45" s="4"/>
    </row>
    <row r="46" spans="1:10">
      <c r="A46" s="147" t="s">
        <v>138</v>
      </c>
      <c r="B46" s="79" t="s">
        <v>110</v>
      </c>
      <c r="C46" s="79">
        <f>C11</f>
        <v>0</v>
      </c>
      <c r="D46" s="79">
        <f>C12</f>
        <v>0</v>
      </c>
      <c r="E46" s="79">
        <f>E11</f>
        <v>0</v>
      </c>
      <c r="F46" s="79">
        <f>E12</f>
        <v>1</v>
      </c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51"/>
      <c r="B47" s="79" t="s">
        <v>111</v>
      </c>
      <c r="C47" s="79">
        <v>0</v>
      </c>
      <c r="D47" s="79">
        <v>0</v>
      </c>
      <c r="E47" s="79">
        <v>0</v>
      </c>
      <c r="F47" s="79">
        <v>1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51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51"/>
      <c r="B49" s="79" t="s">
        <v>113</v>
      </c>
      <c r="C49" s="148">
        <v>0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52"/>
      <c r="B50" s="79" t="s">
        <v>114</v>
      </c>
      <c r="C50" s="148"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15.5%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21日自年初完成产值1902.07万元，自开工累计完成产值13994.77万元，自开工占总产值90284.4万元的15.5%，100章临建完成6000.78万元，400章桥梁完成7993.99万元。已完成梁片预制744片，占设计量的12.58%；梁片安装601片，占设计量的10.16%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155</v>
      </c>
      <c r="B52" s="129"/>
      <c r="C52" s="129"/>
      <c r="D52" s="129"/>
      <c r="E52" s="129"/>
      <c r="F52" s="129"/>
      <c r="G52" s="129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85" zoomScaleNormal="70" topLeftCell="A7" workbookViewId="0">
      <selection activeCell="J36" sqref="J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44583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0</v>
      </c>
      <c r="F3" s="143" t="s">
        <v>235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0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0</v>
      </c>
      <c r="E5" s="13"/>
      <c r="F5" s="144"/>
      <c r="G5" s="18"/>
    </row>
    <row r="6" ht="70.05" customHeight="1" spans="1:10">
      <c r="A6" s="132"/>
      <c r="B6" s="8" t="s">
        <v>11</v>
      </c>
      <c r="C6" s="20">
        <v>0</v>
      </c>
      <c r="D6" s="20">
        <v>1902.068</v>
      </c>
      <c r="E6" s="8">
        <f>ROUND(C6+D6,2)</f>
        <v>1902.07</v>
      </c>
      <c r="F6" s="144"/>
      <c r="G6" s="18"/>
      <c r="J6"/>
    </row>
    <row r="7" ht="70.05" customHeight="1" spans="1:10">
      <c r="A7" s="132"/>
      <c r="B7" s="8" t="s">
        <v>12</v>
      </c>
      <c r="C7" s="20">
        <v>6000.78</v>
      </c>
      <c r="D7" s="20">
        <v>7993.99</v>
      </c>
      <c r="E7" s="8">
        <f>ROUND(C7+D7,2)</f>
        <v>13994.77</v>
      </c>
      <c r="F7" s="144"/>
      <c r="G7" s="18"/>
      <c r="H7" s="177"/>
      <c r="J7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52" t="s">
        <v>199</v>
      </c>
      <c r="I8" s="52"/>
      <c r="J8" s="52"/>
      <c r="K8" s="52"/>
      <c r="L8" s="52"/>
      <c r="M8" s="52"/>
      <c r="N8" s="52"/>
      <c r="O8" s="52"/>
      <c r="P8" s="52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44583</v>
      </c>
      <c r="B11" s="133" t="s">
        <v>172</v>
      </c>
      <c r="C11" s="33">
        <v>0</v>
      </c>
      <c r="D11" s="8">
        <v>0</v>
      </c>
      <c r="E11" s="33">
        <v>0</v>
      </c>
      <c r="F11" s="8">
        <v>0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0</v>
      </c>
      <c r="D12" s="8">
        <v>0</v>
      </c>
      <c r="E12" s="33">
        <v>0</v>
      </c>
      <c r="F12" s="8">
        <v>0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54"/>
      <c r="I13" s="35">
        <f>E7</f>
        <v>13994.77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G14" s="10"/>
      <c r="H14" s="154"/>
      <c r="I14" s="48">
        <f>I13-P10</f>
        <v>460.34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0</v>
      </c>
      <c r="F18" s="134"/>
      <c r="G18" s="10"/>
      <c r="I18"/>
      <c r="J18"/>
      <c r="K18"/>
      <c r="L18"/>
      <c r="M18"/>
      <c r="N18"/>
      <c r="O18"/>
      <c r="P18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0</v>
      </c>
      <c r="D19" s="6"/>
      <c r="E19" s="6"/>
      <c r="F19" s="6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7">
      <c r="A20" s="12"/>
      <c r="B20" s="12"/>
      <c r="C20" s="12"/>
      <c r="D20" s="12"/>
      <c r="E20" s="12"/>
      <c r="F20" s="12"/>
      <c r="G20" s="38"/>
    </row>
    <row r="21" spans="1:7">
      <c r="A21" s="12"/>
      <c r="B21" s="12" t="s">
        <v>20</v>
      </c>
      <c r="C21" s="12"/>
      <c r="D21" s="12"/>
      <c r="E21" s="12"/>
      <c r="F21" s="12"/>
      <c r="G21" s="38"/>
    </row>
    <row r="22" spans="1:9">
      <c r="A22" s="12"/>
      <c r="B22" s="12"/>
      <c r="C22" s="135"/>
      <c r="D22" s="135"/>
      <c r="E22" s="135"/>
      <c r="F22" s="135"/>
      <c r="G22" s="41"/>
      <c r="H22"/>
      <c r="I22"/>
    </row>
    <row r="23" spans="1:9">
      <c r="A23" s="12"/>
      <c r="B23" s="12"/>
      <c r="C23" s="135"/>
      <c r="D23" s="135"/>
      <c r="E23" s="135"/>
      <c r="F23" s="135"/>
      <c r="G23" s="41"/>
      <c r="H23"/>
      <c r="I23"/>
    </row>
    <row r="24" spans="1:9">
      <c r="A24" s="12"/>
      <c r="B24" s="12"/>
      <c r="C24" s="135"/>
      <c r="D24" s="135"/>
      <c r="E24" s="135"/>
      <c r="F24" s="135"/>
      <c r="G24" s="41"/>
      <c r="H24"/>
      <c r="I24"/>
    </row>
    <row r="25" spans="1:9">
      <c r="A25" s="12"/>
      <c r="B25" s="12"/>
      <c r="C25" s="135"/>
      <c r="D25" s="135"/>
      <c r="E25" s="135"/>
      <c r="F25" s="135"/>
      <c r="G25" s="41"/>
      <c r="H25"/>
      <c r="I25"/>
    </row>
    <row r="26" spans="1:17">
      <c r="A26" s="12"/>
      <c r="B26" s="12"/>
      <c r="C26" s="135"/>
      <c r="D26" s="135"/>
      <c r="E26" s="135"/>
      <c r="F26" s="135"/>
      <c r="G26" s="41"/>
      <c r="H26"/>
      <c r="I26"/>
      <c r="Q26" s="1"/>
    </row>
    <row r="27" spans="1:9">
      <c r="A27" s="12"/>
      <c r="B27" s="12"/>
      <c r="C27" s="135"/>
      <c r="D27" s="135"/>
      <c r="E27" s="135"/>
      <c r="F27" s="135"/>
      <c r="G27" s="41"/>
      <c r="H27"/>
      <c r="I27"/>
    </row>
    <row r="28" spans="1:7">
      <c r="A28" s="35"/>
      <c r="B28" s="136" t="s">
        <v>135</v>
      </c>
      <c r="C28" s="137"/>
      <c r="D28" s="136" t="s">
        <v>136</v>
      </c>
      <c r="E28" s="138"/>
      <c r="F28" s="12"/>
      <c r="G28" s="38"/>
    </row>
    <row r="29" spans="1:7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235</v>
      </c>
      <c r="F29" s="12"/>
      <c r="G29" s="38"/>
    </row>
    <row r="30" spans="1:7">
      <c r="A30" s="35"/>
      <c r="B30" s="132" t="s">
        <v>76</v>
      </c>
      <c r="C30" s="12">
        <f>E38+F38</f>
        <v>446</v>
      </c>
      <c r="D30" s="132" t="s">
        <v>77</v>
      </c>
      <c r="E30" s="12">
        <f>E39+F39</f>
        <v>366</v>
      </c>
      <c r="F30" s="12"/>
      <c r="G30" s="38"/>
    </row>
    <row r="31" spans="1:7">
      <c r="A31" s="35"/>
      <c r="B31" s="132" t="s">
        <v>78</v>
      </c>
      <c r="C31" s="12">
        <f>C32-C29-C30</f>
        <v>5036</v>
      </c>
      <c r="D31" s="132" t="s">
        <v>79</v>
      </c>
      <c r="E31" s="12">
        <f>E32-E29-E30</f>
        <v>5179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44574</v>
      </c>
      <c r="B36" s="168">
        <v>79.04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44575</v>
      </c>
      <c r="B37" s="168">
        <v>70.2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44576</v>
      </c>
      <c r="B38" s="168">
        <v>101.47</v>
      </c>
      <c r="C38" s="33">
        <v>178</v>
      </c>
      <c r="D38" s="33">
        <v>120</v>
      </c>
      <c r="E38" s="33">
        <v>380</v>
      </c>
      <c r="F38" s="33">
        <v>66</v>
      </c>
      <c r="G38" s="59"/>
      <c r="U38" s="4"/>
    </row>
    <row r="39" ht="15.6" spans="1:21">
      <c r="A39" s="53">
        <v>44577</v>
      </c>
      <c r="B39" s="168">
        <v>87.24</v>
      </c>
      <c r="C39" s="169">
        <v>130</v>
      </c>
      <c r="D39" s="169">
        <v>105</v>
      </c>
      <c r="E39" s="169">
        <v>329</v>
      </c>
      <c r="F39" s="169">
        <v>37</v>
      </c>
      <c r="G39" s="61"/>
      <c r="U39" s="4"/>
    </row>
    <row r="40" ht="15.6" spans="1:21">
      <c r="A40" s="53">
        <v>44578</v>
      </c>
      <c r="B40" s="168">
        <v>117.91</v>
      </c>
      <c r="C40" s="33" t="s">
        <v>182</v>
      </c>
      <c r="D40" s="33">
        <f>C38+D38+E38+F38</f>
        <v>744</v>
      </c>
      <c r="E40" s="169" t="s">
        <v>69</v>
      </c>
      <c r="F40" s="169">
        <f>C39+D39+E39+F39</f>
        <v>601</v>
      </c>
      <c r="G40" s="61"/>
      <c r="U40" s="4"/>
    </row>
    <row r="41" ht="15.6" spans="1:21">
      <c r="A41" s="53">
        <v>44579</v>
      </c>
      <c r="B41" s="168">
        <v>112.26</v>
      </c>
      <c r="C41" s="25" t="s">
        <v>106</v>
      </c>
      <c r="D41" s="134"/>
      <c r="E41" s="8" t="s">
        <v>97</v>
      </c>
      <c r="F41" s="8" t="s">
        <v>107</v>
      </c>
      <c r="G41" s="10"/>
      <c r="U41" s="4"/>
    </row>
    <row r="42" ht="15.6" spans="1:21">
      <c r="A42" s="53">
        <v>44580</v>
      </c>
      <c r="B42" s="168">
        <v>73.57</v>
      </c>
      <c r="C42" s="170" t="s">
        <v>108</v>
      </c>
      <c r="D42" s="171"/>
      <c r="E42" s="20">
        <f>C50</f>
        <v>0</v>
      </c>
      <c r="F42" s="20">
        <v>3212</v>
      </c>
      <c r="G42" s="73"/>
      <c r="H42" s="164" t="s">
        <v>225</v>
      </c>
      <c r="I42" s="165"/>
      <c r="J42" s="165"/>
      <c r="U42" s="4"/>
    </row>
    <row r="43" ht="15.6" spans="1:21">
      <c r="A43" s="53">
        <v>44581</v>
      </c>
      <c r="B43" s="168">
        <v>53.88</v>
      </c>
      <c r="C43" s="170" t="s">
        <v>109</v>
      </c>
      <c r="D43" s="171"/>
      <c r="E43" s="20">
        <f>C49</f>
        <v>0</v>
      </c>
      <c r="F43" s="20">
        <v>2952.64</v>
      </c>
      <c r="G43" s="73"/>
      <c r="H43" s="40" t="str">
        <f>"截止"&amp;TEXT(A3,"yyyy年mm月dd日")</f>
        <v>截止2022年01月22日</v>
      </c>
      <c r="I43" s="40"/>
      <c r="J43" s="40"/>
      <c r="U43" s="4"/>
    </row>
    <row r="44" ht="15.6" spans="1:21">
      <c r="A44" s="53">
        <v>44582</v>
      </c>
      <c r="B44" s="168">
        <v>15.48</v>
      </c>
      <c r="C44" s="170" t="s">
        <v>99</v>
      </c>
      <c r="D44" s="172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44583</v>
      </c>
      <c r="B45" s="168">
        <v>0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12.58%</v>
      </c>
      <c r="U45" s="4"/>
    </row>
    <row r="46" spans="1:10">
      <c r="A46" s="147" t="s">
        <v>138</v>
      </c>
      <c r="B46" s="79" t="s">
        <v>110</v>
      </c>
      <c r="C46" s="79">
        <f>C11</f>
        <v>0</v>
      </c>
      <c r="D46" s="79">
        <f>C12</f>
        <v>0</v>
      </c>
      <c r="E46" s="79">
        <f>E11</f>
        <v>0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51"/>
      <c r="B47" s="79" t="s">
        <v>111</v>
      </c>
      <c r="C47" s="79">
        <v>0</v>
      </c>
      <c r="D47" s="79">
        <v>0</v>
      </c>
      <c r="E47" s="79">
        <v>0</v>
      </c>
      <c r="F47" s="79"/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51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51"/>
      <c r="B49" s="79" t="s">
        <v>113</v>
      </c>
      <c r="C49" s="148">
        <v>0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52"/>
      <c r="B50" s="79" t="s">
        <v>114</v>
      </c>
      <c r="C50" s="148"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15.5%</v>
      </c>
    </row>
    <row r="51" ht="75" customHeight="1" spans="1:8">
      <c r="A51" s="82" t="str">
        <f>"ZCB1-19"&amp;H43&amp;"自年初完成产值"&amp;E6&amp;"万元，自开工累计完成产值"&amp;E7&amp;"万元，自开工占总产值90284.4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01月22日自年初完成产值1902.07万元，自开工累计完成产值13994.77万元，自开工占总产值90284.4万元的15.5%，100章临建完成6000.78万元，400章桥梁完成7993.99万元。已完成梁片预制744片，占设计量的12.58%；梁片安装601片，占设计量的10.16%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155</v>
      </c>
      <c r="B52" s="129"/>
      <c r="C52" s="129"/>
      <c r="D52" s="129"/>
      <c r="E52" s="129"/>
      <c r="F52" s="129"/>
      <c r="G52" s="129"/>
    </row>
  </sheetData>
  <mergeCells count="34">
    <mergeCell ref="A1:F1"/>
    <mergeCell ref="A8:F8"/>
    <mergeCell ref="H8:P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D47" sqref="D4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44601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0</v>
      </c>
      <c r="F3" s="143" t="s">
        <v>235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0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0</v>
      </c>
      <c r="E5" s="13"/>
      <c r="F5" s="144"/>
      <c r="G5" s="18"/>
    </row>
    <row r="6" ht="70.05" customHeight="1" spans="1:16">
      <c r="A6" s="132"/>
      <c r="B6" s="8" t="s">
        <v>11</v>
      </c>
      <c r="C6" s="20">
        <v>0</v>
      </c>
      <c r="D6" s="20">
        <v>1902.068</v>
      </c>
      <c r="E6" s="8">
        <f>ROUND(C6+D6,2)</f>
        <v>1902.07</v>
      </c>
      <c r="F6" s="144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91"/>
      <c r="M6" s="91"/>
      <c r="N6" s="91"/>
      <c r="O6" s="91"/>
      <c r="P6" s="91"/>
    </row>
    <row r="7" ht="70.05" customHeight="1" spans="1:16">
      <c r="A7" s="132"/>
      <c r="B7" s="8" t="s">
        <v>12</v>
      </c>
      <c r="C7" s="20">
        <v>6000.78</v>
      </c>
      <c r="D7" s="20">
        <v>7993.99</v>
      </c>
      <c r="E7" s="8">
        <f>ROUND(C7+D7,2)</f>
        <v>13994.77</v>
      </c>
      <c r="F7" s="144"/>
      <c r="G7" s="18"/>
      <c r="H7" s="96">
        <f>E6</f>
        <v>1902.07</v>
      </c>
      <c r="I7" s="48">
        <f>H7+1927.38</f>
        <v>3829.45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166" t="s">
        <v>240</v>
      </c>
      <c r="I8" s="166"/>
      <c r="J8" s="166"/>
      <c r="K8" s="166"/>
      <c r="L8" s="166"/>
      <c r="M8" s="166"/>
      <c r="N8" s="166"/>
      <c r="O8" s="166"/>
      <c r="P8" s="166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44601</v>
      </c>
      <c r="B11" s="133" t="s">
        <v>172</v>
      </c>
      <c r="C11" s="33">
        <v>0</v>
      </c>
      <c r="D11" s="8">
        <v>0</v>
      </c>
      <c r="E11" s="33">
        <v>0</v>
      </c>
      <c r="F11" s="8">
        <v>0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0</v>
      </c>
      <c r="D12" s="8">
        <v>0</v>
      </c>
      <c r="E12" s="33">
        <v>0</v>
      </c>
      <c r="F12" s="8">
        <v>0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54"/>
      <c r="I13" s="35">
        <f>E7</f>
        <v>13994.77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G14" s="10"/>
      <c r="H14" s="154"/>
      <c r="I14" s="48">
        <f>I13-P10</f>
        <v>460.34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0</v>
      </c>
      <c r="F18" s="134"/>
      <c r="G18" s="10"/>
      <c r="H18" s="155" t="s">
        <v>6</v>
      </c>
      <c r="I18" s="173" t="s">
        <v>241</v>
      </c>
      <c r="J18" s="173"/>
      <c r="K18" s="173"/>
      <c r="L18" s="173"/>
      <c r="M18" s="173"/>
      <c r="N18" s="173"/>
      <c r="O18" s="173"/>
      <c r="P18" s="174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0</v>
      </c>
      <c r="D19" s="6"/>
      <c r="E19" s="6"/>
      <c r="F19" s="6"/>
      <c r="G19" s="7"/>
      <c r="H19" s="167" t="s">
        <v>242</v>
      </c>
      <c r="I19" s="175"/>
      <c r="J19" s="175"/>
      <c r="K19" s="175"/>
      <c r="L19" s="175"/>
      <c r="M19" s="175"/>
      <c r="N19" s="175"/>
      <c r="O19" s="175"/>
      <c r="P19" s="176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35"/>
      <c r="D22" s="135"/>
      <c r="E22" s="135"/>
      <c r="F22" s="135"/>
      <c r="G22" s="41"/>
      <c r="H22" s="40" t="s">
        <v>33</v>
      </c>
      <c r="I22" s="94">
        <f>222+15*10-24</f>
        <v>348</v>
      </c>
      <c r="J22" s="94">
        <v>24</v>
      </c>
      <c r="K22" s="40" t="s">
        <v>33</v>
      </c>
      <c r="L22" s="94">
        <f>E38-302</f>
        <v>78</v>
      </c>
      <c r="M22" s="94">
        <f>F38-45</f>
        <v>21</v>
      </c>
      <c r="N22" s="40" t="s">
        <v>33</v>
      </c>
      <c r="O22" s="94">
        <v>0</v>
      </c>
      <c r="P22" s="94">
        <v>0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f>142+4*15</f>
        <v>202</v>
      </c>
      <c r="J23" s="94">
        <f>52+9</f>
        <v>61</v>
      </c>
      <c r="K23" s="40" t="s">
        <v>32</v>
      </c>
      <c r="L23" s="94">
        <f>C38-169</f>
        <v>9</v>
      </c>
      <c r="M23" s="94">
        <f>D38-81</f>
        <v>39</v>
      </c>
      <c r="N23" s="40" t="s">
        <v>32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35"/>
      <c r="D25" s="135"/>
      <c r="E25" s="135"/>
      <c r="F25" s="135"/>
      <c r="G25" s="41"/>
      <c r="H25" s="40" t="s">
        <v>33</v>
      </c>
      <c r="I25" s="94">
        <f>245-6</f>
        <v>239</v>
      </c>
      <c r="J25" s="94">
        <v>0</v>
      </c>
      <c r="K25" s="40" t="s">
        <v>33</v>
      </c>
      <c r="L25" s="94">
        <f>E39-258</f>
        <v>71</v>
      </c>
      <c r="M25" s="94">
        <f>F39-7</f>
        <v>30</v>
      </c>
      <c r="N25" s="40" t="s">
        <v>33</v>
      </c>
      <c r="O25" s="94">
        <v>0</v>
      </c>
      <c r="P25" s="94">
        <v>0</v>
      </c>
    </row>
    <row r="26" spans="1:17">
      <c r="A26" s="12"/>
      <c r="B26" s="12"/>
      <c r="C26" s="135"/>
      <c r="D26" s="135"/>
      <c r="E26" s="135"/>
      <c r="F26" s="135"/>
      <c r="G26" s="41"/>
      <c r="H26" s="40" t="s">
        <v>32</v>
      </c>
      <c r="I26" s="94">
        <v>130</v>
      </c>
      <c r="J26" s="94">
        <v>70</v>
      </c>
      <c r="K26" s="40" t="s">
        <v>32</v>
      </c>
      <c r="L26" s="94">
        <f>C39-130</f>
        <v>0</v>
      </c>
      <c r="M26" s="94">
        <f>D39-65</f>
        <v>40</v>
      </c>
      <c r="N26" s="40" t="s">
        <v>32</v>
      </c>
      <c r="O26" s="94">
        <v>0</v>
      </c>
      <c r="P26" s="94">
        <v>0</v>
      </c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228</v>
      </c>
      <c r="I27" s="145" t="s">
        <v>247</v>
      </c>
      <c r="J27" s="146"/>
      <c r="K27" s="36" t="s">
        <v>228</v>
      </c>
      <c r="L27" s="145">
        <f>F44-6105</f>
        <v>3860</v>
      </c>
      <c r="M27" s="146"/>
      <c r="N27" s="36" t="s">
        <v>228</v>
      </c>
      <c r="O27" s="145">
        <v>0</v>
      </c>
      <c r="P27" s="146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36" t="s">
        <v>229</v>
      </c>
      <c r="I28" s="145" t="s">
        <v>248</v>
      </c>
      <c r="J28" s="146"/>
      <c r="K28" s="36" t="s">
        <v>229</v>
      </c>
      <c r="L28" s="145">
        <f>F43-2032.04</f>
        <v>920.6</v>
      </c>
      <c r="M28" s="146"/>
      <c r="N28" s="36" t="s">
        <v>229</v>
      </c>
      <c r="O28" s="145">
        <v>0</v>
      </c>
      <c r="P28" s="146"/>
    </row>
    <row r="29" spans="1:16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235</v>
      </c>
      <c r="F29" s="12"/>
      <c r="G29" s="38"/>
      <c r="H29" s="36" t="s">
        <v>230</v>
      </c>
      <c r="I29" s="94" t="s">
        <v>249</v>
      </c>
      <c r="J29" s="94"/>
      <c r="K29" s="36" t="s">
        <v>230</v>
      </c>
      <c r="L29" s="94">
        <f>F42-0</f>
        <v>3212</v>
      </c>
      <c r="M29" s="94"/>
      <c r="N29" s="36" t="s">
        <v>230</v>
      </c>
      <c r="O29" s="94">
        <v>0</v>
      </c>
      <c r="P29" s="94"/>
    </row>
    <row r="30" spans="1:16">
      <c r="A30" s="35"/>
      <c r="B30" s="132" t="s">
        <v>76</v>
      </c>
      <c r="C30" s="12">
        <f>E38+F38</f>
        <v>446</v>
      </c>
      <c r="D30" s="132" t="s">
        <v>77</v>
      </c>
      <c r="E30" s="12">
        <f>E39+F39</f>
        <v>366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1902.07</v>
      </c>
      <c r="M30" s="48"/>
      <c r="N30" s="48" t="s">
        <v>5</v>
      </c>
      <c r="O30" s="48"/>
      <c r="P30" s="48"/>
    </row>
    <row r="31" spans="1:16">
      <c r="A31" s="35"/>
      <c r="B31" s="132" t="s">
        <v>78</v>
      </c>
      <c r="C31" s="12">
        <f>C32-C29-C30</f>
        <v>5036</v>
      </c>
      <c r="D31" s="132" t="s">
        <v>79</v>
      </c>
      <c r="E31" s="12">
        <f>E32-E29-E30</f>
        <v>5179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U35" s="4"/>
    </row>
    <row r="36" ht="15.6" spans="1:21">
      <c r="A36" s="53">
        <v>44592</v>
      </c>
      <c r="B36" s="168">
        <v>0</v>
      </c>
      <c r="C36" s="28" t="s">
        <v>32</v>
      </c>
      <c r="D36" s="28"/>
      <c r="E36" s="28" t="s">
        <v>33</v>
      </c>
      <c r="F36" s="28"/>
      <c r="G36" s="29"/>
      <c r="U36" s="4"/>
    </row>
    <row r="37" ht="15.6" spans="1:21">
      <c r="A37" s="53">
        <v>44593</v>
      </c>
      <c r="B37" s="168">
        <v>0</v>
      </c>
      <c r="C37" s="6" t="s">
        <v>14</v>
      </c>
      <c r="D37" s="6" t="s">
        <v>15</v>
      </c>
      <c r="E37" s="6" t="s">
        <v>14</v>
      </c>
      <c r="F37" s="6" t="s">
        <v>15</v>
      </c>
      <c r="G37" s="7"/>
      <c r="U37" s="4"/>
    </row>
    <row r="38" ht="15.6" spans="1:21">
      <c r="A38" s="53">
        <v>44594</v>
      </c>
      <c r="B38" s="168">
        <v>0</v>
      </c>
      <c r="C38" s="33">
        <v>178</v>
      </c>
      <c r="D38" s="33">
        <v>120</v>
      </c>
      <c r="E38" s="33">
        <v>380</v>
      </c>
      <c r="F38" s="33">
        <v>66</v>
      </c>
      <c r="G38" s="59"/>
      <c r="U38" s="4"/>
    </row>
    <row r="39" ht="15.6" spans="1:21">
      <c r="A39" s="53">
        <v>44595</v>
      </c>
      <c r="B39" s="168">
        <v>0</v>
      </c>
      <c r="C39" s="169">
        <v>130</v>
      </c>
      <c r="D39" s="169">
        <v>105</v>
      </c>
      <c r="E39" s="169">
        <v>329</v>
      </c>
      <c r="F39" s="169">
        <v>37</v>
      </c>
      <c r="G39" s="61"/>
      <c r="U39" s="4"/>
    </row>
    <row r="40" ht="15.6" spans="1:21">
      <c r="A40" s="53">
        <v>44596</v>
      </c>
      <c r="B40" s="168">
        <v>0</v>
      </c>
      <c r="C40" s="33" t="s">
        <v>182</v>
      </c>
      <c r="D40" s="33">
        <f>C38+D38+E38+F38</f>
        <v>744</v>
      </c>
      <c r="E40" s="169" t="s">
        <v>69</v>
      </c>
      <c r="F40" s="169">
        <f>C39+D39+E39+F39</f>
        <v>601</v>
      </c>
      <c r="G40" s="61"/>
      <c r="U40" s="4"/>
    </row>
    <row r="41" ht="15.6" spans="1:21">
      <c r="A41" s="53">
        <v>44597</v>
      </c>
      <c r="B41" s="168">
        <v>0</v>
      </c>
      <c r="C41" s="25" t="s">
        <v>252</v>
      </c>
      <c r="D41" s="134"/>
      <c r="E41" s="8" t="s">
        <v>97</v>
      </c>
      <c r="F41" s="8" t="s">
        <v>107</v>
      </c>
      <c r="G41" s="10"/>
      <c r="U41" s="4"/>
    </row>
    <row r="42" ht="15.6" spans="1:21">
      <c r="A42" s="53">
        <v>44598</v>
      </c>
      <c r="B42" s="168">
        <v>0</v>
      </c>
      <c r="C42" s="170" t="s">
        <v>108</v>
      </c>
      <c r="D42" s="171"/>
      <c r="E42" s="20">
        <f>C50</f>
        <v>0</v>
      </c>
      <c r="F42" s="20">
        <v>3212</v>
      </c>
      <c r="G42" s="73"/>
      <c r="H42" s="164" t="s">
        <v>225</v>
      </c>
      <c r="I42" s="165"/>
      <c r="J42" s="165"/>
      <c r="U42" s="4"/>
    </row>
    <row r="43" ht="15.6" spans="1:21">
      <c r="A43" s="53">
        <v>44599</v>
      </c>
      <c r="B43" s="168">
        <v>0</v>
      </c>
      <c r="C43" s="170" t="s">
        <v>109</v>
      </c>
      <c r="D43" s="171"/>
      <c r="E43" s="20">
        <f>C49</f>
        <v>0</v>
      </c>
      <c r="F43" s="20">
        <v>2952.64</v>
      </c>
      <c r="G43" s="73"/>
      <c r="H43" s="40" t="str">
        <f>"截止"&amp;TEXT(A3,"yyyy年mm月dd日")</f>
        <v>截止2022年02月09日</v>
      </c>
      <c r="I43" s="40"/>
      <c r="J43" s="40"/>
      <c r="U43" s="4"/>
    </row>
    <row r="44" ht="15.6" spans="1:21">
      <c r="A44" s="53">
        <v>44600</v>
      </c>
      <c r="B44" s="168">
        <v>0</v>
      </c>
      <c r="C44" s="170" t="s">
        <v>99</v>
      </c>
      <c r="D44" s="172"/>
      <c r="E44" s="20">
        <f>C48</f>
        <v>0</v>
      </c>
      <c r="F44" s="20">
        <v>9965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44601</v>
      </c>
      <c r="B45" s="168">
        <v>0</v>
      </c>
      <c r="C45" s="32" t="s">
        <v>100</v>
      </c>
      <c r="D45" s="32"/>
      <c r="E45" s="32">
        <v>0</v>
      </c>
      <c r="F45" s="32">
        <v>41682</v>
      </c>
      <c r="G45" s="75"/>
      <c r="H45" s="40" t="s">
        <v>61</v>
      </c>
      <c r="I45" s="35">
        <v>5913</v>
      </c>
      <c r="J45" s="35" t="str">
        <f>ROUND(D40/I45*100,2)&amp;"%"</f>
        <v>12.58%</v>
      </c>
      <c r="U45" s="4"/>
    </row>
    <row r="46" spans="1:10">
      <c r="A46" s="147" t="s">
        <v>138</v>
      </c>
      <c r="B46" s="79" t="s">
        <v>110</v>
      </c>
      <c r="C46" s="79">
        <f>C11</f>
        <v>0</v>
      </c>
      <c r="D46" s="79">
        <f>C12</f>
        <v>0</v>
      </c>
      <c r="E46" s="79">
        <f>E11</f>
        <v>0</v>
      </c>
      <c r="F46" s="79">
        <f>E12</f>
        <v>0</v>
      </c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51"/>
      <c r="B47" s="79" t="s">
        <v>111</v>
      </c>
      <c r="C47" s="79">
        <v>0</v>
      </c>
      <c r="D47" s="79">
        <v>0</v>
      </c>
      <c r="E47" s="79">
        <v>0</v>
      </c>
      <c r="F47" s="79">
        <v>0</v>
      </c>
      <c r="G47" s="76"/>
      <c r="H47" s="40" t="s">
        <v>228</v>
      </c>
      <c r="I47" s="35">
        <v>135185</v>
      </c>
      <c r="J47" s="35" t="str">
        <f>ROUND(F44/I47*100,2)&amp;"%"</f>
        <v>7.37%</v>
      </c>
    </row>
    <row r="48" spans="1:10">
      <c r="A48" s="151"/>
      <c r="B48" s="79" t="s">
        <v>112</v>
      </c>
      <c r="C48" s="79"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ROUND(F43/I48*100,2)&amp;"%"</f>
        <v>4.4%</v>
      </c>
    </row>
    <row r="49" spans="1:10">
      <c r="A49" s="151"/>
      <c r="B49" s="79" t="s">
        <v>113</v>
      </c>
      <c r="C49" s="148">
        <v>0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ROUND(F42/I49*100,2)&amp;"%"</f>
        <v>0.79%</v>
      </c>
    </row>
    <row r="50" spans="1:10">
      <c r="A50" s="152"/>
      <c r="B50" s="79" t="s">
        <v>114</v>
      </c>
      <c r="C50" s="148"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15.5%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44&amp;"米，占设计量的"&amp;J47&amp;"；防撞护栏"&amp;F43&amp;"米，占设计量的"&amp;J48&amp;"；桥面铺装"&amp;F42&amp;"平米，占设计量的"&amp;J49&amp;"。"</f>
        <v>ZCB1-19截止2022年02月09日自年初完成产值1902.07万元，自开工累计完成产值13994.77万元，自开工占总产值90284.4万元的15.5%，100章临建完成6000.78万元，400章桥梁完成7993.99万元。已完成梁片预制744片，占设计量的12.58%；梁片安装601片，占设计量的10.16%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C36:D36"/>
    <mergeCell ref="E36:F36"/>
    <mergeCell ref="C41:D41"/>
    <mergeCell ref="C42:D42"/>
    <mergeCell ref="H42:J42"/>
    <mergeCell ref="C43:D43"/>
    <mergeCell ref="H43:J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7" workbookViewId="0">
      <selection activeCell="T19" sqref="T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44602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45.75</v>
      </c>
      <c r="F3" s="143" t="s">
        <v>254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45.75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45.75</v>
      </c>
      <c r="E5" s="13"/>
      <c r="F5" s="144"/>
      <c r="G5" s="18"/>
    </row>
    <row r="6" ht="70.05" customHeight="1" spans="1:16">
      <c r="A6" s="132"/>
      <c r="B6" s="8" t="s">
        <v>11</v>
      </c>
      <c r="C6" s="20">
        <v>0</v>
      </c>
      <c r="D6" s="20">
        <v>1947.818</v>
      </c>
      <c r="E6" s="8">
        <f>ROUND(C6+D6,2)</f>
        <v>1947.82</v>
      </c>
      <c r="F6" s="144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91"/>
      <c r="M6" s="91"/>
      <c r="N6" s="91"/>
      <c r="O6" s="91"/>
      <c r="P6" s="91"/>
    </row>
    <row r="7" ht="70.05" customHeight="1" spans="1:16">
      <c r="A7" s="132"/>
      <c r="B7" s="8" t="s">
        <v>12</v>
      </c>
      <c r="C7" s="20">
        <v>6000.78</v>
      </c>
      <c r="D7" s="20">
        <v>8039.74</v>
      </c>
      <c r="E7" s="8">
        <f>ROUND(C7+D7,2)</f>
        <v>14040.52</v>
      </c>
      <c r="F7" s="144"/>
      <c r="G7" s="18"/>
      <c r="H7" s="96">
        <f>E6</f>
        <v>1947.82</v>
      </c>
      <c r="I7" s="48">
        <f>H7+1927.38</f>
        <v>3875.2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44602</v>
      </c>
      <c r="B11" s="133" t="s">
        <v>172</v>
      </c>
      <c r="C11" s="33">
        <v>0</v>
      </c>
      <c r="D11" s="8">
        <v>0</v>
      </c>
      <c r="E11" s="33">
        <v>2</v>
      </c>
      <c r="F11" s="8">
        <v>15.28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0</v>
      </c>
      <c r="D12" s="8">
        <v>0</v>
      </c>
      <c r="E12" s="33">
        <v>2</v>
      </c>
      <c r="F12" s="8">
        <v>30.47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>
        <v>0</v>
      </c>
      <c r="E13" s="33">
        <v>0</v>
      </c>
      <c r="F13" s="8">
        <v>0</v>
      </c>
      <c r="G13" s="10"/>
      <c r="H13" s="154"/>
      <c r="I13" s="35">
        <f>E7</f>
        <v>14040.52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G14" s="10"/>
      <c r="H14" s="154"/>
      <c r="I14" s="48">
        <f>I13-P10</f>
        <v>506.09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45.75</v>
      </c>
      <c r="F18" s="134"/>
      <c r="G18" s="10"/>
      <c r="H18" s="155" t="s">
        <v>6</v>
      </c>
      <c r="I18" s="159" t="s">
        <v>255</v>
      </c>
      <c r="J18" s="159"/>
      <c r="K18" s="159"/>
      <c r="L18" s="159"/>
      <c r="M18" s="159"/>
      <c r="N18" s="159"/>
      <c r="O18" s="159"/>
      <c r="P18" s="160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45.75</v>
      </c>
      <c r="D19" s="6"/>
      <c r="E19" s="6"/>
      <c r="F19" s="6"/>
      <c r="G19" s="7"/>
      <c r="H19" s="156" t="s">
        <v>242</v>
      </c>
      <c r="I19" s="161"/>
      <c r="J19" s="161"/>
      <c r="K19" s="161"/>
      <c r="L19" s="161"/>
      <c r="M19" s="161"/>
      <c r="N19" s="161"/>
      <c r="O19" s="161"/>
      <c r="P19" s="162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35"/>
      <c r="D22" s="135"/>
      <c r="E22" s="135"/>
      <c r="F22" s="135"/>
      <c r="G22" s="41"/>
      <c r="H22" s="40" t="s">
        <v>33</v>
      </c>
      <c r="I22" s="94">
        <f>222+15*10-24</f>
        <v>348</v>
      </c>
      <c r="J22" s="94">
        <v>24</v>
      </c>
      <c r="K22" s="40" t="s">
        <v>33</v>
      </c>
      <c r="L22" s="94">
        <f>E38-302</f>
        <v>80</v>
      </c>
      <c r="M22" s="94">
        <f>F38-45</f>
        <v>23</v>
      </c>
      <c r="N22" s="40" t="s">
        <v>33</v>
      </c>
      <c r="O22" s="94">
        <v>0</v>
      </c>
      <c r="P22" s="94">
        <v>0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f>142+4*15</f>
        <v>202</v>
      </c>
      <c r="J23" s="94">
        <f>52+9</f>
        <v>61</v>
      </c>
      <c r="K23" s="40" t="s">
        <v>32</v>
      </c>
      <c r="L23" s="94">
        <f>C38-169</f>
        <v>9</v>
      </c>
      <c r="M23" s="94">
        <f>D38-81</f>
        <v>39</v>
      </c>
      <c r="N23" s="40" t="s">
        <v>32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35"/>
      <c r="D25" s="135"/>
      <c r="E25" s="135"/>
      <c r="F25" s="135"/>
      <c r="G25" s="41"/>
      <c r="H25" s="40" t="s">
        <v>33</v>
      </c>
      <c r="I25" s="94">
        <f>245-6</f>
        <v>239</v>
      </c>
      <c r="J25" s="94">
        <v>0</v>
      </c>
      <c r="K25" s="40" t="s">
        <v>33</v>
      </c>
      <c r="L25" s="94">
        <f>E39-258</f>
        <v>71</v>
      </c>
      <c r="M25" s="94">
        <f>F39-7</f>
        <v>30</v>
      </c>
      <c r="N25" s="40" t="s">
        <v>33</v>
      </c>
      <c r="O25" s="94">
        <v>0</v>
      </c>
      <c r="P25" s="94">
        <v>0</v>
      </c>
    </row>
    <row r="26" spans="1:17">
      <c r="A26" s="12"/>
      <c r="B26" s="12"/>
      <c r="C26" s="135"/>
      <c r="D26" s="135"/>
      <c r="E26" s="135"/>
      <c r="F26" s="135"/>
      <c r="G26" s="41"/>
      <c r="H26" s="40" t="s">
        <v>32</v>
      </c>
      <c r="I26" s="94">
        <v>130</v>
      </c>
      <c r="J26" s="94">
        <v>70</v>
      </c>
      <c r="K26" s="40" t="s">
        <v>32</v>
      </c>
      <c r="L26" s="94">
        <f>C39-130</f>
        <v>0</v>
      </c>
      <c r="M26" s="94">
        <f>D39-65</f>
        <v>40</v>
      </c>
      <c r="N26" s="40" t="s">
        <v>32</v>
      </c>
      <c r="O26" s="94">
        <v>0</v>
      </c>
      <c r="P26" s="94">
        <v>0</v>
      </c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228</v>
      </c>
      <c r="I27" s="145">
        <v>5645</v>
      </c>
      <c r="J27" s="146"/>
      <c r="K27" s="36" t="s">
        <v>228</v>
      </c>
      <c r="L27" s="145">
        <f>F45-6105</f>
        <v>-6105</v>
      </c>
      <c r="M27" s="146"/>
      <c r="N27" s="36" t="s">
        <v>228</v>
      </c>
      <c r="O27" s="145">
        <v>0</v>
      </c>
      <c r="P27" s="146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36" t="s">
        <v>229</v>
      </c>
      <c r="I28" s="145">
        <v>2990.44</v>
      </c>
      <c r="J28" s="146"/>
      <c r="K28" s="36" t="s">
        <v>229</v>
      </c>
      <c r="L28" s="145">
        <f>F44-2032.04</f>
        <v>-2032.04</v>
      </c>
      <c r="M28" s="146"/>
      <c r="N28" s="36" t="s">
        <v>229</v>
      </c>
      <c r="O28" s="145">
        <v>0</v>
      </c>
      <c r="P28" s="146"/>
    </row>
    <row r="29" spans="1:16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235</v>
      </c>
      <c r="F29" s="12"/>
      <c r="G29" s="38"/>
      <c r="H29" s="36" t="s">
        <v>230</v>
      </c>
      <c r="I29" s="94">
        <v>0</v>
      </c>
      <c r="J29" s="94"/>
      <c r="K29" s="36" t="s">
        <v>230</v>
      </c>
      <c r="L29" s="94">
        <f>F43-0</f>
        <v>0</v>
      </c>
      <c r="M29" s="94"/>
      <c r="N29" s="36" t="s">
        <v>230</v>
      </c>
      <c r="O29" s="94">
        <v>0</v>
      </c>
      <c r="P29" s="94"/>
    </row>
    <row r="30" spans="1:16">
      <c r="A30" s="35"/>
      <c r="B30" s="132" t="s">
        <v>76</v>
      </c>
      <c r="C30" s="12">
        <f>E38+F38</f>
        <v>450</v>
      </c>
      <c r="D30" s="132" t="s">
        <v>77</v>
      </c>
      <c r="E30" s="12">
        <f>E39+F39</f>
        <v>366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1947.82</v>
      </c>
      <c r="M30" s="48"/>
      <c r="N30" s="48" t="s">
        <v>5</v>
      </c>
      <c r="O30" s="48"/>
      <c r="P30" s="48"/>
    </row>
    <row r="31" spans="1:16">
      <c r="A31" s="35"/>
      <c r="B31" s="132" t="s">
        <v>78</v>
      </c>
      <c r="C31" s="12">
        <f>C32-C29-C30</f>
        <v>5032</v>
      </c>
      <c r="D31" s="132" t="s">
        <v>79</v>
      </c>
      <c r="E31" s="12">
        <f>E32-E29-E30</f>
        <v>5179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44593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44594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44595</v>
      </c>
      <c r="B38" s="54">
        <v>0</v>
      </c>
      <c r="C38" s="58">
        <v>178</v>
      </c>
      <c r="D38" s="58">
        <v>120</v>
      </c>
      <c r="E38" s="58">
        <v>382</v>
      </c>
      <c r="F38" s="58">
        <v>68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44596</v>
      </c>
      <c r="B39" s="54">
        <v>0</v>
      </c>
      <c r="C39" s="60">
        <v>130</v>
      </c>
      <c r="D39" s="60">
        <v>105</v>
      </c>
      <c r="E39" s="60">
        <v>329</v>
      </c>
      <c r="F39" s="60">
        <v>37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44597</v>
      </c>
      <c r="B40" s="62">
        <v>0</v>
      </c>
      <c r="C40" s="63" t="s">
        <v>182</v>
      </c>
      <c r="D40" s="64">
        <f>C38+D38+E38+F38</f>
        <v>748</v>
      </c>
      <c r="E40" s="65" t="s">
        <v>69</v>
      </c>
      <c r="F40" s="66">
        <f>C39+D39+E39+F39</f>
        <v>601</v>
      </c>
      <c r="G40" s="61"/>
      <c r="H40" s="56" t="s">
        <v>285</v>
      </c>
      <c r="I40" s="136" t="s">
        <v>286</v>
      </c>
      <c r="J40" s="163"/>
      <c r="K40" s="163"/>
      <c r="L40" s="163"/>
      <c r="M40" s="163"/>
      <c r="N40" s="163"/>
      <c r="O40" s="163"/>
      <c r="P40" s="137"/>
      <c r="U40" s="4"/>
    </row>
    <row r="41" ht="15.6" spans="1:21">
      <c r="A41" s="53">
        <v>44598</v>
      </c>
      <c r="B41" s="54">
        <v>0</v>
      </c>
      <c r="C41" s="139" t="s">
        <v>287</v>
      </c>
      <c r="D41" s="140"/>
      <c r="E41" s="140"/>
      <c r="F41" s="141"/>
      <c r="G41" s="10"/>
      <c r="H41" s="157"/>
      <c r="I41" s="157"/>
      <c r="J41" s="157"/>
      <c r="K41" s="157"/>
      <c r="L41" s="157"/>
      <c r="M41" s="157"/>
      <c r="N41" s="157"/>
      <c r="O41" s="157"/>
      <c r="U41" s="4"/>
    </row>
    <row r="42" ht="15.6" spans="1:21">
      <c r="A42" s="53">
        <v>44599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64" t="s">
        <v>225</v>
      </c>
      <c r="I42" s="165"/>
      <c r="J42" s="165"/>
      <c r="U42" s="4"/>
    </row>
    <row r="43" ht="15.6" spans="1:21">
      <c r="A43" s="53">
        <v>44600</v>
      </c>
      <c r="B43" s="54">
        <v>0</v>
      </c>
      <c r="C43" s="74" t="s">
        <v>230</v>
      </c>
      <c r="D43" s="74"/>
      <c r="E43" s="74"/>
      <c r="F43" s="74">
        <f>D43+E43</f>
        <v>0</v>
      </c>
      <c r="G43" s="73"/>
      <c r="H43" s="40" t="str">
        <f>"截止"&amp;TEXT(A3,"yyyy年mm月dd日")</f>
        <v>截止2022年02月10日</v>
      </c>
      <c r="I43" s="40"/>
      <c r="J43" s="40"/>
      <c r="U43" s="4"/>
    </row>
    <row r="44" ht="15.6" spans="1:21">
      <c r="A44" s="53">
        <v>44601</v>
      </c>
      <c r="B44" s="54">
        <v>0</v>
      </c>
      <c r="C44" s="74" t="s">
        <v>229</v>
      </c>
      <c r="D44" s="74"/>
      <c r="E44" s="74"/>
      <c r="F44" s="74">
        <f>D44+E44</f>
        <v>0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44602</v>
      </c>
      <c r="B45" s="54">
        <v>45.75</v>
      </c>
      <c r="C45" s="74" t="s">
        <v>228</v>
      </c>
      <c r="D45" s="74"/>
      <c r="E45" s="74"/>
      <c r="F45" s="74">
        <f>D45+E45</f>
        <v>0</v>
      </c>
      <c r="G45" s="75"/>
      <c r="H45" s="40" t="s">
        <v>61</v>
      </c>
      <c r="I45" s="35">
        <v>5913</v>
      </c>
      <c r="J45" s="35" t="str">
        <f>ROUND(D40/I45*100,2)&amp;"%"</f>
        <v>12.65%</v>
      </c>
      <c r="U45" s="4"/>
    </row>
    <row r="46" spans="1:10">
      <c r="A46" s="147" t="s">
        <v>138</v>
      </c>
      <c r="B46" s="79" t="s">
        <v>110</v>
      </c>
      <c r="C46" s="148">
        <f>SUM(C11,E11,C12,E12)</f>
        <v>4</v>
      </c>
      <c r="D46" s="149"/>
      <c r="E46" s="149"/>
      <c r="F46" s="150"/>
      <c r="G46" s="76"/>
      <c r="H46" s="40" t="s">
        <v>62</v>
      </c>
      <c r="I46" s="35">
        <v>5913</v>
      </c>
      <c r="J46" s="35" t="str">
        <f>ROUND(F40/I46*100,2)&amp;"%"</f>
        <v>10.16%</v>
      </c>
    </row>
    <row r="47" spans="1:10">
      <c r="A47" s="151"/>
      <c r="B47" s="79" t="s">
        <v>111</v>
      </c>
      <c r="C47" s="148">
        <f>SUM(C13,C14,E13,E14)</f>
        <v>0</v>
      </c>
      <c r="D47" s="149"/>
      <c r="E47" s="149"/>
      <c r="F47" s="150"/>
      <c r="G47" s="76"/>
      <c r="H47" s="40" t="s">
        <v>228</v>
      </c>
      <c r="I47" s="35">
        <v>135185</v>
      </c>
      <c r="J47" s="35" t="str">
        <f>ROUND(F45/I47*100,2)&amp;"%"</f>
        <v>0%</v>
      </c>
    </row>
    <row r="48" spans="1:10">
      <c r="A48" s="151"/>
      <c r="B48" s="79" t="s">
        <v>112</v>
      </c>
      <c r="C48" s="79">
        <f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0%</v>
      </c>
    </row>
    <row r="49" spans="1:10">
      <c r="A49" s="151"/>
      <c r="B49" s="79" t="s">
        <v>113</v>
      </c>
      <c r="C49" s="148">
        <f>C16+E16</f>
        <v>0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ROUND(F43/I49*100,2)&amp;"%"</f>
        <v>0%</v>
      </c>
    </row>
    <row r="50" spans="1:10">
      <c r="A50" s="152"/>
      <c r="B50" s="79" t="s">
        <v>114</v>
      </c>
      <c r="C50" s="148">
        <f>C17+E17</f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15.55%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10日自年初完成产值1947.82万元，自开工累计完成产值14040.52万元，自开工占总产值90284.4万元的15.55%，100章临建完成6000.78万元，400章桥梁完成8039.74万元。已完成梁片预制748片，占设计量的12.65%；梁片安装601片，占设计量的10.16%；湿接缝0米，占设计量的0%；防撞护栏0米，占设计量的0%；桥面铺装0平米，占设计量的0%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Q11" sqref="Q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44603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15.48</v>
      </c>
      <c r="F3" s="143" t="s">
        <v>292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15.48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15.48</v>
      </c>
      <c r="E5" s="13"/>
      <c r="F5" s="144"/>
      <c r="G5" s="18"/>
    </row>
    <row r="6" ht="70.05" customHeight="1" spans="1:16">
      <c r="A6" s="132"/>
      <c r="B6" s="8" t="s">
        <v>11</v>
      </c>
      <c r="C6" s="20">
        <v>0</v>
      </c>
      <c r="D6" s="20">
        <v>1963.298</v>
      </c>
      <c r="E6" s="8">
        <f>ROUND(C6+D6,2)</f>
        <v>1963.3</v>
      </c>
      <c r="F6" s="144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91"/>
      <c r="M6" s="91"/>
      <c r="N6" s="91"/>
      <c r="O6" s="91"/>
      <c r="P6" s="91"/>
    </row>
    <row r="7" ht="70.05" customHeight="1" spans="1:16">
      <c r="A7" s="132"/>
      <c r="B7" s="8" t="s">
        <v>12</v>
      </c>
      <c r="C7" s="20">
        <v>6000.78</v>
      </c>
      <c r="D7" s="20">
        <v>8055.22</v>
      </c>
      <c r="E7" s="8">
        <f>ROUND(C7+D7,2)</f>
        <v>14056</v>
      </c>
      <c r="F7" s="144"/>
      <c r="G7" s="18"/>
      <c r="H7" s="96">
        <f>E6</f>
        <v>1963.3</v>
      </c>
      <c r="I7" s="48">
        <f>H7+1927.38</f>
        <v>3890.68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44603</v>
      </c>
      <c r="B11" s="133" t="s">
        <v>172</v>
      </c>
      <c r="C11" s="33">
        <v>0</v>
      </c>
      <c r="D11" s="8"/>
      <c r="E11" s="33">
        <v>0</v>
      </c>
      <c r="F11" s="8"/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1</v>
      </c>
      <c r="F12" s="8">
        <v>15.23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154"/>
      <c r="I13" s="35">
        <f>E7</f>
        <v>14056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154"/>
      <c r="I14" s="48">
        <f>I13-P10</f>
        <v>521.57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15.48</v>
      </c>
      <c r="F18" s="134"/>
      <c r="G18" s="10"/>
      <c r="H18" s="155" t="s">
        <v>6</v>
      </c>
      <c r="I18" s="159" t="s">
        <v>255</v>
      </c>
      <c r="J18" s="159"/>
      <c r="K18" s="159"/>
      <c r="L18" s="159"/>
      <c r="M18" s="159"/>
      <c r="N18" s="159"/>
      <c r="O18" s="159"/>
      <c r="P18" s="160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15.48</v>
      </c>
      <c r="D19" s="6"/>
      <c r="E19" s="6"/>
      <c r="F19" s="6"/>
      <c r="G19" s="7"/>
      <c r="H19" s="156" t="s">
        <v>242</v>
      </c>
      <c r="I19" s="161"/>
      <c r="J19" s="161"/>
      <c r="K19" s="161"/>
      <c r="L19" s="161"/>
      <c r="M19" s="161"/>
      <c r="N19" s="161"/>
      <c r="O19" s="161"/>
      <c r="P19" s="162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35"/>
      <c r="D22" s="135"/>
      <c r="E22" s="135"/>
      <c r="F22" s="135"/>
      <c r="G22" s="41"/>
      <c r="H22" s="40" t="s">
        <v>33</v>
      </c>
      <c r="I22" s="94">
        <f>222+15*10-24</f>
        <v>348</v>
      </c>
      <c r="J22" s="94">
        <v>24</v>
      </c>
      <c r="K22" s="40" t="s">
        <v>33</v>
      </c>
      <c r="L22" s="94">
        <f>E38-302</f>
        <v>80</v>
      </c>
      <c r="M22" s="94">
        <f>F38-45</f>
        <v>24</v>
      </c>
      <c r="N22" s="40" t="s">
        <v>33</v>
      </c>
      <c r="O22" s="94">
        <v>0</v>
      </c>
      <c r="P22" s="94">
        <v>0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f>142+4*15</f>
        <v>202</v>
      </c>
      <c r="J23" s="94">
        <f>52+9</f>
        <v>61</v>
      </c>
      <c r="K23" s="40" t="s">
        <v>32</v>
      </c>
      <c r="L23" s="94">
        <f>C38-169</f>
        <v>9</v>
      </c>
      <c r="M23" s="94">
        <f>D38-81</f>
        <v>39</v>
      </c>
      <c r="N23" s="40" t="s">
        <v>32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35"/>
      <c r="D25" s="135"/>
      <c r="E25" s="135"/>
      <c r="F25" s="135"/>
      <c r="G25" s="41"/>
      <c r="H25" s="40" t="s">
        <v>33</v>
      </c>
      <c r="I25" s="94">
        <f>245-6</f>
        <v>239</v>
      </c>
      <c r="J25" s="94">
        <v>0</v>
      </c>
      <c r="K25" s="40" t="s">
        <v>33</v>
      </c>
      <c r="L25" s="94">
        <f>E39-258</f>
        <v>71</v>
      </c>
      <c r="M25" s="94">
        <f>F39-7</f>
        <v>31</v>
      </c>
      <c r="N25" s="40" t="s">
        <v>33</v>
      </c>
      <c r="O25" s="94">
        <v>0</v>
      </c>
      <c r="P25" s="94">
        <v>0</v>
      </c>
    </row>
    <row r="26" spans="1:17">
      <c r="A26" s="12"/>
      <c r="B26" s="12"/>
      <c r="C26" s="135"/>
      <c r="D26" s="135"/>
      <c r="E26" s="135"/>
      <c r="F26" s="135"/>
      <c r="G26" s="41"/>
      <c r="H26" s="40" t="s">
        <v>32</v>
      </c>
      <c r="I26" s="94">
        <v>130</v>
      </c>
      <c r="J26" s="94">
        <v>70</v>
      </c>
      <c r="K26" s="40" t="s">
        <v>32</v>
      </c>
      <c r="L26" s="94">
        <f>C39-130</f>
        <v>0</v>
      </c>
      <c r="M26" s="94">
        <f>D39-65</f>
        <v>40</v>
      </c>
      <c r="N26" s="40" t="s">
        <v>32</v>
      </c>
      <c r="O26" s="94">
        <v>0</v>
      </c>
      <c r="P26" s="94">
        <v>0</v>
      </c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228</v>
      </c>
      <c r="I27" s="145">
        <v>5645</v>
      </c>
      <c r="J27" s="146"/>
      <c r="K27" s="36" t="s">
        <v>228</v>
      </c>
      <c r="L27" s="145">
        <f>F45-6105</f>
        <v>3860</v>
      </c>
      <c r="M27" s="146"/>
      <c r="N27" s="36" t="s">
        <v>228</v>
      </c>
      <c r="O27" s="145">
        <v>0</v>
      </c>
      <c r="P27" s="146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36" t="s">
        <v>229</v>
      </c>
      <c r="I28" s="145">
        <v>2990.44</v>
      </c>
      <c r="J28" s="146"/>
      <c r="K28" s="36" t="s">
        <v>229</v>
      </c>
      <c r="L28" s="145">
        <f>F44-2032.04</f>
        <v>920.6</v>
      </c>
      <c r="M28" s="146"/>
      <c r="N28" s="36" t="s">
        <v>229</v>
      </c>
      <c r="O28" s="145">
        <v>0</v>
      </c>
      <c r="P28" s="146"/>
    </row>
    <row r="29" spans="1:16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235</v>
      </c>
      <c r="F29" s="12"/>
      <c r="G29" s="38"/>
      <c r="H29" s="36" t="s">
        <v>230</v>
      </c>
      <c r="I29" s="94">
        <v>0</v>
      </c>
      <c r="J29" s="94"/>
      <c r="K29" s="36" t="s">
        <v>230</v>
      </c>
      <c r="L29" s="94">
        <f>F43-0</f>
        <v>3212</v>
      </c>
      <c r="M29" s="94"/>
      <c r="N29" s="36" t="s">
        <v>230</v>
      </c>
      <c r="O29" s="94">
        <v>0</v>
      </c>
      <c r="P29" s="94"/>
    </row>
    <row r="30" spans="1:16">
      <c r="A30" s="35"/>
      <c r="B30" s="132" t="s">
        <v>76</v>
      </c>
      <c r="C30" s="12">
        <f>E38+F38</f>
        <v>451</v>
      </c>
      <c r="D30" s="132" t="s">
        <v>77</v>
      </c>
      <c r="E30" s="12">
        <f>E39+F39</f>
        <v>367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1963.3</v>
      </c>
      <c r="M30" s="48"/>
      <c r="N30" s="48" t="s">
        <v>5</v>
      </c>
      <c r="O30" s="48"/>
      <c r="P30" s="48"/>
    </row>
    <row r="31" spans="1:16">
      <c r="A31" s="35"/>
      <c r="B31" s="132" t="s">
        <v>78</v>
      </c>
      <c r="C31" s="12">
        <f>C32-C29-C30</f>
        <v>5031</v>
      </c>
      <c r="D31" s="132" t="s">
        <v>79</v>
      </c>
      <c r="E31" s="12">
        <f>E32-E29-E30</f>
        <v>5178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44594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44595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44596</v>
      </c>
      <c r="B38" s="54">
        <v>0</v>
      </c>
      <c r="C38" s="58">
        <v>178</v>
      </c>
      <c r="D38" s="58">
        <v>120</v>
      </c>
      <c r="E38" s="58">
        <v>382</v>
      </c>
      <c r="F38" s="58">
        <v>69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44597</v>
      </c>
      <c r="B39" s="54">
        <v>0</v>
      </c>
      <c r="C39" s="60">
        <v>130</v>
      </c>
      <c r="D39" s="60">
        <v>105</v>
      </c>
      <c r="E39" s="60">
        <v>329</v>
      </c>
      <c r="F39" s="60">
        <v>38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44598</v>
      </c>
      <c r="B40" s="62">
        <v>0</v>
      </c>
      <c r="C40" s="63" t="s">
        <v>182</v>
      </c>
      <c r="D40" s="64">
        <f>C38+D38+E38+F38</f>
        <v>749</v>
      </c>
      <c r="E40" s="65" t="s">
        <v>69</v>
      </c>
      <c r="F40" s="66">
        <f>C39+D39+E39+F39</f>
        <v>602</v>
      </c>
      <c r="G40" s="61"/>
      <c r="H40" s="56" t="s">
        <v>285</v>
      </c>
      <c r="I40" s="136" t="s">
        <v>286</v>
      </c>
      <c r="J40" s="163"/>
      <c r="K40" s="163"/>
      <c r="L40" s="163"/>
      <c r="M40" s="163"/>
      <c r="N40" s="163"/>
      <c r="O40" s="163"/>
      <c r="P40" s="137"/>
      <c r="U40" s="4"/>
    </row>
    <row r="41" ht="15.6" spans="1:21">
      <c r="A41" s="53">
        <v>44599</v>
      </c>
      <c r="B41" s="54">
        <v>0</v>
      </c>
      <c r="C41" s="139" t="s">
        <v>287</v>
      </c>
      <c r="D41" s="140"/>
      <c r="E41" s="140"/>
      <c r="F41" s="141"/>
      <c r="G41" s="10"/>
      <c r="H41" s="157"/>
      <c r="I41" s="157"/>
      <c r="J41" s="157"/>
      <c r="K41" s="157"/>
      <c r="L41" s="157"/>
      <c r="M41" s="157"/>
      <c r="N41" s="157"/>
      <c r="O41" s="157"/>
      <c r="U41" s="4"/>
    </row>
    <row r="42" ht="15.6" spans="1:21">
      <c r="A42" s="53">
        <v>44600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64" t="s">
        <v>225</v>
      </c>
      <c r="I42" s="165"/>
      <c r="J42" s="165"/>
      <c r="U42" s="4"/>
    </row>
    <row r="43" ht="15.6" spans="1:21">
      <c r="A43" s="53">
        <v>44601</v>
      </c>
      <c r="B43" s="54">
        <v>0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截止2022年02月11日</v>
      </c>
      <c r="I43" s="40"/>
      <c r="J43" s="40"/>
      <c r="U43" s="4"/>
    </row>
    <row r="44" ht="15.6" spans="1:21">
      <c r="A44" s="53">
        <v>44602</v>
      </c>
      <c r="B44" s="54">
        <v>45.75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44603</v>
      </c>
      <c r="B45" s="54">
        <v>15.48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12.67%</v>
      </c>
      <c r="U45" s="4"/>
    </row>
    <row r="46" spans="1:10">
      <c r="A46" s="147" t="s">
        <v>138</v>
      </c>
      <c r="B46" s="79" t="s">
        <v>110</v>
      </c>
      <c r="C46" s="148">
        <f>SUM(C11,E11,C12,E12)</f>
        <v>1</v>
      </c>
      <c r="D46" s="149"/>
      <c r="E46" s="149"/>
      <c r="F46" s="150"/>
      <c r="G46" s="76"/>
      <c r="H46" s="40" t="s">
        <v>62</v>
      </c>
      <c r="I46" s="35">
        <v>5913</v>
      </c>
      <c r="J46" s="35" t="str">
        <f>ROUND(F40/I46*100,2)&amp;"%"</f>
        <v>10.18%</v>
      </c>
    </row>
    <row r="47" spans="1:10">
      <c r="A47" s="151"/>
      <c r="B47" s="79" t="s">
        <v>111</v>
      </c>
      <c r="C47" s="148">
        <f>SUM(C13,C14,E13,E14)</f>
        <v>1</v>
      </c>
      <c r="D47" s="149"/>
      <c r="E47" s="149"/>
      <c r="F47" s="150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15.57%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11日自年初完成产值1963.3万元，自开工累计完成产值14056万元，自开工占总产值90284.4万元的15.57%，100章临建完成6000.78万元，400章桥梁完成8055.22万元。已完成梁片预制749片，占设计量的12.67%；梁片安装602片，占设计量的10.18%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Q8" sqref="Q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44604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38.34</v>
      </c>
      <c r="F3" s="143" t="s">
        <v>293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38.34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38.34</v>
      </c>
      <c r="E5" s="13"/>
      <c r="F5" s="144"/>
      <c r="G5" s="18"/>
    </row>
    <row r="6" ht="70.05" customHeight="1" spans="1:16">
      <c r="A6" s="132"/>
      <c r="B6" s="8" t="s">
        <v>11</v>
      </c>
      <c r="C6" s="20">
        <v>0</v>
      </c>
      <c r="D6" s="20">
        <v>2001.64</v>
      </c>
      <c r="E6" s="8">
        <f>ROUND(C6+D6,2)</f>
        <v>2001.64</v>
      </c>
      <c r="F6" s="144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91"/>
      <c r="M6" s="91"/>
      <c r="N6" s="91"/>
      <c r="O6" s="91"/>
      <c r="P6" s="91"/>
    </row>
    <row r="7" ht="70.05" customHeight="1" spans="1:16">
      <c r="A7" s="132"/>
      <c r="B7" s="8" t="s">
        <v>12</v>
      </c>
      <c r="C7" s="20">
        <v>6000.78</v>
      </c>
      <c r="D7" s="20">
        <v>8093.56</v>
      </c>
      <c r="E7" s="8">
        <f>ROUND(C7+D7,2)</f>
        <v>14094.34</v>
      </c>
      <c r="F7" s="144"/>
      <c r="G7" s="18"/>
      <c r="H7" s="96">
        <f>E6</f>
        <v>2001.64</v>
      </c>
      <c r="I7" s="48">
        <f>H7+1927.38</f>
        <v>3929.02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44604</v>
      </c>
      <c r="B11" s="133" t="s">
        <v>172</v>
      </c>
      <c r="C11" s="33">
        <v>0</v>
      </c>
      <c r="D11" s="8"/>
      <c r="E11" s="33">
        <v>3</v>
      </c>
      <c r="F11" s="8">
        <v>23.1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1</v>
      </c>
      <c r="F12" s="8">
        <v>15.24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154"/>
      <c r="I13" s="35">
        <f>E7</f>
        <v>14094.34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0</v>
      </c>
      <c r="F14" s="8"/>
      <c r="G14" s="10"/>
      <c r="H14" s="154"/>
      <c r="I14" s="48">
        <f>I13-P10</f>
        <v>559.91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38.34</v>
      </c>
      <c r="F18" s="134"/>
      <c r="G18" s="10"/>
      <c r="H18" s="155" t="s">
        <v>6</v>
      </c>
      <c r="I18" s="159" t="s">
        <v>255</v>
      </c>
      <c r="J18" s="159"/>
      <c r="K18" s="159"/>
      <c r="L18" s="159"/>
      <c r="M18" s="159"/>
      <c r="N18" s="159"/>
      <c r="O18" s="159"/>
      <c r="P18" s="160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38.34</v>
      </c>
      <c r="D19" s="6"/>
      <c r="E19" s="6"/>
      <c r="F19" s="6"/>
      <c r="G19" s="7"/>
      <c r="H19" s="156" t="s">
        <v>242</v>
      </c>
      <c r="I19" s="161"/>
      <c r="J19" s="161"/>
      <c r="K19" s="161"/>
      <c r="L19" s="161"/>
      <c r="M19" s="161"/>
      <c r="N19" s="161"/>
      <c r="O19" s="161"/>
      <c r="P19" s="162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35"/>
      <c r="D22" s="135"/>
      <c r="E22" s="135"/>
      <c r="F22" s="135"/>
      <c r="G22" s="41"/>
      <c r="H22" s="40" t="s">
        <v>33</v>
      </c>
      <c r="I22" s="94">
        <f>222+15*10-24</f>
        <v>348</v>
      </c>
      <c r="J22" s="94">
        <v>24</v>
      </c>
      <c r="K22" s="40" t="s">
        <v>33</v>
      </c>
      <c r="L22" s="94">
        <f>E38-302</f>
        <v>83</v>
      </c>
      <c r="M22" s="94">
        <f>F38-45</f>
        <v>25</v>
      </c>
      <c r="N22" s="40" t="s">
        <v>33</v>
      </c>
      <c r="O22" s="94">
        <v>0</v>
      </c>
      <c r="P22" s="94">
        <v>0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f>142+4*15</f>
        <v>202</v>
      </c>
      <c r="J23" s="94">
        <f>52+9</f>
        <v>61</v>
      </c>
      <c r="K23" s="40" t="s">
        <v>32</v>
      </c>
      <c r="L23" s="94">
        <f>C38-169</f>
        <v>9</v>
      </c>
      <c r="M23" s="94">
        <f>D38-81</f>
        <v>39</v>
      </c>
      <c r="N23" s="40" t="s">
        <v>32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35"/>
      <c r="D25" s="135"/>
      <c r="E25" s="135"/>
      <c r="F25" s="135"/>
      <c r="G25" s="41"/>
      <c r="H25" s="40" t="s">
        <v>33</v>
      </c>
      <c r="I25" s="94">
        <f>245-6</f>
        <v>239</v>
      </c>
      <c r="J25" s="94">
        <v>0</v>
      </c>
      <c r="K25" s="40" t="s">
        <v>33</v>
      </c>
      <c r="L25" s="94">
        <f>E39-258</f>
        <v>71</v>
      </c>
      <c r="M25" s="94">
        <f>F39-7</f>
        <v>31</v>
      </c>
      <c r="N25" s="40" t="s">
        <v>33</v>
      </c>
      <c r="O25" s="94">
        <v>0</v>
      </c>
      <c r="P25" s="94">
        <v>0</v>
      </c>
    </row>
    <row r="26" spans="1:17">
      <c r="A26" s="12"/>
      <c r="B26" s="12"/>
      <c r="C26" s="135"/>
      <c r="D26" s="135"/>
      <c r="E26" s="135"/>
      <c r="F26" s="135"/>
      <c r="G26" s="41"/>
      <c r="H26" s="40" t="s">
        <v>32</v>
      </c>
      <c r="I26" s="94">
        <v>130</v>
      </c>
      <c r="J26" s="94">
        <v>70</v>
      </c>
      <c r="K26" s="40" t="s">
        <v>32</v>
      </c>
      <c r="L26" s="94">
        <f>C39-130</f>
        <v>0</v>
      </c>
      <c r="M26" s="94">
        <f>D39-65</f>
        <v>40</v>
      </c>
      <c r="N26" s="40" t="s">
        <v>32</v>
      </c>
      <c r="O26" s="94">
        <v>0</v>
      </c>
      <c r="P26" s="94">
        <v>0</v>
      </c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228</v>
      </c>
      <c r="I27" s="145">
        <v>5645</v>
      </c>
      <c r="J27" s="146"/>
      <c r="K27" s="36" t="s">
        <v>228</v>
      </c>
      <c r="L27" s="145">
        <f>F45-6105</f>
        <v>3860</v>
      </c>
      <c r="M27" s="146"/>
      <c r="N27" s="36" t="s">
        <v>228</v>
      </c>
      <c r="O27" s="145">
        <v>0</v>
      </c>
      <c r="P27" s="146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36" t="s">
        <v>229</v>
      </c>
      <c r="I28" s="145">
        <v>2990.44</v>
      </c>
      <c r="J28" s="146"/>
      <c r="K28" s="36" t="s">
        <v>229</v>
      </c>
      <c r="L28" s="145">
        <f>F44-2032.04</f>
        <v>920.6</v>
      </c>
      <c r="M28" s="146"/>
      <c r="N28" s="36" t="s">
        <v>229</v>
      </c>
      <c r="O28" s="145">
        <v>0</v>
      </c>
      <c r="P28" s="146"/>
    </row>
    <row r="29" spans="1:16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235</v>
      </c>
      <c r="F29" s="12"/>
      <c r="G29" s="38"/>
      <c r="H29" s="36" t="s">
        <v>230</v>
      </c>
      <c r="I29" s="94">
        <v>0</v>
      </c>
      <c r="J29" s="94"/>
      <c r="K29" s="36" t="s">
        <v>230</v>
      </c>
      <c r="L29" s="94">
        <f>F43-0</f>
        <v>3212</v>
      </c>
      <c r="M29" s="94"/>
      <c r="N29" s="36" t="s">
        <v>230</v>
      </c>
      <c r="O29" s="94">
        <v>0</v>
      </c>
      <c r="P29" s="94"/>
    </row>
    <row r="30" spans="1:16">
      <c r="A30" s="35"/>
      <c r="B30" s="132" t="s">
        <v>76</v>
      </c>
      <c r="C30" s="12">
        <f>E38+F38</f>
        <v>455</v>
      </c>
      <c r="D30" s="132" t="s">
        <v>77</v>
      </c>
      <c r="E30" s="12">
        <f>E39+F39</f>
        <v>367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2001.64</v>
      </c>
      <c r="M30" s="48"/>
      <c r="N30" s="48" t="s">
        <v>5</v>
      </c>
      <c r="O30" s="48"/>
      <c r="P30" s="48"/>
    </row>
    <row r="31" spans="1:16">
      <c r="A31" s="35"/>
      <c r="B31" s="132" t="s">
        <v>78</v>
      </c>
      <c r="C31" s="12">
        <f>C32-C29-C30</f>
        <v>5027</v>
      </c>
      <c r="D31" s="132" t="s">
        <v>79</v>
      </c>
      <c r="E31" s="12">
        <f>E32-E29-E30</f>
        <v>5178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44595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44596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44597</v>
      </c>
      <c r="B38" s="54">
        <v>0</v>
      </c>
      <c r="C38" s="58">
        <v>178</v>
      </c>
      <c r="D38" s="58">
        <v>120</v>
      </c>
      <c r="E38" s="58">
        <v>385</v>
      </c>
      <c r="F38" s="58">
        <v>70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44598</v>
      </c>
      <c r="B39" s="54">
        <v>0</v>
      </c>
      <c r="C39" s="60">
        <v>130</v>
      </c>
      <c r="D39" s="60">
        <v>105</v>
      </c>
      <c r="E39" s="60">
        <v>329</v>
      </c>
      <c r="F39" s="60">
        <v>38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44599</v>
      </c>
      <c r="B40" s="62">
        <v>0</v>
      </c>
      <c r="C40" s="63" t="s">
        <v>182</v>
      </c>
      <c r="D40" s="64">
        <f>C38+D38+E38+F38</f>
        <v>753</v>
      </c>
      <c r="E40" s="65" t="s">
        <v>69</v>
      </c>
      <c r="F40" s="66">
        <f>C39+D39+E39+F39</f>
        <v>602</v>
      </c>
      <c r="G40" s="61"/>
      <c r="H40" s="56" t="s">
        <v>285</v>
      </c>
      <c r="I40" s="136" t="s">
        <v>286</v>
      </c>
      <c r="J40" s="163"/>
      <c r="K40" s="163"/>
      <c r="L40" s="163"/>
      <c r="M40" s="163"/>
      <c r="N40" s="163"/>
      <c r="O40" s="163"/>
      <c r="P40" s="137"/>
      <c r="U40" s="4"/>
    </row>
    <row r="41" ht="15.6" spans="1:21">
      <c r="A41" s="53">
        <v>44600</v>
      </c>
      <c r="B41" s="54">
        <v>0</v>
      </c>
      <c r="C41" s="139" t="s">
        <v>287</v>
      </c>
      <c r="D41" s="140"/>
      <c r="E41" s="140"/>
      <c r="F41" s="141"/>
      <c r="G41" s="10"/>
      <c r="H41" s="157"/>
      <c r="I41" s="157"/>
      <c r="J41" s="157"/>
      <c r="K41" s="157"/>
      <c r="L41" s="157"/>
      <c r="M41" s="157"/>
      <c r="N41" s="157"/>
      <c r="O41" s="157"/>
      <c r="U41" s="4"/>
    </row>
    <row r="42" ht="15.6" spans="1:21">
      <c r="A42" s="53">
        <v>44601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64" t="s">
        <v>225</v>
      </c>
      <c r="I42" s="165"/>
      <c r="J42" s="165"/>
      <c r="U42" s="4"/>
    </row>
    <row r="43" ht="15.6" spans="1:21">
      <c r="A43" s="53">
        <v>44602</v>
      </c>
      <c r="B43" s="54">
        <v>45.75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截止2022年02月12日</v>
      </c>
      <c r="I43" s="40"/>
      <c r="J43" s="40"/>
      <c r="U43" s="4"/>
    </row>
    <row r="44" ht="15.6" spans="1:21">
      <c r="A44" s="53">
        <v>44603</v>
      </c>
      <c r="B44" s="54">
        <v>15.48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44604</v>
      </c>
      <c r="B45" s="54">
        <v>38.34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12.73%</v>
      </c>
      <c r="U45" s="4"/>
    </row>
    <row r="46" spans="1:10">
      <c r="A46" s="147" t="s">
        <v>138</v>
      </c>
      <c r="B46" s="79" t="s">
        <v>110</v>
      </c>
      <c r="C46" s="148">
        <f>SUM(C11,E11,C12,E12)</f>
        <v>4</v>
      </c>
      <c r="D46" s="149"/>
      <c r="E46" s="149"/>
      <c r="F46" s="150"/>
      <c r="G46" s="76"/>
      <c r="H46" s="40" t="s">
        <v>62</v>
      </c>
      <c r="I46" s="35">
        <v>5913</v>
      </c>
      <c r="J46" s="35" t="str">
        <f>ROUND(F40/I46*100,2)&amp;"%"</f>
        <v>10.18%</v>
      </c>
    </row>
    <row r="47" spans="1:10">
      <c r="A47" s="151"/>
      <c r="B47" s="79" t="s">
        <v>111</v>
      </c>
      <c r="C47" s="148">
        <f>SUM(C13,C14,E13,E14)</f>
        <v>0</v>
      </c>
      <c r="D47" s="149"/>
      <c r="E47" s="149"/>
      <c r="F47" s="150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15.61%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12日自年初完成产值2001.64万元，自开工累计完成产值14094.34万元，自开工占总产值90284.4万元的15.61%，100章临建完成6000.78万元，400章桥梁完成8093.56万元。已完成梁片预制753片，占设计量的12.73%；梁片安装602片，占设计量的10.18%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Q8" sqref="Q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44605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30.52</v>
      </c>
      <c r="F3" s="143" t="s">
        <v>294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30.52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30.52</v>
      </c>
      <c r="E5" s="13"/>
      <c r="F5" s="144"/>
      <c r="G5" s="18"/>
    </row>
    <row r="6" ht="70.05" customHeight="1" spans="1:16">
      <c r="A6" s="132"/>
      <c r="B6" s="8" t="s">
        <v>11</v>
      </c>
      <c r="C6" s="20">
        <v>0</v>
      </c>
      <c r="D6" s="20">
        <v>2032.16</v>
      </c>
      <c r="E6" s="8">
        <f>ROUND(C6+D6,2)</f>
        <v>2032.16</v>
      </c>
      <c r="F6" s="144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91"/>
      <c r="M6" s="91"/>
      <c r="N6" s="91"/>
      <c r="O6" s="91"/>
      <c r="P6" s="91"/>
    </row>
    <row r="7" ht="70.05" customHeight="1" spans="1:16">
      <c r="A7" s="132"/>
      <c r="B7" s="8" t="s">
        <v>12</v>
      </c>
      <c r="C7" s="20">
        <v>6000.78</v>
      </c>
      <c r="D7" s="20">
        <v>8124.08</v>
      </c>
      <c r="E7" s="8">
        <f>ROUND(C7+D7,2)</f>
        <v>14124.86</v>
      </c>
      <c r="F7" s="144"/>
      <c r="G7" s="18"/>
      <c r="H7" s="96">
        <f>E6</f>
        <v>2032.16</v>
      </c>
      <c r="I7" s="48">
        <f>H7+1927.38</f>
        <v>3959.54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44605</v>
      </c>
      <c r="B11" s="133" t="s">
        <v>172</v>
      </c>
      <c r="C11" s="33">
        <v>0</v>
      </c>
      <c r="D11" s="8"/>
      <c r="E11" s="33">
        <v>2</v>
      </c>
      <c r="F11" s="8">
        <v>15.28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1</v>
      </c>
      <c r="F12" s="8">
        <v>15.24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154"/>
      <c r="I13" s="35">
        <f>E7</f>
        <v>14124.86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0</v>
      </c>
      <c r="F14" s="8"/>
      <c r="G14" s="10"/>
      <c r="H14" s="154"/>
      <c r="I14" s="48">
        <f>I13-P10</f>
        <v>590.43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30.52</v>
      </c>
      <c r="F18" s="134"/>
      <c r="G18" s="10"/>
      <c r="H18" s="155" t="s">
        <v>6</v>
      </c>
      <c r="I18" s="159" t="s">
        <v>255</v>
      </c>
      <c r="J18" s="159"/>
      <c r="K18" s="159"/>
      <c r="L18" s="159"/>
      <c r="M18" s="159"/>
      <c r="N18" s="159"/>
      <c r="O18" s="159"/>
      <c r="P18" s="160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30.52</v>
      </c>
      <c r="D19" s="6"/>
      <c r="E19" s="6"/>
      <c r="F19" s="6"/>
      <c r="G19" s="7"/>
      <c r="H19" s="156" t="s">
        <v>242</v>
      </c>
      <c r="I19" s="161"/>
      <c r="J19" s="161"/>
      <c r="K19" s="161"/>
      <c r="L19" s="161"/>
      <c r="M19" s="161"/>
      <c r="N19" s="161"/>
      <c r="O19" s="161"/>
      <c r="P19" s="162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35"/>
      <c r="D22" s="135"/>
      <c r="E22" s="135"/>
      <c r="F22" s="135"/>
      <c r="G22" s="41"/>
      <c r="H22" s="40" t="s">
        <v>33</v>
      </c>
      <c r="I22" s="94">
        <f>222+15*10-24</f>
        <v>348</v>
      </c>
      <c r="J22" s="94">
        <v>24</v>
      </c>
      <c r="K22" s="40" t="s">
        <v>33</v>
      </c>
      <c r="L22" s="94">
        <f>E38-302</f>
        <v>85</v>
      </c>
      <c r="M22" s="94">
        <f>F38-45</f>
        <v>26</v>
      </c>
      <c r="N22" s="40" t="s">
        <v>33</v>
      </c>
      <c r="O22" s="94">
        <v>0</v>
      </c>
      <c r="P22" s="94">
        <v>0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f>142+4*15</f>
        <v>202</v>
      </c>
      <c r="J23" s="94">
        <f>52+9</f>
        <v>61</v>
      </c>
      <c r="K23" s="40" t="s">
        <v>32</v>
      </c>
      <c r="L23" s="94">
        <f>C38-169</f>
        <v>9</v>
      </c>
      <c r="M23" s="94">
        <f>D38-81</f>
        <v>39</v>
      </c>
      <c r="N23" s="40" t="s">
        <v>32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35"/>
      <c r="D25" s="135"/>
      <c r="E25" s="135"/>
      <c r="F25" s="135"/>
      <c r="G25" s="41"/>
      <c r="H25" s="40" t="s">
        <v>33</v>
      </c>
      <c r="I25" s="94">
        <f>245-6</f>
        <v>239</v>
      </c>
      <c r="J25" s="94">
        <v>0</v>
      </c>
      <c r="K25" s="40" t="s">
        <v>33</v>
      </c>
      <c r="L25" s="94">
        <f>E39-258</f>
        <v>71</v>
      </c>
      <c r="M25" s="94">
        <f>F39-7</f>
        <v>31</v>
      </c>
      <c r="N25" s="40" t="s">
        <v>33</v>
      </c>
      <c r="O25" s="94">
        <v>0</v>
      </c>
      <c r="P25" s="94">
        <v>0</v>
      </c>
    </row>
    <row r="26" spans="1:17">
      <c r="A26" s="12"/>
      <c r="B26" s="12"/>
      <c r="C26" s="135"/>
      <c r="D26" s="135"/>
      <c r="E26" s="135"/>
      <c r="F26" s="135"/>
      <c r="G26" s="41"/>
      <c r="H26" s="40" t="s">
        <v>32</v>
      </c>
      <c r="I26" s="94">
        <v>130</v>
      </c>
      <c r="J26" s="94">
        <v>70</v>
      </c>
      <c r="K26" s="40" t="s">
        <v>32</v>
      </c>
      <c r="L26" s="94">
        <f>C39-130</f>
        <v>0</v>
      </c>
      <c r="M26" s="94">
        <f>D39-65</f>
        <v>40</v>
      </c>
      <c r="N26" s="40" t="s">
        <v>32</v>
      </c>
      <c r="O26" s="94">
        <v>0</v>
      </c>
      <c r="P26" s="94">
        <v>0</v>
      </c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228</v>
      </c>
      <c r="I27" s="145">
        <v>5645</v>
      </c>
      <c r="J27" s="146"/>
      <c r="K27" s="36" t="s">
        <v>228</v>
      </c>
      <c r="L27" s="145">
        <f>F45-6105</f>
        <v>3860</v>
      </c>
      <c r="M27" s="146"/>
      <c r="N27" s="36" t="s">
        <v>228</v>
      </c>
      <c r="O27" s="145">
        <v>0</v>
      </c>
      <c r="P27" s="146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36" t="s">
        <v>229</v>
      </c>
      <c r="I28" s="145">
        <v>2990.44</v>
      </c>
      <c r="J28" s="146"/>
      <c r="K28" s="36" t="s">
        <v>229</v>
      </c>
      <c r="L28" s="145">
        <f>F44-2032.04</f>
        <v>920.6</v>
      </c>
      <c r="M28" s="146"/>
      <c r="N28" s="36" t="s">
        <v>229</v>
      </c>
      <c r="O28" s="145">
        <v>0</v>
      </c>
      <c r="P28" s="146"/>
    </row>
    <row r="29" spans="1:16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235</v>
      </c>
      <c r="F29" s="12"/>
      <c r="G29" s="38"/>
      <c r="H29" s="36" t="s">
        <v>230</v>
      </c>
      <c r="I29" s="94">
        <v>0</v>
      </c>
      <c r="J29" s="94"/>
      <c r="K29" s="36" t="s">
        <v>230</v>
      </c>
      <c r="L29" s="94">
        <f>F43-0</f>
        <v>3212</v>
      </c>
      <c r="M29" s="94"/>
      <c r="N29" s="36" t="s">
        <v>230</v>
      </c>
      <c r="O29" s="94">
        <v>0</v>
      </c>
      <c r="P29" s="94"/>
    </row>
    <row r="30" spans="1:16">
      <c r="A30" s="35"/>
      <c r="B30" s="132" t="s">
        <v>76</v>
      </c>
      <c r="C30" s="12">
        <f>E38+F38</f>
        <v>458</v>
      </c>
      <c r="D30" s="132" t="s">
        <v>77</v>
      </c>
      <c r="E30" s="12">
        <f>E39+F39</f>
        <v>367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2032.16</v>
      </c>
      <c r="M30" s="48"/>
      <c r="N30" s="48" t="s">
        <v>5</v>
      </c>
      <c r="O30" s="48"/>
      <c r="P30" s="48"/>
    </row>
    <row r="31" spans="1:16">
      <c r="A31" s="35"/>
      <c r="B31" s="132" t="s">
        <v>78</v>
      </c>
      <c r="C31" s="12">
        <f>C32-C29-C30</f>
        <v>5024</v>
      </c>
      <c r="D31" s="132" t="s">
        <v>79</v>
      </c>
      <c r="E31" s="12">
        <f>E32-E29-E30</f>
        <v>5178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44596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44597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44598</v>
      </c>
      <c r="B38" s="54">
        <v>0</v>
      </c>
      <c r="C38" s="58">
        <v>178</v>
      </c>
      <c r="D38" s="58">
        <v>120</v>
      </c>
      <c r="E38" s="58">
        <v>387</v>
      </c>
      <c r="F38" s="58">
        <v>71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44599</v>
      </c>
      <c r="B39" s="54">
        <v>0</v>
      </c>
      <c r="C39" s="60">
        <v>130</v>
      </c>
      <c r="D39" s="60">
        <v>105</v>
      </c>
      <c r="E39" s="60">
        <v>329</v>
      </c>
      <c r="F39" s="60">
        <v>38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44600</v>
      </c>
      <c r="B40" s="62">
        <v>0</v>
      </c>
      <c r="C40" s="63" t="s">
        <v>182</v>
      </c>
      <c r="D40" s="64">
        <f>C38+D38+E38+F38</f>
        <v>756</v>
      </c>
      <c r="E40" s="65" t="s">
        <v>69</v>
      </c>
      <c r="F40" s="66">
        <f>C39+D39+E39+F39</f>
        <v>602</v>
      </c>
      <c r="G40" s="61"/>
      <c r="H40" s="56" t="s">
        <v>285</v>
      </c>
      <c r="I40" s="136" t="s">
        <v>286</v>
      </c>
      <c r="J40" s="163"/>
      <c r="K40" s="163"/>
      <c r="L40" s="163"/>
      <c r="M40" s="163"/>
      <c r="N40" s="163"/>
      <c r="O40" s="163"/>
      <c r="P40" s="137"/>
      <c r="U40" s="4"/>
    </row>
    <row r="41" ht="15.6" spans="1:21">
      <c r="A41" s="53">
        <v>44601</v>
      </c>
      <c r="B41" s="54">
        <v>0</v>
      </c>
      <c r="C41" s="139" t="s">
        <v>287</v>
      </c>
      <c r="D41" s="140"/>
      <c r="E41" s="140"/>
      <c r="F41" s="141"/>
      <c r="G41" s="10"/>
      <c r="H41" s="157"/>
      <c r="I41" s="157"/>
      <c r="J41" s="157"/>
      <c r="K41" s="157"/>
      <c r="L41" s="157"/>
      <c r="M41" s="157"/>
      <c r="N41" s="157"/>
      <c r="O41" s="157"/>
      <c r="U41" s="4"/>
    </row>
    <row r="42" ht="15.6" spans="1:21">
      <c r="A42" s="53">
        <v>44602</v>
      </c>
      <c r="B42" s="54">
        <v>45.75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64" t="s">
        <v>225</v>
      </c>
      <c r="I42" s="165"/>
      <c r="J42" s="165"/>
      <c r="U42" s="4"/>
    </row>
    <row r="43" ht="15.6" spans="1:21">
      <c r="A43" s="53">
        <v>44603</v>
      </c>
      <c r="B43" s="54">
        <v>15.48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截止2022年02月13日</v>
      </c>
      <c r="I43" s="40"/>
      <c r="J43" s="40"/>
      <c r="U43" s="4"/>
    </row>
    <row r="44" ht="15.6" spans="1:21">
      <c r="A44" s="53">
        <v>44604</v>
      </c>
      <c r="B44" s="54">
        <v>38.34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44605</v>
      </c>
      <c r="B45" s="54">
        <v>30.52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12.79%</v>
      </c>
      <c r="U45" s="4"/>
    </row>
    <row r="46" spans="1:10">
      <c r="A46" s="147" t="s">
        <v>138</v>
      </c>
      <c r="B46" s="79" t="s">
        <v>110</v>
      </c>
      <c r="C46" s="148">
        <f>SUM(C11,E11,C12,E12)</f>
        <v>3</v>
      </c>
      <c r="D46" s="149"/>
      <c r="E46" s="149"/>
      <c r="F46" s="150"/>
      <c r="G46" s="76"/>
      <c r="H46" s="40" t="s">
        <v>62</v>
      </c>
      <c r="I46" s="35">
        <v>5913</v>
      </c>
      <c r="J46" s="35" t="str">
        <f>ROUND(F40/I46*100,2)&amp;"%"</f>
        <v>10.18%</v>
      </c>
    </row>
    <row r="47" spans="1:10">
      <c r="A47" s="151"/>
      <c r="B47" s="79" t="s">
        <v>111</v>
      </c>
      <c r="C47" s="148">
        <f>SUM(C13,C14,E13,E14)</f>
        <v>0</v>
      </c>
      <c r="D47" s="149"/>
      <c r="E47" s="149"/>
      <c r="F47" s="150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15.64%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13日自年初完成产值2032.16万元，自开工累计完成产值14124.86万元，自开工占总产值90284.4万元的15.64%，100章临建完成6000.78万元，400章桥梁完成8124.08万元。已完成梁片预制756片，占设计量的12.79%；梁片安装602片，占设计量的10.18%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Q8" sqref="Q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44606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54.88</v>
      </c>
      <c r="F3" s="143" t="s">
        <v>295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54.88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54.88</v>
      </c>
      <c r="E5" s="13"/>
      <c r="F5" s="144"/>
      <c r="G5" s="18"/>
    </row>
    <row r="6" ht="70.05" customHeight="1" spans="1:16">
      <c r="A6" s="132"/>
      <c r="B6" s="8" t="s">
        <v>11</v>
      </c>
      <c r="C6" s="20">
        <v>0</v>
      </c>
      <c r="D6" s="20">
        <v>2087.04</v>
      </c>
      <c r="E6" s="8">
        <f>ROUND(C6+D6,2)</f>
        <v>2087.04</v>
      </c>
      <c r="F6" s="144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91"/>
      <c r="M6" s="91"/>
      <c r="N6" s="91"/>
      <c r="O6" s="91"/>
      <c r="P6" s="91"/>
    </row>
    <row r="7" ht="70.05" customHeight="1" spans="1:16">
      <c r="A7" s="132"/>
      <c r="B7" s="8" t="s">
        <v>12</v>
      </c>
      <c r="C7" s="20">
        <v>6000.78</v>
      </c>
      <c r="D7" s="20">
        <v>8178.96</v>
      </c>
      <c r="E7" s="8">
        <f>ROUND(C7+D7,2)</f>
        <v>14179.74</v>
      </c>
      <c r="F7" s="144"/>
      <c r="G7" s="18"/>
      <c r="H7" s="96">
        <f>E6</f>
        <v>2087.04</v>
      </c>
      <c r="I7" s="48">
        <f>H7+1927.38</f>
        <v>4014.42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44606</v>
      </c>
      <c r="B11" s="133" t="s">
        <v>172</v>
      </c>
      <c r="C11" s="33">
        <v>0</v>
      </c>
      <c r="D11" s="8"/>
      <c r="E11" s="33">
        <v>3</v>
      </c>
      <c r="F11" s="8">
        <v>23.1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2</v>
      </c>
      <c r="F12" s="8">
        <v>30.52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154"/>
      <c r="I13" s="35">
        <f>E7</f>
        <v>14179.74</v>
      </c>
      <c r="J13" s="35"/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5</v>
      </c>
      <c r="F14" s="8">
        <v>1.26</v>
      </c>
      <c r="G14" s="10"/>
      <c r="H14" s="154"/>
      <c r="I14" s="48">
        <f>I13-P10</f>
        <v>645.309999999999</v>
      </c>
      <c r="J14" s="48"/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54.88</v>
      </c>
      <c r="F18" s="134"/>
      <c r="G18" s="10"/>
      <c r="H18" s="155" t="s">
        <v>6</v>
      </c>
      <c r="I18" s="159" t="s">
        <v>255</v>
      </c>
      <c r="J18" s="159"/>
      <c r="K18" s="159"/>
      <c r="L18" s="159"/>
      <c r="M18" s="159"/>
      <c r="N18" s="159"/>
      <c r="O18" s="159"/>
      <c r="P18" s="160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54.88</v>
      </c>
      <c r="D19" s="6"/>
      <c r="E19" s="6"/>
      <c r="F19" s="6"/>
      <c r="G19" s="7"/>
      <c r="H19" s="156" t="s">
        <v>242</v>
      </c>
      <c r="I19" s="161"/>
      <c r="J19" s="161"/>
      <c r="K19" s="161"/>
      <c r="L19" s="161"/>
      <c r="M19" s="161"/>
      <c r="N19" s="161"/>
      <c r="O19" s="161"/>
      <c r="P19" s="162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35"/>
      <c r="D22" s="135"/>
      <c r="E22" s="135"/>
      <c r="F22" s="135"/>
      <c r="G22" s="41"/>
      <c r="H22" s="40" t="s">
        <v>33</v>
      </c>
      <c r="I22" s="94">
        <f>222+15*10-24</f>
        <v>348</v>
      </c>
      <c r="J22" s="94">
        <v>24</v>
      </c>
      <c r="K22" s="40" t="s">
        <v>33</v>
      </c>
      <c r="L22" s="94">
        <f>E38-302</f>
        <v>88</v>
      </c>
      <c r="M22" s="94">
        <f>F38-45</f>
        <v>28</v>
      </c>
      <c r="N22" s="40" t="s">
        <v>33</v>
      </c>
      <c r="O22" s="94">
        <v>0</v>
      </c>
      <c r="P22" s="94">
        <v>0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f>142+4*15</f>
        <v>202</v>
      </c>
      <c r="J23" s="94">
        <f>52+9</f>
        <v>61</v>
      </c>
      <c r="K23" s="40" t="s">
        <v>32</v>
      </c>
      <c r="L23" s="94">
        <f>C38-169</f>
        <v>9</v>
      </c>
      <c r="M23" s="94">
        <f>D38-81</f>
        <v>39</v>
      </c>
      <c r="N23" s="40" t="s">
        <v>32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35"/>
      <c r="D25" s="135"/>
      <c r="E25" s="135"/>
      <c r="F25" s="135"/>
      <c r="G25" s="41"/>
      <c r="H25" s="40" t="s">
        <v>33</v>
      </c>
      <c r="I25" s="94">
        <f>245-6</f>
        <v>239</v>
      </c>
      <c r="J25" s="94">
        <v>0</v>
      </c>
      <c r="K25" s="40" t="s">
        <v>33</v>
      </c>
      <c r="L25" s="94">
        <f>E39-258</f>
        <v>71</v>
      </c>
      <c r="M25" s="94">
        <f>F39-7</f>
        <v>36</v>
      </c>
      <c r="N25" s="40" t="s">
        <v>33</v>
      </c>
      <c r="O25" s="94">
        <v>0</v>
      </c>
      <c r="P25" s="94">
        <v>0</v>
      </c>
    </row>
    <row r="26" spans="1:17">
      <c r="A26" s="12"/>
      <c r="B26" s="12"/>
      <c r="C26" s="135"/>
      <c r="D26" s="135"/>
      <c r="E26" s="135"/>
      <c r="F26" s="135"/>
      <c r="G26" s="41"/>
      <c r="H26" s="40" t="s">
        <v>32</v>
      </c>
      <c r="I26" s="94">
        <v>130</v>
      </c>
      <c r="J26" s="94">
        <v>70</v>
      </c>
      <c r="K26" s="40" t="s">
        <v>32</v>
      </c>
      <c r="L26" s="94">
        <f>C39-130</f>
        <v>0</v>
      </c>
      <c r="M26" s="94">
        <f>D39-65</f>
        <v>40</v>
      </c>
      <c r="N26" s="40" t="s">
        <v>32</v>
      </c>
      <c r="O26" s="94">
        <v>0</v>
      </c>
      <c r="P26" s="94">
        <v>0</v>
      </c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228</v>
      </c>
      <c r="I27" s="145">
        <v>5645</v>
      </c>
      <c r="J27" s="146"/>
      <c r="K27" s="36" t="s">
        <v>228</v>
      </c>
      <c r="L27" s="145">
        <f>F45-6105</f>
        <v>3860</v>
      </c>
      <c r="M27" s="146"/>
      <c r="N27" s="36" t="s">
        <v>228</v>
      </c>
      <c r="O27" s="145">
        <v>0</v>
      </c>
      <c r="P27" s="146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36" t="s">
        <v>229</v>
      </c>
      <c r="I28" s="145">
        <v>2990.44</v>
      </c>
      <c r="J28" s="146"/>
      <c r="K28" s="36" t="s">
        <v>229</v>
      </c>
      <c r="L28" s="145">
        <f>F44-2032.04</f>
        <v>920.6</v>
      </c>
      <c r="M28" s="146"/>
      <c r="N28" s="36" t="s">
        <v>229</v>
      </c>
      <c r="O28" s="145">
        <v>0</v>
      </c>
      <c r="P28" s="146"/>
    </row>
    <row r="29" spans="1:16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235</v>
      </c>
      <c r="F29" s="12"/>
      <c r="G29" s="38"/>
      <c r="H29" s="36" t="s">
        <v>230</v>
      </c>
      <c r="I29" s="94">
        <v>0</v>
      </c>
      <c r="J29" s="94"/>
      <c r="K29" s="36" t="s">
        <v>230</v>
      </c>
      <c r="L29" s="94">
        <f>F43-0</f>
        <v>3212</v>
      </c>
      <c r="M29" s="94"/>
      <c r="N29" s="36" t="s">
        <v>230</v>
      </c>
      <c r="O29" s="94">
        <v>0</v>
      </c>
      <c r="P29" s="94"/>
    </row>
    <row r="30" spans="1:16">
      <c r="A30" s="35"/>
      <c r="B30" s="132" t="s">
        <v>76</v>
      </c>
      <c r="C30" s="12">
        <f>E38+F38</f>
        <v>463</v>
      </c>
      <c r="D30" s="132" t="s">
        <v>77</v>
      </c>
      <c r="E30" s="12">
        <f>E39+F39</f>
        <v>372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2087.04</v>
      </c>
      <c r="M30" s="48"/>
      <c r="N30" s="48" t="s">
        <v>5</v>
      </c>
      <c r="O30" s="48"/>
      <c r="P30" s="48"/>
    </row>
    <row r="31" spans="1:16">
      <c r="A31" s="35"/>
      <c r="B31" s="132" t="s">
        <v>78</v>
      </c>
      <c r="C31" s="12">
        <f>C32-C29-C30</f>
        <v>5019</v>
      </c>
      <c r="D31" s="132" t="s">
        <v>79</v>
      </c>
      <c r="E31" s="12">
        <f>E32-E29-E30</f>
        <v>5173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44597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44598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44599</v>
      </c>
      <c r="B38" s="54">
        <v>0</v>
      </c>
      <c r="C38" s="58">
        <v>178</v>
      </c>
      <c r="D38" s="58">
        <v>120</v>
      </c>
      <c r="E38" s="58">
        <v>390</v>
      </c>
      <c r="F38" s="58">
        <v>73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44600</v>
      </c>
      <c r="B39" s="54">
        <v>0</v>
      </c>
      <c r="C39" s="60">
        <v>130</v>
      </c>
      <c r="D39" s="60">
        <v>105</v>
      </c>
      <c r="E39" s="60">
        <v>329</v>
      </c>
      <c r="F39" s="60">
        <v>43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44601</v>
      </c>
      <c r="B40" s="62">
        <v>0</v>
      </c>
      <c r="C40" s="63" t="s">
        <v>182</v>
      </c>
      <c r="D40" s="64">
        <f>C38+D38+E38+F38</f>
        <v>761</v>
      </c>
      <c r="E40" s="65" t="s">
        <v>69</v>
      </c>
      <c r="F40" s="66">
        <f>C39+D39+E39+F39</f>
        <v>607</v>
      </c>
      <c r="G40" s="61"/>
      <c r="H40" s="56" t="s">
        <v>285</v>
      </c>
      <c r="I40" s="136" t="s">
        <v>286</v>
      </c>
      <c r="J40" s="163"/>
      <c r="K40" s="163"/>
      <c r="L40" s="163"/>
      <c r="M40" s="163"/>
      <c r="N40" s="163"/>
      <c r="O40" s="163"/>
      <c r="P40" s="137"/>
      <c r="U40" s="4"/>
    </row>
    <row r="41" ht="15.6" spans="1:21">
      <c r="A41" s="53">
        <v>44602</v>
      </c>
      <c r="B41" s="54">
        <v>45.75</v>
      </c>
      <c r="C41" s="139" t="s">
        <v>287</v>
      </c>
      <c r="D41" s="140"/>
      <c r="E41" s="140"/>
      <c r="F41" s="141"/>
      <c r="G41" s="10"/>
      <c r="H41" s="157"/>
      <c r="I41" s="157"/>
      <c r="J41" s="157"/>
      <c r="K41" s="157"/>
      <c r="L41" s="157"/>
      <c r="M41" s="157"/>
      <c r="N41" s="157"/>
      <c r="O41" s="157"/>
      <c r="U41" s="4"/>
    </row>
    <row r="42" ht="15.6" spans="1:21">
      <c r="A42" s="53">
        <v>44603</v>
      </c>
      <c r="B42" s="54">
        <v>15.48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64" t="s">
        <v>225</v>
      </c>
      <c r="I42" s="165"/>
      <c r="J42" s="165"/>
      <c r="U42" s="4"/>
    </row>
    <row r="43" ht="15.6" spans="1:21">
      <c r="A43" s="53">
        <v>44604</v>
      </c>
      <c r="B43" s="54">
        <v>38.34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截止2022年02月14日</v>
      </c>
      <c r="I43" s="40"/>
      <c r="J43" s="40"/>
      <c r="U43" s="4"/>
    </row>
    <row r="44" ht="15.6" spans="1:21">
      <c r="A44" s="53">
        <v>44605</v>
      </c>
      <c r="B44" s="54">
        <v>30.52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44606</v>
      </c>
      <c r="B45" s="54">
        <v>54.88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12.87%</v>
      </c>
      <c r="U45" s="4"/>
    </row>
    <row r="46" spans="1:10">
      <c r="A46" s="147" t="s">
        <v>138</v>
      </c>
      <c r="B46" s="79" t="s">
        <v>110</v>
      </c>
      <c r="C46" s="148">
        <f>SUM(C11,E11,C12,E12)</f>
        <v>5</v>
      </c>
      <c r="D46" s="149"/>
      <c r="E46" s="149"/>
      <c r="F46" s="150"/>
      <c r="G46" s="76"/>
      <c r="H46" s="40" t="s">
        <v>62</v>
      </c>
      <c r="I46" s="35">
        <v>5913</v>
      </c>
      <c r="J46" s="35" t="str">
        <f>ROUND(F40/I46*100,2)&amp;"%"</f>
        <v>10.27%</v>
      </c>
    </row>
    <row r="47" spans="1:10">
      <c r="A47" s="151"/>
      <c r="B47" s="79" t="s">
        <v>111</v>
      </c>
      <c r="C47" s="148">
        <f>SUM(C13,C14,E13,E14)</f>
        <v>5</v>
      </c>
      <c r="D47" s="149"/>
      <c r="E47" s="149"/>
      <c r="F47" s="150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15.71%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14日自年初完成产值2087.04万元，自开工累计完成产值14179.74万元，自开工占总产值90284.4万元的15.71%，100章临建完成6000.78万元，400章桥梁完成8178.96万元。已完成梁片预制761片，占设计量的12.87%；梁片安装607片，占设计量的10.27%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S17" sqref="S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44607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54.2</v>
      </c>
      <c r="F3" s="143" t="s">
        <v>296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54.2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54.2</v>
      </c>
      <c r="E5" s="13"/>
      <c r="F5" s="144"/>
      <c r="G5" s="18"/>
    </row>
    <row r="6" ht="70.05" customHeight="1" spans="1:16">
      <c r="A6" s="132"/>
      <c r="B6" s="8" t="s">
        <v>11</v>
      </c>
      <c r="C6" s="20">
        <v>0</v>
      </c>
      <c r="D6" s="20">
        <v>2141.24</v>
      </c>
      <c r="E6" s="8">
        <f>ROUND(C6+D6,2)</f>
        <v>2141.24</v>
      </c>
      <c r="F6" s="144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91"/>
      <c r="M6" s="91"/>
      <c r="N6" s="91"/>
      <c r="O6" s="91"/>
      <c r="P6" s="91"/>
    </row>
    <row r="7" ht="70.05" customHeight="1" spans="1:16">
      <c r="A7" s="132"/>
      <c r="B7" s="8" t="s">
        <v>12</v>
      </c>
      <c r="C7" s="20">
        <v>6000.78</v>
      </c>
      <c r="D7" s="20">
        <v>8233.16</v>
      </c>
      <c r="E7" s="8">
        <f>ROUND(C7+D7,2)</f>
        <v>14233.94</v>
      </c>
      <c r="F7" s="144"/>
      <c r="G7" s="18"/>
      <c r="H7" s="96">
        <f>E6</f>
        <v>2141.24</v>
      </c>
      <c r="I7" s="48">
        <f>H7+1927.38</f>
        <v>4068.62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44607</v>
      </c>
      <c r="B11" s="133" t="s">
        <v>172</v>
      </c>
      <c r="C11" s="33">
        <v>0</v>
      </c>
      <c r="D11" s="8"/>
      <c r="E11" s="33">
        <v>5</v>
      </c>
      <c r="F11" s="8">
        <v>38.55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1</v>
      </c>
      <c r="F12" s="8">
        <v>15.24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1</v>
      </c>
      <c r="F13" s="8">
        <v>0.162</v>
      </c>
      <c r="G13" s="10"/>
      <c r="H13" s="154"/>
      <c r="I13" s="35">
        <v>14233.94</v>
      </c>
      <c r="J13" s="35">
        <f>E7</f>
        <v>14233.94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154"/>
      <c r="I14" s="48">
        <v>699.51</v>
      </c>
      <c r="J14" s="48">
        <f>J13-I13</f>
        <v>0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54.2</v>
      </c>
      <c r="F18" s="134"/>
      <c r="G18" s="10"/>
      <c r="H18" s="155" t="s">
        <v>6</v>
      </c>
      <c r="I18" s="159" t="s">
        <v>255</v>
      </c>
      <c r="J18" s="159"/>
      <c r="K18" s="159"/>
      <c r="L18" s="159"/>
      <c r="M18" s="159"/>
      <c r="N18" s="159"/>
      <c r="O18" s="159"/>
      <c r="P18" s="160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54.2</v>
      </c>
      <c r="D19" s="6"/>
      <c r="E19" s="6"/>
      <c r="F19" s="6"/>
      <c r="G19" s="7"/>
      <c r="H19" s="156" t="s">
        <v>242</v>
      </c>
      <c r="I19" s="161"/>
      <c r="J19" s="161"/>
      <c r="K19" s="161"/>
      <c r="L19" s="161"/>
      <c r="M19" s="161"/>
      <c r="N19" s="161"/>
      <c r="O19" s="161"/>
      <c r="P19" s="162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243</v>
      </c>
      <c r="I20" s="40"/>
      <c r="J20" s="40"/>
      <c r="K20" s="40" t="s">
        <v>244</v>
      </c>
      <c r="L20" s="40"/>
      <c r="M20" s="40"/>
      <c r="N20" s="40" t="s">
        <v>245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35"/>
      <c r="D22" s="135"/>
      <c r="E22" s="135"/>
      <c r="F22" s="135"/>
      <c r="G22" s="41"/>
      <c r="H22" s="40" t="s">
        <v>33</v>
      </c>
      <c r="I22" s="94">
        <f>222+15*10-24</f>
        <v>348</v>
      </c>
      <c r="J22" s="94">
        <v>24</v>
      </c>
      <c r="K22" s="40" t="s">
        <v>33</v>
      </c>
      <c r="L22" s="94">
        <f>E38-302</f>
        <v>93</v>
      </c>
      <c r="M22" s="94">
        <f>F38-45</f>
        <v>29</v>
      </c>
      <c r="N22" s="40" t="s">
        <v>33</v>
      </c>
      <c r="O22" s="94">
        <v>0</v>
      </c>
      <c r="P22" s="94">
        <v>0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f>142+4*15</f>
        <v>202</v>
      </c>
      <c r="J23" s="94">
        <f>52+9</f>
        <v>61</v>
      </c>
      <c r="K23" s="40" t="s">
        <v>32</v>
      </c>
      <c r="L23" s="94">
        <f>C38-169</f>
        <v>9</v>
      </c>
      <c r="M23" s="94">
        <f>D38-81</f>
        <v>39</v>
      </c>
      <c r="N23" s="40" t="s">
        <v>32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35"/>
      <c r="D25" s="135"/>
      <c r="E25" s="135"/>
      <c r="F25" s="135"/>
      <c r="G25" s="41"/>
      <c r="H25" s="40" t="s">
        <v>33</v>
      </c>
      <c r="I25" s="94">
        <f>245-6</f>
        <v>239</v>
      </c>
      <c r="J25" s="94">
        <v>0</v>
      </c>
      <c r="K25" s="40" t="s">
        <v>33</v>
      </c>
      <c r="L25" s="94">
        <f>E39-258</f>
        <v>72</v>
      </c>
      <c r="M25" s="94">
        <f>F39-7</f>
        <v>37</v>
      </c>
      <c r="N25" s="40" t="s">
        <v>33</v>
      </c>
      <c r="O25" s="94">
        <v>0</v>
      </c>
      <c r="P25" s="94">
        <v>0</v>
      </c>
    </row>
    <row r="26" spans="1:17">
      <c r="A26" s="12"/>
      <c r="B26" s="12"/>
      <c r="C26" s="135"/>
      <c r="D26" s="135"/>
      <c r="E26" s="135"/>
      <c r="F26" s="135"/>
      <c r="G26" s="41"/>
      <c r="H26" s="40" t="s">
        <v>32</v>
      </c>
      <c r="I26" s="94">
        <v>130</v>
      </c>
      <c r="J26" s="94">
        <v>70</v>
      </c>
      <c r="K26" s="40" t="s">
        <v>32</v>
      </c>
      <c r="L26" s="94">
        <f>C39-130</f>
        <v>0</v>
      </c>
      <c r="M26" s="94">
        <f>D39-65</f>
        <v>40</v>
      </c>
      <c r="N26" s="40" t="s">
        <v>32</v>
      </c>
      <c r="O26" s="94">
        <v>0</v>
      </c>
      <c r="P26" s="94">
        <v>0</v>
      </c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228</v>
      </c>
      <c r="I27" s="145">
        <v>5645</v>
      </c>
      <c r="J27" s="146"/>
      <c r="K27" s="36" t="s">
        <v>228</v>
      </c>
      <c r="L27" s="145">
        <f>F45-6105</f>
        <v>3860</v>
      </c>
      <c r="M27" s="146"/>
      <c r="N27" s="36" t="s">
        <v>228</v>
      </c>
      <c r="O27" s="145">
        <v>0</v>
      </c>
      <c r="P27" s="146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36" t="s">
        <v>229</v>
      </c>
      <c r="I28" s="145">
        <v>2990.44</v>
      </c>
      <c r="J28" s="146"/>
      <c r="K28" s="36" t="s">
        <v>229</v>
      </c>
      <c r="L28" s="145">
        <f>F44-2032.04</f>
        <v>920.6</v>
      </c>
      <c r="M28" s="146"/>
      <c r="N28" s="36" t="s">
        <v>229</v>
      </c>
      <c r="O28" s="145">
        <v>0</v>
      </c>
      <c r="P28" s="146"/>
    </row>
    <row r="29" spans="1:16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235</v>
      </c>
      <c r="F29" s="12"/>
      <c r="G29" s="38"/>
      <c r="H29" s="36" t="s">
        <v>230</v>
      </c>
      <c r="I29" s="94">
        <v>0</v>
      </c>
      <c r="J29" s="94"/>
      <c r="K29" s="36" t="s">
        <v>230</v>
      </c>
      <c r="L29" s="94">
        <f>F43-0</f>
        <v>3212</v>
      </c>
      <c r="M29" s="94"/>
      <c r="N29" s="36" t="s">
        <v>230</v>
      </c>
      <c r="O29" s="94">
        <v>0</v>
      </c>
      <c r="P29" s="94"/>
    </row>
    <row r="30" spans="1:16">
      <c r="A30" s="35"/>
      <c r="B30" s="132" t="s">
        <v>76</v>
      </c>
      <c r="C30" s="12">
        <f>E38+F38</f>
        <v>469</v>
      </c>
      <c r="D30" s="132" t="s">
        <v>77</v>
      </c>
      <c r="E30" s="12">
        <f>E39+F39</f>
        <v>374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2141.24</v>
      </c>
      <c r="M30" s="48"/>
      <c r="N30" s="48" t="s">
        <v>5</v>
      </c>
      <c r="O30" s="48"/>
      <c r="P30" s="48"/>
    </row>
    <row r="31" spans="1:16">
      <c r="A31" s="35"/>
      <c r="B31" s="132" t="s">
        <v>78</v>
      </c>
      <c r="C31" s="12">
        <f>C32-C29-C30</f>
        <v>5013</v>
      </c>
      <c r="D31" s="132" t="s">
        <v>79</v>
      </c>
      <c r="E31" s="12">
        <f>E32-E29-E30</f>
        <v>5171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44598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44599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44600</v>
      </c>
      <c r="B38" s="54">
        <v>0</v>
      </c>
      <c r="C38" s="58">
        <v>178</v>
      </c>
      <c r="D38" s="58">
        <v>120</v>
      </c>
      <c r="E38" s="58">
        <v>395</v>
      </c>
      <c r="F38" s="58">
        <v>74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44601</v>
      </c>
      <c r="B39" s="54">
        <v>0</v>
      </c>
      <c r="C39" s="60">
        <v>130</v>
      </c>
      <c r="D39" s="60">
        <v>105</v>
      </c>
      <c r="E39" s="60">
        <v>330</v>
      </c>
      <c r="F39" s="60">
        <v>44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44602</v>
      </c>
      <c r="B40" s="62">
        <v>45.75</v>
      </c>
      <c r="C40" s="63" t="s">
        <v>182</v>
      </c>
      <c r="D40" s="64">
        <f>C38+D38+E38+F38</f>
        <v>767</v>
      </c>
      <c r="E40" s="65" t="s">
        <v>69</v>
      </c>
      <c r="F40" s="66">
        <f>C39+D39+E39+F39</f>
        <v>609</v>
      </c>
      <c r="G40" s="61"/>
      <c r="H40" s="56" t="s">
        <v>285</v>
      </c>
      <c r="I40" s="136" t="s">
        <v>286</v>
      </c>
      <c r="J40" s="163"/>
      <c r="K40" s="163"/>
      <c r="L40" s="163"/>
      <c r="M40" s="163"/>
      <c r="N40" s="163"/>
      <c r="O40" s="163"/>
      <c r="P40" s="137"/>
      <c r="U40" s="4"/>
    </row>
    <row r="41" ht="15.6" spans="1:21">
      <c r="A41" s="53">
        <v>44603</v>
      </c>
      <c r="B41" s="54">
        <v>15.48</v>
      </c>
      <c r="C41" s="139" t="s">
        <v>287</v>
      </c>
      <c r="D41" s="140"/>
      <c r="E41" s="140"/>
      <c r="F41" s="141"/>
      <c r="G41" s="10"/>
      <c r="H41" s="157"/>
      <c r="I41" s="157"/>
      <c r="J41" s="157"/>
      <c r="K41" s="157"/>
      <c r="L41" s="157"/>
      <c r="M41" s="157"/>
      <c r="N41" s="157"/>
      <c r="O41" s="157"/>
      <c r="U41" s="4"/>
    </row>
    <row r="42" ht="15.6" spans="1:21">
      <c r="A42" s="53">
        <v>44604</v>
      </c>
      <c r="B42" s="54">
        <v>38.34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64" t="s">
        <v>225</v>
      </c>
      <c r="I42" s="165"/>
      <c r="J42" s="165"/>
      <c r="U42" s="4"/>
    </row>
    <row r="43" ht="15.6" spans="1:21">
      <c r="A43" s="53">
        <v>44605</v>
      </c>
      <c r="B43" s="54">
        <v>30.52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截止2022年02月15日</v>
      </c>
      <c r="I43" s="40"/>
      <c r="J43" s="40"/>
      <c r="U43" s="4"/>
    </row>
    <row r="44" ht="15.6" spans="1:21">
      <c r="A44" s="53">
        <v>44606</v>
      </c>
      <c r="B44" s="54">
        <v>54.88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226</v>
      </c>
      <c r="J44" s="40" t="s">
        <v>227</v>
      </c>
      <c r="U44" s="4"/>
    </row>
    <row r="45" ht="15.6" spans="1:21">
      <c r="A45" s="53">
        <v>44607</v>
      </c>
      <c r="B45" s="54">
        <v>54.2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35">
        <v>5913</v>
      </c>
      <c r="J45" s="35" t="str">
        <f>ROUND(D40/I45*100,2)&amp;"%"</f>
        <v>12.97%</v>
      </c>
      <c r="U45" s="4"/>
    </row>
    <row r="46" spans="1:10">
      <c r="A46" s="147" t="s">
        <v>138</v>
      </c>
      <c r="B46" s="79" t="s">
        <v>110</v>
      </c>
      <c r="C46" s="148">
        <f>SUM(C11,E11,C12,E12)</f>
        <v>6</v>
      </c>
      <c r="D46" s="149"/>
      <c r="E46" s="149"/>
      <c r="F46" s="150"/>
      <c r="G46" s="76"/>
      <c r="H46" s="40" t="s">
        <v>62</v>
      </c>
      <c r="I46" s="35">
        <v>5913</v>
      </c>
      <c r="J46" s="35" t="str">
        <f>ROUND(F40/I46*100,2)&amp;"%"</f>
        <v>10.3%</v>
      </c>
    </row>
    <row r="47" spans="1:10">
      <c r="A47" s="151"/>
      <c r="B47" s="79" t="s">
        <v>111</v>
      </c>
      <c r="C47" s="148">
        <f>SUM(C13,C14,E13,E14)</f>
        <v>2</v>
      </c>
      <c r="D47" s="149"/>
      <c r="E47" s="149"/>
      <c r="F47" s="150"/>
      <c r="G47" s="76"/>
      <c r="H47" s="40" t="s">
        <v>228</v>
      </c>
      <c r="I47" s="35">
        <v>135185</v>
      </c>
      <c r="J47" s="35" t="str">
        <f>ROUND(F45/I47*100,2)&amp;"%"</f>
        <v>7.37%</v>
      </c>
    </row>
    <row r="48" spans="1:10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35">
        <v>67098.02</v>
      </c>
      <c r="J48" s="35" t="str">
        <f>ROUND(F44/I48*100,2)&amp;"%"</f>
        <v>4.4%</v>
      </c>
    </row>
    <row r="49" spans="1:10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40" t="s">
        <v>230</v>
      </c>
      <c r="I49" s="35">
        <v>405202.2</v>
      </c>
      <c r="J49" s="35" t="str">
        <f>ROUND(F43/I49*100,2)&amp;"%"</f>
        <v>0.79%</v>
      </c>
    </row>
    <row r="50" spans="1:10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  <c r="H50" s="40" t="s">
        <v>231</v>
      </c>
      <c r="I50" s="35">
        <v>90284.4</v>
      </c>
      <c r="J50" s="35" t="str">
        <f>ROUND(E7/I50*100,2)&amp;"%"</f>
        <v>15.77%</v>
      </c>
    </row>
    <row r="51" ht="75" customHeight="1" spans="1:8">
      <c r="A51" s="82" t="str">
        <f>"ZCB1-19"&amp;H43&amp;"自年初完成产值"&amp;E6&amp;"万元，自开工累计完成产值"&amp;E7&amp;"万元，自开工占总产值"&amp;I50&amp;"万元的"&amp;J50&amp;"，100章临建完成"&amp;C7&amp;"万元，400章桥梁完成"&amp;D7&amp;"万元。已完成梁片预制"&amp;D40&amp;"片，占设计量的"&amp;J45&amp;"；梁片安装"&amp;F40&amp;"片，占设计量的"&amp;J46&amp;"；湿接缝"&amp;F45&amp;"米，占设计量的"&amp;J47&amp;"；防撞护栏"&amp;F44&amp;"米，占设计量的"&amp;J48&amp;"；桥面铺装"&amp;F43&amp;"平米，占设计量的"&amp;J49&amp;"。"</f>
        <v>ZCB1-19截止2022年02月15日自年初完成产值2141.24万元，自开工累计完成产值14233.94万元，自开工占总产值90284.4万元的15.77%，100章临建完成6000.78万元，400章桥梁完成8233.16万元。已完成梁片预制767片，占设计量的12.97%；梁片安装609片，占设计量的10.3%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J42"/>
    <mergeCell ref="H43:J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7" workbookViewId="0">
      <selection activeCell="L29" sqref="L29:M2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44608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54.87</v>
      </c>
      <c r="F3" s="143" t="s">
        <v>297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54.87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54.87</v>
      </c>
      <c r="E5" s="13"/>
      <c r="F5" s="144"/>
      <c r="G5" s="18"/>
    </row>
    <row r="6" ht="70.05" customHeight="1" spans="1:16">
      <c r="A6" s="132"/>
      <c r="B6" s="19" t="s">
        <v>298</v>
      </c>
      <c r="C6" s="20">
        <v>0</v>
      </c>
      <c r="D6" s="20">
        <v>2196.11</v>
      </c>
      <c r="E6" s="8">
        <f>ROUND(C6+D6,2)</f>
        <v>2196.11</v>
      </c>
      <c r="F6" s="144"/>
      <c r="G6" s="18"/>
      <c r="H6" s="30" t="s">
        <v>236</v>
      </c>
      <c r="I6" s="30" t="s">
        <v>237</v>
      </c>
      <c r="J6" s="30" t="s">
        <v>238</v>
      </c>
      <c r="K6" s="30" t="s">
        <v>239</v>
      </c>
      <c r="L6" s="91"/>
      <c r="M6" s="91"/>
      <c r="N6" s="91"/>
      <c r="O6" s="91"/>
      <c r="P6" s="91"/>
    </row>
    <row r="7" ht="70.05" customHeight="1" spans="1:16">
      <c r="A7" s="132"/>
      <c r="B7" s="19" t="s">
        <v>299</v>
      </c>
      <c r="C7" s="20">
        <v>6000.78</v>
      </c>
      <c r="D7" s="20">
        <v>8288.03</v>
      </c>
      <c r="E7" s="8">
        <f>ROUND(C7+D7,2)</f>
        <v>14288.81</v>
      </c>
      <c r="F7" s="144"/>
      <c r="G7" s="18"/>
      <c r="H7" s="96">
        <f>E6</f>
        <v>2196.11</v>
      </c>
      <c r="I7" s="48">
        <f>H7+1927.38</f>
        <v>4123.49</v>
      </c>
      <c r="J7" s="48">
        <v>12082.43</v>
      </c>
      <c r="K7" s="48">
        <v>10165.33</v>
      </c>
      <c r="L7" s="40"/>
      <c r="M7" s="40"/>
      <c r="N7" s="40"/>
      <c r="O7" s="40"/>
      <c r="P7" s="40"/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240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21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154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44608</v>
      </c>
      <c r="B11" s="133" t="s">
        <v>172</v>
      </c>
      <c r="C11" s="33">
        <v>0</v>
      </c>
      <c r="D11" s="8"/>
      <c r="E11" s="33">
        <v>3</v>
      </c>
      <c r="F11" s="8">
        <v>23.1</v>
      </c>
      <c r="G11" s="10"/>
      <c r="H11" s="154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48">
        <v>3369.1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2</v>
      </c>
      <c r="F12" s="8">
        <v>30.53</v>
      </c>
      <c r="G12" s="10"/>
      <c r="H12" s="154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3</v>
      </c>
      <c r="F13" s="8">
        <v>0.486</v>
      </c>
      <c r="G13" s="10"/>
      <c r="H13" s="154"/>
      <c r="I13" s="35">
        <v>14233.94</v>
      </c>
      <c r="J13" s="35">
        <f>E7</f>
        <v>14288.81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3</v>
      </c>
      <c r="F14" s="8">
        <v>0.756</v>
      </c>
      <c r="G14" s="10"/>
      <c r="H14" s="154"/>
      <c r="I14" s="48">
        <v>699.51</v>
      </c>
      <c r="J14" s="48">
        <f>J13-I13</f>
        <v>54.869999999999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154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154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22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54.87</v>
      </c>
      <c r="F18" s="134"/>
      <c r="G18" s="10"/>
      <c r="H18" s="155" t="s">
        <v>6</v>
      </c>
      <c r="I18" s="159" t="s">
        <v>255</v>
      </c>
      <c r="J18" s="159"/>
      <c r="K18" s="159"/>
      <c r="L18" s="159"/>
      <c r="M18" s="159"/>
      <c r="N18" s="159"/>
      <c r="O18" s="159"/>
      <c r="P18" s="160"/>
      <c r="Q18"/>
      <c r="R18"/>
      <c r="S18"/>
      <c r="T18"/>
    </row>
    <row r="19" ht="30" customHeight="1" spans="1:20">
      <c r="A19" s="132"/>
      <c r="B19" s="8" t="s">
        <v>5</v>
      </c>
      <c r="C19" s="6">
        <f>C18+E18</f>
        <v>54.87</v>
      </c>
      <c r="D19" s="6"/>
      <c r="E19" s="6"/>
      <c r="F19" s="6"/>
      <c r="G19" s="7"/>
      <c r="H19" s="156" t="s">
        <v>242</v>
      </c>
      <c r="I19" s="161"/>
      <c r="J19" s="161"/>
      <c r="K19" s="161"/>
      <c r="L19" s="161"/>
      <c r="M19" s="161"/>
      <c r="N19" s="161"/>
      <c r="O19" s="161"/>
      <c r="P19" s="162"/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300</v>
      </c>
      <c r="I20" s="40"/>
      <c r="J20" s="40"/>
      <c r="K20" s="40" t="s">
        <v>301</v>
      </c>
      <c r="L20" s="40"/>
      <c r="M20" s="40"/>
      <c r="N20" s="40" t="s">
        <v>302</v>
      </c>
      <c r="O20" s="40"/>
      <c r="P20" s="40"/>
    </row>
    <row r="21" spans="1:16">
      <c r="A21" s="12"/>
      <c r="B21" s="12" t="s">
        <v>20</v>
      </c>
      <c r="C21" s="12"/>
      <c r="D21" s="12"/>
      <c r="E21" s="12"/>
      <c r="F21" s="12"/>
      <c r="G21" s="38"/>
      <c r="H21" s="36" t="s">
        <v>246</v>
      </c>
      <c r="I21" s="36" t="s">
        <v>14</v>
      </c>
      <c r="J21" s="36" t="s">
        <v>15</v>
      </c>
      <c r="K21" s="36" t="s">
        <v>246</v>
      </c>
      <c r="L21" s="36" t="s">
        <v>14</v>
      </c>
      <c r="M21" s="36" t="s">
        <v>15</v>
      </c>
      <c r="N21" s="36" t="s">
        <v>246</v>
      </c>
      <c r="O21" s="36" t="s">
        <v>14</v>
      </c>
      <c r="P21" s="36" t="s">
        <v>15</v>
      </c>
    </row>
    <row r="22" spans="1:16">
      <c r="A22" s="12"/>
      <c r="B22" s="12"/>
      <c r="C22" s="135"/>
      <c r="D22" s="135"/>
      <c r="E22" s="135"/>
      <c r="F22" s="135"/>
      <c r="G22" s="41"/>
      <c r="H22" s="40" t="s">
        <v>33</v>
      </c>
      <c r="I22" s="94">
        <f>222+15*10-24</f>
        <v>348</v>
      </c>
      <c r="J22" s="94">
        <v>24</v>
      </c>
      <c r="K22" s="40" t="s">
        <v>33</v>
      </c>
      <c r="L22" s="94">
        <f>E38-301</f>
        <v>97</v>
      </c>
      <c r="M22" s="94">
        <f>F38-44</f>
        <v>32</v>
      </c>
      <c r="N22" s="40" t="s">
        <v>33</v>
      </c>
      <c r="O22" s="94">
        <v>0</v>
      </c>
      <c r="P22" s="94">
        <v>0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f>142+4*15</f>
        <v>202</v>
      </c>
      <c r="J23" s="94">
        <f>52+9</f>
        <v>61</v>
      </c>
      <c r="K23" s="40" t="s">
        <v>32</v>
      </c>
      <c r="L23" s="94">
        <f>C38-169</f>
        <v>9</v>
      </c>
      <c r="M23" s="94">
        <f>D38-81</f>
        <v>39</v>
      </c>
      <c r="N23" s="40" t="s">
        <v>32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36" t="s">
        <v>136</v>
      </c>
      <c r="I24" s="36" t="s">
        <v>14</v>
      </c>
      <c r="J24" s="36" t="s">
        <v>15</v>
      </c>
      <c r="K24" s="36" t="s">
        <v>136</v>
      </c>
      <c r="L24" s="36" t="s">
        <v>14</v>
      </c>
      <c r="M24" s="36" t="s">
        <v>15</v>
      </c>
      <c r="N24" s="36" t="s">
        <v>136</v>
      </c>
      <c r="O24" s="36" t="s">
        <v>14</v>
      </c>
      <c r="P24" s="36" t="s">
        <v>15</v>
      </c>
    </row>
    <row r="25" spans="1:16">
      <c r="A25" s="12"/>
      <c r="B25" s="12"/>
      <c r="C25" s="135"/>
      <c r="D25" s="135"/>
      <c r="E25" s="135"/>
      <c r="F25" s="135"/>
      <c r="G25" s="41"/>
      <c r="H25" s="40" t="s">
        <v>33</v>
      </c>
      <c r="I25" s="94">
        <f>245-6</f>
        <v>239</v>
      </c>
      <c r="J25" s="94">
        <v>0</v>
      </c>
      <c r="K25" s="40" t="s">
        <v>33</v>
      </c>
      <c r="L25" s="94">
        <f>E39-258</f>
        <v>75</v>
      </c>
      <c r="M25" s="94">
        <f>F39-7</f>
        <v>40</v>
      </c>
      <c r="N25" s="40" t="s">
        <v>33</v>
      </c>
      <c r="O25" s="94">
        <v>0</v>
      </c>
      <c r="P25" s="94">
        <v>0</v>
      </c>
    </row>
    <row r="26" spans="1:17">
      <c r="A26" s="12"/>
      <c r="B26" s="12"/>
      <c r="C26" s="135"/>
      <c r="D26" s="135"/>
      <c r="E26" s="135"/>
      <c r="F26" s="135"/>
      <c r="G26" s="41"/>
      <c r="H26" s="40" t="s">
        <v>32</v>
      </c>
      <c r="I26" s="94">
        <v>130</v>
      </c>
      <c r="J26" s="94">
        <v>70</v>
      </c>
      <c r="K26" s="40" t="s">
        <v>32</v>
      </c>
      <c r="L26" s="94">
        <f>C39-130</f>
        <v>0</v>
      </c>
      <c r="M26" s="94">
        <f>D39-65</f>
        <v>40</v>
      </c>
      <c r="N26" s="40" t="s">
        <v>32</v>
      </c>
      <c r="O26" s="94">
        <v>0</v>
      </c>
      <c r="P26" s="94">
        <v>0</v>
      </c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228</v>
      </c>
      <c r="I27" s="145">
        <v>5645</v>
      </c>
      <c r="J27" s="146"/>
      <c r="K27" s="36" t="s">
        <v>228</v>
      </c>
      <c r="L27" s="145">
        <f>F45-6105</f>
        <v>3860</v>
      </c>
      <c r="M27" s="146"/>
      <c r="N27" s="36" t="s">
        <v>228</v>
      </c>
      <c r="O27" s="145">
        <v>0</v>
      </c>
      <c r="P27" s="146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36" t="s">
        <v>229</v>
      </c>
      <c r="I28" s="145">
        <v>2990.44</v>
      </c>
      <c r="J28" s="146"/>
      <c r="K28" s="36" t="s">
        <v>229</v>
      </c>
      <c r="L28" s="145">
        <f>F44-2032.04</f>
        <v>920.6</v>
      </c>
      <c r="M28" s="146"/>
      <c r="N28" s="36" t="s">
        <v>229</v>
      </c>
      <c r="O28" s="145">
        <v>0</v>
      </c>
      <c r="P28" s="146"/>
    </row>
    <row r="29" spans="1:16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235</v>
      </c>
      <c r="F29" s="12"/>
      <c r="G29" s="38"/>
      <c r="H29" s="36" t="s">
        <v>230</v>
      </c>
      <c r="I29" s="94">
        <v>0</v>
      </c>
      <c r="J29" s="94"/>
      <c r="K29" s="36" t="s">
        <v>230</v>
      </c>
      <c r="L29" s="94">
        <f>F43-0</f>
        <v>3212</v>
      </c>
      <c r="M29" s="94"/>
      <c r="N29" s="36" t="s">
        <v>230</v>
      </c>
      <c r="O29" s="94">
        <v>0</v>
      </c>
      <c r="P29" s="94"/>
    </row>
    <row r="30" spans="1:16">
      <c r="A30" s="35"/>
      <c r="B30" s="132" t="s">
        <v>76</v>
      </c>
      <c r="C30" s="12">
        <f>E38+F38</f>
        <v>474</v>
      </c>
      <c r="D30" s="132" t="s">
        <v>77</v>
      </c>
      <c r="E30" s="12">
        <f>E39+F39</f>
        <v>380</v>
      </c>
      <c r="F30" s="12"/>
      <c r="G30" s="38"/>
      <c r="H30" s="48" t="s">
        <v>5</v>
      </c>
      <c r="I30" s="48">
        <v>12082.43</v>
      </c>
      <c r="J30" s="48"/>
      <c r="K30" s="48" t="s">
        <v>5</v>
      </c>
      <c r="L30" s="48">
        <f>H7</f>
        <v>2196.11</v>
      </c>
      <c r="M30" s="48"/>
      <c r="N30" s="48" t="s">
        <v>5</v>
      </c>
      <c r="O30" s="48"/>
      <c r="P30" s="48"/>
    </row>
    <row r="31" spans="1:16">
      <c r="A31" s="35"/>
      <c r="B31" s="132" t="s">
        <v>78</v>
      </c>
      <c r="C31" s="12">
        <f>C32-C29-C30</f>
        <v>5008</v>
      </c>
      <c r="D31" s="132" t="s">
        <v>79</v>
      </c>
      <c r="E31" s="12">
        <f>E32-E29-E30</f>
        <v>5165</v>
      </c>
      <c r="F31" s="12"/>
      <c r="G31" s="38"/>
      <c r="H31" s="36" t="s">
        <v>6</v>
      </c>
      <c r="I31" s="40" t="s">
        <v>250</v>
      </c>
      <c r="J31" s="40"/>
      <c r="K31" s="36" t="s">
        <v>6</v>
      </c>
      <c r="L31" s="40" t="s">
        <v>251</v>
      </c>
      <c r="M31" s="40"/>
      <c r="N31" s="36" t="s">
        <v>6</v>
      </c>
      <c r="O31" s="40"/>
      <c r="P31" s="40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44599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44600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44601</v>
      </c>
      <c r="B38" s="54">
        <v>0</v>
      </c>
      <c r="C38" s="58">
        <v>178</v>
      </c>
      <c r="D38" s="58">
        <v>120</v>
      </c>
      <c r="E38" s="58">
        <v>398</v>
      </c>
      <c r="F38" s="58">
        <v>76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44602</v>
      </c>
      <c r="B39" s="54">
        <v>45.75</v>
      </c>
      <c r="C39" s="60">
        <v>130</v>
      </c>
      <c r="D39" s="60">
        <v>105</v>
      </c>
      <c r="E39" s="60">
        <v>333</v>
      </c>
      <c r="F39" s="60">
        <v>47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44603</v>
      </c>
      <c r="B40" s="62">
        <v>15.48</v>
      </c>
      <c r="C40" s="63" t="s">
        <v>182</v>
      </c>
      <c r="D40" s="64">
        <f>C38+D38+E38+F38</f>
        <v>772</v>
      </c>
      <c r="E40" s="65" t="s">
        <v>69</v>
      </c>
      <c r="F40" s="66">
        <f>C39+D39+E39+F39</f>
        <v>615</v>
      </c>
      <c r="G40" s="61"/>
      <c r="H40" s="56" t="s">
        <v>285</v>
      </c>
      <c r="I40" s="136" t="s">
        <v>286</v>
      </c>
      <c r="J40" s="163"/>
      <c r="K40" s="163"/>
      <c r="L40" s="163"/>
      <c r="M40" s="163"/>
      <c r="N40" s="163"/>
      <c r="O40" s="163"/>
      <c r="P40" s="137"/>
      <c r="U40" s="4"/>
    </row>
    <row r="41" ht="15.6" spans="1:21">
      <c r="A41" s="53">
        <v>44604</v>
      </c>
      <c r="B41" s="54">
        <v>38.34</v>
      </c>
      <c r="C41" s="139" t="s">
        <v>287</v>
      </c>
      <c r="D41" s="140"/>
      <c r="E41" s="140"/>
      <c r="F41" s="141"/>
      <c r="G41" s="10"/>
      <c r="H41" s="157"/>
      <c r="I41" s="157"/>
      <c r="J41" s="157"/>
      <c r="K41" s="157"/>
      <c r="L41" s="157"/>
      <c r="M41" s="157"/>
      <c r="N41" s="157"/>
      <c r="O41" s="157"/>
      <c r="U41" s="4"/>
    </row>
    <row r="42" ht="15.6" spans="1:21">
      <c r="A42" s="53">
        <v>44605</v>
      </c>
      <c r="B42" s="54">
        <v>30.52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158" t="s">
        <v>225</v>
      </c>
      <c r="I42" s="158"/>
      <c r="J42" s="158"/>
      <c r="K42" s="158"/>
      <c r="U42" s="4"/>
    </row>
    <row r="43" ht="15.6" spans="1:21">
      <c r="A43" s="53">
        <v>44606</v>
      </c>
      <c r="B43" s="54">
        <v>54.88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tr">
        <f>"截止"&amp;TEXT(A3,"yyyy年mm月dd日")</f>
        <v>截止2022年02月16日</v>
      </c>
      <c r="I43" s="40"/>
      <c r="J43" s="40"/>
      <c r="K43" s="40"/>
      <c r="R43" s="4">
        <v>2</v>
      </c>
      <c r="U43" s="4"/>
    </row>
    <row r="44" ht="15.6" spans="1:21">
      <c r="A44" s="53">
        <v>44607</v>
      </c>
      <c r="B44" s="54">
        <v>54.2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/>
      <c r="I44" s="40" t="s">
        <v>227</v>
      </c>
      <c r="J44" s="40" t="s">
        <v>226</v>
      </c>
      <c r="K44" s="40" t="s">
        <v>303</v>
      </c>
      <c r="U44" s="4"/>
    </row>
    <row r="45" ht="15.6" spans="1:21">
      <c r="A45" s="53">
        <v>44608</v>
      </c>
      <c r="B45" s="54">
        <v>54.87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61</v>
      </c>
      <c r="I45" s="111">
        <f>ROUND(D40/J45,4)</f>
        <v>0.1306</v>
      </c>
      <c r="J45" s="35">
        <v>5913</v>
      </c>
      <c r="K45" s="35">
        <f>D40</f>
        <v>772</v>
      </c>
      <c r="U45" s="4"/>
    </row>
    <row r="46" spans="1:11">
      <c r="A46" s="147" t="s">
        <v>138</v>
      </c>
      <c r="B46" s="79" t="s">
        <v>110</v>
      </c>
      <c r="C46" s="148">
        <f>SUM(C11,E11,C12,E12)</f>
        <v>5</v>
      </c>
      <c r="D46" s="149"/>
      <c r="E46" s="149"/>
      <c r="F46" s="150"/>
      <c r="G46" s="76"/>
      <c r="H46" s="40" t="s">
        <v>62</v>
      </c>
      <c r="I46" s="111">
        <f>ROUND(F40/J46,4)</f>
        <v>0.104</v>
      </c>
      <c r="J46" s="35">
        <v>5913</v>
      </c>
      <c r="K46" s="35">
        <f>F40</f>
        <v>615</v>
      </c>
    </row>
    <row r="47" spans="1:11">
      <c r="A47" s="151"/>
      <c r="B47" s="79" t="s">
        <v>111</v>
      </c>
      <c r="C47" s="148">
        <f>SUM(C13,C14,E13,E14)</f>
        <v>6</v>
      </c>
      <c r="D47" s="149"/>
      <c r="E47" s="149"/>
      <c r="F47" s="150"/>
      <c r="G47" s="76"/>
      <c r="H47" s="40" t="s">
        <v>228</v>
      </c>
      <c r="I47" s="111">
        <f>ROUND(F45/J47,4)</f>
        <v>0.0737</v>
      </c>
      <c r="J47" s="35">
        <v>135185</v>
      </c>
      <c r="K47" s="35">
        <f>F45</f>
        <v>9965</v>
      </c>
    </row>
    <row r="48" spans="1:11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229</v>
      </c>
      <c r="I48" s="111">
        <f>ROUND(F44/J48,4)</f>
        <v>0.044</v>
      </c>
      <c r="J48" s="35">
        <v>67098.02</v>
      </c>
      <c r="K48" s="35">
        <f>F44</f>
        <v>2952.64</v>
      </c>
    </row>
    <row r="49" spans="1:11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40" t="s">
        <v>230</v>
      </c>
      <c r="I49" s="111">
        <f>ROUND(F43/J49,4)</f>
        <v>0.0079</v>
      </c>
      <c r="J49" s="35">
        <v>405202.2</v>
      </c>
      <c r="K49" s="35">
        <f>F43</f>
        <v>3212</v>
      </c>
    </row>
    <row r="50" spans="1:11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  <c r="H50" s="40" t="s">
        <v>231</v>
      </c>
      <c r="I50" s="111">
        <f>ROUND(E7/J50,4)</f>
        <v>0.1583</v>
      </c>
      <c r="J50" s="35">
        <v>90284.4</v>
      </c>
      <c r="K50" s="35">
        <f>E7</f>
        <v>14288.81</v>
      </c>
    </row>
    <row r="51" ht="75" customHeight="1" spans="1:8">
      <c r="A51" s="82" t="str">
        <f>"ZCB1-19"&amp;H43&amp;"自年初完成产值"&amp;E6&amp;"万元，自开工累计完成产值"&amp;E7&amp;"万元，自开工占总产值"&amp;J50&amp;"万元的"&amp;I50*100&amp;"%，100章临建完成"&amp;C7&amp;"万元，400章桥梁完成"&amp;D7&amp;"万元。已完成梁片预制"&amp;D40&amp;"片，占设计量的"&amp;I45*100&amp;"%；梁片安装"&amp;F40&amp;"片，占设计量的"&amp;I46*100&amp;"%；湿接缝"&amp;F45&amp;"米，占设计量的"&amp;I47*100&amp;"%；防撞护栏"&amp;F44&amp;"米，占设计量的"&amp;I48*100&amp;"%；桥面铺装"&amp;F43&amp;"平米，占设计量的"&amp;I49*100&amp;"%。"</f>
        <v>ZCB1-19截止2022年02月16日自年初完成产值2196.11万元，自开工累计完成产值14288.81万元，自开工占总产值90284.4万元的15.83%，100章临建完成6000.78万元，400章桥梁完成8288.03万元。已完成梁片预制772片，占设计量的13.06%；梁片安装615片，占设计量的10.4%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  <c r="H51" s="4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4">
    <mergeCell ref="A1:F1"/>
    <mergeCell ref="A8:F8"/>
    <mergeCell ref="H8:P8"/>
    <mergeCell ref="C9:D9"/>
    <mergeCell ref="E9:F9"/>
    <mergeCell ref="C18:D18"/>
    <mergeCell ref="E18:F18"/>
    <mergeCell ref="I18:P18"/>
    <mergeCell ref="C19:F19"/>
    <mergeCell ref="H19:P19"/>
    <mergeCell ref="H20:J20"/>
    <mergeCell ref="K20:M20"/>
    <mergeCell ref="N20:P20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I30:J30"/>
    <mergeCell ref="L30:M30"/>
    <mergeCell ref="O30:P30"/>
    <mergeCell ref="I31:J31"/>
    <mergeCell ref="L31:M31"/>
    <mergeCell ref="O31:P31"/>
    <mergeCell ref="A35:B35"/>
    <mergeCell ref="C35:F35"/>
    <mergeCell ref="H35:P35"/>
    <mergeCell ref="C36:D36"/>
    <mergeCell ref="E36:F36"/>
    <mergeCell ref="I40:P40"/>
    <mergeCell ref="C41:F41"/>
    <mergeCell ref="H42:K42"/>
    <mergeCell ref="H43:K43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40"/>
  <sheetViews>
    <sheetView workbookViewId="0">
      <selection activeCell="I17" sqref="I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44475</v>
      </c>
      <c r="B3" s="157" t="s">
        <v>7</v>
      </c>
      <c r="C3" s="157">
        <v>0</v>
      </c>
      <c r="D3" s="157">
        <f>D11+F11</f>
        <v>23.1</v>
      </c>
      <c r="E3" s="250">
        <f>C5+D5</f>
        <v>23.1</v>
      </c>
      <c r="F3" s="243" t="s">
        <v>37</v>
      </c>
    </row>
    <row r="4" ht="15" customHeight="1" spans="1:6">
      <c r="A4" s="157"/>
      <c r="B4" s="157" t="s">
        <v>9</v>
      </c>
      <c r="C4" s="157">
        <v>0</v>
      </c>
      <c r="D4" s="157">
        <f>D12+F12</f>
        <v>0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0</v>
      </c>
      <c r="D5" s="157">
        <f>SUM(D3:D4)</f>
        <v>23.1</v>
      </c>
      <c r="E5" s="250"/>
      <c r="F5" s="244"/>
      <c r="H5"/>
      <c r="I5"/>
      <c r="J5"/>
      <c r="K5"/>
    </row>
    <row r="6" ht="15" customHeight="1" spans="1:11">
      <c r="A6" s="157"/>
      <c r="B6" s="239" t="s">
        <v>11</v>
      </c>
      <c r="C6" s="258">
        <v>5456.78</v>
      </c>
      <c r="D6" s="258">
        <v>360.63</v>
      </c>
      <c r="E6" s="239">
        <f>C6+D6</f>
        <v>5817.41</v>
      </c>
      <c r="F6" s="244"/>
      <c r="H6"/>
      <c r="I6"/>
      <c r="J6"/>
      <c r="K6"/>
    </row>
    <row r="7" ht="60" customHeight="1" spans="1:11">
      <c r="A7" s="157"/>
      <c r="B7" s="239" t="s">
        <v>12</v>
      </c>
      <c r="C7" s="258">
        <v>5456.78</v>
      </c>
      <c r="D7" s="258">
        <v>360.63</v>
      </c>
      <c r="E7" s="239">
        <f>C7+D7</f>
        <v>5817.41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44475</v>
      </c>
      <c r="B11" s="157" t="s">
        <v>7</v>
      </c>
      <c r="C11" s="247">
        <v>3</v>
      </c>
      <c r="D11" s="248">
        <v>23.1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0</v>
      </c>
      <c r="D12" s="248">
        <v>0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3</v>
      </c>
      <c r="D13" s="248">
        <f>ROUND(D11+D12,2)</f>
        <v>23.1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23.1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44466</v>
      </c>
      <c r="B31" s="235">
        <v>2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44467</v>
      </c>
      <c r="B32" s="235">
        <v>16.28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44468</v>
      </c>
      <c r="B33" s="235">
        <v>33.25</v>
      </c>
      <c r="C33" s="35">
        <v>23</v>
      </c>
      <c r="D33" s="35">
        <v>6</v>
      </c>
      <c r="E33" s="35">
        <v>12</v>
      </c>
      <c r="F33" s="35">
        <v>0</v>
      </c>
    </row>
    <row r="34" ht="15.6" spans="1:6">
      <c r="A34" s="53">
        <v>44469</v>
      </c>
      <c r="B34" s="235">
        <v>8.82</v>
      </c>
      <c r="C34" s="35"/>
      <c r="D34" s="35"/>
      <c r="E34" s="35">
        <v>0</v>
      </c>
      <c r="F34" s="35">
        <v>38482</v>
      </c>
    </row>
    <row r="35" ht="15.6" spans="1:6">
      <c r="A35" s="53">
        <v>44470</v>
      </c>
      <c r="B35" s="235">
        <v>24.1</v>
      </c>
      <c r="C35" s="35"/>
      <c r="D35" s="35"/>
      <c r="E35" s="35"/>
      <c r="F35" s="35"/>
    </row>
    <row r="36" ht="15.6" spans="1:6">
      <c r="A36" s="53">
        <v>44471</v>
      </c>
      <c r="B36" s="235">
        <v>17.46</v>
      </c>
      <c r="C36" s="35"/>
      <c r="D36" s="35"/>
      <c r="E36" s="35"/>
      <c r="F36" s="35"/>
    </row>
    <row r="37" ht="15.6" spans="1:6">
      <c r="A37" s="53">
        <v>44472</v>
      </c>
      <c r="B37" s="235">
        <v>31.74</v>
      </c>
      <c r="C37" s="35"/>
      <c r="D37" s="35"/>
      <c r="E37" s="35"/>
      <c r="F37" s="35"/>
    </row>
    <row r="38" ht="15.6" spans="1:6">
      <c r="A38" s="53">
        <v>44473</v>
      </c>
      <c r="B38" s="235">
        <v>2</v>
      </c>
      <c r="C38" s="35"/>
      <c r="D38" s="35"/>
      <c r="E38" s="35"/>
      <c r="F38" s="35"/>
    </row>
    <row r="39" ht="15.6" spans="1:6">
      <c r="A39" s="53">
        <v>44474</v>
      </c>
      <c r="B39" s="235">
        <v>33.56</v>
      </c>
      <c r="C39" s="35"/>
      <c r="D39" s="35"/>
      <c r="E39" s="35"/>
      <c r="F39" s="35"/>
    </row>
    <row r="40" ht="15.6" spans="1:6">
      <c r="A40" s="53">
        <v>44475</v>
      </c>
      <c r="B40" s="235">
        <v>23.1</v>
      </c>
      <c r="C40" s="104">
        <f>C33+D33+E33+F33</f>
        <v>41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44609</v>
      </c>
      <c r="B3" s="12" t="s">
        <v>7</v>
      </c>
      <c r="C3" s="12">
        <v>0</v>
      </c>
      <c r="D3" s="12">
        <f>ROUND(D11+D12+D15+D16+D17+D13+D14,2)</f>
        <v>1.26</v>
      </c>
      <c r="E3" s="13">
        <f>ROUND(C5+D5,2)</f>
        <v>55.88</v>
      </c>
      <c r="F3" s="143" t="s">
        <v>304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54.62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55.88</v>
      </c>
      <c r="E5" s="13"/>
      <c r="F5" s="144"/>
      <c r="G5" s="18"/>
    </row>
    <row r="6" ht="70.05" customHeight="1" spans="1:16">
      <c r="A6" s="132"/>
      <c r="B6" s="19" t="s">
        <v>298</v>
      </c>
      <c r="C6" s="20">
        <v>0</v>
      </c>
      <c r="D6" s="20">
        <v>2251.99</v>
      </c>
      <c r="E6" s="8">
        <f>ROUND(C6+D6,2)</f>
        <v>2251.99</v>
      </c>
      <c r="F6" s="144"/>
      <c r="G6" s="18"/>
      <c r="H6" s="21" t="s">
        <v>305</v>
      </c>
      <c r="I6" s="90" t="s">
        <v>306</v>
      </c>
      <c r="J6" s="90" t="s">
        <v>307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8343.92</v>
      </c>
      <c r="E7" s="8">
        <f>ROUND(C7+D7,2)</f>
        <v>14344.7</v>
      </c>
      <c r="F7" s="144"/>
      <c r="G7" s="18"/>
      <c r="H7" s="22"/>
      <c r="I7" s="48">
        <f>210+C6</f>
        <v>210</v>
      </c>
      <c r="J7" s="48">
        <f>D6+1717.38</f>
        <v>3969.37</v>
      </c>
      <c r="K7" s="48">
        <f>J7+I7</f>
        <v>4179.37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44609</v>
      </c>
      <c r="B11" s="133" t="s">
        <v>172</v>
      </c>
      <c r="C11" s="33">
        <v>0</v>
      </c>
      <c r="D11" s="8"/>
      <c r="E11" s="33">
        <v>5</v>
      </c>
      <c r="F11" s="8">
        <v>38.74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1</v>
      </c>
      <c r="F12" s="8">
        <v>15.23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4</v>
      </c>
      <c r="F13" s="8">
        <v>0.648</v>
      </c>
      <c r="G13" s="10"/>
      <c r="H13" s="30"/>
      <c r="I13" s="35">
        <v>14233.94</v>
      </c>
      <c r="J13" s="35">
        <f>E7</f>
        <v>14344.7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5</v>
      </c>
      <c r="D14" s="8">
        <v>1.26</v>
      </c>
      <c r="E14" s="33">
        <v>0</v>
      </c>
      <c r="F14" s="8"/>
      <c r="G14" s="10"/>
      <c r="H14" s="30"/>
      <c r="I14" s="48">
        <v>699.51</v>
      </c>
      <c r="J14" s="48">
        <f>J13-I13</f>
        <v>110.76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1.26</v>
      </c>
      <c r="D18" s="134"/>
      <c r="E18" s="25">
        <f>ROUND(F11+F12+F15+F16+F17+F13+F14,2)</f>
        <v>54.62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55.88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102</v>
      </c>
      <c r="M20" s="94">
        <f>F38-44</f>
        <v>33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9</v>
      </c>
      <c r="M21" s="94">
        <f>D38-81</f>
        <v>39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79</v>
      </c>
      <c r="M23" s="94">
        <f>F39-7</f>
        <v>40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45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3860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298</v>
      </c>
      <c r="D29" s="132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480</v>
      </c>
      <c r="D30" s="132" t="s">
        <v>77</v>
      </c>
      <c r="E30" s="12">
        <f>E39+F39</f>
        <v>384</v>
      </c>
      <c r="F30" s="12"/>
      <c r="G30" s="38"/>
    </row>
    <row r="31" spans="1:7">
      <c r="A31" s="35"/>
      <c r="B31" s="132" t="s">
        <v>78</v>
      </c>
      <c r="C31" s="12">
        <f>C32-C29-C30</f>
        <v>5002</v>
      </c>
      <c r="D31" s="132" t="s">
        <v>79</v>
      </c>
      <c r="E31" s="12">
        <f>E32-E29-E30</f>
        <v>5156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44600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44601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44602</v>
      </c>
      <c r="B38" s="54">
        <v>45.75</v>
      </c>
      <c r="C38" s="58">
        <v>178</v>
      </c>
      <c r="D38" s="58">
        <v>120</v>
      </c>
      <c r="E38" s="58">
        <v>403</v>
      </c>
      <c r="F38" s="58">
        <v>77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44603</v>
      </c>
      <c r="B39" s="54">
        <v>15.48</v>
      </c>
      <c r="C39" s="60">
        <v>130</v>
      </c>
      <c r="D39" s="60">
        <v>110</v>
      </c>
      <c r="E39" s="60">
        <v>337</v>
      </c>
      <c r="F39" s="60">
        <v>47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44604</v>
      </c>
      <c r="B40" s="62">
        <v>38.34</v>
      </c>
      <c r="C40" s="63" t="s">
        <v>182</v>
      </c>
      <c r="D40" s="64">
        <f>C38+D38+E38+F38</f>
        <v>778</v>
      </c>
      <c r="E40" s="65" t="s">
        <v>69</v>
      </c>
      <c r="F40" s="66">
        <f>C39+D39+E39+F39</f>
        <v>624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44605</v>
      </c>
      <c r="B41" s="54">
        <v>30.52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截止2022年02月17日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44606</v>
      </c>
      <c r="B42" s="54">
        <v>54.88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44607</v>
      </c>
      <c r="B43" s="54">
        <v>54.2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0.1316</v>
      </c>
      <c r="J43" s="35">
        <v>5913</v>
      </c>
      <c r="K43" s="36" t="s">
        <v>318</v>
      </c>
      <c r="L43" s="56">
        <f>L44+155</f>
        <v>338</v>
      </c>
      <c r="M43" s="56">
        <f>M44+171</f>
        <v>335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44608</v>
      </c>
      <c r="B44" s="54">
        <v>54.87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0.1055</v>
      </c>
      <c r="J44" s="35">
        <v>5913</v>
      </c>
      <c r="K44" s="36" t="s">
        <v>319</v>
      </c>
      <c r="L44" s="56">
        <f>SUM(L20:M21)</f>
        <v>183</v>
      </c>
      <c r="M44" s="56">
        <f>SUM(L23:M24)</f>
        <v>164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44609</v>
      </c>
      <c r="B45" s="54">
        <v>55.88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11">
        <f>ROUND(F45/J45,4)</f>
        <v>0.0737</v>
      </c>
      <c r="J45" s="35">
        <v>135185</v>
      </c>
      <c r="K45" s="36" t="s">
        <v>320</v>
      </c>
      <c r="L45" s="56">
        <f>D40</f>
        <v>778</v>
      </c>
      <c r="M45" s="56">
        <f>F40</f>
        <v>624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6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9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11</v>
      </c>
      <c r="M47" s="56">
        <f>F40-'2022.2.15'!$F$40</f>
        <v>15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11">
        <f>ROUND(E7/J48,4)</f>
        <v>0.1589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17日自年初完成产值2251.99万元，自开工累计完成产值14344.7万元，自开工占总产值90284.4万元的15.89%，100章临建完成6000.78万元，400章桥梁完成8343.92万元。已完成梁片预制778片，占设计量的13.16%；梁片安装624片，占设计量的10.55%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44610</v>
      </c>
      <c r="B3" s="12" t="s">
        <v>7</v>
      </c>
      <c r="C3" s="12">
        <v>0</v>
      </c>
      <c r="D3" s="12">
        <f>ROUND(D11+D12+D15+D16+D17+D13+D14,2)</f>
        <v>15.28</v>
      </c>
      <c r="E3" s="13">
        <f>ROUND(C5+D5,2)</f>
        <v>46.12</v>
      </c>
      <c r="F3" s="143" t="s">
        <v>323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30.84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46.12</v>
      </c>
      <c r="E5" s="13"/>
      <c r="F5" s="144"/>
      <c r="G5" s="18"/>
    </row>
    <row r="6" ht="70.05" customHeight="1" spans="1:16">
      <c r="A6" s="132"/>
      <c r="B6" s="19" t="s">
        <v>298</v>
      </c>
      <c r="C6" s="20">
        <v>0</v>
      </c>
      <c r="D6" s="20">
        <v>2298.11</v>
      </c>
      <c r="E6" s="8">
        <f>ROUND(C6+D6,2)</f>
        <v>2298.11</v>
      </c>
      <c r="F6" s="144"/>
      <c r="G6" s="18"/>
      <c r="H6" s="21" t="s">
        <v>305</v>
      </c>
      <c r="I6" s="90" t="s">
        <v>306</v>
      </c>
      <c r="J6" s="90" t="s">
        <v>307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8390.04</v>
      </c>
      <c r="E7" s="8">
        <f>ROUND(C7+D7,2)</f>
        <v>14390.82</v>
      </c>
      <c r="F7" s="144"/>
      <c r="G7" s="18"/>
      <c r="H7" s="22"/>
      <c r="I7" s="48">
        <f>210+C6</f>
        <v>210</v>
      </c>
      <c r="J7" s="48">
        <f>D6+1717.38</f>
        <v>4015.49</v>
      </c>
      <c r="K7" s="48">
        <f>J7+I7</f>
        <v>4225.49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44610</v>
      </c>
      <c r="B11" s="133" t="s">
        <v>172</v>
      </c>
      <c r="C11" s="33">
        <v>0</v>
      </c>
      <c r="D11" s="8"/>
      <c r="E11" s="33">
        <v>2</v>
      </c>
      <c r="F11" s="8">
        <v>15.28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1</v>
      </c>
      <c r="D12" s="8">
        <v>15.28</v>
      </c>
      <c r="E12" s="33">
        <v>1</v>
      </c>
      <c r="F12" s="8">
        <v>15.24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2</v>
      </c>
      <c r="F13" s="8">
        <v>0.324</v>
      </c>
      <c r="G13" s="10"/>
      <c r="H13" s="30"/>
      <c r="I13" s="35">
        <v>14233.94</v>
      </c>
      <c r="J13" s="35">
        <f>E7</f>
        <v>14390.82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156.879999999999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15.28</v>
      </c>
      <c r="D18" s="134"/>
      <c r="E18" s="25">
        <f>ROUND(F11+F12+F15+F16+F17+F13+F14,2)</f>
        <v>30.84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46.12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104</v>
      </c>
      <c r="M20" s="94">
        <f>F38-44</f>
        <v>34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9</v>
      </c>
      <c r="M21" s="94">
        <f>D38-81</f>
        <v>40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81</v>
      </c>
      <c r="M23" s="94">
        <f>F39-7</f>
        <v>40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45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3860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299</v>
      </c>
      <c r="D29" s="132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483</v>
      </c>
      <c r="D30" s="132" t="s">
        <v>77</v>
      </c>
      <c r="E30" s="12">
        <f>E39+F39</f>
        <v>386</v>
      </c>
      <c r="F30" s="12"/>
      <c r="G30" s="38"/>
    </row>
    <row r="31" spans="1:7">
      <c r="A31" s="35"/>
      <c r="B31" s="132" t="s">
        <v>78</v>
      </c>
      <c r="C31" s="12">
        <f>C32-C29-C30</f>
        <v>4998</v>
      </c>
      <c r="D31" s="132" t="s">
        <v>79</v>
      </c>
      <c r="E31" s="12">
        <f>E32-E29-E30</f>
        <v>5154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44601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44602</v>
      </c>
      <c r="B37" s="54">
        <v>45.75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44603</v>
      </c>
      <c r="B38" s="54">
        <v>15.48</v>
      </c>
      <c r="C38" s="58">
        <v>178</v>
      </c>
      <c r="D38" s="58">
        <v>121</v>
      </c>
      <c r="E38" s="58">
        <v>405</v>
      </c>
      <c r="F38" s="58">
        <v>78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44604</v>
      </c>
      <c r="B39" s="54">
        <v>38.34</v>
      </c>
      <c r="C39" s="60">
        <v>130</v>
      </c>
      <c r="D39" s="60">
        <v>110</v>
      </c>
      <c r="E39" s="60">
        <v>339</v>
      </c>
      <c r="F39" s="60">
        <v>47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44605</v>
      </c>
      <c r="B40" s="62">
        <v>30.52</v>
      </c>
      <c r="C40" s="63" t="s">
        <v>182</v>
      </c>
      <c r="D40" s="64">
        <f>C38+D38+E38+F38</f>
        <v>782</v>
      </c>
      <c r="E40" s="65" t="s">
        <v>69</v>
      </c>
      <c r="F40" s="66">
        <f>C39+D39+E39+F39</f>
        <v>626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44606</v>
      </c>
      <c r="B41" s="54">
        <v>54.88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截止2022年02月18日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44607</v>
      </c>
      <c r="B42" s="54">
        <v>54.2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44608</v>
      </c>
      <c r="B43" s="54">
        <v>54.87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0.1323</v>
      </c>
      <c r="J43" s="35">
        <v>5913</v>
      </c>
      <c r="K43" s="36" t="s">
        <v>318</v>
      </c>
      <c r="L43" s="56">
        <f>L44+155</f>
        <v>342</v>
      </c>
      <c r="M43" s="56">
        <f>M44+171</f>
        <v>337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44609</v>
      </c>
      <c r="B44" s="54">
        <v>55.88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0.1059</v>
      </c>
      <c r="J44" s="35">
        <v>5913</v>
      </c>
      <c r="K44" s="36" t="s">
        <v>319</v>
      </c>
      <c r="L44" s="56">
        <f>SUM(L20:M21)</f>
        <v>187</v>
      </c>
      <c r="M44" s="56">
        <f>SUM(L23:M24)</f>
        <v>166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44610</v>
      </c>
      <c r="B45" s="54">
        <v>46.12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11">
        <f>ROUND(F45/J45,4)</f>
        <v>0.0737</v>
      </c>
      <c r="J45" s="35">
        <v>135185</v>
      </c>
      <c r="K45" s="36" t="s">
        <v>320</v>
      </c>
      <c r="L45" s="56">
        <f>D40</f>
        <v>782</v>
      </c>
      <c r="M45" s="56">
        <f>F40</f>
        <v>626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4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2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15</v>
      </c>
      <c r="M47" s="56">
        <f>F40-'2022.2.15'!$F$40</f>
        <v>17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11">
        <f>ROUND(E7/J48,4)</f>
        <v>0.1594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18日自年初完成产值2298.11万元，自开工累计完成产值14390.82万元，自开工占总产值90284.4万元的15.94%，100章临建完成6000.78万元，400章桥梁完成8390.04万元。已完成梁片预制782片，占设计量的13.23%；梁片安装626片，占设计量的10.59%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44611</v>
      </c>
      <c r="B3" s="12" t="s">
        <v>7</v>
      </c>
      <c r="C3" s="12">
        <v>0</v>
      </c>
      <c r="D3" s="12">
        <f>ROUND(D11+D12+D15+D16+D17+D13+D14,2)</f>
        <v>23.1</v>
      </c>
      <c r="E3" s="13">
        <f>ROUND(C5+D5,2)</f>
        <v>77.51</v>
      </c>
      <c r="F3" s="143" t="s">
        <v>324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54.41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77.51</v>
      </c>
      <c r="E5" s="13"/>
      <c r="F5" s="144"/>
      <c r="G5" s="18"/>
    </row>
    <row r="6" ht="70.05" customHeight="1" spans="1:16">
      <c r="A6" s="132"/>
      <c r="B6" s="19" t="s">
        <v>298</v>
      </c>
      <c r="C6" s="20">
        <v>0</v>
      </c>
      <c r="D6" s="20">
        <v>2375.62</v>
      </c>
      <c r="E6" s="8">
        <f>ROUND(C6+D6,2)</f>
        <v>2375.62</v>
      </c>
      <c r="F6" s="144"/>
      <c r="G6" s="18"/>
      <c r="H6" s="21" t="s">
        <v>305</v>
      </c>
      <c r="I6" s="90" t="s">
        <v>306</v>
      </c>
      <c r="J6" s="90" t="s">
        <v>307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8467.55</v>
      </c>
      <c r="E7" s="8">
        <f>ROUND(C7+D7,2)</f>
        <v>14468.33</v>
      </c>
      <c r="F7" s="144"/>
      <c r="G7" s="18"/>
      <c r="H7" s="22"/>
      <c r="I7" s="48">
        <f>210+C6</f>
        <v>210</v>
      </c>
      <c r="J7" s="48">
        <f>D6+1717.38</f>
        <v>4093</v>
      </c>
      <c r="K7" s="48">
        <f>J7+I7</f>
        <v>4303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44611</v>
      </c>
      <c r="B11" s="133" t="s">
        <v>172</v>
      </c>
      <c r="C11" s="33">
        <v>1</v>
      </c>
      <c r="D11" s="8">
        <v>7.82</v>
      </c>
      <c r="E11" s="33">
        <v>5</v>
      </c>
      <c r="F11" s="8">
        <v>38.55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1</v>
      </c>
      <c r="D12" s="8">
        <v>15.28</v>
      </c>
      <c r="E12" s="33">
        <v>1</v>
      </c>
      <c r="F12" s="8">
        <v>15.28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2</v>
      </c>
      <c r="F13" s="8">
        <v>0.324</v>
      </c>
      <c r="G13" s="10"/>
      <c r="H13" s="30"/>
      <c r="I13" s="35">
        <v>14233.94</v>
      </c>
      <c r="J13" s="35">
        <f>E7</f>
        <v>14468.33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234.389999999999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23.1</v>
      </c>
      <c r="D18" s="134"/>
      <c r="E18" s="25">
        <f>ROUND(F11+F12+F15+F16+F17+F13+F14,2)</f>
        <v>54.41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77.51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109</v>
      </c>
      <c r="M20" s="94">
        <f>F38-44</f>
        <v>35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10</v>
      </c>
      <c r="M21" s="94">
        <f>D38-81</f>
        <v>41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83</v>
      </c>
      <c r="M23" s="94">
        <f>F39-7</f>
        <v>41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45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3860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301</v>
      </c>
      <c r="D29" s="132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489</v>
      </c>
      <c r="D30" s="132" t="s">
        <v>77</v>
      </c>
      <c r="E30" s="12">
        <f>E39+F39</f>
        <v>389</v>
      </c>
      <c r="F30" s="12"/>
      <c r="G30" s="38"/>
    </row>
    <row r="31" spans="1:7">
      <c r="A31" s="35"/>
      <c r="B31" s="132" t="s">
        <v>78</v>
      </c>
      <c r="C31" s="12">
        <f>C32-C29-C30</f>
        <v>4990</v>
      </c>
      <c r="D31" s="132" t="s">
        <v>79</v>
      </c>
      <c r="E31" s="12">
        <f>E32-E29-E30</f>
        <v>5151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44602</v>
      </c>
      <c r="B36" s="54">
        <v>45.75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44603</v>
      </c>
      <c r="B37" s="54">
        <v>15.48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44604</v>
      </c>
      <c r="B38" s="54">
        <v>38.34</v>
      </c>
      <c r="C38" s="58">
        <v>179</v>
      </c>
      <c r="D38" s="58">
        <v>122</v>
      </c>
      <c r="E38" s="58">
        <v>410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44605</v>
      </c>
      <c r="B39" s="54">
        <v>30.52</v>
      </c>
      <c r="C39" s="60">
        <v>130</v>
      </c>
      <c r="D39" s="60">
        <v>110</v>
      </c>
      <c r="E39" s="60">
        <v>341</v>
      </c>
      <c r="F39" s="60">
        <v>48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44606</v>
      </c>
      <c r="B40" s="62">
        <v>54.88</v>
      </c>
      <c r="C40" s="63" t="s">
        <v>182</v>
      </c>
      <c r="D40" s="64">
        <f>C38+D38+E38+F38</f>
        <v>790</v>
      </c>
      <c r="E40" s="65" t="s">
        <v>69</v>
      </c>
      <c r="F40" s="66">
        <f>C39+D39+E39+F39</f>
        <v>629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44607</v>
      </c>
      <c r="B41" s="54">
        <v>54.2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截止2022年02月19日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44608</v>
      </c>
      <c r="B42" s="54">
        <v>54.87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44609</v>
      </c>
      <c r="B43" s="54">
        <v>55.88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0.1336</v>
      </c>
      <c r="J43" s="35">
        <v>5913</v>
      </c>
      <c r="K43" s="36" t="s">
        <v>318</v>
      </c>
      <c r="L43" s="56">
        <f>L44+155</f>
        <v>350</v>
      </c>
      <c r="M43" s="56">
        <f>M44+171</f>
        <v>340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44610</v>
      </c>
      <c r="B44" s="54">
        <v>46.12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0.1064</v>
      </c>
      <c r="J44" s="35">
        <v>5913</v>
      </c>
      <c r="K44" s="36" t="s">
        <v>319</v>
      </c>
      <c r="L44" s="56">
        <f>SUM(L20:M21)</f>
        <v>195</v>
      </c>
      <c r="M44" s="56">
        <f>SUM(L23:M24)</f>
        <v>169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44611</v>
      </c>
      <c r="B45" s="54">
        <v>77.51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11">
        <f>ROUND(F45/J45,4)</f>
        <v>0.0737</v>
      </c>
      <c r="J45" s="35">
        <v>135185</v>
      </c>
      <c r="K45" s="36" t="s">
        <v>320</v>
      </c>
      <c r="L45" s="56">
        <f>D40</f>
        <v>790</v>
      </c>
      <c r="M45" s="56">
        <f>F40</f>
        <v>629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8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3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23</v>
      </c>
      <c r="M47" s="56">
        <f>F40-'2022.2.15'!$F$40</f>
        <v>20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11">
        <f>ROUND(E7/J48,4)</f>
        <v>0.1603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19日自年初完成产值2375.62万元，自开工累计完成产值14468.33万元，自开工占总产值90284.4万元的16.03%，100章临建完成6000.78万元，400章桥梁完成8467.55万元。已完成梁片预制790片，占设计量的13.36%；梁片安装629片，占设计量的10.64%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R49" sqref="R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44612</v>
      </c>
      <c r="B3" s="12" t="s">
        <v>7</v>
      </c>
      <c r="C3" s="12">
        <v>0</v>
      </c>
      <c r="D3" s="12">
        <f>ROUND(D11+D12+D15+D16+D17+D13+D14,2)</f>
        <v>30.58</v>
      </c>
      <c r="E3" s="13">
        <f>ROUND(C5+D5,2)</f>
        <v>69.71</v>
      </c>
      <c r="F3" s="143" t="s">
        <v>325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39.13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69.71</v>
      </c>
      <c r="E5" s="13"/>
      <c r="F5" s="144"/>
      <c r="G5" s="18"/>
    </row>
    <row r="6" ht="70.05" customHeight="1" spans="1:16">
      <c r="A6" s="132"/>
      <c r="B6" s="19" t="s">
        <v>298</v>
      </c>
      <c r="C6" s="20">
        <v>0</v>
      </c>
      <c r="D6" s="20">
        <v>2445.33</v>
      </c>
      <c r="E6" s="8">
        <f>ROUND(C6+D6,2)</f>
        <v>2445.33</v>
      </c>
      <c r="F6" s="144"/>
      <c r="G6" s="18"/>
      <c r="H6" s="21" t="s">
        <v>305</v>
      </c>
      <c r="I6" s="90" t="s">
        <v>306</v>
      </c>
      <c r="J6" s="90" t="s">
        <v>307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8537.26</v>
      </c>
      <c r="E7" s="8">
        <f>ROUND(C7+D7,2)</f>
        <v>14538.04</v>
      </c>
      <c r="F7" s="144"/>
      <c r="G7" s="18"/>
      <c r="H7" s="22"/>
      <c r="I7" s="48">
        <f>210+C6</f>
        <v>210</v>
      </c>
      <c r="J7" s="48">
        <f>D6+1717.38</f>
        <v>4162.71</v>
      </c>
      <c r="K7" s="48">
        <f>J7+I7</f>
        <v>4372.71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44612</v>
      </c>
      <c r="B11" s="133" t="s">
        <v>172</v>
      </c>
      <c r="C11" s="33">
        <v>0</v>
      </c>
      <c r="D11" s="8"/>
      <c r="E11" s="33">
        <v>5</v>
      </c>
      <c r="F11" s="8">
        <v>38.37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2</v>
      </c>
      <c r="D12" s="8">
        <v>30.58</v>
      </c>
      <c r="E12" s="33">
        <v>0</v>
      </c>
      <c r="F12" s="8"/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14538.04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3</v>
      </c>
      <c r="F14" s="8">
        <v>0.756</v>
      </c>
      <c r="G14" s="10"/>
      <c r="H14" s="30"/>
      <c r="I14" s="48">
        <v>699.51</v>
      </c>
      <c r="J14" s="48">
        <f>J13-I13</f>
        <v>304.1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30.58</v>
      </c>
      <c r="D18" s="134"/>
      <c r="E18" s="25">
        <f>ROUND(F11+F12+F15+F16+F17+F13+F14,2)</f>
        <v>39.13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69.71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114</v>
      </c>
      <c r="M20" s="94">
        <f>F38-44</f>
        <v>35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10</v>
      </c>
      <c r="M21" s="94">
        <f>D38-81</f>
        <v>43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83</v>
      </c>
      <c r="M23" s="94">
        <f>F39-7</f>
        <v>44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45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3860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303</v>
      </c>
      <c r="D29" s="132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494</v>
      </c>
      <c r="D30" s="132" t="s">
        <v>77</v>
      </c>
      <c r="E30" s="12">
        <f>E39+F39</f>
        <v>392</v>
      </c>
      <c r="F30" s="12"/>
      <c r="G30" s="38"/>
    </row>
    <row r="31" spans="1:7">
      <c r="A31" s="35"/>
      <c r="B31" s="132" t="s">
        <v>78</v>
      </c>
      <c r="C31" s="12">
        <f>C32-C29-C30</f>
        <v>4983</v>
      </c>
      <c r="D31" s="132" t="s">
        <v>79</v>
      </c>
      <c r="E31" s="12">
        <f>E32-E29-E30</f>
        <v>5148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44603</v>
      </c>
      <c r="B36" s="54">
        <v>15.48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44604</v>
      </c>
      <c r="B37" s="54">
        <v>38.34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44605</v>
      </c>
      <c r="B38" s="54">
        <v>30.52</v>
      </c>
      <c r="C38" s="58">
        <v>179</v>
      </c>
      <c r="D38" s="58">
        <v>124</v>
      </c>
      <c r="E38" s="58">
        <v>415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44606</v>
      </c>
      <c r="B39" s="54">
        <v>54.88</v>
      </c>
      <c r="C39" s="60">
        <v>130</v>
      </c>
      <c r="D39" s="60">
        <v>110</v>
      </c>
      <c r="E39" s="60">
        <v>341</v>
      </c>
      <c r="F39" s="60">
        <v>51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44607</v>
      </c>
      <c r="B40" s="62">
        <v>54.2</v>
      </c>
      <c r="C40" s="63" t="s">
        <v>182</v>
      </c>
      <c r="D40" s="64">
        <f>C38+D38+E38+F38</f>
        <v>797</v>
      </c>
      <c r="E40" s="65" t="s">
        <v>69</v>
      </c>
      <c r="F40" s="66">
        <f>C39+D39+E39+F39</f>
        <v>632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44608</v>
      </c>
      <c r="B41" s="54">
        <v>54.87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截止2022年02月20日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44609</v>
      </c>
      <c r="B42" s="54">
        <v>55.88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44610</v>
      </c>
      <c r="B43" s="54">
        <v>46.12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0.1348</v>
      </c>
      <c r="J43" s="35">
        <v>5913</v>
      </c>
      <c r="K43" s="36" t="s">
        <v>318</v>
      </c>
      <c r="L43" s="56">
        <f>L44+155</f>
        <v>357</v>
      </c>
      <c r="M43" s="56">
        <f>M44+171</f>
        <v>343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44611</v>
      </c>
      <c r="B44" s="54">
        <v>77.51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0.1069</v>
      </c>
      <c r="J44" s="35">
        <v>5913</v>
      </c>
      <c r="K44" s="36" t="s">
        <v>319</v>
      </c>
      <c r="L44" s="56">
        <f>SUM(L20:M21)</f>
        <v>202</v>
      </c>
      <c r="M44" s="56">
        <f>SUM(L23:M24)</f>
        <v>172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44612</v>
      </c>
      <c r="B45" s="54">
        <v>69.71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11">
        <f>ROUND(F45/J45,4)</f>
        <v>0.0737</v>
      </c>
      <c r="J45" s="35">
        <v>135185</v>
      </c>
      <c r="K45" s="36" t="s">
        <v>320</v>
      </c>
      <c r="L45" s="56">
        <f>D40</f>
        <v>797</v>
      </c>
      <c r="M45" s="56">
        <f>F40</f>
        <v>632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7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3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30</v>
      </c>
      <c r="M47" s="56">
        <f>F40-'2022.2.15'!$F$40</f>
        <v>23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11">
        <f>ROUND(E7/J48,4)</f>
        <v>0.161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20日自年初完成产值2445.33万元，自开工累计完成产值14538.04万元，自开工占总产值90284.4万元的16.1%，100章临建完成6000.78万元，400章桥梁完成8537.26万元。已完成梁片预制797片，占设计量的13.48%；梁片安装632片，占设计量的10.69%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6" workbookViewId="0">
      <selection activeCell="I32" sqref="I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44613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7.82</v>
      </c>
      <c r="F3" s="143" t="s">
        <v>326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7.82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7.82</v>
      </c>
      <c r="E5" s="13"/>
      <c r="F5" s="144"/>
      <c r="G5" s="18"/>
    </row>
    <row r="6" ht="70.05" customHeight="1" spans="1:16">
      <c r="A6" s="132"/>
      <c r="B6" s="19" t="s">
        <v>298</v>
      </c>
      <c r="C6" s="20">
        <v>0</v>
      </c>
      <c r="D6" s="20">
        <v>2453.15</v>
      </c>
      <c r="E6" s="8">
        <f>ROUND(C6+D6,2)</f>
        <v>2453.15</v>
      </c>
      <c r="F6" s="144"/>
      <c r="G6" s="18"/>
      <c r="H6" s="21" t="s">
        <v>305</v>
      </c>
      <c r="I6" s="90" t="s">
        <v>306</v>
      </c>
      <c r="J6" s="90" t="s">
        <v>307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8545.08</v>
      </c>
      <c r="E7" s="8">
        <f>ROUND(C7+D7,2)</f>
        <v>14545.86</v>
      </c>
      <c r="F7" s="144"/>
      <c r="G7" s="18"/>
      <c r="H7" s="22"/>
      <c r="I7" s="48">
        <f>210+C6</f>
        <v>210</v>
      </c>
      <c r="J7" s="48">
        <f>D6+1717.38</f>
        <v>4170.53</v>
      </c>
      <c r="K7" s="48">
        <f>J7+I7</f>
        <v>4380.53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44613</v>
      </c>
      <c r="B11" s="133" t="s">
        <v>172</v>
      </c>
      <c r="C11" s="33">
        <v>0</v>
      </c>
      <c r="D11" s="8"/>
      <c r="E11" s="33">
        <v>1</v>
      </c>
      <c r="F11" s="8">
        <v>7.82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0</v>
      </c>
      <c r="F12" s="8"/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14545.86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311.92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7.82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7.82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115</v>
      </c>
      <c r="M20" s="94">
        <f>F38-44</f>
        <v>35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10</v>
      </c>
      <c r="M21" s="94">
        <f>D38-81</f>
        <v>43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83</v>
      </c>
      <c r="M23" s="94">
        <f>F39-7</f>
        <v>44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45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3860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H7</f>
        <v>0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303</v>
      </c>
      <c r="D29" s="132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495</v>
      </c>
      <c r="D30" s="132" t="s">
        <v>77</v>
      </c>
      <c r="E30" s="12">
        <f>E39+F39</f>
        <v>392</v>
      </c>
      <c r="F30" s="12"/>
      <c r="G30" s="38"/>
    </row>
    <row r="31" spans="1:7">
      <c r="A31" s="35"/>
      <c r="B31" s="132" t="s">
        <v>78</v>
      </c>
      <c r="C31" s="12">
        <f>C32-C29-C30</f>
        <v>4982</v>
      </c>
      <c r="D31" s="132" t="s">
        <v>79</v>
      </c>
      <c r="E31" s="12">
        <f>E32-E29-E30</f>
        <v>5148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44604</v>
      </c>
      <c r="B36" s="54">
        <v>38.34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44605</v>
      </c>
      <c r="B37" s="54">
        <v>30.52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44606</v>
      </c>
      <c r="B38" s="54">
        <v>54.88</v>
      </c>
      <c r="C38" s="58">
        <v>179</v>
      </c>
      <c r="D38" s="58">
        <v>124</v>
      </c>
      <c r="E38" s="58">
        <v>416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44607</v>
      </c>
      <c r="B39" s="54">
        <v>54.2</v>
      </c>
      <c r="C39" s="60">
        <v>130</v>
      </c>
      <c r="D39" s="60">
        <v>110</v>
      </c>
      <c r="E39" s="60">
        <v>341</v>
      </c>
      <c r="F39" s="60">
        <v>51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44608</v>
      </c>
      <c r="B40" s="62">
        <v>54.87</v>
      </c>
      <c r="C40" s="63" t="s">
        <v>182</v>
      </c>
      <c r="D40" s="64">
        <f>C38+D38+E38+F38</f>
        <v>798</v>
      </c>
      <c r="E40" s="65" t="s">
        <v>69</v>
      </c>
      <c r="F40" s="66">
        <f>C39+D39+E39+F39</f>
        <v>632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44609</v>
      </c>
      <c r="B41" s="54">
        <v>55.88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截止2022年02月21日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44610</v>
      </c>
      <c r="B42" s="54">
        <v>46.12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44611</v>
      </c>
      <c r="B43" s="54">
        <v>77.51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0.135</v>
      </c>
      <c r="J43" s="35">
        <v>5913</v>
      </c>
      <c r="K43" s="36" t="s">
        <v>318</v>
      </c>
      <c r="L43" s="56">
        <f>L44+155</f>
        <v>358</v>
      </c>
      <c r="M43" s="56">
        <f>M44+171</f>
        <v>343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44612</v>
      </c>
      <c r="B44" s="54">
        <v>69.71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0.1069</v>
      </c>
      <c r="J44" s="35">
        <v>5913</v>
      </c>
      <c r="K44" s="36" t="s">
        <v>319</v>
      </c>
      <c r="L44" s="56">
        <f>SUM(L20:M21)</f>
        <v>203</v>
      </c>
      <c r="M44" s="56">
        <f>SUM(L23:M24)</f>
        <v>172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44613</v>
      </c>
      <c r="B45" s="54">
        <v>7.82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11">
        <f>ROUND(F45/J45,4)</f>
        <v>0.0737</v>
      </c>
      <c r="J45" s="35">
        <v>135185</v>
      </c>
      <c r="K45" s="36" t="s">
        <v>320</v>
      </c>
      <c r="L45" s="56">
        <f>D40</f>
        <v>798</v>
      </c>
      <c r="M45" s="56">
        <f>F40</f>
        <v>632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1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0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31</v>
      </c>
      <c r="M47" s="56">
        <f>F40-'2022.2.15'!$F$40</f>
        <v>23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11">
        <f>ROUND(E7/J48,4)</f>
        <v>0.1611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21日自年初完成产值2453.15万元，自开工累计完成产值14545.86万元，自开工占总产值90284.4万元的16.11%，100章临建完成6000.78万元，400章桥梁完成8545.08万元。已完成梁片预制798片，占设计量的13.5%；梁片安装632片，占设计量的10.69%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6" workbookViewId="0">
      <selection activeCell="S24" sqref="S2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44614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0</v>
      </c>
      <c r="F3" s="143" t="s">
        <v>235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0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0</v>
      </c>
      <c r="E5" s="13"/>
      <c r="F5" s="144"/>
      <c r="G5" s="18"/>
    </row>
    <row r="6" ht="70.05" customHeight="1" spans="1:16">
      <c r="A6" s="132"/>
      <c r="B6" s="19" t="s">
        <v>298</v>
      </c>
      <c r="C6" s="20">
        <v>0</v>
      </c>
      <c r="D6" s="20">
        <v>2453.15</v>
      </c>
      <c r="E6" s="8">
        <f>ROUND(C6+D6,2)</f>
        <v>2453.15</v>
      </c>
      <c r="F6" s="144"/>
      <c r="G6" s="18"/>
      <c r="H6" s="21" t="s">
        <v>305</v>
      </c>
      <c r="I6" s="90" t="s">
        <v>306</v>
      </c>
      <c r="J6" s="90" t="s">
        <v>307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8545.08</v>
      </c>
      <c r="E7" s="8">
        <f>ROUND(C7+D7,2)</f>
        <v>14545.86</v>
      </c>
      <c r="F7" s="144"/>
      <c r="G7" s="18"/>
      <c r="H7" s="22"/>
      <c r="I7" s="48">
        <f>210+C6</f>
        <v>210</v>
      </c>
      <c r="J7" s="48">
        <f>D6+1717.38</f>
        <v>4170.53</v>
      </c>
      <c r="K7" s="48">
        <f>J7+I7</f>
        <v>4380.53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44614</v>
      </c>
      <c r="B11" s="133" t="s">
        <v>172</v>
      </c>
      <c r="C11" s="33">
        <v>0</v>
      </c>
      <c r="D11" s="8"/>
      <c r="E11" s="33">
        <v>0</v>
      </c>
      <c r="F11" s="8"/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0</v>
      </c>
      <c r="F12" s="8"/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14545.86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311.92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0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0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115</v>
      </c>
      <c r="M20" s="94">
        <f>F38-44</f>
        <v>35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10</v>
      </c>
      <c r="M21" s="94">
        <f>D38-81</f>
        <v>43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84</v>
      </c>
      <c r="M23" s="94">
        <f>F39-7</f>
        <v>45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45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3860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2463.43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303</v>
      </c>
      <c r="D29" s="132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495</v>
      </c>
      <c r="D30" s="132" t="s">
        <v>77</v>
      </c>
      <c r="E30" s="12">
        <f>E39+F39</f>
        <v>394</v>
      </c>
      <c r="F30" s="12"/>
      <c r="G30" s="38"/>
    </row>
    <row r="31" spans="1:7">
      <c r="A31" s="35"/>
      <c r="B31" s="132" t="s">
        <v>78</v>
      </c>
      <c r="C31" s="12">
        <f>C32-C29-C30</f>
        <v>4982</v>
      </c>
      <c r="D31" s="132" t="s">
        <v>79</v>
      </c>
      <c r="E31" s="12">
        <f>E32-E29-E30</f>
        <v>5146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44605</v>
      </c>
      <c r="B36" s="54">
        <v>30.52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44606</v>
      </c>
      <c r="B37" s="54">
        <v>54.88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44607</v>
      </c>
      <c r="B38" s="54">
        <v>54.2</v>
      </c>
      <c r="C38" s="58">
        <v>179</v>
      </c>
      <c r="D38" s="58">
        <v>124</v>
      </c>
      <c r="E38" s="58">
        <v>416</v>
      </c>
      <c r="F38" s="58">
        <v>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44608</v>
      </c>
      <c r="B39" s="54">
        <v>54.87</v>
      </c>
      <c r="C39" s="60">
        <v>130</v>
      </c>
      <c r="D39" s="60">
        <v>110</v>
      </c>
      <c r="E39" s="60">
        <v>342</v>
      </c>
      <c r="F39" s="60">
        <v>52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44609</v>
      </c>
      <c r="B40" s="62">
        <v>55.88</v>
      </c>
      <c r="C40" s="63" t="s">
        <v>182</v>
      </c>
      <c r="D40" s="64">
        <f>C38+D38+E38+F38</f>
        <v>798</v>
      </c>
      <c r="E40" s="65" t="s">
        <v>69</v>
      </c>
      <c r="F40" s="66">
        <f>C39+D39+E39+F39</f>
        <v>634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44610</v>
      </c>
      <c r="B41" s="54">
        <v>46.12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截止2022年02月22日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44611</v>
      </c>
      <c r="B42" s="54">
        <v>77.51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44612</v>
      </c>
      <c r="B43" s="54">
        <v>69.71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0.135</v>
      </c>
      <c r="J43" s="35">
        <v>5913</v>
      </c>
      <c r="K43" s="36" t="s">
        <v>318</v>
      </c>
      <c r="L43" s="56">
        <f>L44+155</f>
        <v>358</v>
      </c>
      <c r="M43" s="56">
        <f>M44+171</f>
        <v>345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44613</v>
      </c>
      <c r="B44" s="54">
        <v>7.82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0.1072</v>
      </c>
      <c r="J44" s="35">
        <v>5913</v>
      </c>
      <c r="K44" s="36" t="s">
        <v>319</v>
      </c>
      <c r="L44" s="56">
        <f>SUM(L20:M21)</f>
        <v>203</v>
      </c>
      <c r="M44" s="56">
        <f>SUM(L23:M24)</f>
        <v>174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44614</v>
      </c>
      <c r="B45" s="54">
        <v>0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11">
        <f>ROUND(F45/J45,4)</f>
        <v>0.0737</v>
      </c>
      <c r="J45" s="35">
        <v>135185</v>
      </c>
      <c r="K45" s="36" t="s">
        <v>320</v>
      </c>
      <c r="L45" s="56">
        <f>D40</f>
        <v>798</v>
      </c>
      <c r="M45" s="56">
        <f>F40</f>
        <v>634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0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0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31</v>
      </c>
      <c r="M47" s="56">
        <f>F40-'2022.2.15'!$F$40</f>
        <v>25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11">
        <f>ROUND(E7/J48,4)</f>
        <v>0.1611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22日自年初完成产值2453.15万元，自开工累计完成产值14545.86万元，自开工占总产值90284.4万元的16.11%，100章临建完成6000.78万元，400章桥梁完成8545.08万元。已完成梁片预制798片，占设计量的13.5%；梁片安装634片，占设计量的10.72%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6" workbookViewId="0">
      <selection activeCell="S24" sqref="S2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44615</v>
      </c>
      <c r="B3" s="12" t="s">
        <v>7</v>
      </c>
      <c r="C3" s="12">
        <v>0</v>
      </c>
      <c r="D3" s="12">
        <f>ROUND(D11+D12+D15+D16+D17+D13+D14,2)</f>
        <v>15.29</v>
      </c>
      <c r="E3" s="13">
        <f>ROUND(C5+D5,2)</f>
        <v>131.02</v>
      </c>
      <c r="F3" s="143" t="s">
        <v>327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115.73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131.02</v>
      </c>
      <c r="E5" s="13"/>
      <c r="F5" s="144"/>
      <c r="G5" s="18"/>
    </row>
    <row r="6" ht="70.05" customHeight="1" spans="1:16">
      <c r="A6" s="132"/>
      <c r="B6" s="19" t="s">
        <v>298</v>
      </c>
      <c r="C6" s="20">
        <v>0</v>
      </c>
      <c r="D6" s="20">
        <v>2584.17</v>
      </c>
      <c r="E6" s="8">
        <f>ROUND(C6+D6,2)</f>
        <v>2584.17</v>
      </c>
      <c r="F6" s="144"/>
      <c r="G6" s="18"/>
      <c r="H6" s="21" t="s">
        <v>305</v>
      </c>
      <c r="I6" s="90" t="s">
        <v>306</v>
      </c>
      <c r="J6" s="90" t="s">
        <v>307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8676.1</v>
      </c>
      <c r="E7" s="8">
        <f>ROUND(C7+D7,2)</f>
        <v>14676.88</v>
      </c>
      <c r="F7" s="144"/>
      <c r="G7" s="18"/>
      <c r="H7" s="22"/>
      <c r="I7" s="48">
        <f>210+C6</f>
        <v>210</v>
      </c>
      <c r="J7" s="48">
        <f>D6+1717.38</f>
        <v>4301.55</v>
      </c>
      <c r="K7" s="48">
        <f>J7+I7</f>
        <v>4511.55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44615</v>
      </c>
      <c r="B11" s="133" t="s">
        <v>172</v>
      </c>
      <c r="C11" s="33">
        <v>0</v>
      </c>
      <c r="D11" s="8"/>
      <c r="E11" s="33">
        <v>11</v>
      </c>
      <c r="F11" s="8">
        <v>84.75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1</v>
      </c>
      <c r="D12" s="8">
        <v>15.29</v>
      </c>
      <c r="E12" s="33">
        <v>2</v>
      </c>
      <c r="F12" s="8">
        <v>30.57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1</v>
      </c>
      <c r="F13" s="8">
        <v>0.162</v>
      </c>
      <c r="G13" s="10"/>
      <c r="H13" s="30"/>
      <c r="I13" s="35">
        <v>14233.94</v>
      </c>
      <c r="J13" s="35">
        <f>E7</f>
        <v>14676.88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442.939999999999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15.29</v>
      </c>
      <c r="D18" s="134"/>
      <c r="E18" s="25">
        <f>ROUND(F11+F12+F15+F16+F17+F13+F14,2)</f>
        <v>115.73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131.02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126</v>
      </c>
      <c r="M20" s="94">
        <f>F38-44</f>
        <v>37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10</v>
      </c>
      <c r="M21" s="94">
        <f>D38-81</f>
        <v>44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84</v>
      </c>
      <c r="M23" s="94">
        <f>F39-7</f>
        <v>45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45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3860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2594.45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304</v>
      </c>
      <c r="D29" s="132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508</v>
      </c>
      <c r="D30" s="132" t="s">
        <v>77</v>
      </c>
      <c r="E30" s="12">
        <f>E39+F39</f>
        <v>394</v>
      </c>
      <c r="F30" s="12"/>
      <c r="G30" s="38"/>
    </row>
    <row r="31" spans="1:7">
      <c r="A31" s="35"/>
      <c r="B31" s="132" t="s">
        <v>78</v>
      </c>
      <c r="C31" s="12">
        <f>C32-C29-C30</f>
        <v>4968</v>
      </c>
      <c r="D31" s="132" t="s">
        <v>79</v>
      </c>
      <c r="E31" s="12">
        <f>E32-E29-E30</f>
        <v>5146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44606</v>
      </c>
      <c r="B36" s="54">
        <v>54.88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44607</v>
      </c>
      <c r="B37" s="54">
        <v>54.2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44608</v>
      </c>
      <c r="B38" s="54">
        <v>54.87</v>
      </c>
      <c r="C38" s="58">
        <v>179</v>
      </c>
      <c r="D38" s="58">
        <v>125</v>
      </c>
      <c r="E38" s="58">
        <v>427</v>
      </c>
      <c r="F38" s="58">
        <v>81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44609</v>
      </c>
      <c r="B39" s="54">
        <v>55.88</v>
      </c>
      <c r="C39" s="60">
        <v>130</v>
      </c>
      <c r="D39" s="60">
        <v>110</v>
      </c>
      <c r="E39" s="60">
        <v>342</v>
      </c>
      <c r="F39" s="60">
        <v>52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44610</v>
      </c>
      <c r="B40" s="62">
        <v>46.12</v>
      </c>
      <c r="C40" s="63" t="s">
        <v>182</v>
      </c>
      <c r="D40" s="64">
        <f>C38+D38+E38+F38</f>
        <v>812</v>
      </c>
      <c r="E40" s="65" t="s">
        <v>69</v>
      </c>
      <c r="F40" s="66">
        <f>C39+D39+E39+F39</f>
        <v>634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44611</v>
      </c>
      <c r="B41" s="54">
        <v>77.51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截止2022年02月23日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44612</v>
      </c>
      <c r="B42" s="54">
        <v>69.71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44613</v>
      </c>
      <c r="B43" s="54">
        <v>7.82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0.1373</v>
      </c>
      <c r="J43" s="35">
        <v>5913</v>
      </c>
      <c r="K43" s="36" t="s">
        <v>318</v>
      </c>
      <c r="L43" s="56">
        <f>L44+155</f>
        <v>372</v>
      </c>
      <c r="M43" s="56">
        <f>M44+171</f>
        <v>345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44614</v>
      </c>
      <c r="B44" s="54">
        <v>0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0.1072</v>
      </c>
      <c r="J44" s="35">
        <v>5913</v>
      </c>
      <c r="K44" s="36" t="s">
        <v>319</v>
      </c>
      <c r="L44" s="56">
        <f>SUM(L20:M21)</f>
        <v>217</v>
      </c>
      <c r="M44" s="56">
        <f>SUM(L23:M24)</f>
        <v>174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44615</v>
      </c>
      <c r="B45" s="54">
        <v>131.02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11">
        <f>ROUND(F45/J45,4)</f>
        <v>0.0737</v>
      </c>
      <c r="J45" s="35">
        <v>135185</v>
      </c>
      <c r="K45" s="36" t="s">
        <v>320</v>
      </c>
      <c r="L45" s="56">
        <f>D40</f>
        <v>812</v>
      </c>
      <c r="M45" s="56">
        <f>F40</f>
        <v>634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14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2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45</v>
      </c>
      <c r="M47" s="56">
        <f>F40-'2022.2.15'!$F$40</f>
        <v>25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11">
        <f>ROUND(E7/J48,4)</f>
        <v>0.1626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23日自年初完成产值2584.17万元，自开工累计完成产值14676.88万元，自开工占总产值90284.4万元的16.26%，100章临建完成6000.78万元，400章桥梁完成8676.1万元。已完成梁片预制812片，占设计量的13.73%；梁片安装634片，占设计量的10.72%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6" workbookViewId="0">
      <selection activeCell="S24" sqref="S2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44616</v>
      </c>
      <c r="B3" s="12" t="s">
        <v>7</v>
      </c>
      <c r="C3" s="12">
        <v>0</v>
      </c>
      <c r="D3" s="12">
        <f>ROUND(D11+D12+D15+D16+D17+D13+D14,2)</f>
        <v>30.57</v>
      </c>
      <c r="E3" s="13">
        <f>ROUND(C5+D5,2)</f>
        <v>61.48</v>
      </c>
      <c r="F3" s="143" t="s">
        <v>328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30.91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61.48</v>
      </c>
      <c r="E5" s="13"/>
      <c r="F5" s="144"/>
      <c r="G5" s="18"/>
    </row>
    <row r="6" ht="70.05" customHeight="1" spans="1:16">
      <c r="A6" s="132"/>
      <c r="B6" s="19" t="s">
        <v>298</v>
      </c>
      <c r="C6" s="20">
        <v>0</v>
      </c>
      <c r="D6" s="20">
        <v>2645.65</v>
      </c>
      <c r="E6" s="8">
        <f>ROUND(C6+D6,2)</f>
        <v>2645.65</v>
      </c>
      <c r="F6" s="144"/>
      <c r="G6" s="18"/>
      <c r="H6" s="21" t="s">
        <v>305</v>
      </c>
      <c r="I6" s="90" t="s">
        <v>306</v>
      </c>
      <c r="J6" s="90" t="s">
        <v>307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8737.58</v>
      </c>
      <c r="E7" s="8">
        <f>ROUND(C7+D7,2)</f>
        <v>14738.36</v>
      </c>
      <c r="F7" s="144"/>
      <c r="G7" s="18"/>
      <c r="H7" s="22"/>
      <c r="I7" s="48">
        <f>210+C6</f>
        <v>210</v>
      </c>
      <c r="J7" s="48">
        <f>D6+1717.38</f>
        <v>4363.03</v>
      </c>
      <c r="K7" s="48">
        <f>J7+I7</f>
        <v>4573.03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44616</v>
      </c>
      <c r="B11" s="133" t="s">
        <v>172</v>
      </c>
      <c r="C11" s="33">
        <v>0</v>
      </c>
      <c r="D11" s="8"/>
      <c r="E11" s="33">
        <v>2</v>
      </c>
      <c r="F11" s="8">
        <v>15.62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2</v>
      </c>
      <c r="D12" s="8">
        <v>30.57</v>
      </c>
      <c r="E12" s="33">
        <v>1</v>
      </c>
      <c r="F12" s="8">
        <v>15.29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14738.36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504.42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30.57</v>
      </c>
      <c r="D18" s="134"/>
      <c r="E18" s="25">
        <f>ROUND(F11+F12+F15+F16+F17+F13+F14,2)</f>
        <v>30.91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61.48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128</v>
      </c>
      <c r="M20" s="94">
        <f>F38-44</f>
        <v>38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10</v>
      </c>
      <c r="M21" s="94">
        <f>D38-81</f>
        <v>46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84</v>
      </c>
      <c r="M23" s="94">
        <f>F39-7</f>
        <v>45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45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3860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2655.93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306</v>
      </c>
      <c r="D29" s="132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511</v>
      </c>
      <c r="D30" s="132" t="s">
        <v>77</v>
      </c>
      <c r="E30" s="12">
        <f>E39+F39</f>
        <v>394</v>
      </c>
      <c r="F30" s="12"/>
      <c r="G30" s="38"/>
    </row>
    <row r="31" spans="1:7">
      <c r="A31" s="35"/>
      <c r="B31" s="132" t="s">
        <v>78</v>
      </c>
      <c r="C31" s="12">
        <f>C32-C29-C30</f>
        <v>4963</v>
      </c>
      <c r="D31" s="132" t="s">
        <v>79</v>
      </c>
      <c r="E31" s="12">
        <f>E32-E29-E30</f>
        <v>5146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44607</v>
      </c>
      <c r="B36" s="54">
        <v>54.2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44608</v>
      </c>
      <c r="B37" s="54">
        <v>54.87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44609</v>
      </c>
      <c r="B38" s="54">
        <v>55.88</v>
      </c>
      <c r="C38" s="58">
        <v>179</v>
      </c>
      <c r="D38" s="58">
        <v>127</v>
      </c>
      <c r="E38" s="58">
        <v>429</v>
      </c>
      <c r="F38" s="58">
        <v>82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44610</v>
      </c>
      <c r="B39" s="54">
        <v>46.12</v>
      </c>
      <c r="C39" s="60">
        <v>130</v>
      </c>
      <c r="D39" s="60">
        <v>110</v>
      </c>
      <c r="E39" s="60">
        <v>342</v>
      </c>
      <c r="F39" s="60">
        <v>52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44611</v>
      </c>
      <c r="B40" s="62">
        <v>77.51</v>
      </c>
      <c r="C40" s="63" t="s">
        <v>182</v>
      </c>
      <c r="D40" s="64">
        <f>C38+D38+E38+F38</f>
        <v>817</v>
      </c>
      <c r="E40" s="65" t="s">
        <v>69</v>
      </c>
      <c r="F40" s="66">
        <f>C39+D39+E39+F39</f>
        <v>634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44612</v>
      </c>
      <c r="B41" s="54">
        <v>69.71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截止2022年02月24日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44613</v>
      </c>
      <c r="B42" s="54">
        <v>7.82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44614</v>
      </c>
      <c r="B43" s="54">
        <v>0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0.1382</v>
      </c>
      <c r="J43" s="35">
        <v>5913</v>
      </c>
      <c r="K43" s="36" t="s">
        <v>318</v>
      </c>
      <c r="L43" s="56">
        <f>L44+155</f>
        <v>377</v>
      </c>
      <c r="M43" s="56">
        <f>M44+171</f>
        <v>345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44615</v>
      </c>
      <c r="B44" s="54">
        <v>131.02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0.1072</v>
      </c>
      <c r="J44" s="35">
        <v>5913</v>
      </c>
      <c r="K44" s="36" t="s">
        <v>319</v>
      </c>
      <c r="L44" s="56">
        <f>SUM(L20:M21)</f>
        <v>222</v>
      </c>
      <c r="M44" s="56">
        <f>SUM(L23:M24)</f>
        <v>174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44616</v>
      </c>
      <c r="B45" s="54">
        <v>61.48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11">
        <f>ROUND(F45/J45,4)</f>
        <v>0.0737</v>
      </c>
      <c r="J45" s="35">
        <v>135185</v>
      </c>
      <c r="K45" s="36" t="s">
        <v>320</v>
      </c>
      <c r="L45" s="56">
        <f>D40</f>
        <v>817</v>
      </c>
      <c r="M45" s="56">
        <f>F40</f>
        <v>634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5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321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0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50</v>
      </c>
      <c r="M47" s="56">
        <f>F40-'2022.2.15'!$F$40</f>
        <v>25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11">
        <f>ROUND(E7/J48,4)</f>
        <v>0.1632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24日自年初完成产值2645.65万元，自开工累计完成产值14738.36万元，自开工占总产值90284.4万元的16.32%，100章临建完成6000.78万元，400章桥梁完成8737.58万元。已完成梁片预制817片，占设计量的13.82%；梁片安装634片，占设计量的10.72%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253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8" workbookViewId="0">
      <selection activeCell="N51" sqref="N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44617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48.26</v>
      </c>
      <c r="F3" s="143" t="s">
        <v>329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48.26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48.26</v>
      </c>
      <c r="E5" s="13"/>
      <c r="F5" s="144"/>
      <c r="G5" s="18"/>
    </row>
    <row r="6" ht="70.05" customHeight="1" spans="1:16">
      <c r="A6" s="132"/>
      <c r="B6" s="19" t="s">
        <v>298</v>
      </c>
      <c r="C6" s="20">
        <v>0</v>
      </c>
      <c r="D6" s="20">
        <v>2693.91</v>
      </c>
      <c r="E6" s="8">
        <f>ROUND(C6+D6,2)</f>
        <v>2693.91</v>
      </c>
      <c r="F6" s="144"/>
      <c r="G6" s="18"/>
      <c r="H6" s="21" t="s">
        <v>305</v>
      </c>
      <c r="I6" s="90" t="s">
        <v>306</v>
      </c>
      <c r="J6" s="90" t="s">
        <v>307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8785.84</v>
      </c>
      <c r="E7" s="8">
        <f>ROUND(C7+D7,2)</f>
        <v>14786.62</v>
      </c>
      <c r="F7" s="144"/>
      <c r="G7" s="18"/>
      <c r="H7" s="22"/>
      <c r="I7" s="48">
        <f>210+C6</f>
        <v>210</v>
      </c>
      <c r="J7" s="48">
        <f>D6+1717.38</f>
        <v>4411.29</v>
      </c>
      <c r="K7" s="48">
        <f>J7+I7</f>
        <v>4621.29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44617</v>
      </c>
      <c r="B11" s="133" t="s">
        <v>172</v>
      </c>
      <c r="C11" s="33">
        <v>0</v>
      </c>
      <c r="D11" s="8"/>
      <c r="E11" s="33">
        <v>6</v>
      </c>
      <c r="F11" s="8">
        <v>46.19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0</v>
      </c>
      <c r="F12" s="8"/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14786.62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5</v>
      </c>
      <c r="F14" s="8">
        <v>1.26</v>
      </c>
      <c r="G14" s="10"/>
      <c r="H14" s="30"/>
      <c r="I14" s="48">
        <v>699.51</v>
      </c>
      <c r="J14" s="48">
        <f>J13-I13</f>
        <v>552.68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48.26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48.26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134</v>
      </c>
      <c r="M20" s="94">
        <f>F38-44</f>
        <v>38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10</v>
      </c>
      <c r="M21" s="94">
        <f>D38-81</f>
        <v>46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89</v>
      </c>
      <c r="M23" s="94">
        <f>F39-7</f>
        <v>50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45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3860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2704.19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306</v>
      </c>
      <c r="D29" s="132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517</v>
      </c>
      <c r="D30" s="132" t="s">
        <v>77</v>
      </c>
      <c r="E30" s="12">
        <f>E39+F39</f>
        <v>404</v>
      </c>
      <c r="F30" s="12"/>
      <c r="G30" s="38"/>
    </row>
    <row r="31" spans="1:7">
      <c r="A31" s="35"/>
      <c r="B31" s="132" t="s">
        <v>78</v>
      </c>
      <c r="C31" s="12">
        <f>C32-C29-C30</f>
        <v>4957</v>
      </c>
      <c r="D31" s="132" t="s">
        <v>79</v>
      </c>
      <c r="E31" s="12">
        <f>E32-E29-E30</f>
        <v>5136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44608</v>
      </c>
      <c r="B36" s="54">
        <v>54.87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44609</v>
      </c>
      <c r="B37" s="54">
        <v>55.88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44610</v>
      </c>
      <c r="B38" s="54">
        <v>46.12</v>
      </c>
      <c r="C38" s="58">
        <v>179</v>
      </c>
      <c r="D38" s="58">
        <v>127</v>
      </c>
      <c r="E38" s="58">
        <v>435</v>
      </c>
      <c r="F38" s="58">
        <v>82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44611</v>
      </c>
      <c r="B39" s="54">
        <v>77.51</v>
      </c>
      <c r="C39" s="60">
        <v>130</v>
      </c>
      <c r="D39" s="60">
        <v>110</v>
      </c>
      <c r="E39" s="60">
        <v>347</v>
      </c>
      <c r="F39" s="60">
        <v>57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44612</v>
      </c>
      <c r="B40" s="62">
        <v>69.71</v>
      </c>
      <c r="C40" s="63" t="s">
        <v>182</v>
      </c>
      <c r="D40" s="64">
        <f>C38+D38+E38+F38</f>
        <v>823</v>
      </c>
      <c r="E40" s="65" t="s">
        <v>69</v>
      </c>
      <c r="F40" s="66">
        <f>C39+D39+E39+F39</f>
        <v>644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44613</v>
      </c>
      <c r="B41" s="54">
        <v>7.82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截止2022年02月25日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44614</v>
      </c>
      <c r="B42" s="54">
        <v>0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44615</v>
      </c>
      <c r="B43" s="54">
        <v>131.02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0.1392</v>
      </c>
      <c r="J43" s="35">
        <v>5913</v>
      </c>
      <c r="K43" s="36" t="s">
        <v>318</v>
      </c>
      <c r="L43" s="56">
        <f>L44+155</f>
        <v>383</v>
      </c>
      <c r="M43" s="56">
        <f>M44+171</f>
        <v>355</v>
      </c>
      <c r="N43" s="56">
        <f>N44+1460</f>
        <v>5320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44616</v>
      </c>
      <c r="B44" s="54">
        <v>61.48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0.1089</v>
      </c>
      <c r="J44" s="35">
        <v>5913</v>
      </c>
      <c r="K44" s="36" t="s">
        <v>319</v>
      </c>
      <c r="L44" s="56">
        <f>SUM(L20:M21)</f>
        <v>228</v>
      </c>
      <c r="M44" s="56">
        <f>SUM(L23:M24)</f>
        <v>184</v>
      </c>
      <c r="N44" s="56">
        <f>L25</f>
        <v>3860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44617</v>
      </c>
      <c r="B45" s="54">
        <v>48.26</v>
      </c>
      <c r="C45" s="74" t="s">
        <v>228</v>
      </c>
      <c r="D45" s="74">
        <v>4840</v>
      </c>
      <c r="E45" s="74">
        <v>5125</v>
      </c>
      <c r="F45" s="74">
        <f t="shared" si="0"/>
        <v>9965</v>
      </c>
      <c r="G45" s="75"/>
      <c r="H45" s="40" t="s">
        <v>228</v>
      </c>
      <c r="I45" s="111">
        <f>ROUND(F45/J45,4)</f>
        <v>0.0737</v>
      </c>
      <c r="J45" s="35">
        <v>135185</v>
      </c>
      <c r="K45" s="36" t="s">
        <v>320</v>
      </c>
      <c r="L45" s="56">
        <f>D40</f>
        <v>823</v>
      </c>
      <c r="M45" s="56">
        <f>F40</f>
        <v>644</v>
      </c>
      <c r="N45" s="56">
        <f>F45</f>
        <v>9965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6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330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10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56</v>
      </c>
      <c r="M47" s="56">
        <f>F40-'2022.2.15'!$F$40</f>
        <v>35</v>
      </c>
      <c r="N47" s="56">
        <f>F45-'2022.2.15'!$F$45</f>
        <v>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11">
        <f>ROUND(E7/J48,4)</f>
        <v>0.1638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25日自年初完成产值2693.91万元，自开工累计完成产值14786.62万元，自开工占总产值90284.4万元的16.38%，100章临建完成6000.78万元，400章桥梁完成8785.84万元。已完成梁片预制823片，占设计量的13.92%；梁片安装644片，占设计量的10.89%；湿接缝9965米，占设计量的7.37%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331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S13" sqref="S1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44618</v>
      </c>
      <c r="B3" s="12" t="s">
        <v>7</v>
      </c>
      <c r="C3" s="12">
        <v>0</v>
      </c>
      <c r="D3" s="12">
        <f>ROUND(D11+D12+D15+D16+D17+D13+D14,2)</f>
        <v>6.65</v>
      </c>
      <c r="E3" s="13">
        <f>ROUND(C5+D5,2)</f>
        <v>86.86</v>
      </c>
      <c r="F3" s="143" t="s">
        <v>332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80.21</v>
      </c>
      <c r="E4" s="13"/>
      <c r="F4" s="144"/>
      <c r="G4" s="18"/>
      <c r="J4"/>
      <c r="K4"/>
      <c r="L4"/>
    </row>
    <row r="5" ht="15" customHeight="1" spans="1:7">
      <c r="A5" s="132"/>
      <c r="B5" s="8" t="s">
        <v>10</v>
      </c>
      <c r="C5" s="12">
        <f>SUM(C3:C4)</f>
        <v>0</v>
      </c>
      <c r="D5" s="12">
        <f>SUM(D3:D4)</f>
        <v>86.86</v>
      </c>
      <c r="E5" s="13"/>
      <c r="F5" s="144"/>
      <c r="G5" s="18"/>
    </row>
    <row r="6" ht="70.05" customHeight="1" spans="1:16">
      <c r="A6" s="132"/>
      <c r="B6" s="19" t="s">
        <v>298</v>
      </c>
      <c r="C6" s="20">
        <v>0</v>
      </c>
      <c r="D6" s="20">
        <v>2780.77</v>
      </c>
      <c r="E6" s="8">
        <f>ROUND(C6+D6,2)</f>
        <v>2780.77</v>
      </c>
      <c r="F6" s="144"/>
      <c r="G6" s="18"/>
      <c r="H6" s="21" t="s">
        <v>305</v>
      </c>
      <c r="I6" s="90" t="s">
        <v>306</v>
      </c>
      <c r="J6" s="90" t="s">
        <v>307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8872.7</v>
      </c>
      <c r="E7" s="8">
        <f>ROUND(C7+D7,2)</f>
        <v>14873.48</v>
      </c>
      <c r="F7" s="144"/>
      <c r="G7" s="18"/>
      <c r="H7" s="22"/>
      <c r="I7" s="48">
        <f>210+C6</f>
        <v>210</v>
      </c>
      <c r="J7" s="48">
        <f>D6+1717.38</f>
        <v>4498.15</v>
      </c>
      <c r="K7" s="48">
        <f>J7+I7</f>
        <v>4708.15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44618</v>
      </c>
      <c r="B11" s="133" t="s">
        <v>172</v>
      </c>
      <c r="C11" s="33">
        <v>0</v>
      </c>
      <c r="D11" s="8"/>
      <c r="E11" s="33">
        <v>6</v>
      </c>
      <c r="F11" s="8">
        <v>46.56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2</v>
      </c>
      <c r="F12" s="8">
        <v>30.57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14873.48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9</v>
      </c>
      <c r="F14" s="8">
        <v>2.268</v>
      </c>
      <c r="G14" s="10"/>
      <c r="H14" s="30"/>
      <c r="I14" s="48">
        <v>699.51</v>
      </c>
      <c r="J14" s="48">
        <f>J13-I13</f>
        <v>639.539999999999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>
        <v>160</v>
      </c>
      <c r="D15" s="8">
        <v>6.65</v>
      </c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6.65</v>
      </c>
      <c r="D18" s="134"/>
      <c r="E18" s="25">
        <f>ROUND(F11+F12+F15+F16+F17+F13+F14,2)</f>
        <v>80.21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86.86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140</v>
      </c>
      <c r="M20" s="94">
        <f>F38-44</f>
        <v>40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10</v>
      </c>
      <c r="M21" s="94">
        <f>D38-81</f>
        <v>46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87</v>
      </c>
      <c r="M23" s="94">
        <f>F39-7</f>
        <v>66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45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4020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2791.05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306</v>
      </c>
      <c r="D29" s="132" t="s">
        <v>75</v>
      </c>
      <c r="E29" s="12">
        <f>C39+D39</f>
        <v>240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525</v>
      </c>
      <c r="D30" s="132" t="s">
        <v>77</v>
      </c>
      <c r="E30" s="12">
        <f>E39+F39</f>
        <v>418</v>
      </c>
      <c r="F30" s="12"/>
      <c r="G30" s="38"/>
    </row>
    <row r="31" spans="1:7">
      <c r="A31" s="35"/>
      <c r="B31" s="132" t="s">
        <v>78</v>
      </c>
      <c r="C31" s="12">
        <f>C32-C29-C30</f>
        <v>4949</v>
      </c>
      <c r="D31" s="132" t="s">
        <v>79</v>
      </c>
      <c r="E31" s="12">
        <f>E32-E29-E30</f>
        <v>5122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44609</v>
      </c>
      <c r="B36" s="54">
        <v>55.88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44610</v>
      </c>
      <c r="B37" s="54">
        <v>46.12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44611</v>
      </c>
      <c r="B38" s="54">
        <v>77.51</v>
      </c>
      <c r="C38" s="58">
        <v>179</v>
      </c>
      <c r="D38" s="58">
        <v>127</v>
      </c>
      <c r="E38" s="58">
        <v>441</v>
      </c>
      <c r="F38" s="58">
        <v>84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44612</v>
      </c>
      <c r="B39" s="54">
        <v>69.71</v>
      </c>
      <c r="C39" s="60">
        <v>130</v>
      </c>
      <c r="D39" s="60">
        <v>110</v>
      </c>
      <c r="E39" s="60">
        <f>360-15</f>
        <v>345</v>
      </c>
      <c r="F39" s="60">
        <v>73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44613</v>
      </c>
      <c r="B40" s="62">
        <v>7.82</v>
      </c>
      <c r="C40" s="63" t="s">
        <v>182</v>
      </c>
      <c r="D40" s="64">
        <f>C38+D38+E38+F38</f>
        <v>831</v>
      </c>
      <c r="E40" s="65" t="s">
        <v>69</v>
      </c>
      <c r="F40" s="66">
        <f>C39+D39+E39+F39</f>
        <v>658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44614</v>
      </c>
      <c r="B41" s="54">
        <v>0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截止2022年02月26日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44615</v>
      </c>
      <c r="B42" s="54">
        <v>131.02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44616</v>
      </c>
      <c r="B43" s="54">
        <v>61.48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0.1405</v>
      </c>
      <c r="J43" s="35">
        <v>5913</v>
      </c>
      <c r="K43" s="36" t="s">
        <v>318</v>
      </c>
      <c r="L43" s="56">
        <f>L44+155</f>
        <v>391</v>
      </c>
      <c r="M43" s="56">
        <f>M44+171</f>
        <v>369</v>
      </c>
      <c r="N43" s="56">
        <f>N44+1460</f>
        <v>5480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44617</v>
      </c>
      <c r="B44" s="54">
        <v>48.26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0.1113</v>
      </c>
      <c r="J44" s="35">
        <v>5913</v>
      </c>
      <c r="K44" s="36" t="s">
        <v>319</v>
      </c>
      <c r="L44" s="56">
        <f>SUM(L20:M21)</f>
        <v>236</v>
      </c>
      <c r="M44" s="56">
        <f>SUM(L23:M24)</f>
        <v>198</v>
      </c>
      <c r="N44" s="56">
        <f>L25</f>
        <v>4020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44618</v>
      </c>
      <c r="B45" s="54">
        <v>86.86</v>
      </c>
      <c r="C45" s="74" t="s">
        <v>228</v>
      </c>
      <c r="D45" s="74">
        <v>5000</v>
      </c>
      <c r="E45" s="74">
        <v>5125</v>
      </c>
      <c r="F45" s="74">
        <f t="shared" si="0"/>
        <v>10125</v>
      </c>
      <c r="G45" s="75"/>
      <c r="H45" s="40" t="s">
        <v>228</v>
      </c>
      <c r="I45" s="111">
        <f>ROUND(F45/J45,4)</f>
        <v>0.0749</v>
      </c>
      <c r="J45" s="35">
        <v>135185</v>
      </c>
      <c r="K45" s="36" t="s">
        <v>320</v>
      </c>
      <c r="L45" s="56">
        <f>D40</f>
        <v>831</v>
      </c>
      <c r="M45" s="56">
        <f>F40</f>
        <v>658</v>
      </c>
      <c r="N45" s="56">
        <f>F45</f>
        <v>10125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8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330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14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64</v>
      </c>
      <c r="M47" s="56">
        <f>F40-'2022.2.15'!$F$40</f>
        <v>49</v>
      </c>
      <c r="N47" s="56">
        <f>F45-'2022.2.15'!$F$45</f>
        <v>160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160</v>
      </c>
      <c r="D48" s="79"/>
      <c r="E48" s="79"/>
      <c r="F48" s="79"/>
      <c r="G48" s="76"/>
      <c r="H48" s="40" t="s">
        <v>231</v>
      </c>
      <c r="I48" s="111">
        <f>ROUND(E7/J48,4)</f>
        <v>0.1647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26日自年初完成产值2780.77万元，自开工累计完成产值14873.48万元，自开工占总产值90284.4万元的16.47%，100章临建完成6000.78万元，400章桥梁完成8872.7万元。已完成梁片预制831片，占设计量的14.05%；梁片安装658片，占设计量的11.13%；湿接缝10125米，占设计量的7.49%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331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K40"/>
  <sheetViews>
    <sheetView workbookViewId="0">
      <selection activeCell="G19" sqref="G1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44476</v>
      </c>
      <c r="B3" s="157" t="s">
        <v>7</v>
      </c>
      <c r="C3" s="157">
        <v>0</v>
      </c>
      <c r="D3" s="157">
        <f>D11+F11</f>
        <v>0</v>
      </c>
      <c r="E3" s="250">
        <f>C5+D5</f>
        <v>7.64</v>
      </c>
      <c r="F3" s="243" t="s">
        <v>38</v>
      </c>
    </row>
    <row r="4" ht="15" customHeight="1" spans="1:6">
      <c r="A4" s="157"/>
      <c r="B4" s="157" t="s">
        <v>9</v>
      </c>
      <c r="C4" s="157">
        <v>0</v>
      </c>
      <c r="D4" s="157">
        <f>D12+F12</f>
        <v>7.64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0</v>
      </c>
      <c r="D5" s="157">
        <f>SUM(D3:D4)</f>
        <v>7.64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5456.78</v>
      </c>
      <c r="D6" s="258">
        <v>368.27</v>
      </c>
      <c r="E6" s="239">
        <f>C6+D6</f>
        <v>5825.05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5456.78</v>
      </c>
      <c r="D7" s="258">
        <v>368.27</v>
      </c>
      <c r="E7" s="239">
        <f>C7+D7</f>
        <v>5825.05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44476</v>
      </c>
      <c r="B11" s="157" t="s">
        <v>7</v>
      </c>
      <c r="C11" s="247">
        <v>0</v>
      </c>
      <c r="D11" s="248">
        <v>0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1</v>
      </c>
      <c r="D12" s="248">
        <v>7.64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1</v>
      </c>
      <c r="D13" s="248">
        <f>ROUND(D11+D12,2)</f>
        <v>7.64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7.64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44467</v>
      </c>
      <c r="B31" s="235">
        <v>16.28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44468</v>
      </c>
      <c r="B32" s="235">
        <v>33.25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44469</v>
      </c>
      <c r="B33" s="235">
        <v>8.82</v>
      </c>
      <c r="C33" s="35">
        <v>23</v>
      </c>
      <c r="D33" s="35">
        <v>6</v>
      </c>
      <c r="E33" s="35">
        <v>13</v>
      </c>
      <c r="F33" s="35">
        <v>0</v>
      </c>
    </row>
    <row r="34" ht="15.6" spans="1:6">
      <c r="A34" s="53">
        <v>44470</v>
      </c>
      <c r="B34" s="235">
        <v>24.1</v>
      </c>
      <c r="C34" s="35"/>
      <c r="D34" s="35"/>
      <c r="E34" s="35">
        <v>0</v>
      </c>
      <c r="F34" s="35">
        <v>38482</v>
      </c>
    </row>
    <row r="35" ht="15.6" spans="1:6">
      <c r="A35" s="53">
        <v>44471</v>
      </c>
      <c r="B35" s="235">
        <v>17.46</v>
      </c>
      <c r="C35" s="35"/>
      <c r="D35" s="35"/>
      <c r="E35" s="35"/>
      <c r="F35" s="35"/>
    </row>
    <row r="36" ht="15.6" spans="1:6">
      <c r="A36" s="53">
        <v>44472</v>
      </c>
      <c r="B36" s="235">
        <v>31.74</v>
      </c>
      <c r="C36" s="35"/>
      <c r="D36" s="35"/>
      <c r="E36" s="35"/>
      <c r="F36" s="35"/>
    </row>
    <row r="37" ht="15.6" spans="1:6">
      <c r="A37" s="53">
        <v>44473</v>
      </c>
      <c r="B37" s="235">
        <v>2</v>
      </c>
      <c r="C37" s="35"/>
      <c r="D37" s="35"/>
      <c r="E37" s="35"/>
      <c r="F37" s="35"/>
    </row>
    <row r="38" ht="15.6" spans="1:6">
      <c r="A38" s="53">
        <v>44474</v>
      </c>
      <c r="B38" s="235">
        <v>33.56</v>
      </c>
      <c r="C38" s="35"/>
      <c r="D38" s="35"/>
      <c r="E38" s="35"/>
      <c r="F38" s="35"/>
    </row>
    <row r="39" ht="15.6" spans="1:6">
      <c r="A39" s="53">
        <v>44475</v>
      </c>
      <c r="B39" s="235">
        <v>23.1</v>
      </c>
      <c r="C39" s="35"/>
      <c r="D39" s="35"/>
      <c r="E39" s="35"/>
      <c r="F39" s="35"/>
    </row>
    <row r="40" ht="15.6" spans="1:6">
      <c r="A40" s="53">
        <v>44476</v>
      </c>
      <c r="B40" s="235">
        <v>7.64</v>
      </c>
      <c r="C40" s="104">
        <f>C33+D33+E33+F33</f>
        <v>42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workbookViewId="0">
      <selection activeCell="S14" sqref="S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44619</v>
      </c>
      <c r="B3" s="12" t="s">
        <v>7</v>
      </c>
      <c r="C3" s="12">
        <v>0</v>
      </c>
      <c r="D3" s="12">
        <f>ROUND(D11+D12+D15+D16+D17+D13+D14,2)</f>
        <v>1.26</v>
      </c>
      <c r="E3" s="13">
        <f>ROUND(C5+D5,2)</f>
        <v>42.83</v>
      </c>
      <c r="F3" s="143" t="s">
        <v>333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41.57</v>
      </c>
      <c r="E4" s="13"/>
      <c r="F4" s="144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42.83</v>
      </c>
      <c r="E5" s="13"/>
      <c r="F5" s="144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2823.6</v>
      </c>
      <c r="E6" s="8">
        <f>ROUND(C6+D6,2)</f>
        <v>2823.6</v>
      </c>
      <c r="F6" s="144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8915.53</v>
      </c>
      <c r="E7" s="8">
        <f>ROUND(C7+D7,2)</f>
        <v>14916.31</v>
      </c>
      <c r="F7" s="144"/>
      <c r="G7" s="18"/>
      <c r="H7" s="22"/>
      <c r="I7" s="48">
        <f>210+C6</f>
        <v>210</v>
      </c>
      <c r="J7" s="48">
        <f>D6+1717.38</f>
        <v>4540.98</v>
      </c>
      <c r="K7" s="48">
        <f>J7+I7</f>
        <v>4750.98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44619</v>
      </c>
      <c r="B11" s="133" t="s">
        <v>172</v>
      </c>
      <c r="C11" s="33">
        <v>0</v>
      </c>
      <c r="D11" s="8"/>
      <c r="E11" s="33">
        <v>3</v>
      </c>
      <c r="F11" s="8">
        <v>23.1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1</v>
      </c>
      <c r="F12" s="8">
        <v>15.28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1</v>
      </c>
      <c r="F13" s="8">
        <v>0.162</v>
      </c>
      <c r="G13" s="10"/>
      <c r="H13" s="30"/>
      <c r="I13" s="35">
        <v>14233.94</v>
      </c>
      <c r="J13" s="35">
        <f>E7</f>
        <v>14916.31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5</v>
      </c>
      <c r="D14" s="8">
        <v>1.26</v>
      </c>
      <c r="E14" s="33">
        <v>12</v>
      </c>
      <c r="F14" s="8">
        <v>3.024</v>
      </c>
      <c r="G14" s="10"/>
      <c r="H14" s="30"/>
      <c r="I14" s="48">
        <v>699.51</v>
      </c>
      <c r="J14" s="48">
        <f>J13-I13</f>
        <v>682.369999999999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1.26</v>
      </c>
      <c r="D18" s="134"/>
      <c r="E18" s="25">
        <f>ROUND(F11+F12+F15+F16+F17+F13+F14,2)</f>
        <v>41.57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42.83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143</v>
      </c>
      <c r="M20" s="94">
        <f>F38-44</f>
        <v>41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10</v>
      </c>
      <c r="M21" s="94">
        <f>D38-81</f>
        <v>46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95</v>
      </c>
      <c r="M23" s="94">
        <f>F39-7</f>
        <v>71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50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4020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2833.88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306</v>
      </c>
      <c r="D29" s="132" t="s">
        <v>75</v>
      </c>
      <c r="E29" s="12">
        <f>C39+D39</f>
        <v>245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529</v>
      </c>
      <c r="D30" s="132" t="s">
        <v>77</v>
      </c>
      <c r="E30" s="12">
        <f>E39+F39</f>
        <v>431</v>
      </c>
      <c r="F30" s="12"/>
      <c r="G30" s="38"/>
    </row>
    <row r="31" spans="1:7">
      <c r="A31" s="35"/>
      <c r="B31" s="132" t="s">
        <v>78</v>
      </c>
      <c r="C31" s="12">
        <f>C32-C29-C30</f>
        <v>4945</v>
      </c>
      <c r="D31" s="132" t="s">
        <v>79</v>
      </c>
      <c r="E31" s="12">
        <f>E32-E29-E30</f>
        <v>5104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44610</v>
      </c>
      <c r="B36" s="54">
        <v>46.12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44611</v>
      </c>
      <c r="B37" s="54">
        <v>77.51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44612</v>
      </c>
      <c r="B38" s="54">
        <v>69.71</v>
      </c>
      <c r="C38" s="58">
        <v>179</v>
      </c>
      <c r="D38" s="58">
        <v>127</v>
      </c>
      <c r="E38" s="58">
        <v>444</v>
      </c>
      <c r="F38" s="58">
        <v>85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44613</v>
      </c>
      <c r="B39" s="54">
        <v>7.82</v>
      </c>
      <c r="C39" s="60">
        <v>130</v>
      </c>
      <c r="D39" s="60">
        <v>115</v>
      </c>
      <c r="E39" s="60">
        <f>361-8</f>
        <v>353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44614</v>
      </c>
      <c r="B40" s="62">
        <v>0</v>
      </c>
      <c r="C40" s="63" t="s">
        <v>182</v>
      </c>
      <c r="D40" s="64">
        <f>C38+D38+E38+F38</f>
        <v>835</v>
      </c>
      <c r="E40" s="65" t="s">
        <v>69</v>
      </c>
      <c r="F40" s="66">
        <f>C39+D39+E39+F39</f>
        <v>676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44615</v>
      </c>
      <c r="B41" s="54">
        <v>131.02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截止2022年02月27日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44616</v>
      </c>
      <c r="B42" s="54">
        <v>61.48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44617</v>
      </c>
      <c r="B43" s="54">
        <v>48.26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0.1412</v>
      </c>
      <c r="J43" s="35">
        <v>5913</v>
      </c>
      <c r="K43" s="36" t="s">
        <v>318</v>
      </c>
      <c r="L43" s="56">
        <f>L44+155</f>
        <v>395</v>
      </c>
      <c r="M43" s="56">
        <f>M44+171</f>
        <v>387</v>
      </c>
      <c r="N43" s="56">
        <f>N44+1460</f>
        <v>5480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44618</v>
      </c>
      <c r="B44" s="54">
        <v>86.86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0.1143</v>
      </c>
      <c r="J44" s="35">
        <v>5913</v>
      </c>
      <c r="K44" s="36" t="s">
        <v>319</v>
      </c>
      <c r="L44" s="56">
        <f>SUM(L20:M21)</f>
        <v>240</v>
      </c>
      <c r="M44" s="56">
        <f>SUM(L23:M24)</f>
        <v>216</v>
      </c>
      <c r="N44" s="56">
        <f>L25</f>
        <v>4020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44619</v>
      </c>
      <c r="B45" s="54">
        <v>42.83</v>
      </c>
      <c r="C45" s="74" t="s">
        <v>228</v>
      </c>
      <c r="D45" s="74">
        <v>5000</v>
      </c>
      <c r="E45" s="74">
        <v>5125</v>
      </c>
      <c r="F45" s="74">
        <f t="shared" si="0"/>
        <v>10125</v>
      </c>
      <c r="G45" s="75"/>
      <c r="H45" s="40" t="s">
        <v>228</v>
      </c>
      <c r="I45" s="111">
        <f>ROUND(F45/J45,4)</f>
        <v>0.0749</v>
      </c>
      <c r="J45" s="35">
        <v>135185</v>
      </c>
      <c r="K45" s="36" t="s">
        <v>320</v>
      </c>
      <c r="L45" s="56">
        <f>D40</f>
        <v>835</v>
      </c>
      <c r="M45" s="56">
        <f>F40</f>
        <v>676</v>
      </c>
      <c r="N45" s="56">
        <f>F45</f>
        <v>10125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4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336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18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68</v>
      </c>
      <c r="M47" s="56">
        <f>F40-'2022.2.15'!$F$40</f>
        <v>67</v>
      </c>
      <c r="N47" s="56">
        <f>F45-'2022.2.15'!$F$45</f>
        <v>160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11">
        <f>ROUND(E7/J48,4)</f>
        <v>0.1652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27日自年初完成产值2823.6万元，自开工累计完成产值14916.31万元，自开工占总产值90284.4万元的16.52%，100章临建完成6000.78万元，400章桥梁完成8915.53万元。已完成梁片预制835片，占设计量的14.12%；梁片安装676片，占设计量的11.43%；湿接缝10125米，占设计量的7.49%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331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4" workbookViewId="0">
      <selection activeCell="R42" sqref="R4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44620</v>
      </c>
      <c r="B3" s="12" t="s">
        <v>7</v>
      </c>
      <c r="C3" s="12">
        <v>0</v>
      </c>
      <c r="D3" s="12">
        <f>ROUND(D11+D12+D15+D16+D17+D13+D14,2)</f>
        <v>6.65</v>
      </c>
      <c r="E3" s="13">
        <f>ROUND(C5+D5,2)</f>
        <v>92.73</v>
      </c>
      <c r="F3" s="143" t="s">
        <v>337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86.08</v>
      </c>
      <c r="E4" s="13"/>
      <c r="F4" s="144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92.73</v>
      </c>
      <c r="E5" s="13"/>
      <c r="F5" s="144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2916.33</v>
      </c>
      <c r="E6" s="8">
        <f>ROUND(C6+D6,2)</f>
        <v>2916.33</v>
      </c>
      <c r="F6" s="144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9008.26</v>
      </c>
      <c r="E7" s="8">
        <f>ROUND(C7+D7,2)</f>
        <v>15009.04</v>
      </c>
      <c r="F7" s="144"/>
      <c r="G7" s="18"/>
      <c r="H7" s="22"/>
      <c r="I7" s="48">
        <f>210+C6</f>
        <v>210</v>
      </c>
      <c r="J7" s="48">
        <f>D6+1717.38</f>
        <v>4633.71</v>
      </c>
      <c r="K7" s="48">
        <f>J7+I7</f>
        <v>4843.71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44620</v>
      </c>
      <c r="B11" s="133" t="s">
        <v>172</v>
      </c>
      <c r="C11" s="33">
        <v>0</v>
      </c>
      <c r="D11" s="8"/>
      <c r="E11" s="33">
        <v>7</v>
      </c>
      <c r="F11" s="8">
        <v>54.2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2</v>
      </c>
      <c r="F12" s="8">
        <v>30.58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8</v>
      </c>
      <c r="F13" s="8">
        <v>1.296</v>
      </c>
      <c r="G13" s="10"/>
      <c r="H13" s="30"/>
      <c r="I13" s="35">
        <v>14233.94</v>
      </c>
      <c r="J13" s="35">
        <f>E7</f>
        <v>15009.04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775.1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>
        <v>160</v>
      </c>
      <c r="D15" s="8">
        <v>6.65</v>
      </c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6.65</v>
      </c>
      <c r="D18" s="134"/>
      <c r="E18" s="25">
        <f>ROUND(F11+F12+F15+F16+F17+F13+F14,2)</f>
        <v>86.08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92.73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150</v>
      </c>
      <c r="M20" s="94">
        <f>F38-44</f>
        <v>43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10</v>
      </c>
      <c r="M21" s="94">
        <f>D38-81</f>
        <v>46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103</v>
      </c>
      <c r="M23" s="94">
        <f>F39-7</f>
        <v>71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50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4180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920.6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2926.61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306</v>
      </c>
      <c r="D29" s="132" t="s">
        <v>75</v>
      </c>
      <c r="E29" s="12">
        <f>C39+D39</f>
        <v>245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538</v>
      </c>
      <c r="D30" s="132" t="s">
        <v>77</v>
      </c>
      <c r="E30" s="12">
        <f>E39+F39</f>
        <v>439</v>
      </c>
      <c r="F30" s="12"/>
      <c r="G30" s="38"/>
    </row>
    <row r="31" spans="1:7">
      <c r="A31" s="35"/>
      <c r="B31" s="132" t="s">
        <v>78</v>
      </c>
      <c r="C31" s="12">
        <f>C32-C29-C30</f>
        <v>4936</v>
      </c>
      <c r="D31" s="132" t="s">
        <v>79</v>
      </c>
      <c r="E31" s="12">
        <f>E32-E29-E30</f>
        <v>5096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44611</v>
      </c>
      <c r="B36" s="54">
        <v>77.51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44612</v>
      </c>
      <c r="B37" s="54">
        <v>69.71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44613</v>
      </c>
      <c r="B38" s="54">
        <v>7.82</v>
      </c>
      <c r="C38" s="58">
        <v>179</v>
      </c>
      <c r="D38" s="58">
        <v>127</v>
      </c>
      <c r="E38" s="58">
        <v>451</v>
      </c>
      <c r="F38" s="58">
        <v>87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44614</v>
      </c>
      <c r="B39" s="54">
        <v>0</v>
      </c>
      <c r="C39" s="60">
        <v>130</v>
      </c>
      <c r="D39" s="60">
        <v>115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44615</v>
      </c>
      <c r="B40" s="62">
        <v>131.02</v>
      </c>
      <c r="C40" s="63" t="s">
        <v>182</v>
      </c>
      <c r="D40" s="64">
        <f>C38+D38+E38+F38</f>
        <v>844</v>
      </c>
      <c r="E40" s="65" t="s">
        <v>69</v>
      </c>
      <c r="F40" s="66">
        <f>C39+D39+E39+F39</f>
        <v>684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44616</v>
      </c>
      <c r="B41" s="54">
        <v>61.48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截止2022年02月28日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44617</v>
      </c>
      <c r="B42" s="54">
        <v>48.26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44618</v>
      </c>
      <c r="B43" s="54">
        <v>86.86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0.1427</v>
      </c>
      <c r="J43" s="35">
        <v>5913</v>
      </c>
      <c r="K43" s="36" t="s">
        <v>318</v>
      </c>
      <c r="L43" s="56">
        <f>L44+155</f>
        <v>404</v>
      </c>
      <c r="M43" s="56">
        <f>M44+171</f>
        <v>395</v>
      </c>
      <c r="N43" s="56">
        <f>N44+1460</f>
        <v>5640</v>
      </c>
      <c r="O43" s="56">
        <f>O44+441.6</f>
        <v>1362.2</v>
      </c>
      <c r="P43" s="56">
        <f>P44+0</f>
        <v>3212</v>
      </c>
      <c r="U43" s="4"/>
    </row>
    <row r="44" ht="15.6" spans="1:21">
      <c r="A44" s="53">
        <v>44619</v>
      </c>
      <c r="B44" s="54">
        <v>42.83</v>
      </c>
      <c r="C44" s="74" t="s">
        <v>229</v>
      </c>
      <c r="D44" s="74">
        <v>1919.44</v>
      </c>
      <c r="E44" s="74">
        <v>1033.2</v>
      </c>
      <c r="F44" s="74">
        <f t="shared" si="0"/>
        <v>2952.64</v>
      </c>
      <c r="G44" s="73"/>
      <c r="H44" s="40" t="s">
        <v>62</v>
      </c>
      <c r="I44" s="111">
        <f>ROUND(F40/J44,4)</f>
        <v>0.1157</v>
      </c>
      <c r="J44" s="35">
        <v>5913</v>
      </c>
      <c r="K44" s="36" t="s">
        <v>319</v>
      </c>
      <c r="L44" s="56">
        <f>SUM(L20:M21)</f>
        <v>249</v>
      </c>
      <c r="M44" s="56">
        <f>SUM(L23:M24)</f>
        <v>224</v>
      </c>
      <c r="N44" s="56">
        <f>L25</f>
        <v>4180</v>
      </c>
      <c r="O44" s="56">
        <f>L26</f>
        <v>920.6</v>
      </c>
      <c r="P44" s="56">
        <f>L27</f>
        <v>3212</v>
      </c>
      <c r="U44" s="4"/>
    </row>
    <row r="45" ht="15.6" spans="1:21">
      <c r="A45" s="53">
        <v>44620</v>
      </c>
      <c r="B45" s="54">
        <v>92.73</v>
      </c>
      <c r="C45" s="74" t="s">
        <v>228</v>
      </c>
      <c r="D45" s="74">
        <v>5160</v>
      </c>
      <c r="E45" s="74">
        <v>5125</v>
      </c>
      <c r="F45" s="74">
        <f t="shared" si="0"/>
        <v>10285</v>
      </c>
      <c r="G45" s="75"/>
      <c r="H45" s="40" t="s">
        <v>228</v>
      </c>
      <c r="I45" s="111">
        <f>ROUND(F45/J45,4)</f>
        <v>0.0761</v>
      </c>
      <c r="J45" s="35">
        <v>135185</v>
      </c>
      <c r="K45" s="36" t="s">
        <v>320</v>
      </c>
      <c r="L45" s="56">
        <f>D40</f>
        <v>844</v>
      </c>
      <c r="M45" s="56">
        <f>F40</f>
        <v>684</v>
      </c>
      <c r="N45" s="56">
        <f>F45</f>
        <v>10285</v>
      </c>
      <c r="O45" s="56">
        <f>F44</f>
        <v>2952.64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9</v>
      </c>
      <c r="D46" s="149"/>
      <c r="E46" s="149"/>
      <c r="F46" s="150"/>
      <c r="G46" s="76"/>
      <c r="H46" s="40" t="s">
        <v>229</v>
      </c>
      <c r="I46" s="111">
        <f>ROUND(F44/J46,4)</f>
        <v>0.044</v>
      </c>
      <c r="J46" s="35">
        <v>67098.02</v>
      </c>
      <c r="K46" s="36" t="s">
        <v>336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8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77</v>
      </c>
      <c r="M47" s="56">
        <f>F40-'2022.2.15'!$F$40</f>
        <v>75</v>
      </c>
      <c r="N47" s="56">
        <f>F45-'2022.2.15'!$F$45</f>
        <v>320</v>
      </c>
      <c r="O47" s="56">
        <f>F44-'2022.2.15'!$F$44</f>
        <v>0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160</v>
      </c>
      <c r="D48" s="79"/>
      <c r="E48" s="79"/>
      <c r="F48" s="79"/>
      <c r="G48" s="76"/>
      <c r="H48" s="40" t="s">
        <v>231</v>
      </c>
      <c r="I48" s="111">
        <f>ROUND(E7/J48,4)</f>
        <v>0.1662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0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02月28日自年初完成产值2916.33万元，自开工累计完成产值15009.04万元，自开工占总产值90284.4万元的16.62%，100章临建完成6000.78万元，400章桥梁完成9008.26万元。已完成梁片预制844片，占设计量的14.27%；梁片安装684片，占设计量的11.57%；湿接缝10285米，占设计量的7.61%；防撞护栏2952.64米，占设计量的4.4%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331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showZeros="0" view="pageBreakPreview" zoomScale="70" zoomScaleNormal="70" topLeftCell="A14" workbookViewId="0">
      <selection activeCell="R42" sqref="R4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44621</v>
      </c>
      <c r="B3" s="12" t="s">
        <v>7</v>
      </c>
      <c r="C3" s="12">
        <v>0</v>
      </c>
      <c r="D3" s="12">
        <f>ROUND(D11+D12+D15+D16+D17+D13+D14,2)</f>
        <v>0</v>
      </c>
      <c r="E3" s="13">
        <f>ROUND(C5+D5,2)</f>
        <v>131.07</v>
      </c>
      <c r="F3" s="143" t="s">
        <v>338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131.07</v>
      </c>
      <c r="E4" s="13"/>
      <c r="F4" s="144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131.07</v>
      </c>
      <c r="E5" s="13"/>
      <c r="F5" s="144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3047.4</v>
      </c>
      <c r="E6" s="8">
        <f>ROUND(C6+D6,2)</f>
        <v>3047.4</v>
      </c>
      <c r="F6" s="144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9139.33</v>
      </c>
      <c r="E7" s="8">
        <f>ROUND(C7+D7,2)</f>
        <v>15140.11</v>
      </c>
      <c r="F7" s="144"/>
      <c r="G7" s="18"/>
      <c r="H7" s="22"/>
      <c r="I7" s="48">
        <f>210+C6</f>
        <v>210</v>
      </c>
      <c r="J7" s="48">
        <f>D6+1717.38</f>
        <v>4764.78</v>
      </c>
      <c r="K7" s="48">
        <f>J7+I7</f>
        <v>4974.78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44621</v>
      </c>
      <c r="B11" s="133" t="s">
        <v>172</v>
      </c>
      <c r="C11" s="33">
        <v>0</v>
      </c>
      <c r="D11" s="8"/>
      <c r="E11" s="33">
        <v>9</v>
      </c>
      <c r="F11" s="8">
        <v>69.47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0</v>
      </c>
      <c r="D12" s="8"/>
      <c r="E12" s="33">
        <v>3</v>
      </c>
      <c r="F12" s="8">
        <v>45.86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15140.11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906.17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>
        <v>123</v>
      </c>
      <c r="F16" s="8">
        <v>15.74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0</v>
      </c>
      <c r="D18" s="134"/>
      <c r="E18" s="25">
        <f>ROUND(F11+F12+F15+F16+F17+F13+F14,2)</f>
        <v>131.07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131.07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159</v>
      </c>
      <c r="M20" s="94">
        <f>F38-44</f>
        <v>46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10</v>
      </c>
      <c r="M21" s="94">
        <f>D38-81</f>
        <v>46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103</v>
      </c>
      <c r="M23" s="94">
        <f>F39-7</f>
        <v>71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50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4180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1043.6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3057.68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306</v>
      </c>
      <c r="D29" s="132" t="s">
        <v>75</v>
      </c>
      <c r="E29" s="12">
        <f>C39+D39</f>
        <v>245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550</v>
      </c>
      <c r="D30" s="132" t="s">
        <v>77</v>
      </c>
      <c r="E30" s="12">
        <f>E39+F39</f>
        <v>439</v>
      </c>
      <c r="F30" s="12"/>
      <c r="G30" s="38"/>
    </row>
    <row r="31" spans="1:7">
      <c r="A31" s="35"/>
      <c r="B31" s="132" t="s">
        <v>78</v>
      </c>
      <c r="C31" s="12">
        <f>C32-C29-C30</f>
        <v>4924</v>
      </c>
      <c r="D31" s="132" t="s">
        <v>79</v>
      </c>
      <c r="E31" s="12">
        <f>E32-E29-E30</f>
        <v>5096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44612</v>
      </c>
      <c r="B36" s="54">
        <v>69.71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44613</v>
      </c>
      <c r="B37" s="54">
        <v>7.82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44614</v>
      </c>
      <c r="B38" s="54">
        <v>0</v>
      </c>
      <c r="C38" s="58">
        <v>179</v>
      </c>
      <c r="D38" s="58">
        <v>127</v>
      </c>
      <c r="E38" s="58">
        <v>460</v>
      </c>
      <c r="F38" s="58">
        <v>90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44615</v>
      </c>
      <c r="B39" s="54">
        <v>131.02</v>
      </c>
      <c r="C39" s="60">
        <v>130</v>
      </c>
      <c r="D39" s="60">
        <v>115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44616</v>
      </c>
      <c r="B40" s="62">
        <v>61.48</v>
      </c>
      <c r="C40" s="63" t="s">
        <v>182</v>
      </c>
      <c r="D40" s="64">
        <f>C38+D38+E38+F38</f>
        <v>856</v>
      </c>
      <c r="E40" s="65" t="s">
        <v>69</v>
      </c>
      <c r="F40" s="66">
        <f>C39+D39+E39+F39</f>
        <v>684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44617</v>
      </c>
      <c r="B41" s="54">
        <v>48.26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截止2022年03月01日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44618</v>
      </c>
      <c r="B42" s="54">
        <v>86.86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44619</v>
      </c>
      <c r="B43" s="54">
        <v>42.83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0.1448</v>
      </c>
      <c r="J43" s="35">
        <v>5913</v>
      </c>
      <c r="K43" s="36" t="s">
        <v>318</v>
      </c>
      <c r="L43" s="56">
        <f>L44+155</f>
        <v>416</v>
      </c>
      <c r="M43" s="56">
        <f>M44+171</f>
        <v>395</v>
      </c>
      <c r="N43" s="56">
        <f>N44+1460</f>
        <v>5640</v>
      </c>
      <c r="O43" s="56">
        <f>O44+441.6</f>
        <v>1485.2</v>
      </c>
      <c r="P43" s="56">
        <f>P44+0</f>
        <v>3212</v>
      </c>
      <c r="U43" s="4"/>
    </row>
    <row r="44" ht="15.6" spans="1:21">
      <c r="A44" s="53">
        <v>44620</v>
      </c>
      <c r="B44" s="54">
        <v>92.73</v>
      </c>
      <c r="C44" s="74" t="s">
        <v>229</v>
      </c>
      <c r="D44" s="74">
        <v>1919.44</v>
      </c>
      <c r="E44" s="74">
        <v>1156.2</v>
      </c>
      <c r="F44" s="74">
        <f t="shared" si="0"/>
        <v>3075.64</v>
      </c>
      <c r="G44" s="73"/>
      <c r="H44" s="40" t="s">
        <v>62</v>
      </c>
      <c r="I44" s="111">
        <f>ROUND(F40/J44,4)</f>
        <v>0.1157</v>
      </c>
      <c r="J44" s="35">
        <v>5913</v>
      </c>
      <c r="K44" s="36" t="s">
        <v>319</v>
      </c>
      <c r="L44" s="56">
        <f>SUM(L20:M21)</f>
        <v>261</v>
      </c>
      <c r="M44" s="56">
        <f>SUM(L23:M24)</f>
        <v>224</v>
      </c>
      <c r="N44" s="56">
        <f>L25</f>
        <v>4180</v>
      </c>
      <c r="O44" s="56">
        <f>L26</f>
        <v>1043.6</v>
      </c>
      <c r="P44" s="56">
        <f>L27</f>
        <v>3212</v>
      </c>
      <c r="U44" s="4"/>
    </row>
    <row r="45" ht="15.6" spans="1:21">
      <c r="A45" s="53">
        <v>44621</v>
      </c>
      <c r="B45" s="54">
        <v>131.07</v>
      </c>
      <c r="C45" s="74" t="s">
        <v>228</v>
      </c>
      <c r="D45" s="74">
        <v>5160</v>
      </c>
      <c r="E45" s="74">
        <v>5125</v>
      </c>
      <c r="F45" s="74">
        <f t="shared" si="0"/>
        <v>10285</v>
      </c>
      <c r="G45" s="75"/>
      <c r="H45" s="40" t="s">
        <v>228</v>
      </c>
      <c r="I45" s="111">
        <f>ROUND(F45/J45,4)</f>
        <v>0.0761</v>
      </c>
      <c r="J45" s="35">
        <v>135185</v>
      </c>
      <c r="K45" s="36" t="s">
        <v>320</v>
      </c>
      <c r="L45" s="56">
        <f>D40</f>
        <v>856</v>
      </c>
      <c r="M45" s="56">
        <f>F40</f>
        <v>684</v>
      </c>
      <c r="N45" s="56">
        <f>F45</f>
        <v>10285</v>
      </c>
      <c r="O45" s="56">
        <f>F44</f>
        <v>3075.64</v>
      </c>
      <c r="P45" s="56">
        <f>F43</f>
        <v>3212</v>
      </c>
      <c r="U45" s="4"/>
    </row>
    <row r="46" spans="1:16">
      <c r="A46" s="147" t="s">
        <v>138</v>
      </c>
      <c r="B46" s="79" t="s">
        <v>110</v>
      </c>
      <c r="C46" s="148">
        <f>SUM(C11,E11,C12,E12)</f>
        <v>12</v>
      </c>
      <c r="D46" s="149"/>
      <c r="E46" s="149"/>
      <c r="F46" s="150"/>
      <c r="G46" s="76"/>
      <c r="H46" s="40" t="s">
        <v>229</v>
      </c>
      <c r="I46" s="111">
        <f>ROUND(F44/J46,4)</f>
        <v>0.0458</v>
      </c>
      <c r="J46" s="35">
        <v>67098.02</v>
      </c>
      <c r="K46" s="36" t="s">
        <v>336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151"/>
      <c r="B47" s="79" t="s">
        <v>111</v>
      </c>
      <c r="C47" s="148">
        <f>SUM(C13,C14,E13,E14)</f>
        <v>0</v>
      </c>
      <c r="D47" s="149"/>
      <c r="E47" s="149"/>
      <c r="F47" s="150"/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89</v>
      </c>
      <c r="M47" s="56">
        <f>F40-'2022.2.15'!$F$40</f>
        <v>75</v>
      </c>
      <c r="N47" s="56">
        <f>F45-'2022.2.15'!$F$45</f>
        <v>320</v>
      </c>
      <c r="O47" s="56">
        <f>F44-'2022.2.15'!$F$44</f>
        <v>123</v>
      </c>
      <c r="P47" s="56">
        <f>F43-'2022.2.15'!$F$43</f>
        <v>0</v>
      </c>
    </row>
    <row r="48" spans="1:16">
      <c r="A48" s="151"/>
      <c r="B48" s="79" t="s">
        <v>112</v>
      </c>
      <c r="C48" s="79">
        <f t="shared" ref="C48:C50" si="1">C15+E15</f>
        <v>0</v>
      </c>
      <c r="D48" s="79"/>
      <c r="E48" s="79"/>
      <c r="F48" s="79"/>
      <c r="G48" s="76"/>
      <c r="H48" s="40" t="s">
        <v>231</v>
      </c>
      <c r="I48" s="111">
        <f>ROUND(E7/J48,4)</f>
        <v>0.1677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151"/>
      <c r="B49" s="79" t="s">
        <v>113</v>
      </c>
      <c r="C49" s="148">
        <f t="shared" si="1"/>
        <v>123</v>
      </c>
      <c r="D49" s="149"/>
      <c r="E49" s="149"/>
      <c r="F49" s="150"/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pans="1:7">
      <c r="A50" s="152"/>
      <c r="B50" s="79" t="s">
        <v>114</v>
      </c>
      <c r="C50" s="148">
        <f t="shared" si="1"/>
        <v>0</v>
      </c>
      <c r="D50" s="149"/>
      <c r="E50" s="149"/>
      <c r="F50" s="150"/>
      <c r="G50" s="76"/>
    </row>
    <row r="51" ht="75" customHeight="1" spans="1:7">
      <c r="A51" s="82" t="str">
        <f>"ZCB1-19"&amp;H41&amp;"自年初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01日自年初完成产值3047.4万元，自开工累计完成产值15140.11万元，自开工占总产值90284.4万元的16.77%，100章临建完成6000.78万元，400章桥梁完成9139.33万元。已完成梁片预制856片，占设计量的14.48%；梁片安装684片，占设计量的11.57%；湿接缝10285米，占设计量的7.61%；防撞护栏3075.64米，占设计量的4.58%；桥面铺装3212平米，占设计量的0.79%。</v>
      </c>
      <c r="B51" s="83"/>
      <c r="C51" s="83"/>
      <c r="D51" s="83"/>
      <c r="E51" s="83"/>
      <c r="F51" s="84"/>
      <c r="G51" s="153"/>
    </row>
    <row r="52" ht="30" customHeight="1" spans="1:7">
      <c r="A52" s="129" t="s">
        <v>331</v>
      </c>
      <c r="B52" s="129"/>
      <c r="C52" s="129"/>
      <c r="D52" s="129"/>
      <c r="E52" s="129"/>
      <c r="F52" s="129"/>
      <c r="G52" s="129"/>
    </row>
  </sheetData>
  <mergeCells count="53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C46:F46"/>
    <mergeCell ref="C47:F47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showZeros="0" view="pageBreakPreview" zoomScale="70" zoomScaleNormal="70" workbookViewId="0">
      <selection activeCell="D7" sqref="D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44622</v>
      </c>
      <c r="B3" s="12" t="s">
        <v>7</v>
      </c>
      <c r="C3" s="12">
        <v>0</v>
      </c>
      <c r="D3" s="12">
        <f>ROUND(D11+D12+D15+D16+D17+D13+D14,2)</f>
        <v>75.02</v>
      </c>
      <c r="E3" s="13">
        <f>ROUND(C5+D5,2)</f>
        <v>151.8</v>
      </c>
      <c r="F3" s="143" t="s">
        <v>339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76.78</v>
      </c>
      <c r="E4" s="13"/>
      <c r="F4" s="144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151.8</v>
      </c>
      <c r="E5" s="13"/>
      <c r="F5" s="144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f>3199.28-0.08</f>
        <v>3199.2</v>
      </c>
      <c r="E6" s="8">
        <f>ROUND(C6+D6,2)</f>
        <v>3199.2</v>
      </c>
      <c r="F6" s="144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f>9291.21-0.08</f>
        <v>9291.13</v>
      </c>
      <c r="E7" s="8">
        <f>ROUND(C7+D7,2)</f>
        <v>15291.91</v>
      </c>
      <c r="F7" s="144"/>
      <c r="G7" s="18"/>
      <c r="H7" s="22"/>
      <c r="I7" s="48">
        <f>210+C6</f>
        <v>210</v>
      </c>
      <c r="J7" s="48">
        <f>D6+1717.38</f>
        <v>4916.58</v>
      </c>
      <c r="K7" s="48">
        <f>J7+I7</f>
        <v>5126.58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44622</v>
      </c>
      <c r="B11" s="133" t="s">
        <v>172</v>
      </c>
      <c r="C11" s="33">
        <v>4</v>
      </c>
      <c r="D11" s="8">
        <v>30.92</v>
      </c>
      <c r="E11" s="33">
        <v>6</v>
      </c>
      <c r="F11" s="8">
        <v>46.01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2</v>
      </c>
      <c r="D12" s="8">
        <v>30.55</v>
      </c>
      <c r="E12" s="33">
        <v>1</v>
      </c>
      <c r="F12" s="8">
        <v>15.29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15291.91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2</v>
      </c>
      <c r="D14" s="8">
        <v>0.504</v>
      </c>
      <c r="E14" s="33">
        <v>0</v>
      </c>
      <c r="F14" s="8"/>
      <c r="G14" s="10"/>
      <c r="H14" s="30"/>
      <c r="I14" s="48">
        <v>699.51</v>
      </c>
      <c r="J14" s="48">
        <f>J13-I13</f>
        <v>1057.97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>
        <v>320</v>
      </c>
      <c r="D15" s="8">
        <v>13.05</v>
      </c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>
        <v>123</v>
      </c>
      <c r="F16" s="8">
        <f>15.56-0.08</f>
        <v>15.48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75.02</v>
      </c>
      <c r="D18" s="134"/>
      <c r="E18" s="25">
        <f>ROUND(F11+F12+F15+F16+F17+F13+F14,2)</f>
        <v>76.78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151.8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165</v>
      </c>
      <c r="M20" s="94">
        <f>F38-44</f>
        <v>47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14</v>
      </c>
      <c r="M21" s="94">
        <f>D38-81</f>
        <v>48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103</v>
      </c>
      <c r="M23" s="94">
        <f>F39-7</f>
        <v>71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52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4500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1166.6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3209.48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312</v>
      </c>
      <c r="D29" s="132" t="s">
        <v>75</v>
      </c>
      <c r="E29" s="12">
        <f>C39+D39</f>
        <v>247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557</v>
      </c>
      <c r="D30" s="132" t="s">
        <v>77</v>
      </c>
      <c r="E30" s="12">
        <f>E39+F39</f>
        <v>439</v>
      </c>
      <c r="F30" s="12"/>
      <c r="G30" s="38"/>
    </row>
    <row r="31" spans="1:7">
      <c r="A31" s="35"/>
      <c r="B31" s="132" t="s">
        <v>78</v>
      </c>
      <c r="C31" s="12">
        <f>C32-C29-C30</f>
        <v>4911</v>
      </c>
      <c r="D31" s="132" t="s">
        <v>79</v>
      </c>
      <c r="E31" s="12">
        <f>E32-E29-E30</f>
        <v>5094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44613</v>
      </c>
      <c r="B36" s="54">
        <v>7.82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44614</v>
      </c>
      <c r="B37" s="54">
        <v>0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44615</v>
      </c>
      <c r="B38" s="54">
        <v>131.02</v>
      </c>
      <c r="C38" s="58">
        <v>183</v>
      </c>
      <c r="D38" s="58">
        <v>129</v>
      </c>
      <c r="E38" s="58">
        <v>466</v>
      </c>
      <c r="F38" s="58">
        <v>91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44616</v>
      </c>
      <c r="B39" s="54">
        <v>61.48</v>
      </c>
      <c r="C39" s="60">
        <v>130</v>
      </c>
      <c r="D39" s="60">
        <v>117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44617</v>
      </c>
      <c r="B40" s="62">
        <v>48.26</v>
      </c>
      <c r="C40" s="63" t="s">
        <v>182</v>
      </c>
      <c r="D40" s="64">
        <f>C38+D38+E38+F38</f>
        <v>869</v>
      </c>
      <c r="E40" s="65" t="s">
        <v>69</v>
      </c>
      <c r="F40" s="66">
        <f>C39+D39+E39+F39</f>
        <v>686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44618</v>
      </c>
      <c r="B41" s="54">
        <v>86.86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截止2022年03月02日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44619</v>
      </c>
      <c r="B42" s="54">
        <v>42.83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44620</v>
      </c>
      <c r="B43" s="54">
        <v>92.73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0.147</v>
      </c>
      <c r="J43" s="35">
        <v>5913</v>
      </c>
      <c r="K43" s="36" t="s">
        <v>318</v>
      </c>
      <c r="L43" s="56">
        <f>L44+155</f>
        <v>429</v>
      </c>
      <c r="M43" s="56">
        <f>M44+171</f>
        <v>397</v>
      </c>
      <c r="N43" s="56">
        <f>N44+1460</f>
        <v>5960</v>
      </c>
      <c r="O43" s="56">
        <f>O44+441.6</f>
        <v>1608.2</v>
      </c>
      <c r="P43" s="56">
        <f>P44+0</f>
        <v>3212</v>
      </c>
      <c r="U43" s="4"/>
    </row>
    <row r="44" ht="15.6" spans="1:21">
      <c r="A44" s="53">
        <v>44621</v>
      </c>
      <c r="B44" s="54">
        <v>131.07</v>
      </c>
      <c r="C44" s="74" t="s">
        <v>229</v>
      </c>
      <c r="D44" s="74">
        <v>1919.44</v>
      </c>
      <c r="E44" s="74">
        <v>1279.2</v>
      </c>
      <c r="F44" s="74">
        <f t="shared" si="0"/>
        <v>3198.64</v>
      </c>
      <c r="G44" s="73"/>
      <c r="H44" s="40" t="s">
        <v>62</v>
      </c>
      <c r="I44" s="111">
        <f>ROUND(F40/J44,4)</f>
        <v>0.116</v>
      </c>
      <c r="J44" s="35">
        <v>5913</v>
      </c>
      <c r="K44" s="36" t="s">
        <v>319</v>
      </c>
      <c r="L44" s="56">
        <f>SUM(L20:M21)</f>
        <v>274</v>
      </c>
      <c r="M44" s="56">
        <f>SUM(L23:M24)</f>
        <v>226</v>
      </c>
      <c r="N44" s="56">
        <f>L25</f>
        <v>4500</v>
      </c>
      <c r="O44" s="56">
        <f>L26</f>
        <v>1166.6</v>
      </c>
      <c r="P44" s="56">
        <f>L27</f>
        <v>3212</v>
      </c>
      <c r="U44" s="4"/>
    </row>
    <row r="45" ht="15.6" spans="1:21">
      <c r="A45" s="53">
        <v>44622</v>
      </c>
      <c r="B45" s="54">
        <v>151.88</v>
      </c>
      <c r="C45" s="74" t="s">
        <v>228</v>
      </c>
      <c r="D45" s="74">
        <v>5480</v>
      </c>
      <c r="E45" s="74">
        <v>5125</v>
      </c>
      <c r="F45" s="74">
        <f t="shared" si="0"/>
        <v>10605</v>
      </c>
      <c r="G45" s="75"/>
      <c r="H45" s="40" t="s">
        <v>228</v>
      </c>
      <c r="I45" s="111">
        <f>ROUND(F45/J45,4)</f>
        <v>0.0784</v>
      </c>
      <c r="J45" s="35">
        <v>135185</v>
      </c>
      <c r="K45" s="36" t="s">
        <v>320</v>
      </c>
      <c r="L45" s="56">
        <f>D40</f>
        <v>869</v>
      </c>
      <c r="M45" s="56">
        <f>F40</f>
        <v>686</v>
      </c>
      <c r="N45" s="56">
        <f>F45</f>
        <v>10605</v>
      </c>
      <c r="O45" s="56">
        <f>F44</f>
        <v>3198.64</v>
      </c>
      <c r="P45" s="56">
        <f>F43</f>
        <v>3212</v>
      </c>
      <c r="U45" s="4"/>
    </row>
    <row r="46" spans="1:16">
      <c r="A46" s="142" t="s">
        <v>340</v>
      </c>
      <c r="B46" s="142"/>
      <c r="C46" s="142"/>
      <c r="D46" s="142"/>
      <c r="E46" s="142"/>
      <c r="F46" s="142"/>
      <c r="G46" s="76"/>
      <c r="H46" s="40" t="s">
        <v>229</v>
      </c>
      <c r="I46" s="111">
        <f>ROUND(F44/J46,4)</f>
        <v>0.0477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102</v>
      </c>
      <c r="M47" s="56">
        <f>F40-'2022.2.15'!$F$40</f>
        <v>77</v>
      </c>
      <c r="N47" s="56">
        <f>F45-'2022.2.15'!$F$45</f>
        <v>640</v>
      </c>
      <c r="O47" s="56">
        <f>F44-'2022.2.15'!$F$44</f>
        <v>246</v>
      </c>
      <c r="P47" s="56">
        <f>F43-'2022.2.15'!$F$43</f>
        <v>0</v>
      </c>
    </row>
    <row r="48" spans="1:16">
      <c r="A48" s="79">
        <f>SUM(C11,E11,C12,E12)</f>
        <v>13</v>
      </c>
      <c r="B48" s="79">
        <f>SUM(C13,C14,E13,E14)</f>
        <v>2</v>
      </c>
      <c r="C48" s="79">
        <f>C15+E15</f>
        <v>320</v>
      </c>
      <c r="D48" s="79">
        <f>C16+E16</f>
        <v>123</v>
      </c>
      <c r="E48" s="79">
        <f>C17+E17</f>
        <v>0</v>
      </c>
      <c r="F48" s="80">
        <f>E3</f>
        <v>151.8</v>
      </c>
      <c r="G48" s="76"/>
      <c r="H48" s="40" t="s">
        <v>231</v>
      </c>
      <c r="I48" s="111">
        <f>ROUND(E7/J48,4)</f>
        <v>0.1694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102</v>
      </c>
      <c r="B49" s="79">
        <f>M47</f>
        <v>77</v>
      </c>
      <c r="C49" s="79">
        <f>N47</f>
        <v>640</v>
      </c>
      <c r="D49" s="79">
        <f>O47</f>
        <v>246</v>
      </c>
      <c r="E49" s="79">
        <f>P47</f>
        <v>0</v>
      </c>
      <c r="F49" s="80">
        <f>J14</f>
        <v>1057.97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429</v>
      </c>
      <c r="B50" s="79">
        <f>M43</f>
        <v>397</v>
      </c>
      <c r="C50" s="79">
        <f>N43</f>
        <v>5960</v>
      </c>
      <c r="D50" s="79">
        <f>O43</f>
        <v>1608.2</v>
      </c>
      <c r="E50" s="79">
        <f>P43</f>
        <v>3212</v>
      </c>
      <c r="F50" s="80">
        <f>K7</f>
        <v>5126.58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02日自年初1月1日起完成产值3199.2万元，自开工累计完成产值15291.91万元，自开工占总产值90284.4万元的16.94%，100章临建完成6000.78万元，400章桥梁完成9291.13万元。已完成梁片预制869片，占设计量的14.7%；梁片安装686片，占设计量的11.6%；湿接缝10605米，占设计量的7.84%；防撞护栏3198.64米，占设计量的4.77%；桥面铺装3212平米，占设计量的0.79%。</v>
      </c>
      <c r="B51" s="83"/>
      <c r="C51" s="83"/>
      <c r="D51" s="83"/>
      <c r="E51" s="83"/>
      <c r="F51" s="84"/>
      <c r="I51" s="112"/>
    </row>
    <row r="52" ht="25.05" customHeight="1" spans="1:6">
      <c r="A52" s="129" t="s">
        <v>331</v>
      </c>
      <c r="B52" s="129"/>
      <c r="C52" s="129"/>
      <c r="D52" s="129"/>
      <c r="E52" s="129"/>
      <c r="F52" s="129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showZeros="0" view="pageBreakPreview" zoomScale="70" zoomScaleNormal="70" workbookViewId="0">
      <selection activeCell="G17" sqref="G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44623</v>
      </c>
      <c r="B3" s="12" t="s">
        <v>7</v>
      </c>
      <c r="C3" s="12">
        <v>0</v>
      </c>
      <c r="D3" s="12">
        <f>ROUND(D11+D12+D15+D16+D17+D13+D14,2)</f>
        <v>38.95</v>
      </c>
      <c r="E3" s="13">
        <f>ROUND(C5+D5,2)</f>
        <v>115.88</v>
      </c>
      <c r="F3" s="143" t="s">
        <v>342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76.93</v>
      </c>
      <c r="E4" s="13"/>
      <c r="F4" s="144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115.88</v>
      </c>
      <c r="E5" s="13"/>
      <c r="F5" s="144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3315.03</v>
      </c>
      <c r="E6" s="8">
        <f>ROUND(C6+D6,2)</f>
        <v>3315.03</v>
      </c>
      <c r="F6" s="144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f>9406.96+0.05</f>
        <v>9407.01</v>
      </c>
      <c r="E7" s="8">
        <f>ROUND(C7+D7,2)</f>
        <v>15407.79</v>
      </c>
      <c r="F7" s="144"/>
      <c r="G7" s="18"/>
      <c r="H7" s="22"/>
      <c r="I7" s="48">
        <f>210+C6</f>
        <v>210</v>
      </c>
      <c r="J7" s="48">
        <f>D6+1717.38</f>
        <v>5032.41</v>
      </c>
      <c r="K7" s="48">
        <f>J7+I7</f>
        <v>5242.41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44623</v>
      </c>
      <c r="B11" s="133" t="s">
        <v>172</v>
      </c>
      <c r="C11" s="33">
        <v>1</v>
      </c>
      <c r="D11" s="8">
        <v>7.64</v>
      </c>
      <c r="E11" s="33">
        <v>6</v>
      </c>
      <c r="F11" s="8">
        <f>46.38+0.05</f>
        <v>46.43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2</v>
      </c>
      <c r="D12" s="8">
        <v>30.55</v>
      </c>
      <c r="E12" s="33">
        <v>2</v>
      </c>
      <c r="F12" s="8">
        <v>30.5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15407.79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3</v>
      </c>
      <c r="D14" s="8">
        <v>0.756</v>
      </c>
      <c r="E14" s="33">
        <v>0</v>
      </c>
      <c r="F14" s="8"/>
      <c r="G14" s="10"/>
      <c r="H14" s="30"/>
      <c r="I14" s="48">
        <v>699.51</v>
      </c>
      <c r="J14" s="48">
        <f>J13-I13</f>
        <v>1173.85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38.95</v>
      </c>
      <c r="D18" s="134"/>
      <c r="E18" s="25">
        <f>ROUND(F11+F12+F15+F16+F17+F13+F14,2)</f>
        <v>76.93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115.88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171</v>
      </c>
      <c r="M20" s="94">
        <f>F38-44</f>
        <v>49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15</v>
      </c>
      <c r="M21" s="94">
        <f>D38-81</f>
        <v>50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103</v>
      </c>
      <c r="M23" s="94">
        <f>F39-7</f>
        <v>71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55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4500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1166.6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3325.36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315</v>
      </c>
      <c r="D29" s="132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565</v>
      </c>
      <c r="D30" s="132" t="s">
        <v>77</v>
      </c>
      <c r="E30" s="12">
        <f>E39+F39</f>
        <v>439</v>
      </c>
      <c r="F30" s="12"/>
      <c r="G30" s="38"/>
    </row>
    <row r="31" spans="1:7">
      <c r="A31" s="35"/>
      <c r="B31" s="132" t="s">
        <v>78</v>
      </c>
      <c r="C31" s="12">
        <f>C32-C29-C30</f>
        <v>4900</v>
      </c>
      <c r="D31" s="132" t="s">
        <v>79</v>
      </c>
      <c r="E31" s="12">
        <f>E32-E29-E30</f>
        <v>5091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44614</v>
      </c>
      <c r="B36" s="54">
        <v>0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44615</v>
      </c>
      <c r="B37" s="54">
        <v>131.02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44616</v>
      </c>
      <c r="B38" s="54">
        <v>61.48</v>
      </c>
      <c r="C38" s="58">
        <v>184</v>
      </c>
      <c r="D38" s="58">
        <v>131</v>
      </c>
      <c r="E38" s="58">
        <v>472</v>
      </c>
      <c r="F38" s="58">
        <v>93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44617</v>
      </c>
      <c r="B39" s="54">
        <v>48.26</v>
      </c>
      <c r="C39" s="60">
        <v>130</v>
      </c>
      <c r="D39" s="60">
        <v>120</v>
      </c>
      <c r="E39" s="60">
        <v>361</v>
      </c>
      <c r="F39" s="60">
        <v>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44618</v>
      </c>
      <c r="B40" s="62">
        <v>86.86</v>
      </c>
      <c r="C40" s="63" t="s">
        <v>182</v>
      </c>
      <c r="D40" s="64">
        <f>C38+D38+E38+F38</f>
        <v>880</v>
      </c>
      <c r="E40" s="65" t="s">
        <v>69</v>
      </c>
      <c r="F40" s="66">
        <f>C39+D39+E39+F39</f>
        <v>689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44619</v>
      </c>
      <c r="B41" s="54">
        <v>42.83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截止2022年03月03日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44620</v>
      </c>
      <c r="B42" s="54">
        <v>92.73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44621</v>
      </c>
      <c r="B43" s="54">
        <v>131.07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0.1488</v>
      </c>
      <c r="J43" s="35">
        <v>5913</v>
      </c>
      <c r="K43" s="36" t="s">
        <v>318</v>
      </c>
      <c r="L43" s="56">
        <f>L44+155</f>
        <v>440</v>
      </c>
      <c r="M43" s="56">
        <f>M44+171</f>
        <v>400</v>
      </c>
      <c r="N43" s="56">
        <f>N44+1460</f>
        <v>5960</v>
      </c>
      <c r="O43" s="56">
        <f>O44+441.6</f>
        <v>1608.2</v>
      </c>
      <c r="P43" s="56">
        <f>P44+0</f>
        <v>3212</v>
      </c>
      <c r="U43" s="4"/>
    </row>
    <row r="44" ht="15.6" spans="1:21">
      <c r="A44" s="53">
        <v>44622</v>
      </c>
      <c r="B44" s="54">
        <v>151.88</v>
      </c>
      <c r="C44" s="74" t="s">
        <v>229</v>
      </c>
      <c r="D44" s="74">
        <v>1919.44</v>
      </c>
      <c r="E44" s="74">
        <v>1279.2</v>
      </c>
      <c r="F44" s="74">
        <f t="shared" si="0"/>
        <v>3198.64</v>
      </c>
      <c r="G44" s="73"/>
      <c r="H44" s="40" t="s">
        <v>62</v>
      </c>
      <c r="I44" s="111">
        <f>ROUND(F40/J44,4)</f>
        <v>0.1165</v>
      </c>
      <c r="J44" s="35">
        <v>5913</v>
      </c>
      <c r="K44" s="36" t="s">
        <v>319</v>
      </c>
      <c r="L44" s="56">
        <f>SUM(L20:M21)</f>
        <v>285</v>
      </c>
      <c r="M44" s="56">
        <f>SUM(L23:M24)</f>
        <v>229</v>
      </c>
      <c r="N44" s="56">
        <f>L25</f>
        <v>4500</v>
      </c>
      <c r="O44" s="56">
        <f>L26</f>
        <v>1166.6</v>
      </c>
      <c r="P44" s="56">
        <f>L27</f>
        <v>3212</v>
      </c>
      <c r="U44" s="4"/>
    </row>
    <row r="45" ht="15.6" spans="1:21">
      <c r="A45" s="53">
        <v>44623</v>
      </c>
      <c r="B45" s="54">
        <v>115.83</v>
      </c>
      <c r="C45" s="74" t="s">
        <v>228</v>
      </c>
      <c r="D45" s="74">
        <v>5480</v>
      </c>
      <c r="E45" s="74">
        <v>5125</v>
      </c>
      <c r="F45" s="74">
        <f t="shared" si="0"/>
        <v>10605</v>
      </c>
      <c r="G45" s="75"/>
      <c r="H45" s="40" t="s">
        <v>228</v>
      </c>
      <c r="I45" s="111">
        <f>ROUND(F45/J45,4)</f>
        <v>0.0784</v>
      </c>
      <c r="J45" s="35">
        <v>135185</v>
      </c>
      <c r="K45" s="36" t="s">
        <v>320</v>
      </c>
      <c r="L45" s="56">
        <f>D40</f>
        <v>880</v>
      </c>
      <c r="M45" s="56">
        <f>F40</f>
        <v>689</v>
      </c>
      <c r="N45" s="56">
        <f>F45</f>
        <v>10605</v>
      </c>
      <c r="O45" s="56">
        <f>F44</f>
        <v>3198.64</v>
      </c>
      <c r="P45" s="56">
        <f>F43</f>
        <v>3212</v>
      </c>
      <c r="U45" s="4"/>
    </row>
    <row r="46" spans="1:16">
      <c r="A46" s="142" t="s">
        <v>340</v>
      </c>
      <c r="B46" s="142"/>
      <c r="C46" s="142"/>
      <c r="D46" s="142"/>
      <c r="E46" s="142"/>
      <c r="F46" s="142"/>
      <c r="G46" s="76"/>
      <c r="H46" s="40" t="s">
        <v>229</v>
      </c>
      <c r="I46" s="111">
        <f>ROUND(F44/J46,4)</f>
        <v>0.0477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113</v>
      </c>
      <c r="M47" s="56">
        <f>F40-'2022.2.15'!$F$40</f>
        <v>80</v>
      </c>
      <c r="N47" s="56">
        <f>F45-'2022.2.15'!$F$45</f>
        <v>640</v>
      </c>
      <c r="O47" s="56">
        <f>F44-'2022.2.15'!$F$44</f>
        <v>246</v>
      </c>
      <c r="P47" s="56">
        <f>F43-'2022.2.15'!$F$43</f>
        <v>0</v>
      </c>
    </row>
    <row r="48" spans="1:16">
      <c r="A48" s="79">
        <f>SUM(C11,E11,C12,E12)</f>
        <v>11</v>
      </c>
      <c r="B48" s="79">
        <f>SUM(C13,C14,E13,E14)</f>
        <v>3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115.88</v>
      </c>
      <c r="G48" s="76"/>
      <c r="H48" s="40" t="s">
        <v>231</v>
      </c>
      <c r="I48" s="111">
        <f>ROUND(E7/J48,4)</f>
        <v>0.1707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113</v>
      </c>
      <c r="B49" s="79">
        <f>M47</f>
        <v>80</v>
      </c>
      <c r="C49" s="79">
        <f>N47</f>
        <v>640</v>
      </c>
      <c r="D49" s="79">
        <f>O47</f>
        <v>246</v>
      </c>
      <c r="E49" s="79">
        <f>P47</f>
        <v>0</v>
      </c>
      <c r="F49" s="80">
        <f>J14</f>
        <v>1173.85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440</v>
      </c>
      <c r="B50" s="79">
        <f>M43</f>
        <v>400</v>
      </c>
      <c r="C50" s="79">
        <f>N43</f>
        <v>5960</v>
      </c>
      <c r="D50" s="79">
        <f>O43</f>
        <v>1608.2</v>
      </c>
      <c r="E50" s="79">
        <f>P43</f>
        <v>3212</v>
      </c>
      <c r="F50" s="80">
        <f>K7</f>
        <v>5242.41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03日自年初1月1日起完成产值3315.03万元，自开工累计完成产值15407.79万元，自开工占总产值90284.4万元的17.07%，100章临建完成6000.78万元，400章桥梁完成9407.01万元。已完成梁片预制880片，占设计量的14.88%；梁片安装689片，占设计量的11.65%；湿接缝10605米，占设计量的7.84%；防撞护栏3198.64米，占设计量的4.77%；桥面铺装3212平米，占设计量的0.79%。</v>
      </c>
      <c r="B51" s="83"/>
      <c r="C51" s="83"/>
      <c r="D51" s="83"/>
      <c r="E51" s="83"/>
      <c r="F51" s="84"/>
      <c r="I51" s="112"/>
    </row>
    <row r="52" ht="25.05" customHeight="1" spans="1:6">
      <c r="A52" s="129" t="s">
        <v>331</v>
      </c>
      <c r="B52" s="129"/>
      <c r="C52" s="129"/>
      <c r="D52" s="129"/>
      <c r="E52" s="129"/>
      <c r="F52" s="129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showZeros="0" view="pageBreakPreview" zoomScale="70" zoomScaleNormal="70" workbookViewId="0">
      <selection activeCell="G17" sqref="G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44624</v>
      </c>
      <c r="B3" s="12" t="s">
        <v>7</v>
      </c>
      <c r="C3" s="12">
        <v>0</v>
      </c>
      <c r="D3" s="12">
        <f>ROUND(D11+D12+D15+D16+D17+D13+D14,2)</f>
        <v>44.9</v>
      </c>
      <c r="E3" s="13">
        <f>ROUND(C5+D5,2)</f>
        <v>100.09</v>
      </c>
      <c r="F3" s="143" t="s">
        <v>343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55.19</v>
      </c>
      <c r="E4" s="13"/>
      <c r="F4" s="144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100.09</v>
      </c>
      <c r="E5" s="13"/>
      <c r="F5" s="144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3415.12</v>
      </c>
      <c r="E6" s="8">
        <f>ROUND(C6+D6,2)</f>
        <v>3415.12</v>
      </c>
      <c r="F6" s="144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9507.1</v>
      </c>
      <c r="E7" s="8">
        <f>ROUND(C7+D7,2)</f>
        <v>15507.88</v>
      </c>
      <c r="F7" s="144"/>
      <c r="G7" s="18"/>
      <c r="H7" s="22"/>
      <c r="I7" s="48">
        <f>210+C6</f>
        <v>210</v>
      </c>
      <c r="J7" s="48">
        <f>D6+1717.38</f>
        <v>5132.5</v>
      </c>
      <c r="K7" s="48">
        <f>J7+I7</f>
        <v>5342.5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44624</v>
      </c>
      <c r="B11" s="133" t="s">
        <v>172</v>
      </c>
      <c r="C11" s="33">
        <v>1</v>
      </c>
      <c r="D11" s="8">
        <v>7.82</v>
      </c>
      <c r="E11" s="33">
        <v>3</v>
      </c>
      <c r="F11" s="8">
        <v>22.91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2</v>
      </c>
      <c r="D12" s="8">
        <v>30.55</v>
      </c>
      <c r="E12" s="33">
        <v>2</v>
      </c>
      <c r="F12" s="8">
        <v>30.52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0</v>
      </c>
      <c r="F13" s="8"/>
      <c r="G13" s="10"/>
      <c r="H13" s="30"/>
      <c r="I13" s="35">
        <v>14233.94</v>
      </c>
      <c r="J13" s="35">
        <f>E7</f>
        <v>15507.88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7</v>
      </c>
      <c r="F14" s="8">
        <v>1.764</v>
      </c>
      <c r="G14" s="10"/>
      <c r="H14" s="30"/>
      <c r="I14" s="48">
        <v>699.51</v>
      </c>
      <c r="J14" s="48">
        <f>J13-I13</f>
        <v>1273.94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44.9</v>
      </c>
      <c r="D18" s="134"/>
      <c r="E18" s="25">
        <f>ROUND(F11+F12+F15+F16+F17+F13+F14,2)</f>
        <v>55.19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100.09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174</v>
      </c>
      <c r="M20" s="94">
        <f>F38-44</f>
        <v>51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16</v>
      </c>
      <c r="M21" s="94">
        <f>D38-81</f>
        <v>52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103</v>
      </c>
      <c r="M23" s="94">
        <f>F39-7</f>
        <v>78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55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4660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1166.6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3425.45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318</v>
      </c>
      <c r="D29" s="132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570</v>
      </c>
      <c r="D30" s="132" t="s">
        <v>77</v>
      </c>
      <c r="E30" s="12">
        <f>E39+F39</f>
        <v>446</v>
      </c>
      <c r="F30" s="12"/>
      <c r="G30" s="38"/>
    </row>
    <row r="31" spans="1:7">
      <c r="A31" s="35"/>
      <c r="B31" s="132" t="s">
        <v>78</v>
      </c>
      <c r="C31" s="12">
        <f>C32-C29-C30</f>
        <v>4892</v>
      </c>
      <c r="D31" s="132" t="s">
        <v>79</v>
      </c>
      <c r="E31" s="12">
        <f>E32-E29-E30</f>
        <v>5084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44615</v>
      </c>
      <c r="B36" s="54">
        <v>131.02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44616</v>
      </c>
      <c r="B37" s="54">
        <v>61.48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44617</v>
      </c>
      <c r="B38" s="54">
        <v>48.26</v>
      </c>
      <c r="C38" s="58">
        <v>185</v>
      </c>
      <c r="D38" s="58">
        <v>133</v>
      </c>
      <c r="E38" s="58">
        <v>475</v>
      </c>
      <c r="F38" s="58">
        <v>95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44618</v>
      </c>
      <c r="B39" s="54">
        <v>86.86</v>
      </c>
      <c r="C39" s="60">
        <v>130</v>
      </c>
      <c r="D39" s="60">
        <v>120</v>
      </c>
      <c r="E39" s="60">
        <v>361</v>
      </c>
      <c r="F39" s="60">
        <v>85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44619</v>
      </c>
      <c r="B40" s="62">
        <v>42.83</v>
      </c>
      <c r="C40" s="63" t="s">
        <v>182</v>
      </c>
      <c r="D40" s="64">
        <f>C38+D38+E38+F38</f>
        <v>888</v>
      </c>
      <c r="E40" s="65" t="s">
        <v>69</v>
      </c>
      <c r="F40" s="66">
        <f>C39+D39+E39+F39</f>
        <v>696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44620</v>
      </c>
      <c r="B41" s="54">
        <v>92.73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截止2022年03月04日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44621</v>
      </c>
      <c r="B42" s="54">
        <v>131.07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44622</v>
      </c>
      <c r="B43" s="54">
        <v>151.88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0.1502</v>
      </c>
      <c r="J43" s="35">
        <v>5913</v>
      </c>
      <c r="K43" s="36" t="s">
        <v>318</v>
      </c>
      <c r="L43" s="56">
        <f>L44+155</f>
        <v>448</v>
      </c>
      <c r="M43" s="56">
        <f>M44+171</f>
        <v>407</v>
      </c>
      <c r="N43" s="56">
        <f>N44+1460</f>
        <v>6120</v>
      </c>
      <c r="O43" s="56">
        <f>O44+441.6</f>
        <v>1608.2</v>
      </c>
      <c r="P43" s="56">
        <f>P44+0</f>
        <v>3212</v>
      </c>
      <c r="U43" s="4"/>
    </row>
    <row r="44" ht="15.6" spans="1:21">
      <c r="A44" s="53">
        <v>44623</v>
      </c>
      <c r="B44" s="54">
        <v>115.83</v>
      </c>
      <c r="C44" s="74" t="s">
        <v>229</v>
      </c>
      <c r="D44" s="74">
        <v>1919.44</v>
      </c>
      <c r="E44" s="74">
        <v>1279.2</v>
      </c>
      <c r="F44" s="74">
        <f t="shared" si="0"/>
        <v>3198.64</v>
      </c>
      <c r="G44" s="73"/>
      <c r="H44" s="40" t="s">
        <v>62</v>
      </c>
      <c r="I44" s="111">
        <f>ROUND(F40/J44,4)</f>
        <v>0.1177</v>
      </c>
      <c r="J44" s="35">
        <v>5913</v>
      </c>
      <c r="K44" s="36" t="s">
        <v>319</v>
      </c>
      <c r="L44" s="56">
        <f>SUM(L20:M21)</f>
        <v>293</v>
      </c>
      <c r="M44" s="56">
        <f>SUM(L23:M24)</f>
        <v>236</v>
      </c>
      <c r="N44" s="56">
        <f>L25</f>
        <v>4660</v>
      </c>
      <c r="O44" s="56">
        <f>L26</f>
        <v>1166.6</v>
      </c>
      <c r="P44" s="56">
        <f>L27</f>
        <v>3212</v>
      </c>
      <c r="U44" s="4"/>
    </row>
    <row r="45" ht="15.6" spans="1:21">
      <c r="A45" s="53">
        <v>44624</v>
      </c>
      <c r="B45" s="54">
        <v>100.09</v>
      </c>
      <c r="C45" s="74" t="s">
        <v>228</v>
      </c>
      <c r="D45" s="74">
        <v>5640</v>
      </c>
      <c r="E45" s="74">
        <v>5125</v>
      </c>
      <c r="F45" s="74">
        <f t="shared" si="0"/>
        <v>10765</v>
      </c>
      <c r="G45" s="75"/>
      <c r="H45" s="40" t="s">
        <v>228</v>
      </c>
      <c r="I45" s="111">
        <f>ROUND(F45/J45,4)</f>
        <v>0.0796</v>
      </c>
      <c r="J45" s="35">
        <v>135185</v>
      </c>
      <c r="K45" s="36" t="s">
        <v>320</v>
      </c>
      <c r="L45" s="56">
        <f>D40</f>
        <v>888</v>
      </c>
      <c r="M45" s="56">
        <f>F40</f>
        <v>696</v>
      </c>
      <c r="N45" s="56">
        <f>F45</f>
        <v>10765</v>
      </c>
      <c r="O45" s="56">
        <f>F44</f>
        <v>3198.64</v>
      </c>
      <c r="P45" s="56">
        <f>F43</f>
        <v>3212</v>
      </c>
      <c r="U45" s="4"/>
    </row>
    <row r="46" spans="1:16">
      <c r="A46" s="142" t="s">
        <v>340</v>
      </c>
      <c r="B46" s="142"/>
      <c r="C46" s="142"/>
      <c r="D46" s="142"/>
      <c r="E46" s="142"/>
      <c r="F46" s="142"/>
      <c r="G46" s="76"/>
      <c r="H46" s="40" t="s">
        <v>229</v>
      </c>
      <c r="I46" s="111">
        <f>ROUND(F44/J46,4)</f>
        <v>0.0477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121</v>
      </c>
      <c r="M47" s="56">
        <f>F40-'2022.2.15'!$F$40</f>
        <v>87</v>
      </c>
      <c r="N47" s="56">
        <f>F45-'2022.2.15'!$F$45</f>
        <v>800</v>
      </c>
      <c r="O47" s="56">
        <f>F44-'2022.2.15'!$F$44</f>
        <v>246</v>
      </c>
      <c r="P47" s="56">
        <f>F43-'2022.2.15'!$F$43</f>
        <v>0</v>
      </c>
    </row>
    <row r="48" spans="1:16">
      <c r="A48" s="79">
        <f>SUM(C11,E11,C12,E12)</f>
        <v>8</v>
      </c>
      <c r="B48" s="79">
        <f>SUM(C13,C14,E13,E14)</f>
        <v>7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100.09</v>
      </c>
      <c r="G48" s="76"/>
      <c r="H48" s="40" t="s">
        <v>231</v>
      </c>
      <c r="I48" s="111">
        <f>ROUND(E7/J48,4)</f>
        <v>0.1718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121</v>
      </c>
      <c r="B49" s="79">
        <f>M47</f>
        <v>87</v>
      </c>
      <c r="C49" s="79">
        <f>N47</f>
        <v>800</v>
      </c>
      <c r="D49" s="79">
        <f>O47</f>
        <v>246</v>
      </c>
      <c r="E49" s="79">
        <f>P47</f>
        <v>0</v>
      </c>
      <c r="F49" s="80">
        <f>J14</f>
        <v>1273.94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448</v>
      </c>
      <c r="B50" s="79">
        <f>M43</f>
        <v>407</v>
      </c>
      <c r="C50" s="79">
        <f>N43</f>
        <v>6120</v>
      </c>
      <c r="D50" s="79">
        <f>O43</f>
        <v>1608.2</v>
      </c>
      <c r="E50" s="79">
        <f>P43</f>
        <v>3212</v>
      </c>
      <c r="F50" s="80">
        <f>K7</f>
        <v>5342.5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04日自年初1月1日起完成产值3415.12万元，自开工累计完成产值15507.88万元，自开工占总产值90284.4万元的17.18%，100章临建完成6000.78万元，400章桥梁完成9507.1万元。已完成梁片预制888片，占设计量的15.02%；梁片安装696片，占设计量的11.77%；湿接缝10765米，占设计量的7.96%；防撞护栏3198.64米，占设计量的4.77%；桥面铺装3212平米，占设计量的0.79%。</v>
      </c>
      <c r="B51" s="83"/>
      <c r="C51" s="83"/>
      <c r="D51" s="83"/>
      <c r="E51" s="83"/>
      <c r="F51" s="84"/>
      <c r="I51" s="112"/>
    </row>
    <row r="52" ht="25.05" customHeight="1" spans="1:6">
      <c r="A52" s="129" t="s">
        <v>331</v>
      </c>
      <c r="B52" s="129"/>
      <c r="C52" s="129"/>
      <c r="D52" s="129"/>
      <c r="E52" s="129"/>
      <c r="F52" s="129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showZeros="0" view="pageBreakPreview" zoomScale="70" zoomScaleNormal="70" workbookViewId="0">
      <selection activeCell="G17" sqref="G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44625</v>
      </c>
      <c r="B3" s="12" t="s">
        <v>7</v>
      </c>
      <c r="C3" s="12">
        <v>0</v>
      </c>
      <c r="D3" s="12">
        <f>ROUND(D11+D12+D15+D16+D17+D13+D14,2)</f>
        <v>78.15</v>
      </c>
      <c r="E3" s="13">
        <f>ROUND(C5+D5,2)</f>
        <v>196.25</v>
      </c>
      <c r="F3" s="143" t="s">
        <v>344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118.1</v>
      </c>
      <c r="E4" s="13"/>
      <c r="F4" s="144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196.25</v>
      </c>
      <c r="E5" s="13"/>
      <c r="F5" s="144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3611.37</v>
      </c>
      <c r="E6" s="8">
        <f>ROUND(C6+D6,2)</f>
        <v>3611.37</v>
      </c>
      <c r="F6" s="144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9703.35</v>
      </c>
      <c r="E7" s="8">
        <f>ROUND(C7+D7,2)</f>
        <v>15704.13</v>
      </c>
      <c r="F7" s="144"/>
      <c r="G7" s="18"/>
      <c r="H7" s="22"/>
      <c r="I7" s="48">
        <f>210+C6</f>
        <v>210</v>
      </c>
      <c r="J7" s="48">
        <f>D6+1717.38</f>
        <v>5328.75</v>
      </c>
      <c r="K7" s="48">
        <f>J7+I7</f>
        <v>5538.75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44625</v>
      </c>
      <c r="B11" s="133" t="s">
        <v>172</v>
      </c>
      <c r="C11" s="33">
        <v>3</v>
      </c>
      <c r="D11" s="8">
        <v>23.07</v>
      </c>
      <c r="E11" s="33">
        <v>8</v>
      </c>
      <c r="F11" s="8">
        <v>61.83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2</v>
      </c>
      <c r="D12" s="8">
        <v>30.55</v>
      </c>
      <c r="E12" s="33">
        <v>3</v>
      </c>
      <c r="F12" s="8">
        <v>45.83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4</v>
      </c>
      <c r="F13" s="8">
        <v>0.648</v>
      </c>
      <c r="G13" s="10"/>
      <c r="H13" s="30"/>
      <c r="I13" s="35">
        <v>14233.94</v>
      </c>
      <c r="J13" s="35">
        <f>E7</f>
        <v>15704.13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1470.19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>
        <v>350</v>
      </c>
      <c r="F15" s="8">
        <v>9.54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>
        <v>264.96</v>
      </c>
      <c r="D16" s="8">
        <v>24.53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78.15</v>
      </c>
      <c r="D18" s="134"/>
      <c r="E18" s="25">
        <f>ROUND(F11+F12+F15+F16+F17+F13+F14,2)</f>
        <v>118.1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196.25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182</v>
      </c>
      <c r="M20" s="94">
        <f>F38-44</f>
        <v>54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19</v>
      </c>
      <c r="M21" s="94">
        <f>D38-81</f>
        <v>54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107</v>
      </c>
      <c r="M23" s="94">
        <f>F39-7</f>
        <v>79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55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5010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1431.56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3621.7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323</v>
      </c>
      <c r="D29" s="132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581</v>
      </c>
      <c r="D30" s="132" t="s">
        <v>77</v>
      </c>
      <c r="E30" s="12">
        <f>E39+F39</f>
        <v>451</v>
      </c>
      <c r="F30" s="12"/>
      <c r="G30" s="38"/>
    </row>
    <row r="31" spans="1:7">
      <c r="A31" s="35"/>
      <c r="B31" s="132" t="s">
        <v>78</v>
      </c>
      <c r="C31" s="12">
        <f>C32-C29-C30</f>
        <v>4876</v>
      </c>
      <c r="D31" s="132" t="s">
        <v>79</v>
      </c>
      <c r="E31" s="12">
        <f>E32-E29-E30</f>
        <v>5079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256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44616</v>
      </c>
      <c r="B36" s="54">
        <v>61.48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44617</v>
      </c>
      <c r="B37" s="54">
        <v>48.26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44618</v>
      </c>
      <c r="B38" s="54">
        <v>86.86</v>
      </c>
      <c r="C38" s="58">
        <v>188</v>
      </c>
      <c r="D38" s="58">
        <v>135</v>
      </c>
      <c r="E38" s="58">
        <v>483</v>
      </c>
      <c r="F38" s="58">
        <v>98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44619</v>
      </c>
      <c r="B39" s="54">
        <v>42.83</v>
      </c>
      <c r="C39" s="60">
        <v>130</v>
      </c>
      <c r="D39" s="60">
        <v>120</v>
      </c>
      <c r="E39" s="60">
        <v>365</v>
      </c>
      <c r="F39" s="60">
        <v>86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44620</v>
      </c>
      <c r="B40" s="62">
        <v>92.73</v>
      </c>
      <c r="C40" s="63" t="s">
        <v>182</v>
      </c>
      <c r="D40" s="64">
        <f>C38+D38+E38+F38</f>
        <v>904</v>
      </c>
      <c r="E40" s="65" t="s">
        <v>69</v>
      </c>
      <c r="F40" s="66">
        <f>C39+D39+E39+F39</f>
        <v>701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44621</v>
      </c>
      <c r="B41" s="54">
        <v>131.07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截止2022年03月05日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44622</v>
      </c>
      <c r="B42" s="54">
        <v>151.88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44623</v>
      </c>
      <c r="B43" s="54">
        <v>115.83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0.1529</v>
      </c>
      <c r="J43" s="35">
        <v>5913</v>
      </c>
      <c r="K43" s="36" t="s">
        <v>318</v>
      </c>
      <c r="L43" s="56">
        <f>L44+155</f>
        <v>464</v>
      </c>
      <c r="M43" s="56">
        <f>M44+171</f>
        <v>412</v>
      </c>
      <c r="N43" s="56">
        <f>N44+1460</f>
        <v>6470</v>
      </c>
      <c r="O43" s="56">
        <f>O44+441.6</f>
        <v>1873.16</v>
      </c>
      <c r="P43" s="56">
        <f>P44+0</f>
        <v>3212</v>
      </c>
      <c r="U43" s="4"/>
    </row>
    <row r="44" ht="15.6" spans="1:21">
      <c r="A44" s="53">
        <v>44624</v>
      </c>
      <c r="B44" s="54">
        <v>100.09</v>
      </c>
      <c r="C44" s="74" t="s">
        <v>229</v>
      </c>
      <c r="D44" s="74">
        <v>2184.4</v>
      </c>
      <c r="E44" s="74">
        <v>1279.2</v>
      </c>
      <c r="F44" s="74">
        <f t="shared" si="0"/>
        <v>3463.6</v>
      </c>
      <c r="G44" s="73"/>
      <c r="H44" s="40" t="s">
        <v>62</v>
      </c>
      <c r="I44" s="111">
        <f>ROUND(F40/J44,4)</f>
        <v>0.1186</v>
      </c>
      <c r="J44" s="35">
        <v>5913</v>
      </c>
      <c r="K44" s="36" t="s">
        <v>319</v>
      </c>
      <c r="L44" s="56">
        <f>SUM(L20:M21)</f>
        <v>309</v>
      </c>
      <c r="M44" s="56">
        <f>SUM(L23:M24)</f>
        <v>241</v>
      </c>
      <c r="N44" s="56">
        <f>L25</f>
        <v>5010</v>
      </c>
      <c r="O44" s="56">
        <f>L26</f>
        <v>1431.56</v>
      </c>
      <c r="P44" s="56">
        <f>L27</f>
        <v>3212</v>
      </c>
      <c r="U44" s="4"/>
    </row>
    <row r="45" ht="15.6" spans="1:21">
      <c r="A45" s="53">
        <v>44625</v>
      </c>
      <c r="B45" s="54">
        <v>196.25</v>
      </c>
      <c r="C45" s="74" t="s">
        <v>228</v>
      </c>
      <c r="D45" s="74">
        <v>5640</v>
      </c>
      <c r="E45" s="74">
        <v>5475</v>
      </c>
      <c r="F45" s="74">
        <f t="shared" si="0"/>
        <v>11115</v>
      </c>
      <c r="G45" s="75"/>
      <c r="H45" s="40" t="s">
        <v>228</v>
      </c>
      <c r="I45" s="111">
        <f>ROUND(F45/J45,4)</f>
        <v>0.0822</v>
      </c>
      <c r="J45" s="35">
        <v>135185</v>
      </c>
      <c r="K45" s="36" t="s">
        <v>320</v>
      </c>
      <c r="L45" s="56">
        <f>D40</f>
        <v>904</v>
      </c>
      <c r="M45" s="56">
        <f>F40</f>
        <v>701</v>
      </c>
      <c r="N45" s="56">
        <f>F45</f>
        <v>11115</v>
      </c>
      <c r="O45" s="56">
        <f>F44</f>
        <v>3463.6</v>
      </c>
      <c r="P45" s="56">
        <f>F43</f>
        <v>3212</v>
      </c>
      <c r="U45" s="4"/>
    </row>
    <row r="46" spans="1:16">
      <c r="A46" s="142" t="s">
        <v>340</v>
      </c>
      <c r="B46" s="142"/>
      <c r="C46" s="142"/>
      <c r="D46" s="142"/>
      <c r="E46" s="142"/>
      <c r="F46" s="142"/>
      <c r="G46" s="76"/>
      <c r="H46" s="40" t="s">
        <v>229</v>
      </c>
      <c r="I46" s="111">
        <f>ROUND(F44/J46,4)</f>
        <v>0.0516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137</v>
      </c>
      <c r="M47" s="56">
        <f>F40-'2022.2.15'!$F$40</f>
        <v>92</v>
      </c>
      <c r="N47" s="56">
        <f>F45-'2022.2.15'!$F$45</f>
        <v>1150</v>
      </c>
      <c r="O47" s="56">
        <f>F44-'2022.2.15'!$F$44</f>
        <v>510.96</v>
      </c>
      <c r="P47" s="56">
        <f>F43-'2022.2.15'!$F$43</f>
        <v>0</v>
      </c>
    </row>
    <row r="48" spans="1:16">
      <c r="A48" s="79">
        <f>SUM(C11,E11,C12,E12)</f>
        <v>16</v>
      </c>
      <c r="B48" s="79">
        <f>SUM(C13,C14,E13,E14)</f>
        <v>5</v>
      </c>
      <c r="C48" s="79">
        <f>C15+E15</f>
        <v>350</v>
      </c>
      <c r="D48" s="79">
        <f>C16+E16</f>
        <v>264.96</v>
      </c>
      <c r="E48" s="79">
        <f>C17+E17</f>
        <v>0</v>
      </c>
      <c r="F48" s="80">
        <f>E3</f>
        <v>196.25</v>
      </c>
      <c r="G48" s="76"/>
      <c r="H48" s="40" t="s">
        <v>231</v>
      </c>
      <c r="I48" s="111">
        <f>ROUND(E7/J48,4)</f>
        <v>0.1739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137</v>
      </c>
      <c r="B49" s="79">
        <f>M47</f>
        <v>92</v>
      </c>
      <c r="C49" s="79">
        <f>N47</f>
        <v>1150</v>
      </c>
      <c r="D49" s="79">
        <f>O47</f>
        <v>510.96</v>
      </c>
      <c r="E49" s="79">
        <f>P47</f>
        <v>0</v>
      </c>
      <c r="F49" s="80">
        <f>J14</f>
        <v>1470.19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464</v>
      </c>
      <c r="B50" s="79">
        <f>M43</f>
        <v>412</v>
      </c>
      <c r="C50" s="79">
        <f>N43</f>
        <v>6470</v>
      </c>
      <c r="D50" s="79">
        <f>O43</f>
        <v>1873.16</v>
      </c>
      <c r="E50" s="79">
        <f>P43</f>
        <v>3212</v>
      </c>
      <c r="F50" s="80">
        <f>K7</f>
        <v>5538.75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05日自年初1月1日起完成产值3611.37万元，自开工累计完成产值15704.13万元，自开工占总产值90284.4万元的17.39%，100章临建完成6000.78万元，400章桥梁完成9703.35万元。已完成梁片预制904片，占设计量的15.29%；梁片安装701片，占设计量的11.86%；湿接缝11115米，占设计量的8.22%；防撞护栏3463.6米，占设计量的5.16%；桥面铺装3212平米，占设计量的0.79%。</v>
      </c>
      <c r="B51" s="83"/>
      <c r="C51" s="83"/>
      <c r="D51" s="83"/>
      <c r="E51" s="83"/>
      <c r="F51" s="84"/>
      <c r="I51" s="112"/>
    </row>
    <row r="52" ht="25.05" customHeight="1" spans="1:6">
      <c r="A52" s="129" t="s">
        <v>331</v>
      </c>
      <c r="B52" s="129"/>
      <c r="C52" s="129"/>
      <c r="D52" s="129"/>
      <c r="E52" s="129"/>
      <c r="F52" s="129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showZeros="0" view="pageBreakPreview" zoomScale="70" zoomScaleNormal="70" topLeftCell="A14" workbookViewId="0">
      <selection activeCell="M51" sqref="M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44626</v>
      </c>
      <c r="B3" s="12" t="s">
        <v>7</v>
      </c>
      <c r="C3" s="12">
        <v>0</v>
      </c>
      <c r="D3" s="12">
        <f>ROUND(D11+D12+D15+D16+D17+D13+D14,2)</f>
        <v>38.39</v>
      </c>
      <c r="E3" s="13">
        <f>ROUND(C5+D5,2)</f>
        <v>136.47</v>
      </c>
      <c r="F3" s="143" t="s">
        <v>345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98.08</v>
      </c>
      <c r="E4" s="13"/>
      <c r="F4" s="144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136.47</v>
      </c>
      <c r="E5" s="13"/>
      <c r="F5" s="144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3747.84</v>
      </c>
      <c r="E6" s="8">
        <f>ROUND(C6+D6,2)</f>
        <v>3747.84</v>
      </c>
      <c r="F6" s="144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9839.82</v>
      </c>
      <c r="E7" s="8">
        <f>ROUND(C7+D7,2)</f>
        <v>15840.6</v>
      </c>
      <c r="F7" s="144"/>
      <c r="G7" s="18"/>
      <c r="H7" s="22"/>
      <c r="I7" s="48">
        <f>210+C6</f>
        <v>210</v>
      </c>
      <c r="J7" s="48">
        <f>D6+1717.38</f>
        <v>5465.22</v>
      </c>
      <c r="K7" s="48">
        <f>J7+I7</f>
        <v>5675.22</v>
      </c>
      <c r="L7" s="40"/>
      <c r="M7" s="40"/>
      <c r="N7" s="40"/>
      <c r="O7" s="92">
        <v>12082.43</v>
      </c>
      <c r="P7" s="92">
        <v>10165.33</v>
      </c>
    </row>
    <row r="8" ht="30" customHeight="1" spans="1:20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  <c r="R8"/>
      <c r="S8"/>
      <c r="T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44626</v>
      </c>
      <c r="B11" s="133" t="s">
        <v>172</v>
      </c>
      <c r="C11" s="33">
        <v>1</v>
      </c>
      <c r="D11" s="8">
        <v>7.82</v>
      </c>
      <c r="E11" s="33">
        <v>6</v>
      </c>
      <c r="F11" s="8">
        <v>46.56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20">
      <c r="A12" s="132"/>
      <c r="B12" s="32" t="s">
        <v>173</v>
      </c>
      <c r="C12" s="33">
        <v>2</v>
      </c>
      <c r="D12" s="8">
        <v>30.57</v>
      </c>
      <c r="E12" s="33">
        <v>2</v>
      </c>
      <c r="F12" s="8">
        <v>30.5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  <c r="T12"/>
    </row>
    <row r="13" ht="15" customHeight="1" spans="1:20">
      <c r="A13" s="132"/>
      <c r="B13" s="34" t="s">
        <v>169</v>
      </c>
      <c r="C13" s="33">
        <v>0</v>
      </c>
      <c r="D13" s="8"/>
      <c r="E13" s="33">
        <v>6</v>
      </c>
      <c r="F13" s="8">
        <v>0.972</v>
      </c>
      <c r="G13" s="10"/>
      <c r="H13" s="30"/>
      <c r="I13" s="35">
        <v>14233.94</v>
      </c>
      <c r="J13" s="35">
        <f>E7</f>
        <v>15840.6</v>
      </c>
      <c r="K13" s="35"/>
      <c r="L13" s="35"/>
      <c r="M13" s="35"/>
      <c r="N13" s="35"/>
      <c r="O13" s="35"/>
      <c r="P13" s="35"/>
      <c r="T13"/>
    </row>
    <row r="14" ht="15" customHeight="1" spans="1:20">
      <c r="A14" s="132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1606.66</v>
      </c>
      <c r="K14" s="48"/>
      <c r="L14" s="48"/>
      <c r="M14" s="48"/>
      <c r="N14" s="48"/>
      <c r="O14" s="48"/>
      <c r="P14" s="48"/>
      <c r="T14"/>
    </row>
    <row r="15" ht="15" customHeight="1" spans="1:20">
      <c r="A15" s="132"/>
      <c r="B15" s="34" t="s">
        <v>112</v>
      </c>
      <c r="C15" s="33"/>
      <c r="D15" s="8"/>
      <c r="E15" s="33">
        <v>250</v>
      </c>
      <c r="F15" s="8">
        <v>6.93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  <c r="T15"/>
    </row>
    <row r="16" ht="15" customHeight="1" spans="1:20">
      <c r="A16" s="132"/>
      <c r="B16" s="34" t="s">
        <v>113</v>
      </c>
      <c r="C16" s="33"/>
      <c r="D16" s="8"/>
      <c r="E16" s="33">
        <v>102.5</v>
      </c>
      <c r="F16" s="8">
        <v>13.12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  <c r="T16"/>
    </row>
    <row r="17" ht="15" customHeight="1" spans="1:20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  <c r="T17"/>
    </row>
    <row r="18" ht="15" customHeight="1" spans="1:20">
      <c r="A18" s="132"/>
      <c r="B18" s="8" t="s">
        <v>134</v>
      </c>
      <c r="C18" s="25">
        <f>ROUND(D11+D12+D15+D16+D17+D13+D14,2)</f>
        <v>38.39</v>
      </c>
      <c r="D18" s="134"/>
      <c r="E18" s="25">
        <f>ROUND(F11+F12+F15+F16+F17+F13+F14,2)</f>
        <v>98.08</v>
      </c>
      <c r="F18" s="134"/>
      <c r="G18" s="10"/>
      <c r="H18" s="52" t="s">
        <v>309</v>
      </c>
      <c r="I18" s="52"/>
      <c r="J18" s="52"/>
      <c r="K18" s="52" t="s">
        <v>310</v>
      </c>
      <c r="L18" s="52"/>
      <c r="M18" s="52"/>
      <c r="N18" s="52" t="s">
        <v>311</v>
      </c>
      <c r="O18" s="52"/>
      <c r="P18" s="52"/>
      <c r="Q18"/>
      <c r="R18"/>
      <c r="S18"/>
      <c r="T18"/>
    </row>
    <row r="19" ht="15" customHeight="1" spans="1:20">
      <c r="A19" s="132"/>
      <c r="B19" s="8" t="s">
        <v>5</v>
      </c>
      <c r="C19" s="6">
        <f>C18+E18</f>
        <v>136.47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246</v>
      </c>
      <c r="L19" s="36" t="s">
        <v>14</v>
      </c>
      <c r="M19" s="36" t="s">
        <v>15</v>
      </c>
      <c r="N19" s="36" t="s">
        <v>246</v>
      </c>
      <c r="O19" s="36" t="s">
        <v>14</v>
      </c>
      <c r="P19" s="36" t="s">
        <v>15</v>
      </c>
      <c r="Q19"/>
      <c r="R19"/>
      <c r="S19"/>
      <c r="T19"/>
    </row>
    <row r="20" spans="1:16">
      <c r="A20" s="12"/>
      <c r="B20" s="12"/>
      <c r="C20" s="12"/>
      <c r="D20" s="12"/>
      <c r="E20" s="12"/>
      <c r="F20" s="12"/>
      <c r="G20" s="38"/>
      <c r="H20" s="40" t="s">
        <v>33</v>
      </c>
      <c r="I20" s="94">
        <f>222+15*10-24</f>
        <v>348</v>
      </c>
      <c r="J20" s="94">
        <v>24</v>
      </c>
      <c r="K20" s="40" t="s">
        <v>33</v>
      </c>
      <c r="L20" s="94">
        <f>E38-301</f>
        <v>188</v>
      </c>
      <c r="M20" s="94">
        <f>F38-44</f>
        <v>56</v>
      </c>
      <c r="N20" s="40" t="s">
        <v>33</v>
      </c>
      <c r="O20" s="94">
        <v>0</v>
      </c>
      <c r="P20" s="94">
        <v>0</v>
      </c>
    </row>
    <row r="21" spans="1:16">
      <c r="A21" s="12"/>
      <c r="B21" s="12" t="s">
        <v>20</v>
      </c>
      <c r="C21" s="12"/>
      <c r="D21" s="12"/>
      <c r="E21" s="12"/>
      <c r="F21" s="12"/>
      <c r="G21" s="38"/>
      <c r="H21" s="40" t="s">
        <v>32</v>
      </c>
      <c r="I21" s="94">
        <f>142+4*15</f>
        <v>202</v>
      </c>
      <c r="J21" s="94">
        <f>52+9</f>
        <v>61</v>
      </c>
      <c r="K21" s="40" t="s">
        <v>32</v>
      </c>
      <c r="L21" s="94">
        <f>C38-169</f>
        <v>20</v>
      </c>
      <c r="M21" s="94">
        <f>D38-81</f>
        <v>56</v>
      </c>
      <c r="N21" s="40" t="s">
        <v>32</v>
      </c>
      <c r="O21" s="94">
        <v>0</v>
      </c>
      <c r="P21" s="94">
        <v>0</v>
      </c>
    </row>
    <row r="22" spans="1:16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136</v>
      </c>
      <c r="L22" s="36" t="s">
        <v>14</v>
      </c>
      <c r="M22" s="36" t="s">
        <v>15</v>
      </c>
      <c r="N22" s="36" t="s">
        <v>136</v>
      </c>
      <c r="O22" s="36" t="s">
        <v>14</v>
      </c>
      <c r="P22" s="36" t="s">
        <v>15</v>
      </c>
    </row>
    <row r="23" spans="1:16">
      <c r="A23" s="12"/>
      <c r="B23" s="12"/>
      <c r="C23" s="135"/>
      <c r="D23" s="135"/>
      <c r="E23" s="135"/>
      <c r="F23" s="135"/>
      <c r="G23" s="41"/>
      <c r="H23" s="40" t="s">
        <v>33</v>
      </c>
      <c r="I23" s="94">
        <f>245-6</f>
        <v>239</v>
      </c>
      <c r="J23" s="94">
        <v>0</v>
      </c>
      <c r="K23" s="40" t="s">
        <v>33</v>
      </c>
      <c r="L23" s="94">
        <f>E39-258</f>
        <v>113</v>
      </c>
      <c r="M23" s="94">
        <f>F39-7</f>
        <v>79</v>
      </c>
      <c r="N23" s="40" t="s">
        <v>33</v>
      </c>
      <c r="O23" s="94">
        <v>0</v>
      </c>
      <c r="P23" s="94">
        <v>0</v>
      </c>
    </row>
    <row r="24" spans="1:16">
      <c r="A24" s="12"/>
      <c r="B24" s="12"/>
      <c r="C24" s="135"/>
      <c r="D24" s="135"/>
      <c r="E24" s="135"/>
      <c r="F24" s="135"/>
      <c r="G24" s="41"/>
      <c r="H24" s="40" t="s">
        <v>32</v>
      </c>
      <c r="I24" s="94">
        <v>130</v>
      </c>
      <c r="J24" s="94">
        <v>70</v>
      </c>
      <c r="K24" s="40" t="s">
        <v>32</v>
      </c>
      <c r="L24" s="94">
        <f>C39-130</f>
        <v>0</v>
      </c>
      <c r="M24" s="94">
        <f>D39-65</f>
        <v>55</v>
      </c>
      <c r="N24" s="40" t="s">
        <v>32</v>
      </c>
      <c r="O24" s="94">
        <v>0</v>
      </c>
      <c r="P24" s="94">
        <v>0</v>
      </c>
    </row>
    <row r="25" spans="1:16">
      <c r="A25" s="12"/>
      <c r="B25" s="12"/>
      <c r="C25" s="135"/>
      <c r="D25" s="135"/>
      <c r="E25" s="135"/>
      <c r="F25" s="135"/>
      <c r="G25" s="41"/>
      <c r="H25" s="36" t="s">
        <v>228</v>
      </c>
      <c r="I25" s="145">
        <v>5645</v>
      </c>
      <c r="J25" s="146"/>
      <c r="K25" s="36" t="s">
        <v>228</v>
      </c>
      <c r="L25" s="145">
        <f>F45-6105</f>
        <v>5260</v>
      </c>
      <c r="M25" s="146"/>
      <c r="N25" s="36" t="s">
        <v>228</v>
      </c>
      <c r="O25" s="145">
        <v>0</v>
      </c>
      <c r="P25" s="146"/>
    </row>
    <row r="26" spans="1:17">
      <c r="A26" s="12"/>
      <c r="B26" s="12"/>
      <c r="C26" s="135"/>
      <c r="D26" s="135"/>
      <c r="E26" s="135"/>
      <c r="F26" s="135"/>
      <c r="G26" s="41"/>
      <c r="H26" s="36" t="s">
        <v>229</v>
      </c>
      <c r="I26" s="145">
        <v>2990.44</v>
      </c>
      <c r="J26" s="146"/>
      <c r="K26" s="36" t="s">
        <v>229</v>
      </c>
      <c r="L26" s="145">
        <f>F44-2032.04</f>
        <v>1534.06</v>
      </c>
      <c r="M26" s="146"/>
      <c r="N26" s="36" t="s">
        <v>229</v>
      </c>
      <c r="O26" s="145">
        <v>0</v>
      </c>
      <c r="P26" s="146"/>
      <c r="Q26" s="1"/>
    </row>
    <row r="27" spans="1:16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36" t="s">
        <v>230</v>
      </c>
      <c r="L27" s="94">
        <f>F43-0</f>
        <v>3212</v>
      </c>
      <c r="M27" s="94"/>
      <c r="N27" s="36" t="s">
        <v>230</v>
      </c>
      <c r="O27" s="94">
        <v>0</v>
      </c>
      <c r="P27" s="94"/>
    </row>
    <row r="28" spans="1:16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48" t="s">
        <v>5</v>
      </c>
      <c r="L28" s="48">
        <f>E7-O7</f>
        <v>3758.17</v>
      </c>
      <c r="M28" s="48"/>
      <c r="N28" s="48" t="s">
        <v>5</v>
      </c>
      <c r="O28" s="48"/>
      <c r="P28" s="48"/>
    </row>
    <row r="29" spans="1:16">
      <c r="A29" s="35"/>
      <c r="B29" s="132" t="s">
        <v>74</v>
      </c>
      <c r="C29" s="12">
        <f>C38+D38</f>
        <v>326</v>
      </c>
      <c r="D29" s="132" t="s">
        <v>75</v>
      </c>
      <c r="E29" s="12">
        <f>C39+D39</f>
        <v>250</v>
      </c>
      <c r="F29" s="12"/>
      <c r="G29" s="38"/>
      <c r="H29" s="36" t="s">
        <v>6</v>
      </c>
      <c r="I29" s="40" t="s">
        <v>312</v>
      </c>
      <c r="J29" s="40"/>
      <c r="K29" s="36" t="s">
        <v>6</v>
      </c>
      <c r="L29" s="40" t="s">
        <v>313</v>
      </c>
      <c r="M29" s="40"/>
      <c r="N29" s="36" t="s">
        <v>6</v>
      </c>
      <c r="O29" s="40"/>
      <c r="P29" s="40"/>
    </row>
    <row r="30" spans="1:7">
      <c r="A30" s="35"/>
      <c r="B30" s="132" t="s">
        <v>76</v>
      </c>
      <c r="C30" s="12">
        <f>E38+F38</f>
        <v>589</v>
      </c>
      <c r="D30" s="132" t="s">
        <v>77</v>
      </c>
      <c r="E30" s="12">
        <f>E39+F39</f>
        <v>457</v>
      </c>
      <c r="F30" s="12"/>
      <c r="G30" s="38"/>
    </row>
    <row r="31" spans="1:7">
      <c r="A31" s="35"/>
      <c r="B31" s="132" t="s">
        <v>78</v>
      </c>
      <c r="C31" s="12">
        <f>C32-C29-C30</f>
        <v>4865</v>
      </c>
      <c r="D31" s="132" t="s">
        <v>79</v>
      </c>
      <c r="E31" s="12">
        <f>E32-E29-E30</f>
        <v>5073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21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  <c r="U35" s="4"/>
    </row>
    <row r="36" ht="15.6" spans="1:21">
      <c r="A36" s="53">
        <v>44617</v>
      </c>
      <c r="B36" s="54">
        <v>48.26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/>
      <c r="U36" s="4"/>
    </row>
    <row r="37" ht="15.6" spans="1:21">
      <c r="A37" s="53">
        <v>44618</v>
      </c>
      <c r="B37" s="54">
        <v>86.86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/>
      <c r="U37" s="4"/>
    </row>
    <row r="38" ht="15.6" spans="1:21">
      <c r="A38" s="53">
        <v>44619</v>
      </c>
      <c r="B38" s="54">
        <v>42.83</v>
      </c>
      <c r="C38" s="58">
        <v>189</v>
      </c>
      <c r="D38" s="58">
        <v>137</v>
      </c>
      <c r="E38" s="58">
        <v>489</v>
      </c>
      <c r="F38" s="58">
        <v>100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  <c r="U38" s="4"/>
    </row>
    <row r="39" ht="15.6" spans="1:21">
      <c r="A39" s="53">
        <v>44620</v>
      </c>
      <c r="B39" s="54">
        <v>92.73</v>
      </c>
      <c r="C39" s="60">
        <v>130</v>
      </c>
      <c r="D39" s="60">
        <v>120</v>
      </c>
      <c r="E39" s="60">
        <v>371</v>
      </c>
      <c r="F39" s="60">
        <v>86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  <c r="U39" s="4"/>
    </row>
    <row r="40" ht="15.6" spans="1:21">
      <c r="A40" s="53">
        <v>44621</v>
      </c>
      <c r="B40" s="62">
        <v>131.07</v>
      </c>
      <c r="C40" s="63" t="s">
        <v>182</v>
      </c>
      <c r="D40" s="64">
        <f>C38+D38+E38+F38</f>
        <v>915</v>
      </c>
      <c r="E40" s="65" t="s">
        <v>69</v>
      </c>
      <c r="F40" s="66">
        <f>C39+D39+E39+F39</f>
        <v>707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44622</v>
      </c>
      <c r="B41" s="54">
        <v>151.88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截止2022年03月06日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44623</v>
      </c>
      <c r="B42" s="54">
        <v>115.83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44624</v>
      </c>
      <c r="B43" s="54">
        <v>100.09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0.1547</v>
      </c>
      <c r="J43" s="35">
        <v>5913</v>
      </c>
      <c r="K43" s="36" t="s">
        <v>318</v>
      </c>
      <c r="L43" s="56">
        <f>L44+155</f>
        <v>475</v>
      </c>
      <c r="M43" s="56">
        <f>M44+171</f>
        <v>418</v>
      </c>
      <c r="N43" s="56">
        <f>N44+1460</f>
        <v>6720</v>
      </c>
      <c r="O43" s="56">
        <f>O44+441.6</f>
        <v>1975.66</v>
      </c>
      <c r="P43" s="56">
        <f>P44+0</f>
        <v>3212</v>
      </c>
      <c r="U43" s="4"/>
    </row>
    <row r="44" ht="15.6" spans="1:21">
      <c r="A44" s="53">
        <v>44625</v>
      </c>
      <c r="B44" s="54">
        <v>196.25</v>
      </c>
      <c r="C44" s="74" t="s">
        <v>229</v>
      </c>
      <c r="D44" s="74">
        <v>2184.4</v>
      </c>
      <c r="E44" s="74">
        <v>1381.7</v>
      </c>
      <c r="F44" s="74">
        <f t="shared" si="0"/>
        <v>3566.1</v>
      </c>
      <c r="G44" s="73"/>
      <c r="H44" s="40" t="s">
        <v>62</v>
      </c>
      <c r="I44" s="111">
        <f>ROUND(F40/J44,4)</f>
        <v>0.1196</v>
      </c>
      <c r="J44" s="35">
        <v>5913</v>
      </c>
      <c r="K44" s="36" t="s">
        <v>319</v>
      </c>
      <c r="L44" s="56">
        <f>SUM(L20:M21)</f>
        <v>320</v>
      </c>
      <c r="M44" s="56">
        <f>SUM(L23:M24)</f>
        <v>247</v>
      </c>
      <c r="N44" s="56">
        <f>L25</f>
        <v>5260</v>
      </c>
      <c r="O44" s="56">
        <f>L26</f>
        <v>1534.06</v>
      </c>
      <c r="P44" s="56">
        <f>L27</f>
        <v>3212</v>
      </c>
      <c r="U44" s="4"/>
    </row>
    <row r="45" ht="15.6" spans="1:21">
      <c r="A45" s="53">
        <v>44626</v>
      </c>
      <c r="B45" s="54">
        <v>136.47</v>
      </c>
      <c r="C45" s="74" t="s">
        <v>228</v>
      </c>
      <c r="D45" s="74">
        <v>5640</v>
      </c>
      <c r="E45" s="74">
        <v>5725</v>
      </c>
      <c r="F45" s="74">
        <f t="shared" si="0"/>
        <v>11365</v>
      </c>
      <c r="G45" s="75"/>
      <c r="H45" s="40" t="s">
        <v>228</v>
      </c>
      <c r="I45" s="111">
        <f>ROUND(F45/J45,4)</f>
        <v>0.0841</v>
      </c>
      <c r="J45" s="35">
        <v>135185</v>
      </c>
      <c r="K45" s="36" t="s">
        <v>320</v>
      </c>
      <c r="L45" s="56">
        <f>D40</f>
        <v>915</v>
      </c>
      <c r="M45" s="56">
        <f>F40</f>
        <v>707</v>
      </c>
      <c r="N45" s="56">
        <f>F45</f>
        <v>11365</v>
      </c>
      <c r="O45" s="56">
        <f>F44</f>
        <v>3566.1</v>
      </c>
      <c r="P45" s="56">
        <f>F43</f>
        <v>3212</v>
      </c>
      <c r="U45" s="4"/>
    </row>
    <row r="46" spans="1:16">
      <c r="A46" s="142" t="s">
        <v>340</v>
      </c>
      <c r="B46" s="142"/>
      <c r="C46" s="142"/>
      <c r="D46" s="142"/>
      <c r="E46" s="142"/>
      <c r="F46" s="142"/>
      <c r="G46" s="76"/>
      <c r="H46" s="40" t="s">
        <v>229</v>
      </c>
      <c r="I46" s="111">
        <f>ROUND(F44/J46,4)</f>
        <v>0.0531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148</v>
      </c>
      <c r="M47" s="56">
        <f>F40-'2022.2.15'!$F$40</f>
        <v>98</v>
      </c>
      <c r="N47" s="56">
        <f>F45-'2022.2.15'!$F$45</f>
        <v>1400</v>
      </c>
      <c r="O47" s="56">
        <f>F44-'2022.2.15'!$F$44</f>
        <v>613.46</v>
      </c>
      <c r="P47" s="56">
        <f>F43-'2022.2.15'!$F$43</f>
        <v>0</v>
      </c>
    </row>
    <row r="48" spans="1:16">
      <c r="A48" s="79">
        <f>SUM(C11,E11,C12,E12)</f>
        <v>11</v>
      </c>
      <c r="B48" s="79">
        <f>SUM(C13,C14,E13,E14)</f>
        <v>6</v>
      </c>
      <c r="C48" s="79">
        <f>C15+E15</f>
        <v>250</v>
      </c>
      <c r="D48" s="79">
        <f>C16+E16</f>
        <v>102.5</v>
      </c>
      <c r="E48" s="79">
        <f>C17+E17</f>
        <v>0</v>
      </c>
      <c r="F48" s="80">
        <f>E3</f>
        <v>136.47</v>
      </c>
      <c r="G48" s="76"/>
      <c r="H48" s="40" t="s">
        <v>231</v>
      </c>
      <c r="I48" s="111">
        <f>ROUND(E7/J48,4)</f>
        <v>0.1755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148</v>
      </c>
      <c r="B49" s="79">
        <f>M47</f>
        <v>98</v>
      </c>
      <c r="C49" s="79">
        <f>N47</f>
        <v>1400</v>
      </c>
      <c r="D49" s="79">
        <f>O47</f>
        <v>613.46</v>
      </c>
      <c r="E49" s="79">
        <f>P47</f>
        <v>0</v>
      </c>
      <c r="F49" s="80">
        <f>J14</f>
        <v>1606.66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475</v>
      </c>
      <c r="B50" s="79">
        <f>M43</f>
        <v>418</v>
      </c>
      <c r="C50" s="79">
        <f>N43</f>
        <v>6720</v>
      </c>
      <c r="D50" s="79">
        <f>O43</f>
        <v>1975.66</v>
      </c>
      <c r="E50" s="79">
        <f>P43</f>
        <v>3212</v>
      </c>
      <c r="F50" s="80">
        <f>K7</f>
        <v>5675.22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06日自年初1月1日起完成产值3747.84万元，自开工累计完成产值15840.6万元，自开工占总产值90284.4万元的17.55%，100章临建完成6000.78万元，400章桥梁完成9839.82万元。已完成梁片预制915片，占设计量的15.47%；梁片安装707片，占设计量的11.96%；湿接缝11365米，占设计量的8.41%；防撞护栏3566.1米，占设计量的5.31%；桥面铺装3212平米，占设计量的0.79%。</v>
      </c>
      <c r="B51" s="83"/>
      <c r="C51" s="83"/>
      <c r="D51" s="83"/>
      <c r="E51" s="83"/>
      <c r="F51" s="84"/>
      <c r="I51" s="112"/>
    </row>
    <row r="52" ht="25.05" customHeight="1" spans="1:6">
      <c r="A52" s="129" t="s">
        <v>347</v>
      </c>
      <c r="B52" s="129"/>
      <c r="C52" s="129"/>
      <c r="D52" s="129"/>
      <c r="E52" s="129"/>
      <c r="F52" s="129"/>
    </row>
  </sheetData>
  <mergeCells count="49">
    <mergeCell ref="A1:F1"/>
    <mergeCell ref="A8:F8"/>
    <mergeCell ref="H8:P8"/>
    <mergeCell ref="C9:D9"/>
    <mergeCell ref="E9:F9"/>
    <mergeCell ref="C18:D18"/>
    <mergeCell ref="E18:F18"/>
    <mergeCell ref="H18:J18"/>
    <mergeCell ref="K18:M18"/>
    <mergeCell ref="N18:P18"/>
    <mergeCell ref="C19:F19"/>
    <mergeCell ref="I25:J25"/>
    <mergeCell ref="L25:M25"/>
    <mergeCell ref="O25:P25"/>
    <mergeCell ref="I26:J26"/>
    <mergeCell ref="L26:M26"/>
    <mergeCell ref="O26:P26"/>
    <mergeCell ref="I27:J27"/>
    <mergeCell ref="L27:M27"/>
    <mergeCell ref="O27:P27"/>
    <mergeCell ref="B28:C28"/>
    <mergeCell ref="D28:E28"/>
    <mergeCell ref="I28:J28"/>
    <mergeCell ref="L28:M28"/>
    <mergeCell ref="O28:P28"/>
    <mergeCell ref="I29:J29"/>
    <mergeCell ref="L29:M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A53:F5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I40" sqref="I40:P4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44627</v>
      </c>
      <c r="B3" s="12" t="s">
        <v>7</v>
      </c>
      <c r="C3" s="12">
        <v>0</v>
      </c>
      <c r="D3" s="12">
        <f>ROUND(D11+D12+D15+D16+D17+D13+D14,2)</f>
        <v>52.83</v>
      </c>
      <c r="E3" s="13">
        <f>ROUND(C5+D5,2)</f>
        <v>118.66</v>
      </c>
      <c r="F3" s="14" t="s">
        <v>348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65.83</v>
      </c>
      <c r="E4" s="13"/>
      <c r="F4" s="17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118.66</v>
      </c>
      <c r="E5" s="13"/>
      <c r="F5" s="17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3866.5</v>
      </c>
      <c r="E6" s="8">
        <f>ROUND(C6+D6,2)</f>
        <v>3866.5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9958.48</v>
      </c>
      <c r="E7" s="8">
        <f>ROUND(C7+D7,2)</f>
        <v>15959.26</v>
      </c>
      <c r="F7" s="17"/>
      <c r="G7" s="18"/>
      <c r="H7" s="22"/>
      <c r="I7" s="48">
        <f>210+C6</f>
        <v>210</v>
      </c>
      <c r="J7" s="48">
        <f>D6+1717.38</f>
        <v>5583.88</v>
      </c>
      <c r="K7" s="48">
        <f>J7+I7</f>
        <v>5793.88</v>
      </c>
      <c r="L7" s="40"/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44627</v>
      </c>
      <c r="B11" s="133" t="s">
        <v>172</v>
      </c>
      <c r="C11" s="33">
        <v>2</v>
      </c>
      <c r="D11" s="8">
        <v>15.41</v>
      </c>
      <c r="E11" s="33">
        <v>5</v>
      </c>
      <c r="F11" s="8">
        <v>38.37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32"/>
      <c r="B12" s="32" t="s">
        <v>173</v>
      </c>
      <c r="C12" s="33">
        <v>2</v>
      </c>
      <c r="D12" s="8">
        <v>30.52</v>
      </c>
      <c r="E12" s="33">
        <v>1</v>
      </c>
      <c r="F12" s="8">
        <v>15.24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32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15959.26</v>
      </c>
      <c r="K13" s="35"/>
      <c r="L13" s="35"/>
      <c r="M13" s="35"/>
      <c r="N13" s="35"/>
      <c r="O13" s="35"/>
      <c r="P13" s="35"/>
    </row>
    <row r="14" ht="15" customHeight="1" spans="1:16">
      <c r="A14" s="132"/>
      <c r="B14" s="34" t="s">
        <v>170</v>
      </c>
      <c r="C14" s="33">
        <v>1</v>
      </c>
      <c r="D14" s="8">
        <v>0.252</v>
      </c>
      <c r="E14" s="33">
        <v>2</v>
      </c>
      <c r="F14" s="8">
        <v>0.504</v>
      </c>
      <c r="G14" s="10"/>
      <c r="H14" s="30"/>
      <c r="I14" s="48">
        <v>699.51</v>
      </c>
      <c r="J14" s="48">
        <f>J13-I13</f>
        <v>1725.32</v>
      </c>
      <c r="K14" s="48"/>
      <c r="L14" s="48"/>
      <c r="M14" s="48"/>
      <c r="N14" s="48"/>
      <c r="O14" s="48"/>
      <c r="P14" s="48"/>
    </row>
    <row r="15" ht="15" customHeight="1" spans="1:16">
      <c r="A15" s="132"/>
      <c r="B15" s="34" t="s">
        <v>112</v>
      </c>
      <c r="C15" s="33">
        <v>160</v>
      </c>
      <c r="D15" s="8">
        <v>6.65</v>
      </c>
      <c r="E15" s="33">
        <v>300</v>
      </c>
      <c r="F15" s="8">
        <v>10.1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32"/>
      <c r="B18" s="8" t="s">
        <v>134</v>
      </c>
      <c r="C18" s="25">
        <f>ROUND(D11+D12+D15+D16+D17+D13+D14,2)</f>
        <v>52.83</v>
      </c>
      <c r="D18" s="134"/>
      <c r="E18" s="25">
        <f>ROUND(F11+F12+F15+F16+F17+F13+F14,2)</f>
        <v>65.83</v>
      </c>
      <c r="F18" s="134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32"/>
      <c r="B19" s="8" t="s">
        <v>5</v>
      </c>
      <c r="C19" s="6">
        <f>C18+E18</f>
        <v>118.66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22</v>
      </c>
      <c r="N20" s="94">
        <f>D38-81</f>
        <v>58</v>
      </c>
      <c r="O20" s="94">
        <v>0</v>
      </c>
      <c r="P20" s="94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193</v>
      </c>
      <c r="N21" s="94">
        <f>F38-44</f>
        <v>57</v>
      </c>
      <c r="O21" s="94">
        <v>0</v>
      </c>
      <c r="P21" s="94">
        <v>0</v>
      </c>
      <c r="Q21" s="4"/>
      <c r="R21" s="3"/>
      <c r="S21" s="3"/>
    </row>
    <row r="22" spans="1:19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56</v>
      </c>
      <c r="O23" s="94">
        <v>0</v>
      </c>
      <c r="P23" s="94">
        <v>0</v>
      </c>
      <c r="Q23" s="4"/>
      <c r="R23" s="3"/>
      <c r="S23" s="3"/>
    </row>
    <row r="24" spans="1:19">
      <c r="A24" s="12"/>
      <c r="B24" s="12"/>
      <c r="C24" s="135"/>
      <c r="D24" s="135"/>
      <c r="E24" s="135"/>
      <c r="F24" s="135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123</v>
      </c>
      <c r="N24" s="94">
        <f>F39-7</f>
        <v>81</v>
      </c>
      <c r="O24" s="94">
        <v>0</v>
      </c>
      <c r="P24" s="94">
        <v>0</v>
      </c>
      <c r="Q24" s="4"/>
      <c r="R24" s="3"/>
      <c r="S24" s="3"/>
    </row>
    <row r="25" spans="1:19">
      <c r="A25" s="12"/>
      <c r="B25" s="12"/>
      <c r="C25" s="135"/>
      <c r="D25" s="135"/>
      <c r="E25" s="135"/>
      <c r="F25" s="135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5720</v>
      </c>
      <c r="N25" s="94"/>
      <c r="O25" s="94">
        <v>0</v>
      </c>
      <c r="P25" s="94"/>
      <c r="Q25" s="4"/>
      <c r="R25" s="3"/>
      <c r="S25" s="3"/>
    </row>
    <row r="26" spans="1:19">
      <c r="A26" s="12"/>
      <c r="B26" s="12"/>
      <c r="C26" s="135"/>
      <c r="D26" s="135"/>
      <c r="E26" s="135"/>
      <c r="F26" s="135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1534.06</v>
      </c>
      <c r="N26" s="94"/>
      <c r="O26" s="94">
        <v>0</v>
      </c>
      <c r="P26" s="94"/>
      <c r="Q26" s="4"/>
      <c r="R26" s="3"/>
      <c r="S26" s="3"/>
    </row>
    <row r="27" spans="1:19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3212</v>
      </c>
      <c r="N27" s="94"/>
      <c r="O27" s="94">
        <v>0</v>
      </c>
      <c r="P27" s="94"/>
      <c r="Q27" s="4"/>
      <c r="R27" s="3"/>
      <c r="S27" s="3"/>
    </row>
    <row r="28" spans="1:19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3876.83</v>
      </c>
      <c r="N28" s="48"/>
      <c r="O28" s="48"/>
      <c r="P28" s="48"/>
      <c r="Q28" s="4"/>
      <c r="R28" s="3"/>
      <c r="S28" s="3"/>
    </row>
    <row r="29" spans="1:19">
      <c r="A29" s="35"/>
      <c r="B29" s="132" t="s">
        <v>74</v>
      </c>
      <c r="C29" s="12">
        <f>C38+D38</f>
        <v>330</v>
      </c>
      <c r="D29" s="132" t="s">
        <v>75</v>
      </c>
      <c r="E29" s="12">
        <f>C39+D39</f>
        <v>251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32" t="s">
        <v>76</v>
      </c>
      <c r="C30" s="12">
        <f>E38+F38</f>
        <v>595</v>
      </c>
      <c r="D30" s="132" t="s">
        <v>77</v>
      </c>
      <c r="E30" s="12">
        <f>E39+F39</f>
        <v>469</v>
      </c>
      <c r="F30" s="12"/>
      <c r="G30" s="38"/>
    </row>
    <row r="31" spans="1:7">
      <c r="A31" s="35"/>
      <c r="B31" s="132" t="s">
        <v>78</v>
      </c>
      <c r="C31" s="12">
        <f>C32-C29-C30</f>
        <v>4855</v>
      </c>
      <c r="D31" s="132" t="s">
        <v>79</v>
      </c>
      <c r="E31" s="12">
        <f>E32-E29-E30</f>
        <v>5060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44618</v>
      </c>
      <c r="B36" s="54">
        <v>86.86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44619</v>
      </c>
      <c r="B37" s="54">
        <v>42.83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44620</v>
      </c>
      <c r="B38" s="54">
        <v>92.73</v>
      </c>
      <c r="C38" s="58">
        <v>191</v>
      </c>
      <c r="D38" s="58">
        <v>139</v>
      </c>
      <c r="E38" s="58">
        <v>494</v>
      </c>
      <c r="F38" s="58">
        <v>101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44621</v>
      </c>
      <c r="B39" s="54">
        <v>131.07</v>
      </c>
      <c r="C39" s="60">
        <v>130</v>
      </c>
      <c r="D39" s="60">
        <v>121</v>
      </c>
      <c r="E39" s="60">
        <v>381</v>
      </c>
      <c r="F39" s="60">
        <v>88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44622</v>
      </c>
      <c r="B40" s="62">
        <v>151.88</v>
      </c>
      <c r="C40" s="63" t="s">
        <v>182</v>
      </c>
      <c r="D40" s="64">
        <f>C38+D38+E38+F38</f>
        <v>925</v>
      </c>
      <c r="E40" s="65" t="s">
        <v>69</v>
      </c>
      <c r="F40" s="66">
        <f>C39+D39+E39+F39</f>
        <v>720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44623</v>
      </c>
      <c r="B41" s="54">
        <v>115.83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截止2022年03月07日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44624</v>
      </c>
      <c r="B42" s="54">
        <v>100.09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44625</v>
      </c>
      <c r="B43" s="54">
        <v>196.25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0.1564</v>
      </c>
      <c r="J43" s="35">
        <v>5913</v>
      </c>
      <c r="K43" s="36" t="s">
        <v>318</v>
      </c>
      <c r="L43" s="56">
        <f>L44+155</f>
        <v>235</v>
      </c>
      <c r="M43" s="56">
        <f>M44+171</f>
        <v>227</v>
      </c>
      <c r="N43" s="56">
        <f>N44+1460</f>
        <v>7180</v>
      </c>
      <c r="O43" s="56">
        <f>O44+441.6</f>
        <v>1975.66</v>
      </c>
      <c r="P43" s="56">
        <f>P44+0</f>
        <v>3212</v>
      </c>
      <c r="U43" s="4"/>
    </row>
    <row r="44" ht="15.6" spans="1:21">
      <c r="A44" s="53">
        <v>44626</v>
      </c>
      <c r="B44" s="54">
        <v>136.47</v>
      </c>
      <c r="C44" s="74" t="s">
        <v>229</v>
      </c>
      <c r="D44" s="74">
        <v>2184.4</v>
      </c>
      <c r="E44" s="74">
        <v>1381.7</v>
      </c>
      <c r="F44" s="74">
        <f t="shared" si="0"/>
        <v>3566.1</v>
      </c>
      <c r="G44" s="73"/>
      <c r="H44" s="40" t="s">
        <v>62</v>
      </c>
      <c r="I44" s="111">
        <f>ROUND(F40/J44,4)</f>
        <v>0.1218</v>
      </c>
      <c r="J44" s="35">
        <v>5913</v>
      </c>
      <c r="K44" s="36" t="s">
        <v>319</v>
      </c>
      <c r="L44" s="56">
        <f>SUM(M20:N20)</f>
        <v>80</v>
      </c>
      <c r="M44" s="56">
        <f>SUM(M23:N23)</f>
        <v>56</v>
      </c>
      <c r="N44" s="56">
        <f>M25</f>
        <v>5720</v>
      </c>
      <c r="O44" s="56">
        <f>M26</f>
        <v>1534.06</v>
      </c>
      <c r="P44" s="56">
        <f>M27</f>
        <v>3212</v>
      </c>
      <c r="U44" s="4"/>
    </row>
    <row r="45" ht="15.6" spans="1:21">
      <c r="A45" s="53">
        <v>44627</v>
      </c>
      <c r="B45" s="54">
        <v>118.66</v>
      </c>
      <c r="C45" s="74" t="s">
        <v>228</v>
      </c>
      <c r="D45" s="74">
        <v>5800</v>
      </c>
      <c r="E45" s="74">
        <v>6025</v>
      </c>
      <c r="F45" s="74">
        <f t="shared" si="0"/>
        <v>11825</v>
      </c>
      <c r="G45" s="75"/>
      <c r="H45" s="40" t="s">
        <v>228</v>
      </c>
      <c r="I45" s="111">
        <f>ROUND(F45/J45,4)</f>
        <v>0.0875</v>
      </c>
      <c r="J45" s="35">
        <v>135185</v>
      </c>
      <c r="K45" s="36" t="s">
        <v>320</v>
      </c>
      <c r="L45" s="56">
        <f>D40</f>
        <v>925</v>
      </c>
      <c r="M45" s="56">
        <f>F40</f>
        <v>720</v>
      </c>
      <c r="N45" s="56">
        <f>F45</f>
        <v>11825</v>
      </c>
      <c r="O45" s="56">
        <f>F44</f>
        <v>3566.1</v>
      </c>
      <c r="P45" s="56">
        <f>F43</f>
        <v>3212</v>
      </c>
      <c r="U45" s="4"/>
    </row>
    <row r="46" spans="1:16">
      <c r="A46" s="142" t="s">
        <v>340</v>
      </c>
      <c r="B46" s="142"/>
      <c r="C46" s="142"/>
      <c r="D46" s="142"/>
      <c r="E46" s="142"/>
      <c r="F46" s="142"/>
      <c r="G46" s="76"/>
      <c r="H46" s="40" t="s">
        <v>229</v>
      </c>
      <c r="I46" s="111">
        <f>ROUND(F44/J46,4)</f>
        <v>0.0531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158</v>
      </c>
      <c r="M47" s="56">
        <f>F40-'2022.2.15'!$F$40</f>
        <v>111</v>
      </c>
      <c r="N47" s="56">
        <f>F45-'2022.2.15'!$F$45</f>
        <v>1860</v>
      </c>
      <c r="O47" s="56">
        <f>F44-'2022.2.15'!$F$44</f>
        <v>613.46</v>
      </c>
      <c r="P47" s="56">
        <f>F43-'2022.2.15'!$F$43</f>
        <v>0</v>
      </c>
    </row>
    <row r="48" spans="1:16">
      <c r="A48" s="79">
        <f>SUM(C11,E11,C12,E12)</f>
        <v>10</v>
      </c>
      <c r="B48" s="79">
        <f>SUM(C13,C14,E13,E14)</f>
        <v>13</v>
      </c>
      <c r="C48" s="79">
        <f>C15+E15</f>
        <v>460</v>
      </c>
      <c r="D48" s="79">
        <f>C16+E16</f>
        <v>0</v>
      </c>
      <c r="E48" s="79">
        <f>C17+E17</f>
        <v>0</v>
      </c>
      <c r="F48" s="80">
        <f>E3</f>
        <v>118.66</v>
      </c>
      <c r="G48" s="76"/>
      <c r="H48" s="40" t="s">
        <v>231</v>
      </c>
      <c r="I48" s="111">
        <f>ROUND(E7/J48,4)</f>
        <v>0.1768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158</v>
      </c>
      <c r="B49" s="79">
        <f>M47</f>
        <v>111</v>
      </c>
      <c r="C49" s="79">
        <f>N47</f>
        <v>1860</v>
      </c>
      <c r="D49" s="79">
        <f>O47</f>
        <v>613.46</v>
      </c>
      <c r="E49" s="79">
        <f>P47</f>
        <v>0</v>
      </c>
      <c r="F49" s="80">
        <f>J14</f>
        <v>1725.32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235</v>
      </c>
      <c r="B50" s="79">
        <f>M43</f>
        <v>227</v>
      </c>
      <c r="C50" s="79">
        <f>N43</f>
        <v>7180</v>
      </c>
      <c r="D50" s="79">
        <f>O43</f>
        <v>1975.66</v>
      </c>
      <c r="E50" s="79">
        <f>P43</f>
        <v>3212</v>
      </c>
      <c r="F50" s="80">
        <f>K7</f>
        <v>5793.88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07日自年初1月1日起完成产值3866.5万元，自开工累计完成产值15959.26万元，自开工占总产值90284.4万元的17.68%，100章临建完成6000.78万元，400章桥梁完成9958.48万元。已完成梁片预制925片，占设计量的15.64%；梁片安装720片，占设计量的12.18%；湿接缝11825米，占设计量的8.75%；防撞护栏3566.1米，占设计量的5.31%；桥面铺装3212平米，占设计量的0.79%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347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44628</v>
      </c>
      <c r="B3" s="12" t="s">
        <v>7</v>
      </c>
      <c r="C3" s="12">
        <v>0</v>
      </c>
      <c r="D3" s="12">
        <f>ROUND(D11+D12+D15+D16+D17+D13+D14,2)</f>
        <v>55.94</v>
      </c>
      <c r="E3" s="13">
        <f>ROUND(C5+D5,2)</f>
        <v>118.67</v>
      </c>
      <c r="F3" s="14" t="s">
        <v>370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62.73</v>
      </c>
      <c r="E4" s="13"/>
      <c r="F4" s="17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118.67</v>
      </c>
      <c r="E5" s="13"/>
      <c r="F5" s="17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3985.17</v>
      </c>
      <c r="E6" s="8">
        <f>ROUND(C6+D6,2)</f>
        <v>3985.17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10077.15</v>
      </c>
      <c r="E7" s="8">
        <f>ROUND(C7+D7,2)</f>
        <v>16077.93</v>
      </c>
      <c r="F7" s="17"/>
      <c r="G7" s="18"/>
      <c r="H7" s="22"/>
      <c r="I7" s="48">
        <f>210+C6</f>
        <v>210</v>
      </c>
      <c r="J7" s="48">
        <f>D6+1717.38</f>
        <v>5702.55</v>
      </c>
      <c r="K7" s="48">
        <f>J7+I7</f>
        <v>5912.55</v>
      </c>
      <c r="L7" s="40"/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44628</v>
      </c>
      <c r="B11" s="133" t="s">
        <v>172</v>
      </c>
      <c r="C11" s="33">
        <v>1</v>
      </c>
      <c r="D11" s="8">
        <v>7.62</v>
      </c>
      <c r="E11" s="33">
        <v>6</v>
      </c>
      <c r="F11" s="8">
        <v>46.19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32"/>
      <c r="B12" s="32" t="s">
        <v>173</v>
      </c>
      <c r="C12" s="33">
        <v>2</v>
      </c>
      <c r="D12" s="8">
        <v>30.52</v>
      </c>
      <c r="E12" s="33">
        <v>1</v>
      </c>
      <c r="F12" s="8">
        <v>15.23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32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16077.93</v>
      </c>
      <c r="K13" s="35"/>
      <c r="L13" s="35"/>
      <c r="M13" s="35"/>
      <c r="N13" s="35"/>
      <c r="O13" s="35"/>
      <c r="P13" s="35"/>
    </row>
    <row r="14" ht="15" customHeight="1" spans="1:16">
      <c r="A14" s="132"/>
      <c r="B14" s="34" t="s">
        <v>170</v>
      </c>
      <c r="C14" s="33">
        <v>4</v>
      </c>
      <c r="D14" s="8">
        <v>1.008</v>
      </c>
      <c r="E14" s="33">
        <v>2</v>
      </c>
      <c r="F14" s="8">
        <v>0.504</v>
      </c>
      <c r="G14" s="10"/>
      <c r="H14" s="30"/>
      <c r="I14" s="48">
        <v>699.51</v>
      </c>
      <c r="J14" s="48">
        <f>J13-I13</f>
        <v>1843.99</v>
      </c>
      <c r="K14" s="48"/>
      <c r="L14" s="48"/>
      <c r="M14" s="48"/>
      <c r="N14" s="48"/>
      <c r="O14" s="48"/>
      <c r="P14" s="48"/>
    </row>
    <row r="15" ht="15" customHeight="1" spans="1:16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32"/>
      <c r="B16" s="34" t="s">
        <v>113</v>
      </c>
      <c r="C16" s="33">
        <v>156.16</v>
      </c>
      <c r="D16" s="8">
        <v>16.79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32"/>
      <c r="B18" s="8" t="s">
        <v>134</v>
      </c>
      <c r="C18" s="25">
        <f>ROUND(D11+D12+D15+D16+D17+D13+D14,2)</f>
        <v>55.94</v>
      </c>
      <c r="D18" s="134"/>
      <c r="E18" s="25">
        <f>ROUND(F11+F12+F15+F16+F17+F13+F14,2)</f>
        <v>62.73</v>
      </c>
      <c r="F18" s="134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32"/>
      <c r="B19" s="8" t="s">
        <v>5</v>
      </c>
      <c r="C19" s="6">
        <f>C18+E18</f>
        <v>118.67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23</v>
      </c>
      <c r="N20" s="94">
        <f>D38-81</f>
        <v>60</v>
      </c>
      <c r="O20" s="94">
        <v>0</v>
      </c>
      <c r="P20" s="94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199</v>
      </c>
      <c r="N21" s="94">
        <f>F38-44</f>
        <v>58</v>
      </c>
      <c r="O21" s="94">
        <v>0</v>
      </c>
      <c r="P21" s="94">
        <v>0</v>
      </c>
      <c r="Q21" s="4"/>
      <c r="R21" s="3"/>
      <c r="S21" s="3"/>
    </row>
    <row r="22" spans="1:19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60</v>
      </c>
      <c r="O23" s="94">
        <v>0</v>
      </c>
      <c r="P23" s="94">
        <v>0</v>
      </c>
      <c r="Q23" s="4"/>
      <c r="R23" s="3"/>
      <c r="S23" s="3"/>
    </row>
    <row r="24" spans="1:19">
      <c r="A24" s="12"/>
      <c r="B24" s="12"/>
      <c r="C24" s="135"/>
      <c r="D24" s="135"/>
      <c r="E24" s="135"/>
      <c r="F24" s="135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128</v>
      </c>
      <c r="N24" s="94">
        <f>F39-7</f>
        <v>83</v>
      </c>
      <c r="O24" s="94">
        <v>0</v>
      </c>
      <c r="P24" s="94">
        <v>0</v>
      </c>
      <c r="Q24" s="4"/>
      <c r="R24" s="3"/>
      <c r="S24" s="3"/>
    </row>
    <row r="25" spans="1:19">
      <c r="A25" s="12"/>
      <c r="B25" s="12"/>
      <c r="C25" s="135"/>
      <c r="D25" s="135"/>
      <c r="E25" s="135"/>
      <c r="F25" s="135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5720</v>
      </c>
      <c r="N25" s="94"/>
      <c r="O25" s="94">
        <v>0</v>
      </c>
      <c r="P25" s="94"/>
      <c r="Q25" s="4"/>
      <c r="R25" s="3"/>
      <c r="S25" s="3"/>
    </row>
    <row r="26" spans="1:19">
      <c r="A26" s="12"/>
      <c r="B26" s="12"/>
      <c r="C26" s="135"/>
      <c r="D26" s="135"/>
      <c r="E26" s="135"/>
      <c r="F26" s="135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1690.22</v>
      </c>
      <c r="N26" s="94"/>
      <c r="O26" s="94">
        <v>0</v>
      </c>
      <c r="P26" s="94"/>
      <c r="Q26" s="4"/>
      <c r="R26" s="3"/>
      <c r="S26" s="3"/>
    </row>
    <row r="27" spans="1:19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3212</v>
      </c>
      <c r="N27" s="94"/>
      <c r="O27" s="94">
        <v>0</v>
      </c>
      <c r="P27" s="94"/>
      <c r="Q27" s="4"/>
      <c r="R27" s="3"/>
      <c r="S27" s="3"/>
    </row>
    <row r="28" spans="1:19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3995.5</v>
      </c>
      <c r="N28" s="48"/>
      <c r="O28" s="48"/>
      <c r="P28" s="48"/>
      <c r="Q28" s="4"/>
      <c r="R28" s="3"/>
      <c r="S28" s="3"/>
    </row>
    <row r="29" spans="1:19">
      <c r="A29" s="35"/>
      <c r="B29" s="132" t="s">
        <v>74</v>
      </c>
      <c r="C29" s="12">
        <f>C38+D38</f>
        <v>333</v>
      </c>
      <c r="D29" s="132" t="s">
        <v>75</v>
      </c>
      <c r="E29" s="12">
        <f>C39+D39</f>
        <v>255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32" t="s">
        <v>76</v>
      </c>
      <c r="C30" s="12">
        <f>E38+F38</f>
        <v>602</v>
      </c>
      <c r="D30" s="132" t="s">
        <v>77</v>
      </c>
      <c r="E30" s="12">
        <f>E39+F39</f>
        <v>476</v>
      </c>
      <c r="F30" s="12"/>
      <c r="G30" s="38"/>
    </row>
    <row r="31" spans="1:7">
      <c r="A31" s="35"/>
      <c r="B31" s="132" t="s">
        <v>78</v>
      </c>
      <c r="C31" s="12">
        <f>C32-C29-C30</f>
        <v>4845</v>
      </c>
      <c r="D31" s="132" t="s">
        <v>79</v>
      </c>
      <c r="E31" s="12">
        <f>E32-E29-E30</f>
        <v>5049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44619</v>
      </c>
      <c r="B36" s="54">
        <v>42.83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44620</v>
      </c>
      <c r="B37" s="54">
        <v>92.73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44621</v>
      </c>
      <c r="B38" s="54">
        <v>131.07</v>
      </c>
      <c r="C38" s="58">
        <v>192</v>
      </c>
      <c r="D38" s="58">
        <v>141</v>
      </c>
      <c r="E38" s="58">
        <v>500</v>
      </c>
      <c r="F38" s="58">
        <v>102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44622</v>
      </c>
      <c r="B39" s="54">
        <v>151.88</v>
      </c>
      <c r="C39" s="60">
        <v>130</v>
      </c>
      <c r="D39" s="60">
        <v>125</v>
      </c>
      <c r="E39" s="60">
        <v>386</v>
      </c>
      <c r="F39" s="60">
        <v>90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44623</v>
      </c>
      <c r="B40" s="62">
        <v>115.83</v>
      </c>
      <c r="C40" s="63" t="s">
        <v>182</v>
      </c>
      <c r="D40" s="64">
        <f>C38+D38+E38+F38</f>
        <v>935</v>
      </c>
      <c r="E40" s="65" t="s">
        <v>69</v>
      </c>
      <c r="F40" s="66">
        <f>C39+D39+E39+F39</f>
        <v>731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44624</v>
      </c>
      <c r="B41" s="54">
        <v>100.09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截止2022年03月08日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44625</v>
      </c>
      <c r="B42" s="54">
        <v>196.25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44626</v>
      </c>
      <c r="B43" s="54">
        <v>136.47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0.1581</v>
      </c>
      <c r="J43" s="35">
        <v>5913</v>
      </c>
      <c r="K43" s="36" t="s">
        <v>318</v>
      </c>
      <c r="L43" s="56">
        <f>L44+155</f>
        <v>238</v>
      </c>
      <c r="M43" s="56">
        <f>M44+171</f>
        <v>231</v>
      </c>
      <c r="N43" s="56">
        <f>N44+1460</f>
        <v>7180</v>
      </c>
      <c r="O43" s="56">
        <f>O44+441.6</f>
        <v>2131.82</v>
      </c>
      <c r="P43" s="56">
        <f>P44+0</f>
        <v>3212</v>
      </c>
      <c r="U43" s="4"/>
    </row>
    <row r="44" ht="15.6" spans="1:21">
      <c r="A44" s="53">
        <v>44627</v>
      </c>
      <c r="B44" s="54">
        <v>118.66</v>
      </c>
      <c r="C44" s="74" t="s">
        <v>229</v>
      </c>
      <c r="D44" s="74">
        <v>2340.56</v>
      </c>
      <c r="E44" s="74">
        <v>1381.7</v>
      </c>
      <c r="F44" s="74">
        <f t="shared" si="0"/>
        <v>3722.26</v>
      </c>
      <c r="G44" s="73"/>
      <c r="H44" s="40" t="s">
        <v>62</v>
      </c>
      <c r="I44" s="111">
        <f>ROUND(F40/J44,4)</f>
        <v>0.1236</v>
      </c>
      <c r="J44" s="35">
        <v>5913</v>
      </c>
      <c r="K44" s="36" t="s">
        <v>319</v>
      </c>
      <c r="L44" s="56">
        <f>SUM(M20:N20)</f>
        <v>83</v>
      </c>
      <c r="M44" s="56">
        <f>SUM(M23:N23)</f>
        <v>60</v>
      </c>
      <c r="N44" s="56">
        <f>M25</f>
        <v>5720</v>
      </c>
      <c r="O44" s="56">
        <f>M26</f>
        <v>1690.22</v>
      </c>
      <c r="P44" s="56">
        <f>M27</f>
        <v>3212</v>
      </c>
      <c r="U44" s="4"/>
    </row>
    <row r="45" ht="15.6" spans="1:21">
      <c r="A45" s="53">
        <v>44628</v>
      </c>
      <c r="B45" s="54">
        <v>118.67</v>
      </c>
      <c r="C45" s="74" t="s">
        <v>228</v>
      </c>
      <c r="D45" s="74">
        <v>5800</v>
      </c>
      <c r="E45" s="74">
        <v>6025</v>
      </c>
      <c r="F45" s="74">
        <f t="shared" si="0"/>
        <v>11825</v>
      </c>
      <c r="G45" s="75"/>
      <c r="H45" s="40" t="s">
        <v>228</v>
      </c>
      <c r="I45" s="111">
        <f>ROUND(F45/J45,4)</f>
        <v>0.0875</v>
      </c>
      <c r="J45" s="35">
        <v>135185</v>
      </c>
      <c r="K45" s="36" t="s">
        <v>320</v>
      </c>
      <c r="L45" s="56">
        <f>D40</f>
        <v>935</v>
      </c>
      <c r="M45" s="56">
        <f>F40</f>
        <v>731</v>
      </c>
      <c r="N45" s="56">
        <f>F45</f>
        <v>11825</v>
      </c>
      <c r="O45" s="56">
        <f>F44</f>
        <v>3722.26</v>
      </c>
      <c r="P45" s="56">
        <f>F43</f>
        <v>3212</v>
      </c>
      <c r="U45" s="4"/>
    </row>
    <row r="46" spans="1:16">
      <c r="A46" s="142" t="s">
        <v>340</v>
      </c>
      <c r="B46" s="142"/>
      <c r="C46" s="142"/>
      <c r="D46" s="142"/>
      <c r="E46" s="142"/>
      <c r="F46" s="142"/>
      <c r="G46" s="76"/>
      <c r="H46" s="40" t="s">
        <v>229</v>
      </c>
      <c r="I46" s="111">
        <f>ROUND(F44/J46,4)</f>
        <v>0.0555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168</v>
      </c>
      <c r="M47" s="56">
        <f>F40-'2022.2.15'!$F$40</f>
        <v>122</v>
      </c>
      <c r="N47" s="56">
        <f>F45-'2022.2.15'!$F$45</f>
        <v>1860</v>
      </c>
      <c r="O47" s="56">
        <f>F44-'2022.2.15'!$F$44</f>
        <v>769.62</v>
      </c>
      <c r="P47" s="56">
        <f>F43-'2022.2.15'!$F$43</f>
        <v>0</v>
      </c>
    </row>
    <row r="48" spans="1:16">
      <c r="A48" s="79">
        <f>SUM(C11,E11,C12,E12)</f>
        <v>10</v>
      </c>
      <c r="B48" s="79">
        <f>SUM(C13,C14,E13,E14)</f>
        <v>11</v>
      </c>
      <c r="C48" s="79">
        <f>C15+E15</f>
        <v>0</v>
      </c>
      <c r="D48" s="79">
        <f>C16+E16</f>
        <v>156.16</v>
      </c>
      <c r="E48" s="79">
        <f>C17+E17</f>
        <v>0</v>
      </c>
      <c r="F48" s="80">
        <f>E3</f>
        <v>118.67</v>
      </c>
      <c r="G48" s="76"/>
      <c r="H48" s="40" t="s">
        <v>231</v>
      </c>
      <c r="I48" s="111">
        <f>ROUND(E7/J48,4)</f>
        <v>0.1781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168</v>
      </c>
      <c r="B49" s="79">
        <f>M47</f>
        <v>122</v>
      </c>
      <c r="C49" s="79">
        <f>N47</f>
        <v>1860</v>
      </c>
      <c r="D49" s="79">
        <f>O47</f>
        <v>769.62</v>
      </c>
      <c r="E49" s="79">
        <f>P47</f>
        <v>0</v>
      </c>
      <c r="F49" s="80">
        <f>J14</f>
        <v>1843.99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238</v>
      </c>
      <c r="B50" s="79">
        <f>M43</f>
        <v>231</v>
      </c>
      <c r="C50" s="79">
        <f>N43</f>
        <v>7180</v>
      </c>
      <c r="D50" s="79">
        <f>O43</f>
        <v>2131.82</v>
      </c>
      <c r="E50" s="79">
        <f>P43</f>
        <v>3212</v>
      </c>
      <c r="F50" s="80">
        <f>K7</f>
        <v>5912.55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08日自年初1月1日起完成产值3985.17万元，自开工累计完成产值16077.93万元，自开工占总产值90284.4万元的17.81%，100章临建完成6000.78万元，400章桥梁完成10077.15万元。已完成梁片预制935片，占设计量的15.81%；梁片安装731片，占设计量的12.36%；湿接缝11825米，占设计量的8.75%；防撞护栏3722.26米，占设计量的5.55%；桥面铺装3212平米，占设计量的0.79%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347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K40"/>
  <sheetViews>
    <sheetView workbookViewId="0">
      <selection activeCell="E27" sqref="E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44477</v>
      </c>
      <c r="B3" s="157" t="s">
        <v>7</v>
      </c>
      <c r="C3" s="157">
        <v>1</v>
      </c>
      <c r="D3" s="157">
        <f>D11+F11</f>
        <v>0.65</v>
      </c>
      <c r="E3" s="250">
        <f>C5+D5</f>
        <v>1.65</v>
      </c>
      <c r="F3" s="243" t="s">
        <v>39</v>
      </c>
    </row>
    <row r="4" ht="15" customHeight="1" spans="1:6">
      <c r="A4" s="157"/>
      <c r="B4" s="157" t="s">
        <v>9</v>
      </c>
      <c r="C4" s="157">
        <v>0</v>
      </c>
      <c r="D4" s="157">
        <f>D12+F12</f>
        <v>0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1</v>
      </c>
      <c r="D5" s="157">
        <f>SUM(D3:D4)</f>
        <v>0.65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5457.78</v>
      </c>
      <c r="D6" s="258">
        <v>368.92</v>
      </c>
      <c r="E6" s="239">
        <f>C6+D6</f>
        <v>5826.7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5457.78</v>
      </c>
      <c r="D7" s="258">
        <v>368.92</v>
      </c>
      <c r="E7" s="239">
        <f>C7+D7</f>
        <v>5826.7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44477</v>
      </c>
      <c r="B11" s="157" t="s">
        <v>7</v>
      </c>
      <c r="C11" s="247">
        <v>0</v>
      </c>
      <c r="D11" s="248">
        <v>0.65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0</v>
      </c>
      <c r="D12" s="248">
        <v>0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0</v>
      </c>
      <c r="D13" s="248">
        <f>ROUND(D11+D12,2)</f>
        <v>0.65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0.65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44468</v>
      </c>
      <c r="B31" s="235">
        <v>33.25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44469</v>
      </c>
      <c r="B32" s="235">
        <v>8.82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44470</v>
      </c>
      <c r="B33" s="235">
        <v>24.1</v>
      </c>
      <c r="C33" s="35">
        <v>23</v>
      </c>
      <c r="D33" s="35">
        <v>6</v>
      </c>
      <c r="E33" s="35">
        <v>13</v>
      </c>
      <c r="F33" s="35">
        <v>0</v>
      </c>
    </row>
    <row r="34" ht="15.6" spans="1:6">
      <c r="A34" s="53">
        <v>44471</v>
      </c>
      <c r="B34" s="235">
        <v>17.46</v>
      </c>
      <c r="C34" s="35"/>
      <c r="D34" s="35"/>
      <c r="E34" s="35">
        <v>0</v>
      </c>
      <c r="F34" s="35">
        <v>38482</v>
      </c>
    </row>
    <row r="35" ht="15.6" spans="1:6">
      <c r="A35" s="53">
        <v>44472</v>
      </c>
      <c r="B35" s="235">
        <v>31.74</v>
      </c>
      <c r="C35" s="35"/>
      <c r="D35" s="35"/>
      <c r="E35" s="35"/>
      <c r="F35" s="35"/>
    </row>
    <row r="36" ht="15.6" spans="1:6">
      <c r="A36" s="53">
        <v>44473</v>
      </c>
      <c r="B36" s="235">
        <v>2</v>
      </c>
      <c r="C36" s="35"/>
      <c r="D36" s="35"/>
      <c r="E36" s="35"/>
      <c r="F36" s="35"/>
    </row>
    <row r="37" ht="15.6" spans="1:6">
      <c r="A37" s="53">
        <v>44474</v>
      </c>
      <c r="B37" s="235">
        <v>33.56</v>
      </c>
      <c r="C37" s="35"/>
      <c r="D37" s="35"/>
      <c r="E37" s="35"/>
      <c r="F37" s="35"/>
    </row>
    <row r="38" ht="15.6" spans="1:6">
      <c r="A38" s="53">
        <v>44475</v>
      </c>
      <c r="B38" s="235">
        <v>23.1</v>
      </c>
      <c r="C38" s="35"/>
      <c r="D38" s="35"/>
      <c r="E38" s="35"/>
      <c r="F38" s="35"/>
    </row>
    <row r="39" ht="15.6" spans="1:6">
      <c r="A39" s="53">
        <v>44476</v>
      </c>
      <c r="B39" s="235">
        <v>7.64</v>
      </c>
      <c r="C39" s="35"/>
      <c r="D39" s="35"/>
      <c r="E39" s="35"/>
      <c r="F39" s="35"/>
    </row>
    <row r="40" ht="15.6" spans="1:6">
      <c r="A40" s="53">
        <v>44477</v>
      </c>
      <c r="B40" s="235">
        <v>1.65</v>
      </c>
      <c r="C40" s="104">
        <f>C33+D33+E33+F33</f>
        <v>42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ignoredErrors>
    <ignoredError sqref="D13:E13" formula="1"/>
  </ignoredErrors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44629</v>
      </c>
      <c r="B3" s="12" t="s">
        <v>7</v>
      </c>
      <c r="C3" s="12">
        <v>0</v>
      </c>
      <c r="D3" s="12">
        <f>ROUND(D11+D12+D15+D16+D17+D13+D14,2)</f>
        <v>45.17</v>
      </c>
      <c r="E3" s="13">
        <f>ROUND(C5+D5,2)</f>
        <v>123.6</v>
      </c>
      <c r="F3" s="14" t="s">
        <v>371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78.43</v>
      </c>
      <c r="E4" s="13"/>
      <c r="F4" s="17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123.6</v>
      </c>
      <c r="E5" s="13"/>
      <c r="F5" s="17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4108.77</v>
      </c>
      <c r="E6" s="8">
        <f>ROUND(C6+D6,2)</f>
        <v>4108.77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10200.75</v>
      </c>
      <c r="E7" s="8">
        <f>ROUND(C7+D7,2)</f>
        <v>16201.53</v>
      </c>
      <c r="F7" s="17"/>
      <c r="G7" s="18"/>
      <c r="H7" s="22"/>
      <c r="I7" s="48">
        <f>210+C6</f>
        <v>210</v>
      </c>
      <c r="J7" s="48">
        <f>D6+1717.38</f>
        <v>5826.15</v>
      </c>
      <c r="K7" s="48">
        <f>J7+I7</f>
        <v>6036.15</v>
      </c>
      <c r="L7" s="40"/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44629</v>
      </c>
      <c r="B11" s="133" t="s">
        <v>172</v>
      </c>
      <c r="C11" s="33">
        <v>1</v>
      </c>
      <c r="D11" s="8">
        <v>7.8</v>
      </c>
      <c r="E11" s="33">
        <v>6</v>
      </c>
      <c r="F11" s="8">
        <v>46.38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32"/>
      <c r="B12" s="32" t="s">
        <v>173</v>
      </c>
      <c r="C12" s="33">
        <v>2</v>
      </c>
      <c r="D12" s="8">
        <v>30.47</v>
      </c>
      <c r="E12" s="33">
        <v>2</v>
      </c>
      <c r="F12" s="8">
        <v>30.48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32"/>
      <c r="B13" s="34" t="s">
        <v>169</v>
      </c>
      <c r="C13" s="33">
        <v>0</v>
      </c>
      <c r="D13" s="8"/>
      <c r="E13" s="33">
        <v>5</v>
      </c>
      <c r="F13" s="8">
        <v>0.81</v>
      </c>
      <c r="G13" s="10"/>
      <c r="H13" s="30"/>
      <c r="I13" s="35">
        <v>14233.94</v>
      </c>
      <c r="J13" s="35">
        <f>E7</f>
        <v>16201.53</v>
      </c>
      <c r="K13" s="35"/>
      <c r="L13" s="35"/>
      <c r="M13" s="35"/>
      <c r="N13" s="35"/>
      <c r="O13" s="35"/>
      <c r="P13" s="35"/>
    </row>
    <row r="14" ht="15" customHeight="1" spans="1:16">
      <c r="A14" s="132"/>
      <c r="B14" s="34" t="s">
        <v>170</v>
      </c>
      <c r="C14" s="33">
        <v>1</v>
      </c>
      <c r="D14" s="8">
        <v>0.252</v>
      </c>
      <c r="E14" s="33">
        <v>3</v>
      </c>
      <c r="F14" s="8">
        <v>0.756</v>
      </c>
      <c r="G14" s="10"/>
      <c r="H14" s="30"/>
      <c r="I14" s="48">
        <v>699.51</v>
      </c>
      <c r="J14" s="48">
        <f>J13-I13</f>
        <v>1967.59</v>
      </c>
      <c r="K14" s="48"/>
      <c r="L14" s="48"/>
      <c r="M14" s="48"/>
      <c r="N14" s="48"/>
      <c r="O14" s="48"/>
      <c r="P14" s="48"/>
    </row>
    <row r="15" ht="15" customHeight="1" spans="1:16">
      <c r="A15" s="132"/>
      <c r="B15" s="34" t="s">
        <v>112</v>
      </c>
      <c r="C15" s="33">
        <v>160</v>
      </c>
      <c r="D15" s="8">
        <v>6.65</v>
      </c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32"/>
      <c r="B18" s="8" t="s">
        <v>134</v>
      </c>
      <c r="C18" s="25">
        <f>ROUND(D11+D12+D15+D16+D17+D13+D14,2)</f>
        <v>45.17</v>
      </c>
      <c r="D18" s="134"/>
      <c r="E18" s="25">
        <f>ROUND(F11+F12+F15+F16+F17+F13+F14,2)</f>
        <v>78.43</v>
      </c>
      <c r="F18" s="134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32"/>
      <c r="B19" s="8" t="s">
        <v>5</v>
      </c>
      <c r="C19" s="6">
        <f>C18+E18</f>
        <v>123.6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24</v>
      </c>
      <c r="N20" s="94">
        <f>D38-81</f>
        <v>62</v>
      </c>
      <c r="O20" s="94">
        <v>0</v>
      </c>
      <c r="P20" s="94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205</v>
      </c>
      <c r="N21" s="94">
        <f>F38-44</f>
        <v>60</v>
      </c>
      <c r="O21" s="94">
        <v>0</v>
      </c>
      <c r="P21" s="94">
        <v>0</v>
      </c>
      <c r="Q21" s="4"/>
      <c r="R21" s="3"/>
      <c r="S21" s="3"/>
    </row>
    <row r="22" spans="1:19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61</v>
      </c>
      <c r="O23" s="94">
        <v>0</v>
      </c>
      <c r="P23" s="94">
        <v>0</v>
      </c>
      <c r="Q23" s="4"/>
      <c r="R23" s="3"/>
      <c r="S23" s="3"/>
    </row>
    <row r="24" spans="1:19">
      <c r="A24" s="12"/>
      <c r="B24" s="12"/>
      <c r="C24" s="135"/>
      <c r="D24" s="135"/>
      <c r="E24" s="135"/>
      <c r="F24" s="135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133</v>
      </c>
      <c r="N24" s="94">
        <f>F39-7</f>
        <v>86</v>
      </c>
      <c r="O24" s="94">
        <v>0</v>
      </c>
      <c r="P24" s="94">
        <v>0</v>
      </c>
      <c r="Q24" s="4"/>
      <c r="R24" s="3"/>
      <c r="S24" s="3"/>
    </row>
    <row r="25" spans="1:19">
      <c r="A25" s="12"/>
      <c r="B25" s="12"/>
      <c r="C25" s="135"/>
      <c r="D25" s="135"/>
      <c r="E25" s="135"/>
      <c r="F25" s="135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5880</v>
      </c>
      <c r="N25" s="94"/>
      <c r="O25" s="94">
        <v>0</v>
      </c>
      <c r="P25" s="94"/>
      <c r="Q25" s="4"/>
      <c r="R25" s="3"/>
      <c r="S25" s="3"/>
    </row>
    <row r="26" spans="1:19">
      <c r="A26" s="12"/>
      <c r="B26" s="12"/>
      <c r="C26" s="135"/>
      <c r="D26" s="135"/>
      <c r="E26" s="135"/>
      <c r="F26" s="135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1690.22</v>
      </c>
      <c r="N26" s="94"/>
      <c r="O26" s="94">
        <v>0</v>
      </c>
      <c r="P26" s="94"/>
      <c r="Q26" s="4"/>
      <c r="R26" s="3"/>
      <c r="S26" s="3"/>
    </row>
    <row r="27" spans="1:19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3212</v>
      </c>
      <c r="N27" s="94"/>
      <c r="O27" s="94">
        <v>0</v>
      </c>
      <c r="P27" s="94"/>
      <c r="Q27" s="4"/>
      <c r="R27" s="3"/>
      <c r="S27" s="3"/>
    </row>
    <row r="28" spans="1:19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4119.1</v>
      </c>
      <c r="N28" s="48"/>
      <c r="O28" s="48"/>
      <c r="P28" s="48"/>
      <c r="Q28" s="4"/>
      <c r="R28" s="3"/>
      <c r="S28" s="3"/>
    </row>
    <row r="29" spans="1:19">
      <c r="A29" s="35"/>
      <c r="B29" s="132" t="s">
        <v>74</v>
      </c>
      <c r="C29" s="12">
        <f>C38+D38</f>
        <v>336</v>
      </c>
      <c r="D29" s="132" t="s">
        <v>75</v>
      </c>
      <c r="E29" s="12">
        <f>C39+D39</f>
        <v>256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32" t="s">
        <v>76</v>
      </c>
      <c r="C30" s="12">
        <f>E38+F38</f>
        <v>610</v>
      </c>
      <c r="D30" s="132" t="s">
        <v>77</v>
      </c>
      <c r="E30" s="12">
        <f>E39+F39</f>
        <v>484</v>
      </c>
      <c r="F30" s="12"/>
      <c r="G30" s="38"/>
    </row>
    <row r="31" spans="1:7">
      <c r="A31" s="35"/>
      <c r="B31" s="132" t="s">
        <v>78</v>
      </c>
      <c r="C31" s="12">
        <f>C32-C29-C30</f>
        <v>4834</v>
      </c>
      <c r="D31" s="132" t="s">
        <v>79</v>
      </c>
      <c r="E31" s="12">
        <f>E32-E29-E30</f>
        <v>5040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44620</v>
      </c>
      <c r="B36" s="54">
        <v>92.73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44621</v>
      </c>
      <c r="B37" s="54">
        <v>131.07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44622</v>
      </c>
      <c r="B38" s="54">
        <v>151.88</v>
      </c>
      <c r="C38" s="58">
        <v>193</v>
      </c>
      <c r="D38" s="58">
        <v>143</v>
      </c>
      <c r="E38" s="58">
        <v>506</v>
      </c>
      <c r="F38" s="58">
        <v>104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44623</v>
      </c>
      <c r="B39" s="54">
        <v>115.83</v>
      </c>
      <c r="C39" s="60">
        <v>130</v>
      </c>
      <c r="D39" s="60">
        <v>126</v>
      </c>
      <c r="E39" s="60">
        <v>391</v>
      </c>
      <c r="F39" s="60">
        <v>93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44624</v>
      </c>
      <c r="B40" s="62">
        <v>100.09</v>
      </c>
      <c r="C40" s="63" t="s">
        <v>182</v>
      </c>
      <c r="D40" s="64">
        <f>C38+D38+E38+F38</f>
        <v>946</v>
      </c>
      <c r="E40" s="65" t="s">
        <v>69</v>
      </c>
      <c r="F40" s="66">
        <f>C39+D39+E39+F39</f>
        <v>740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44625</v>
      </c>
      <c r="B41" s="54">
        <v>196.25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截止2022年03月09日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44626</v>
      </c>
      <c r="B42" s="54">
        <v>136.47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44627</v>
      </c>
      <c r="B43" s="54">
        <v>118.66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0.16</v>
      </c>
      <c r="J43" s="35">
        <v>5913</v>
      </c>
      <c r="K43" s="36" t="s">
        <v>318</v>
      </c>
      <c r="L43" s="56">
        <f>L44+155</f>
        <v>241</v>
      </c>
      <c r="M43" s="56">
        <f>M44+171</f>
        <v>232</v>
      </c>
      <c r="N43" s="56">
        <f>N44+1460</f>
        <v>7340</v>
      </c>
      <c r="O43" s="56">
        <f>O44+441.6</f>
        <v>2131.82</v>
      </c>
      <c r="P43" s="56">
        <f>P44+0</f>
        <v>3212</v>
      </c>
      <c r="U43" s="4"/>
    </row>
    <row r="44" ht="15.6" spans="1:21">
      <c r="A44" s="53">
        <v>44628</v>
      </c>
      <c r="B44" s="54">
        <v>118.67</v>
      </c>
      <c r="C44" s="74" t="s">
        <v>229</v>
      </c>
      <c r="D44" s="74">
        <v>2340.56</v>
      </c>
      <c r="E44" s="74">
        <v>1381.7</v>
      </c>
      <c r="F44" s="74">
        <f t="shared" si="0"/>
        <v>3722.26</v>
      </c>
      <c r="G44" s="73"/>
      <c r="H44" s="40" t="s">
        <v>62</v>
      </c>
      <c r="I44" s="111">
        <f>ROUND(F40/J44,4)</f>
        <v>0.1251</v>
      </c>
      <c r="J44" s="35">
        <v>5913</v>
      </c>
      <c r="K44" s="36" t="s">
        <v>319</v>
      </c>
      <c r="L44" s="56">
        <f>SUM(M20:N20)</f>
        <v>86</v>
      </c>
      <c r="M44" s="56">
        <f>SUM(M23:N23)</f>
        <v>61</v>
      </c>
      <c r="N44" s="56">
        <f>M25</f>
        <v>5880</v>
      </c>
      <c r="O44" s="56">
        <f>M26</f>
        <v>1690.22</v>
      </c>
      <c r="P44" s="56">
        <f>M27</f>
        <v>3212</v>
      </c>
      <c r="U44" s="4"/>
    </row>
    <row r="45" ht="15.6" spans="1:21">
      <c r="A45" s="53">
        <v>44629</v>
      </c>
      <c r="B45" s="54">
        <v>123.6</v>
      </c>
      <c r="C45" s="74" t="s">
        <v>228</v>
      </c>
      <c r="D45" s="74">
        <v>5960</v>
      </c>
      <c r="E45" s="74">
        <v>6025</v>
      </c>
      <c r="F45" s="74">
        <f t="shared" si="0"/>
        <v>11985</v>
      </c>
      <c r="G45" s="75"/>
      <c r="H45" s="40" t="s">
        <v>228</v>
      </c>
      <c r="I45" s="111">
        <f>ROUND(F45/J45,4)</f>
        <v>0.0887</v>
      </c>
      <c r="J45" s="35">
        <v>135185</v>
      </c>
      <c r="K45" s="36" t="s">
        <v>320</v>
      </c>
      <c r="L45" s="56">
        <f>D40</f>
        <v>946</v>
      </c>
      <c r="M45" s="56">
        <f>F40</f>
        <v>740</v>
      </c>
      <c r="N45" s="56">
        <f>F45</f>
        <v>11985</v>
      </c>
      <c r="O45" s="56">
        <f>F44</f>
        <v>3722.26</v>
      </c>
      <c r="P45" s="56">
        <f>F43</f>
        <v>3212</v>
      </c>
      <c r="U45" s="4"/>
    </row>
    <row r="46" spans="1:16">
      <c r="A46" s="142" t="s">
        <v>340</v>
      </c>
      <c r="B46" s="142"/>
      <c r="C46" s="142"/>
      <c r="D46" s="142"/>
      <c r="E46" s="142"/>
      <c r="F46" s="142"/>
      <c r="G46" s="76"/>
      <c r="H46" s="40" t="s">
        <v>229</v>
      </c>
      <c r="I46" s="111">
        <f>ROUND(F44/J46,4)</f>
        <v>0.0555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179</v>
      </c>
      <c r="M47" s="56">
        <f>F40-'2022.2.15'!$F$40</f>
        <v>131</v>
      </c>
      <c r="N47" s="56">
        <f>F45-'2022.2.15'!$F$45</f>
        <v>2020</v>
      </c>
      <c r="O47" s="56">
        <f>F44-'2022.2.15'!$F$44</f>
        <v>769.62</v>
      </c>
      <c r="P47" s="56">
        <f>F43-'2022.2.15'!$F$43</f>
        <v>0</v>
      </c>
    </row>
    <row r="48" spans="1:16">
      <c r="A48" s="79">
        <f>SUM(C11,E11,C12,E12)</f>
        <v>11</v>
      </c>
      <c r="B48" s="79">
        <f>SUM(C13,C14,E13,E14)</f>
        <v>9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123.6</v>
      </c>
      <c r="G48" s="76"/>
      <c r="H48" s="40" t="s">
        <v>231</v>
      </c>
      <c r="I48" s="111">
        <f>ROUND(E7/J48,4)</f>
        <v>0.1794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179</v>
      </c>
      <c r="B49" s="79">
        <f>M47</f>
        <v>131</v>
      </c>
      <c r="C49" s="79">
        <f>N47</f>
        <v>2020</v>
      </c>
      <c r="D49" s="79">
        <f>O47</f>
        <v>769.62</v>
      </c>
      <c r="E49" s="79">
        <f>P47</f>
        <v>0</v>
      </c>
      <c r="F49" s="80">
        <f>J14</f>
        <v>1967.59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241</v>
      </c>
      <c r="B50" s="79">
        <f>M43</f>
        <v>232</v>
      </c>
      <c r="C50" s="79">
        <f>N43</f>
        <v>7340</v>
      </c>
      <c r="D50" s="79">
        <f>O43</f>
        <v>2131.82</v>
      </c>
      <c r="E50" s="79">
        <f>P43</f>
        <v>3212</v>
      </c>
      <c r="F50" s="80">
        <f>K7</f>
        <v>6036.15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09日自年初1月1日起完成产值4108.77万元，自开工累计完成产值16201.53万元，自开工占总产值90284.4万元的17.94%，100章临建完成6000.78万元，400章桥梁完成10200.75万元。已完成梁片预制946片，占设计量的16%；梁片安装740片，占设计量的12.51%；湿接缝11985米，占设计量的8.87%；防撞护栏3722.26米，占设计量的5.55%；桥面铺装3212平米，占设计量的0.79%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347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44630</v>
      </c>
      <c r="B3" s="12" t="s">
        <v>7</v>
      </c>
      <c r="C3" s="12">
        <v>0</v>
      </c>
      <c r="D3" s="12">
        <f>ROUND(D11+D12+D15+D16+D17+D13+D14,2)</f>
        <v>55.54</v>
      </c>
      <c r="E3" s="13">
        <f>ROUND(C5+D5,2)</f>
        <v>142.12</v>
      </c>
      <c r="F3" s="14" t="s">
        <v>372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86.58</v>
      </c>
      <c r="E4" s="13"/>
      <c r="F4" s="17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142.12</v>
      </c>
      <c r="E5" s="13"/>
      <c r="F5" s="17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4250.89</v>
      </c>
      <c r="E6" s="8">
        <f>ROUND(C6+D6,2)</f>
        <v>4250.89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10342.87</v>
      </c>
      <c r="E7" s="8">
        <f>ROUND(C7+D7,2)</f>
        <v>16343.65</v>
      </c>
      <c r="F7" s="17"/>
      <c r="G7" s="18"/>
      <c r="H7" s="22"/>
      <c r="I7" s="48">
        <f>210+C6</f>
        <v>210</v>
      </c>
      <c r="J7" s="48">
        <f>D6+1717.38</f>
        <v>5968.27</v>
      </c>
      <c r="K7" s="48">
        <f>J7+I7</f>
        <v>6178.27</v>
      </c>
      <c r="L7" s="40"/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44630</v>
      </c>
      <c r="B11" s="133" t="s">
        <v>172</v>
      </c>
      <c r="C11" s="33">
        <v>1</v>
      </c>
      <c r="D11" s="8">
        <v>7.82</v>
      </c>
      <c r="E11" s="33">
        <v>7</v>
      </c>
      <c r="F11" s="8">
        <v>54.17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32"/>
      <c r="B12" s="32" t="s">
        <v>173</v>
      </c>
      <c r="C12" s="33">
        <v>2</v>
      </c>
      <c r="D12" s="8">
        <v>30.53</v>
      </c>
      <c r="E12" s="33">
        <v>2</v>
      </c>
      <c r="F12" s="8">
        <v>30.45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32"/>
      <c r="B13" s="34" t="s">
        <v>169</v>
      </c>
      <c r="C13" s="33">
        <v>0</v>
      </c>
      <c r="D13" s="8"/>
      <c r="E13" s="33">
        <v>9</v>
      </c>
      <c r="F13" s="8">
        <v>1.458</v>
      </c>
      <c r="G13" s="10"/>
      <c r="H13" s="30"/>
      <c r="I13" s="35">
        <v>14233.94</v>
      </c>
      <c r="J13" s="35">
        <f>E7</f>
        <v>16343.65</v>
      </c>
      <c r="K13" s="35"/>
      <c r="L13" s="35"/>
      <c r="M13" s="35"/>
      <c r="N13" s="35"/>
      <c r="O13" s="35"/>
      <c r="P13" s="35"/>
    </row>
    <row r="14" ht="15" customHeight="1" spans="1:16">
      <c r="A14" s="132"/>
      <c r="B14" s="34" t="s">
        <v>170</v>
      </c>
      <c r="C14" s="33">
        <v>2</v>
      </c>
      <c r="D14" s="8">
        <v>0.504</v>
      </c>
      <c r="E14" s="33">
        <v>2</v>
      </c>
      <c r="F14" s="8">
        <v>0.504</v>
      </c>
      <c r="G14" s="10"/>
      <c r="H14" s="30"/>
      <c r="I14" s="48">
        <v>699.51</v>
      </c>
      <c r="J14" s="48">
        <f>J13-I13</f>
        <v>2109.71</v>
      </c>
      <c r="K14" s="48"/>
      <c r="L14" s="48"/>
      <c r="M14" s="48"/>
      <c r="N14" s="48"/>
      <c r="O14" s="48"/>
      <c r="P14" s="48"/>
    </row>
    <row r="15" ht="15" customHeight="1" spans="1:16">
      <c r="A15" s="132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32"/>
      <c r="B16" s="34" t="s">
        <v>113</v>
      </c>
      <c r="C16" s="33">
        <v>156.16</v>
      </c>
      <c r="D16" s="8">
        <v>16.69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32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32"/>
      <c r="B18" s="8" t="s">
        <v>134</v>
      </c>
      <c r="C18" s="25">
        <f>ROUND(D11+D12+D15+D16+D17+D13+D14,2)</f>
        <v>55.54</v>
      </c>
      <c r="D18" s="134"/>
      <c r="E18" s="25">
        <f>ROUND(F11+F12+F15+F16+F17+F13+F14,2)</f>
        <v>86.58</v>
      </c>
      <c r="F18" s="134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32"/>
      <c r="B19" s="8" t="s">
        <v>5</v>
      </c>
      <c r="C19" s="6">
        <f>C18+E18</f>
        <v>142.12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25</v>
      </c>
      <c r="N20" s="94">
        <f>D38-81</f>
        <v>64</v>
      </c>
      <c r="O20" s="94">
        <v>0</v>
      </c>
      <c r="P20" s="94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212</v>
      </c>
      <c r="N21" s="94">
        <f>F38-44</f>
        <v>62</v>
      </c>
      <c r="O21" s="94">
        <v>0</v>
      </c>
      <c r="P21" s="94">
        <v>0</v>
      </c>
      <c r="Q21" s="4"/>
      <c r="R21" s="3"/>
      <c r="S21" s="3"/>
    </row>
    <row r="22" spans="1:19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63</v>
      </c>
      <c r="O23" s="94">
        <v>0</v>
      </c>
      <c r="P23" s="94">
        <v>0</v>
      </c>
      <c r="Q23" s="4"/>
      <c r="R23" s="3"/>
      <c r="S23" s="3"/>
    </row>
    <row r="24" spans="1:19">
      <c r="A24" s="12"/>
      <c r="B24" s="12"/>
      <c r="C24" s="135"/>
      <c r="D24" s="135"/>
      <c r="E24" s="135"/>
      <c r="F24" s="135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142</v>
      </c>
      <c r="N24" s="94">
        <f>F39-7</f>
        <v>88</v>
      </c>
      <c r="O24" s="94">
        <v>0</v>
      </c>
      <c r="P24" s="94">
        <v>0</v>
      </c>
      <c r="Q24" s="4"/>
      <c r="R24" s="3"/>
      <c r="S24" s="3"/>
    </row>
    <row r="25" spans="1:19">
      <c r="A25" s="12"/>
      <c r="B25" s="12"/>
      <c r="C25" s="135"/>
      <c r="D25" s="135"/>
      <c r="E25" s="135"/>
      <c r="F25" s="135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5880</v>
      </c>
      <c r="N25" s="94"/>
      <c r="O25" s="94">
        <v>0</v>
      </c>
      <c r="P25" s="94"/>
      <c r="Q25" s="4"/>
      <c r="R25" s="3"/>
      <c r="S25" s="3"/>
    </row>
    <row r="26" spans="1:19">
      <c r="A26" s="12"/>
      <c r="B26" s="12"/>
      <c r="C26" s="135"/>
      <c r="D26" s="135"/>
      <c r="E26" s="135"/>
      <c r="F26" s="135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1846.38</v>
      </c>
      <c r="N26" s="94"/>
      <c r="O26" s="94">
        <v>0</v>
      </c>
      <c r="P26" s="94"/>
      <c r="Q26" s="4"/>
      <c r="R26" s="3"/>
      <c r="S26" s="3"/>
    </row>
    <row r="27" spans="1:19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3212</v>
      </c>
      <c r="N27" s="94"/>
      <c r="O27" s="94">
        <v>0</v>
      </c>
      <c r="P27" s="94"/>
      <c r="Q27" s="4"/>
      <c r="R27" s="3"/>
      <c r="S27" s="3"/>
    </row>
    <row r="28" spans="1:19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4261.22</v>
      </c>
      <c r="N28" s="48"/>
      <c r="O28" s="48"/>
      <c r="P28" s="48"/>
      <c r="Q28" s="4"/>
      <c r="R28" s="3"/>
      <c r="S28" s="3"/>
    </row>
    <row r="29" spans="1:19">
      <c r="A29" s="35"/>
      <c r="B29" s="132" t="s">
        <v>74</v>
      </c>
      <c r="C29" s="12">
        <f>C38+D38</f>
        <v>339</v>
      </c>
      <c r="D29" s="132" t="s">
        <v>75</v>
      </c>
      <c r="E29" s="12">
        <f>C39+D39</f>
        <v>258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32" t="s">
        <v>76</v>
      </c>
      <c r="C30" s="12">
        <f>E38+F38</f>
        <v>619</v>
      </c>
      <c r="D30" s="132" t="s">
        <v>77</v>
      </c>
      <c r="E30" s="12">
        <f>E39+F39</f>
        <v>495</v>
      </c>
      <c r="F30" s="12"/>
      <c r="G30" s="38"/>
    </row>
    <row r="31" spans="1:7">
      <c r="A31" s="35"/>
      <c r="B31" s="132" t="s">
        <v>78</v>
      </c>
      <c r="C31" s="12">
        <f>C32-C29-C30</f>
        <v>4822</v>
      </c>
      <c r="D31" s="132" t="s">
        <v>79</v>
      </c>
      <c r="E31" s="12">
        <f>E32-E29-E30</f>
        <v>5027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44621</v>
      </c>
      <c r="B36" s="54">
        <v>131.07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44622</v>
      </c>
      <c r="B37" s="54">
        <v>151.88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44623</v>
      </c>
      <c r="B38" s="54">
        <v>115.83</v>
      </c>
      <c r="C38" s="58">
        <v>194</v>
      </c>
      <c r="D38" s="58">
        <v>145</v>
      </c>
      <c r="E38" s="58">
        <v>513</v>
      </c>
      <c r="F38" s="58">
        <v>106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44624</v>
      </c>
      <c r="B39" s="54">
        <v>100.09</v>
      </c>
      <c r="C39" s="60">
        <v>130</v>
      </c>
      <c r="D39" s="60">
        <v>128</v>
      </c>
      <c r="E39" s="60">
        <v>400</v>
      </c>
      <c r="F39" s="60">
        <v>95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44625</v>
      </c>
      <c r="B40" s="62">
        <v>196.25</v>
      </c>
      <c r="C40" s="63" t="s">
        <v>182</v>
      </c>
      <c r="D40" s="64">
        <f>C38+D38+E38+F38</f>
        <v>958</v>
      </c>
      <c r="E40" s="65" t="s">
        <v>69</v>
      </c>
      <c r="F40" s="66">
        <f>C39+D39+E39+F39</f>
        <v>753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44626</v>
      </c>
      <c r="B41" s="54">
        <v>136.47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截止2022年03月10日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44627</v>
      </c>
      <c r="B42" s="54">
        <v>118.66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44628</v>
      </c>
      <c r="B43" s="54">
        <v>118.67</v>
      </c>
      <c r="C43" s="74" t="s">
        <v>230</v>
      </c>
      <c r="D43" s="74">
        <v>3212</v>
      </c>
      <c r="E43" s="74"/>
      <c r="F43" s="74">
        <f t="shared" ref="F43:F45" si="0">D43+E43</f>
        <v>3212</v>
      </c>
      <c r="G43" s="73"/>
      <c r="H43" s="40" t="s">
        <v>61</v>
      </c>
      <c r="I43" s="111">
        <f>ROUND(D40/J43,4)</f>
        <v>0.162</v>
      </c>
      <c r="J43" s="35">
        <v>5913</v>
      </c>
      <c r="K43" s="36" t="s">
        <v>318</v>
      </c>
      <c r="L43" s="56">
        <f>L44+155</f>
        <v>244</v>
      </c>
      <c r="M43" s="56">
        <f>M44+171</f>
        <v>234</v>
      </c>
      <c r="N43" s="56">
        <f>N44+1460</f>
        <v>7340</v>
      </c>
      <c r="O43" s="56">
        <f>O44+441.6</f>
        <v>2287.98</v>
      </c>
      <c r="P43" s="56">
        <f>P44+0</f>
        <v>3212</v>
      </c>
      <c r="U43" s="4"/>
    </row>
    <row r="44" ht="15.6" spans="1:21">
      <c r="A44" s="53">
        <v>44629</v>
      </c>
      <c r="B44" s="54">
        <v>123.6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11">
        <f>ROUND(F40/J44,4)</f>
        <v>0.1273</v>
      </c>
      <c r="J44" s="35">
        <v>5913</v>
      </c>
      <c r="K44" s="36" t="s">
        <v>319</v>
      </c>
      <c r="L44" s="56">
        <f>SUM(M20:N20)</f>
        <v>89</v>
      </c>
      <c r="M44" s="56">
        <f>SUM(M23:N23)</f>
        <v>63</v>
      </c>
      <c r="N44" s="56">
        <f>M25</f>
        <v>5880</v>
      </c>
      <c r="O44" s="56">
        <f>M26</f>
        <v>1846.38</v>
      </c>
      <c r="P44" s="56">
        <f>M27</f>
        <v>3212</v>
      </c>
      <c r="U44" s="4"/>
    </row>
    <row r="45" ht="15.6" spans="1:21">
      <c r="A45" s="53">
        <v>44630</v>
      </c>
      <c r="B45" s="54">
        <v>142.12</v>
      </c>
      <c r="C45" s="74" t="s">
        <v>228</v>
      </c>
      <c r="D45" s="74">
        <v>5960</v>
      </c>
      <c r="E45" s="74">
        <v>6025</v>
      </c>
      <c r="F45" s="74">
        <f t="shared" si="0"/>
        <v>11985</v>
      </c>
      <c r="G45" s="75"/>
      <c r="H45" s="40" t="s">
        <v>228</v>
      </c>
      <c r="I45" s="111">
        <f>ROUND(F45/J45,4)</f>
        <v>0.0887</v>
      </c>
      <c r="J45" s="35">
        <v>135185</v>
      </c>
      <c r="K45" s="36" t="s">
        <v>320</v>
      </c>
      <c r="L45" s="56">
        <f>D40</f>
        <v>958</v>
      </c>
      <c r="M45" s="56">
        <f>F40</f>
        <v>753</v>
      </c>
      <c r="N45" s="56">
        <f>F45</f>
        <v>11985</v>
      </c>
      <c r="O45" s="56">
        <f>F44</f>
        <v>3878.42</v>
      </c>
      <c r="P45" s="56">
        <f>F43</f>
        <v>3212</v>
      </c>
      <c r="U45" s="4"/>
    </row>
    <row r="46" spans="1:16">
      <c r="A46" s="142" t="s">
        <v>340</v>
      </c>
      <c r="B46" s="142"/>
      <c r="C46" s="142"/>
      <c r="D46" s="142"/>
      <c r="E46" s="142"/>
      <c r="F46" s="142"/>
      <c r="G46" s="76"/>
      <c r="H46" s="40" t="s">
        <v>229</v>
      </c>
      <c r="I46" s="111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11">
        <f>ROUND(F43/J47,4)</f>
        <v>0.0079</v>
      </c>
      <c r="J47" s="35">
        <v>405202.2</v>
      </c>
      <c r="K47" s="36" t="s">
        <v>322</v>
      </c>
      <c r="L47" s="56">
        <f>D40-'2022.2.15'!$D$40</f>
        <v>191</v>
      </c>
      <c r="M47" s="56">
        <f>F40-'2022.2.15'!$F$40</f>
        <v>144</v>
      </c>
      <c r="N47" s="56">
        <f>F45-'2022.2.15'!$F$45</f>
        <v>2020</v>
      </c>
      <c r="O47" s="56">
        <f>F44-'2022.2.15'!$F$44</f>
        <v>925.78</v>
      </c>
      <c r="P47" s="56">
        <f>F43-'2022.2.15'!$F$43</f>
        <v>0</v>
      </c>
    </row>
    <row r="48" spans="1:16">
      <c r="A48" s="79">
        <f>SUM(C11,E11,C12,E12)</f>
        <v>12</v>
      </c>
      <c r="B48" s="79">
        <f>SUM(C13,C14,E13,E14)</f>
        <v>13</v>
      </c>
      <c r="C48" s="79">
        <f>C15+E15</f>
        <v>0</v>
      </c>
      <c r="D48" s="79">
        <f>C16+E16</f>
        <v>156.16</v>
      </c>
      <c r="E48" s="79">
        <f>C17+E17</f>
        <v>0</v>
      </c>
      <c r="F48" s="80">
        <f>E3</f>
        <v>142.12</v>
      </c>
      <c r="G48" s="76"/>
      <c r="H48" s="40" t="s">
        <v>231</v>
      </c>
      <c r="I48" s="111">
        <f>ROUND(E7/J48,4)</f>
        <v>0.181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191</v>
      </c>
      <c r="B49" s="79">
        <f>M47</f>
        <v>144</v>
      </c>
      <c r="C49" s="79">
        <f>N47</f>
        <v>2020</v>
      </c>
      <c r="D49" s="79">
        <f>O47</f>
        <v>925.78</v>
      </c>
      <c r="E49" s="79">
        <f>P47</f>
        <v>0</v>
      </c>
      <c r="F49" s="80">
        <f>J14</f>
        <v>2109.71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244</v>
      </c>
      <c r="B50" s="79">
        <f>M43</f>
        <v>234</v>
      </c>
      <c r="C50" s="79">
        <f>N43</f>
        <v>7340</v>
      </c>
      <c r="D50" s="79">
        <f>O43</f>
        <v>2287.98</v>
      </c>
      <c r="E50" s="79">
        <f>P43</f>
        <v>3212</v>
      </c>
      <c r="F50" s="80">
        <f>K7</f>
        <v>6178.27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10日自年初1月1日起完成产值4250.89万元，自开工累计完成产值16343.65万元，自开工占总产值90284.4万元的18.1%，100章临建完成6000.78万元，400章桥梁完成10342.87万元。已完成梁片预制958片，占设计量的16.2%；梁片安装753片，占设计量的12.73%；湿接缝11985米，占设计量的8.87%；防撞护栏3878.42米，占设计量的5.78%；桥面铺装3212平米，占设计量的0.79%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347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S20" sqref="S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44631</v>
      </c>
      <c r="B3" s="12" t="s">
        <v>7</v>
      </c>
      <c r="C3" s="12">
        <v>0</v>
      </c>
      <c r="D3" s="12">
        <f>ROUND(D11+D12+D15+D16+D17+D13+D14,2)</f>
        <v>50.43</v>
      </c>
      <c r="E3" s="13">
        <f>ROUND(C5+D5,2)</f>
        <v>138.46</v>
      </c>
      <c r="F3" s="14" t="s">
        <v>373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88.03</v>
      </c>
      <c r="E4" s="13"/>
      <c r="F4" s="17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138.46</v>
      </c>
      <c r="E5" s="13"/>
      <c r="F5" s="17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4389.35</v>
      </c>
      <c r="E6" s="8">
        <f>ROUND(C6+D6,2)</f>
        <v>4389.35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10481.33</v>
      </c>
      <c r="E7" s="8">
        <f>ROUND(C7+D7,2)</f>
        <v>16482.11</v>
      </c>
      <c r="F7" s="17"/>
      <c r="G7" s="18"/>
      <c r="H7" s="22"/>
      <c r="I7" s="48">
        <f>210+C6</f>
        <v>210</v>
      </c>
      <c r="J7" s="48">
        <f>D6+1717.38</f>
        <v>6106.73</v>
      </c>
      <c r="K7" s="48">
        <f>J7+I7</f>
        <v>6316.73</v>
      </c>
      <c r="L7" s="40"/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44631</v>
      </c>
      <c r="B11" s="133" t="s">
        <v>172</v>
      </c>
      <c r="C11" s="33">
        <v>2</v>
      </c>
      <c r="D11" s="8">
        <v>15.46</v>
      </c>
      <c r="E11" s="33">
        <v>6</v>
      </c>
      <c r="F11" s="8">
        <v>45.99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32"/>
      <c r="B12" s="32" t="s">
        <v>173</v>
      </c>
      <c r="C12" s="33">
        <v>1</v>
      </c>
      <c r="D12" s="8">
        <v>15.23</v>
      </c>
      <c r="E12" s="33">
        <v>2</v>
      </c>
      <c r="F12" s="8">
        <v>30.52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32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16482.11</v>
      </c>
      <c r="K13" s="35"/>
      <c r="L13" s="35"/>
      <c r="M13" s="35"/>
      <c r="N13" s="35"/>
      <c r="O13" s="35"/>
      <c r="P13" s="35"/>
    </row>
    <row r="14" ht="15" customHeight="1" spans="1:16">
      <c r="A14" s="132"/>
      <c r="B14" s="34" t="s">
        <v>170</v>
      </c>
      <c r="C14" s="33">
        <v>0</v>
      </c>
      <c r="D14" s="8"/>
      <c r="E14" s="33">
        <v>7</v>
      </c>
      <c r="F14" s="8">
        <v>1.764</v>
      </c>
      <c r="G14" s="10"/>
      <c r="H14" s="30"/>
      <c r="I14" s="48">
        <v>699.51</v>
      </c>
      <c r="J14" s="48">
        <f>J13-I13</f>
        <v>2248.17</v>
      </c>
      <c r="K14" s="48"/>
      <c r="L14" s="48"/>
      <c r="M14" s="48"/>
      <c r="N14" s="48"/>
      <c r="O14" s="48"/>
      <c r="P14" s="48"/>
    </row>
    <row r="15" ht="15" customHeight="1" spans="1:16">
      <c r="A15" s="132"/>
      <c r="B15" s="34" t="s">
        <v>112</v>
      </c>
      <c r="C15" s="33"/>
      <c r="D15" s="8"/>
      <c r="E15" s="33">
        <v>200</v>
      </c>
      <c r="F15" s="8">
        <v>8.14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32"/>
      <c r="B17" s="34" t="s">
        <v>114</v>
      </c>
      <c r="C17" s="33">
        <v>1606</v>
      </c>
      <c r="D17" s="8">
        <v>19.74</v>
      </c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32"/>
      <c r="B18" s="8" t="s">
        <v>134</v>
      </c>
      <c r="C18" s="25">
        <f>ROUND(D11+D12+D15+D16+D17+D13+D14,2)</f>
        <v>50.43</v>
      </c>
      <c r="D18" s="134"/>
      <c r="E18" s="25">
        <f>ROUND(F11+F12+F15+F16+F17+F13+F14,2)</f>
        <v>88.03</v>
      </c>
      <c r="F18" s="134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32"/>
      <c r="B19" s="8" t="s">
        <v>5</v>
      </c>
      <c r="C19" s="6">
        <f>C18+E18</f>
        <v>138.46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27</v>
      </c>
      <c r="N20" s="94">
        <f>D38-81</f>
        <v>65</v>
      </c>
      <c r="O20" s="94">
        <v>0</v>
      </c>
      <c r="P20" s="94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218</v>
      </c>
      <c r="N21" s="94">
        <f>F38-44</f>
        <v>64</v>
      </c>
      <c r="O21" s="94">
        <v>0</v>
      </c>
      <c r="P21" s="94">
        <v>0</v>
      </c>
      <c r="Q21" s="4"/>
      <c r="R21" s="3"/>
      <c r="S21" s="3"/>
    </row>
    <row r="22" spans="1:19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63</v>
      </c>
      <c r="O23" s="94">
        <v>0</v>
      </c>
      <c r="P23" s="94">
        <v>0</v>
      </c>
      <c r="Q23" s="4"/>
      <c r="R23" s="3"/>
      <c r="S23" s="3"/>
    </row>
    <row r="24" spans="1:19">
      <c r="A24" s="12"/>
      <c r="B24" s="12"/>
      <c r="C24" s="135"/>
      <c r="D24" s="135"/>
      <c r="E24" s="135"/>
      <c r="F24" s="135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152</v>
      </c>
      <c r="N24" s="94">
        <f>F39-7</f>
        <v>95</v>
      </c>
      <c r="O24" s="94">
        <v>0</v>
      </c>
      <c r="P24" s="94">
        <v>0</v>
      </c>
      <c r="Q24" s="4"/>
      <c r="R24" s="3"/>
      <c r="S24" s="3"/>
    </row>
    <row r="25" spans="1:19">
      <c r="A25" s="12"/>
      <c r="B25" s="12"/>
      <c r="C25" s="135"/>
      <c r="D25" s="135"/>
      <c r="E25" s="135"/>
      <c r="F25" s="135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6080</v>
      </c>
      <c r="N25" s="94"/>
      <c r="O25" s="94">
        <v>0</v>
      </c>
      <c r="P25" s="94"/>
      <c r="Q25" s="4"/>
      <c r="R25" s="3"/>
      <c r="S25" s="3"/>
    </row>
    <row r="26" spans="1:19">
      <c r="A26" s="12"/>
      <c r="B26" s="12"/>
      <c r="C26" s="135"/>
      <c r="D26" s="135"/>
      <c r="E26" s="135"/>
      <c r="F26" s="135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1846.38</v>
      </c>
      <c r="N26" s="94"/>
      <c r="O26" s="94">
        <v>0</v>
      </c>
      <c r="P26" s="94"/>
      <c r="Q26" s="4"/>
      <c r="R26" s="3"/>
      <c r="S26" s="3"/>
    </row>
    <row r="27" spans="1:19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8030</v>
      </c>
      <c r="N27" s="94"/>
      <c r="O27" s="94">
        <v>0</v>
      </c>
      <c r="P27" s="94"/>
      <c r="Q27" s="4"/>
      <c r="R27" s="3"/>
      <c r="S27" s="3"/>
    </row>
    <row r="28" spans="1:19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4399.68</v>
      </c>
      <c r="N28" s="48"/>
      <c r="O28" s="48"/>
      <c r="P28" s="48"/>
      <c r="Q28" s="4"/>
      <c r="R28" s="3"/>
      <c r="S28" s="3"/>
    </row>
    <row r="29" spans="1:19">
      <c r="A29" s="35"/>
      <c r="B29" s="132" t="s">
        <v>74</v>
      </c>
      <c r="C29" s="12">
        <f>C38+D38</f>
        <v>342</v>
      </c>
      <c r="D29" s="132" t="s">
        <v>75</v>
      </c>
      <c r="E29" s="12">
        <f>C39+D39</f>
        <v>258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32" t="s">
        <v>76</v>
      </c>
      <c r="C30" s="12">
        <f>E38+F38</f>
        <v>627</v>
      </c>
      <c r="D30" s="132" t="s">
        <v>77</v>
      </c>
      <c r="E30" s="12">
        <f>E39+F39</f>
        <v>512</v>
      </c>
      <c r="F30" s="12"/>
      <c r="G30" s="38"/>
    </row>
    <row r="31" spans="1:7">
      <c r="A31" s="35"/>
      <c r="B31" s="132" t="s">
        <v>78</v>
      </c>
      <c r="C31" s="12">
        <f>C32-C29-C30</f>
        <v>4811</v>
      </c>
      <c r="D31" s="132" t="s">
        <v>79</v>
      </c>
      <c r="E31" s="12">
        <f>E32-E29-E30</f>
        <v>5010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44622</v>
      </c>
      <c r="B36" s="54">
        <v>151.88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44623</v>
      </c>
      <c r="B37" s="54">
        <v>115.83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44624</v>
      </c>
      <c r="B38" s="54">
        <v>100.09</v>
      </c>
      <c r="C38" s="58">
        <v>196</v>
      </c>
      <c r="D38" s="58">
        <v>146</v>
      </c>
      <c r="E38" s="58">
        <v>519</v>
      </c>
      <c r="F38" s="58">
        <v>108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44625</v>
      </c>
      <c r="B39" s="54">
        <v>196.25</v>
      </c>
      <c r="C39" s="60">
        <v>130</v>
      </c>
      <c r="D39" s="60">
        <v>128</v>
      </c>
      <c r="E39" s="60">
        <v>410</v>
      </c>
      <c r="F39" s="60">
        <v>102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44626</v>
      </c>
      <c r="B40" s="62">
        <v>136.47</v>
      </c>
      <c r="C40" s="63" t="s">
        <v>182</v>
      </c>
      <c r="D40" s="64">
        <f>C38+D38+E38+F38</f>
        <v>969</v>
      </c>
      <c r="E40" s="65" t="s">
        <v>69</v>
      </c>
      <c r="F40" s="66">
        <f>C39+D39+E39+F39</f>
        <v>770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44627</v>
      </c>
      <c r="B41" s="54">
        <v>118.66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截止2022年03月11日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44628</v>
      </c>
      <c r="B42" s="54">
        <v>118.67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44629</v>
      </c>
      <c r="B43" s="54">
        <v>123.6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11">
        <f>ROUND(D40/J43,4)</f>
        <v>0.1639</v>
      </c>
      <c r="J43" s="35">
        <v>5913</v>
      </c>
      <c r="K43" s="36" t="s">
        <v>318</v>
      </c>
      <c r="L43" s="56">
        <f>L44+155</f>
        <v>247</v>
      </c>
      <c r="M43" s="56">
        <f>M44+171</f>
        <v>234</v>
      </c>
      <c r="N43" s="56">
        <f>N44+1460</f>
        <v>7540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44630</v>
      </c>
      <c r="B44" s="54">
        <v>142.12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11">
        <f>ROUND(F40/J44,4)</f>
        <v>0.1302</v>
      </c>
      <c r="J44" s="35">
        <v>5913</v>
      </c>
      <c r="K44" s="36" t="s">
        <v>319</v>
      </c>
      <c r="L44" s="56">
        <f>SUM(M20:N20)</f>
        <v>92</v>
      </c>
      <c r="M44" s="56">
        <f>SUM(M23:N23)</f>
        <v>63</v>
      </c>
      <c r="N44" s="56">
        <f>M25</f>
        <v>6080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44631</v>
      </c>
      <c r="B45" s="54">
        <v>138.46</v>
      </c>
      <c r="C45" s="74" t="s">
        <v>228</v>
      </c>
      <c r="D45" s="74">
        <v>5960</v>
      </c>
      <c r="E45" s="74">
        <v>6225</v>
      </c>
      <c r="F45" s="74">
        <f t="shared" si="0"/>
        <v>12185</v>
      </c>
      <c r="G45" s="75"/>
      <c r="H45" s="40" t="s">
        <v>228</v>
      </c>
      <c r="I45" s="111">
        <f>ROUND(F45/J45,4)</f>
        <v>0.0901</v>
      </c>
      <c r="J45" s="35">
        <v>135185</v>
      </c>
      <c r="K45" s="36" t="s">
        <v>320</v>
      </c>
      <c r="L45" s="56">
        <f>D40</f>
        <v>969</v>
      </c>
      <c r="M45" s="56">
        <f>F40</f>
        <v>770</v>
      </c>
      <c r="N45" s="56">
        <f>F45</f>
        <v>12185</v>
      </c>
      <c r="O45" s="56">
        <f>F44</f>
        <v>3878.42</v>
      </c>
      <c r="P45" s="56">
        <f>F43</f>
        <v>8030</v>
      </c>
      <c r="U45" s="4"/>
    </row>
    <row r="46" spans="1:16">
      <c r="A46" s="142" t="s">
        <v>340</v>
      </c>
      <c r="B46" s="142"/>
      <c r="C46" s="142"/>
      <c r="D46" s="142"/>
      <c r="E46" s="142"/>
      <c r="F46" s="142"/>
      <c r="G46" s="76"/>
      <c r="H46" s="40" t="s">
        <v>229</v>
      </c>
      <c r="I46" s="111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11">
        <f>ROUND(F43/J47,4)</f>
        <v>0.0198</v>
      </c>
      <c r="J47" s="35">
        <v>405202.2</v>
      </c>
      <c r="K47" s="36" t="s">
        <v>322</v>
      </c>
      <c r="L47" s="56">
        <f>D40-'2022.2.15'!$D$40</f>
        <v>202</v>
      </c>
      <c r="M47" s="56">
        <f>F40-'2022.2.15'!$F$40</f>
        <v>161</v>
      </c>
      <c r="N47" s="56">
        <f>F45-'2022.2.15'!$F$45</f>
        <v>2220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11</v>
      </c>
      <c r="B48" s="79">
        <f>SUM(C13,C14,E13,E14)</f>
        <v>17</v>
      </c>
      <c r="C48" s="79">
        <f>C15+E15</f>
        <v>200</v>
      </c>
      <c r="D48" s="79">
        <f>C16+E16</f>
        <v>0</v>
      </c>
      <c r="E48" s="79">
        <f>C17+E17</f>
        <v>1606</v>
      </c>
      <c r="F48" s="80">
        <f>E3</f>
        <v>138.46</v>
      </c>
      <c r="G48" s="76"/>
      <c r="H48" s="40" t="s">
        <v>231</v>
      </c>
      <c r="I48" s="111">
        <f>ROUND(E7/J48,4)</f>
        <v>0.1826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202</v>
      </c>
      <c r="B49" s="79">
        <f>M47</f>
        <v>161</v>
      </c>
      <c r="C49" s="79">
        <f>N47</f>
        <v>2220</v>
      </c>
      <c r="D49" s="79">
        <f>O47</f>
        <v>925.78</v>
      </c>
      <c r="E49" s="79">
        <f>P47</f>
        <v>4818</v>
      </c>
      <c r="F49" s="80">
        <f>J14</f>
        <v>2248.17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247</v>
      </c>
      <c r="B50" s="79">
        <f>M43</f>
        <v>234</v>
      </c>
      <c r="C50" s="79">
        <f>N43</f>
        <v>7540</v>
      </c>
      <c r="D50" s="79">
        <f>O43</f>
        <v>2287.98</v>
      </c>
      <c r="E50" s="79">
        <f>P43</f>
        <v>8030</v>
      </c>
      <c r="F50" s="80">
        <f>K7</f>
        <v>6316.73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11日自年初1月1日起完成产值4389.35万元，自开工累计完成产值16482.11万元，自开工占总产值90284.4万元的18.26%，100章临建完成6000.78万元，400章桥梁完成10481.33万元。已完成梁片预制969片，占设计量的16.39%；梁片安装770片，占设计量的13.02%；湿接缝12185米，占设计量的9.01%；防撞护栏3878.42米，占设计量的5.78%；桥面铺装8030平米，占设计量的1.98%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347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O27" sqref="O27:P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31">
        <v>44632</v>
      </c>
      <c r="B3" s="12" t="s">
        <v>7</v>
      </c>
      <c r="C3" s="12">
        <v>0</v>
      </c>
      <c r="D3" s="12">
        <f>ROUND(D11+D12+D15+D16+D17+D13+D14,2)</f>
        <v>79.71</v>
      </c>
      <c r="E3" s="13">
        <f>ROUND(C5+D5,2)</f>
        <v>182.2</v>
      </c>
      <c r="F3" s="14" t="s">
        <v>374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102.49</v>
      </c>
      <c r="E4" s="13"/>
      <c r="F4" s="17"/>
      <c r="G4" s="18"/>
      <c r="J4"/>
      <c r="K4"/>
      <c r="L4"/>
    </row>
    <row r="5" ht="15" customHeight="1" spans="1:17">
      <c r="A5" s="132"/>
      <c r="B5" s="8" t="s">
        <v>10</v>
      </c>
      <c r="C5" s="12">
        <f>SUM(C3:C4)</f>
        <v>0</v>
      </c>
      <c r="D5" s="12">
        <f>SUM(D3:D4)</f>
        <v>182.2</v>
      </c>
      <c r="E5" s="13"/>
      <c r="F5" s="17"/>
      <c r="G5" s="18"/>
      <c r="Q5" s="125"/>
    </row>
    <row r="6" ht="70.05" customHeight="1" spans="1:16">
      <c r="A6" s="132"/>
      <c r="B6" s="19" t="s">
        <v>298</v>
      </c>
      <c r="C6" s="20">
        <v>0</v>
      </c>
      <c r="D6" s="20">
        <v>4571.55</v>
      </c>
      <c r="E6" s="8">
        <f>ROUND(C6+D6,2)</f>
        <v>4571.55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32"/>
      <c r="B7" s="19" t="s">
        <v>299</v>
      </c>
      <c r="C7" s="20">
        <v>6000.78</v>
      </c>
      <c r="D7" s="20">
        <v>10663.53</v>
      </c>
      <c r="E7" s="8">
        <f>ROUND(C7+D7,2)</f>
        <v>16664.31</v>
      </c>
      <c r="F7" s="17"/>
      <c r="G7" s="18"/>
      <c r="H7" s="22"/>
      <c r="I7" s="48">
        <f>210+C6</f>
        <v>210</v>
      </c>
      <c r="J7" s="48">
        <f>D6+1717.38</f>
        <v>6288.93</v>
      </c>
      <c r="K7" s="48">
        <f>J7+I7</f>
        <v>6498.93</v>
      </c>
      <c r="L7" s="40"/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31">
        <v>44632</v>
      </c>
      <c r="B11" s="133" t="s">
        <v>172</v>
      </c>
      <c r="C11" s="33">
        <v>3</v>
      </c>
      <c r="D11" s="8">
        <v>23.1</v>
      </c>
      <c r="E11" s="33">
        <v>6</v>
      </c>
      <c r="F11" s="8">
        <v>46.56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32"/>
      <c r="B12" s="32" t="s">
        <v>173</v>
      </c>
      <c r="C12" s="33">
        <v>1</v>
      </c>
      <c r="D12" s="8">
        <v>15.24</v>
      </c>
      <c r="E12" s="33">
        <v>3</v>
      </c>
      <c r="F12" s="8">
        <v>45.84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32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16664.31</v>
      </c>
      <c r="K13" s="35"/>
      <c r="L13" s="35"/>
      <c r="M13" s="35"/>
      <c r="N13" s="35"/>
      <c r="O13" s="35"/>
      <c r="P13" s="35"/>
    </row>
    <row r="14" ht="15" customHeight="1" spans="1:16">
      <c r="A14" s="132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f>J13-I13</f>
        <v>2430.37</v>
      </c>
      <c r="K14" s="48"/>
      <c r="L14" s="48"/>
      <c r="M14" s="48"/>
      <c r="N14" s="48"/>
      <c r="O14" s="48"/>
      <c r="P14" s="48"/>
    </row>
    <row r="15" ht="15" customHeight="1" spans="1:16">
      <c r="A15" s="132"/>
      <c r="B15" s="34" t="s">
        <v>112</v>
      </c>
      <c r="C15" s="33"/>
      <c r="D15" s="8"/>
      <c r="E15" s="33">
        <v>300</v>
      </c>
      <c r="F15" s="8">
        <v>8.47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32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32"/>
      <c r="B17" s="34" t="s">
        <v>114</v>
      </c>
      <c r="C17" s="33">
        <v>3212</v>
      </c>
      <c r="D17" s="8">
        <v>41.37</v>
      </c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32"/>
      <c r="B18" s="8" t="s">
        <v>134</v>
      </c>
      <c r="C18" s="25">
        <f>ROUND(D11+D12+D15+D16+D17+D13+D14,2)</f>
        <v>79.71</v>
      </c>
      <c r="D18" s="134"/>
      <c r="E18" s="25">
        <f>ROUND(F11+F12+F15+F16+F17+F13+F14,2)</f>
        <v>102.49</v>
      </c>
      <c r="F18" s="134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32"/>
      <c r="B19" s="8" t="s">
        <v>5</v>
      </c>
      <c r="C19" s="6">
        <f>C18+E18</f>
        <v>182.2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12"/>
      <c r="B20" s="12"/>
      <c r="C20" s="12"/>
      <c r="D20" s="12"/>
      <c r="E20" s="12"/>
      <c r="F20" s="12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30</v>
      </c>
      <c r="N20" s="94">
        <f>D38-81</f>
        <v>66</v>
      </c>
      <c r="O20" s="94">
        <v>0</v>
      </c>
      <c r="P20" s="94">
        <v>0</v>
      </c>
      <c r="Q20" s="4"/>
      <c r="R20" s="3"/>
      <c r="S20" s="3"/>
    </row>
    <row r="21" spans="1:19">
      <c r="A21" s="12"/>
      <c r="B21" s="12" t="s">
        <v>20</v>
      </c>
      <c r="C21" s="12"/>
      <c r="D21" s="12"/>
      <c r="E21" s="12"/>
      <c r="F21" s="12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224</v>
      </c>
      <c r="N21" s="94">
        <f>F38-44</f>
        <v>67</v>
      </c>
      <c r="O21" s="94">
        <v>0</v>
      </c>
      <c r="P21" s="94">
        <v>0</v>
      </c>
      <c r="Q21" s="4"/>
      <c r="R21" s="3"/>
      <c r="S21" s="3"/>
    </row>
    <row r="22" spans="1:19">
      <c r="A22" s="12"/>
      <c r="B22" s="12"/>
      <c r="C22" s="135"/>
      <c r="D22" s="135"/>
      <c r="E22" s="135"/>
      <c r="F22" s="135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12"/>
      <c r="B23" s="12"/>
      <c r="C23" s="135"/>
      <c r="D23" s="135"/>
      <c r="E23" s="135"/>
      <c r="F23" s="135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63</v>
      </c>
      <c r="O23" s="94">
        <v>0</v>
      </c>
      <c r="P23" s="94">
        <v>0</v>
      </c>
      <c r="Q23" s="4"/>
      <c r="R23" s="3"/>
      <c r="S23" s="3"/>
    </row>
    <row r="24" spans="1:19">
      <c r="A24" s="12"/>
      <c r="B24" s="12"/>
      <c r="C24" s="135"/>
      <c r="D24" s="135"/>
      <c r="E24" s="135"/>
      <c r="F24" s="135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162</v>
      </c>
      <c r="N24" s="94">
        <f>F39-7</f>
        <v>95</v>
      </c>
      <c r="O24" s="94">
        <v>0</v>
      </c>
      <c r="P24" s="94">
        <v>0</v>
      </c>
      <c r="Q24" s="4"/>
      <c r="R24" s="3"/>
      <c r="S24" s="3"/>
    </row>
    <row r="25" spans="1:19">
      <c r="A25" s="12"/>
      <c r="B25" s="12"/>
      <c r="C25" s="135"/>
      <c r="D25" s="135"/>
      <c r="E25" s="135"/>
      <c r="F25" s="135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6380</v>
      </c>
      <c r="N25" s="94"/>
      <c r="O25" s="94">
        <v>0</v>
      </c>
      <c r="P25" s="94"/>
      <c r="Q25" s="4"/>
      <c r="R25" s="3"/>
      <c r="S25" s="3"/>
    </row>
    <row r="26" spans="1:19">
      <c r="A26" s="12"/>
      <c r="B26" s="12"/>
      <c r="C26" s="135"/>
      <c r="D26" s="135"/>
      <c r="E26" s="135"/>
      <c r="F26" s="135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1846.38</v>
      </c>
      <c r="N26" s="94"/>
      <c r="O26" s="94">
        <v>0</v>
      </c>
      <c r="P26" s="94"/>
      <c r="Q26" s="4"/>
      <c r="R26" s="3"/>
      <c r="S26" s="3"/>
    </row>
    <row r="27" spans="1:19">
      <c r="A27" s="12"/>
      <c r="B27" s="12"/>
      <c r="C27" s="135"/>
      <c r="D27" s="135"/>
      <c r="E27" s="135"/>
      <c r="F27" s="135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8030</v>
      </c>
      <c r="N27" s="94"/>
      <c r="O27" s="94">
        <v>0</v>
      </c>
      <c r="P27" s="94"/>
      <c r="Q27" s="4"/>
      <c r="R27" s="3"/>
      <c r="S27" s="3"/>
    </row>
    <row r="28" spans="1:19">
      <c r="A28" s="35"/>
      <c r="B28" s="136" t="s">
        <v>135</v>
      </c>
      <c r="C28" s="137"/>
      <c r="D28" s="136" t="s">
        <v>136</v>
      </c>
      <c r="E28" s="138"/>
      <c r="F28" s="12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4581.88</v>
      </c>
      <c r="N28" s="48"/>
      <c r="O28" s="48"/>
      <c r="P28" s="48"/>
      <c r="Q28" s="4"/>
      <c r="R28" s="3"/>
      <c r="S28" s="3"/>
    </row>
    <row r="29" spans="1:19">
      <c r="A29" s="35"/>
      <c r="B29" s="132" t="s">
        <v>74</v>
      </c>
      <c r="C29" s="12">
        <f>C38+D38</f>
        <v>346</v>
      </c>
      <c r="D29" s="132" t="s">
        <v>75</v>
      </c>
      <c r="E29" s="12">
        <f>C39+D39</f>
        <v>258</v>
      </c>
      <c r="F29" s="12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5"/>
      <c r="B30" s="132" t="s">
        <v>76</v>
      </c>
      <c r="C30" s="12">
        <f>E38+F38</f>
        <v>636</v>
      </c>
      <c r="D30" s="132" t="s">
        <v>77</v>
      </c>
      <c r="E30" s="12">
        <f>E39+F39</f>
        <v>522</v>
      </c>
      <c r="F30" s="12"/>
      <c r="G30" s="38"/>
    </row>
    <row r="31" spans="1:7">
      <c r="A31" s="35"/>
      <c r="B31" s="132" t="s">
        <v>78</v>
      </c>
      <c r="C31" s="12">
        <f>C32-C29-C30</f>
        <v>4798</v>
      </c>
      <c r="D31" s="132" t="s">
        <v>79</v>
      </c>
      <c r="E31" s="12">
        <f>E32-E29-E30</f>
        <v>5000</v>
      </c>
      <c r="F31" s="12"/>
      <c r="G31" s="38"/>
    </row>
    <row r="32" spans="1:7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  <c r="G32" s="38"/>
    </row>
    <row r="33" spans="1:7">
      <c r="A33" s="12"/>
      <c r="B33" s="12"/>
      <c r="C33" s="12"/>
      <c r="D33" s="12"/>
      <c r="E33" s="12"/>
      <c r="F33" s="12"/>
      <c r="G33" s="38"/>
    </row>
    <row r="34" spans="1:7">
      <c r="A34" s="12"/>
      <c r="B34" s="12"/>
      <c r="C34" s="12"/>
      <c r="D34" s="12"/>
      <c r="E34" s="12"/>
      <c r="F34" s="12"/>
      <c r="G34" s="38"/>
    </row>
    <row r="35" ht="19.95" customHeight="1" spans="1:16">
      <c r="A35" s="8" t="s">
        <v>91</v>
      </c>
      <c r="B35" s="8"/>
      <c r="C35" s="8" t="s">
        <v>181</v>
      </c>
      <c r="D35" s="12"/>
      <c r="E35" s="12"/>
      <c r="F35" s="12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44623</v>
      </c>
      <c r="B36" s="54">
        <v>115.83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44624</v>
      </c>
      <c r="B37" s="54">
        <v>100.09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44625</v>
      </c>
      <c r="B38" s="54">
        <v>196.25</v>
      </c>
      <c r="C38" s="58">
        <v>199</v>
      </c>
      <c r="D38" s="58">
        <v>147</v>
      </c>
      <c r="E38" s="58">
        <v>525</v>
      </c>
      <c r="F38" s="58">
        <v>111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44626</v>
      </c>
      <c r="B39" s="54">
        <v>136.47</v>
      </c>
      <c r="C39" s="60">
        <v>130</v>
      </c>
      <c r="D39" s="60">
        <v>128</v>
      </c>
      <c r="E39" s="60">
        <v>420</v>
      </c>
      <c r="F39" s="60">
        <v>102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44627</v>
      </c>
      <c r="B40" s="62">
        <v>118.66</v>
      </c>
      <c r="C40" s="63" t="s">
        <v>182</v>
      </c>
      <c r="D40" s="64">
        <f>C38+D38+E38+F38</f>
        <v>982</v>
      </c>
      <c r="E40" s="65" t="s">
        <v>69</v>
      </c>
      <c r="F40" s="66">
        <f>C39+D39+E39+F39</f>
        <v>780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5.6" spans="1:21">
      <c r="A41" s="53">
        <v>44628</v>
      </c>
      <c r="B41" s="54">
        <v>118.67</v>
      </c>
      <c r="C41" s="139" t="s">
        <v>287</v>
      </c>
      <c r="D41" s="140"/>
      <c r="E41" s="140"/>
      <c r="F41" s="141"/>
      <c r="G41" s="10"/>
      <c r="H41" s="71" t="str">
        <f>"截止"&amp;TEXT(A3,"yyyy年mm月dd日")</f>
        <v>截止2022年03月12日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44629</v>
      </c>
      <c r="B42" s="54">
        <v>123.6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44630</v>
      </c>
      <c r="B43" s="54">
        <v>142.12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11">
        <f>ROUND(D40/J43,4)</f>
        <v>0.1661</v>
      </c>
      <c r="J43" s="35">
        <v>5913</v>
      </c>
      <c r="K43" s="36" t="s">
        <v>318</v>
      </c>
      <c r="L43" s="56">
        <f>L44+155</f>
        <v>251</v>
      </c>
      <c r="M43" s="56">
        <f>M44+171</f>
        <v>234</v>
      </c>
      <c r="N43" s="56">
        <f>N44+1460</f>
        <v>7840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44631</v>
      </c>
      <c r="B44" s="54">
        <v>138.46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11">
        <f>ROUND(F40/J44,4)</f>
        <v>0.1319</v>
      </c>
      <c r="J44" s="35">
        <v>5913</v>
      </c>
      <c r="K44" s="36" t="s">
        <v>319</v>
      </c>
      <c r="L44" s="56">
        <f>SUM(M20:N20)</f>
        <v>96</v>
      </c>
      <c r="M44" s="56">
        <f>SUM(M23:N23)</f>
        <v>63</v>
      </c>
      <c r="N44" s="56">
        <f>M25</f>
        <v>6380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44632</v>
      </c>
      <c r="B45" s="54">
        <v>182.2</v>
      </c>
      <c r="C45" s="74" t="s">
        <v>228</v>
      </c>
      <c r="D45" s="74">
        <v>5960</v>
      </c>
      <c r="E45" s="74">
        <v>6525</v>
      </c>
      <c r="F45" s="74">
        <f t="shared" si="0"/>
        <v>12485</v>
      </c>
      <c r="G45" s="75"/>
      <c r="H45" s="40" t="s">
        <v>228</v>
      </c>
      <c r="I45" s="111">
        <f>ROUND(F45/J45,4)</f>
        <v>0.0924</v>
      </c>
      <c r="J45" s="35">
        <v>135185</v>
      </c>
      <c r="K45" s="36" t="s">
        <v>320</v>
      </c>
      <c r="L45" s="56">
        <f>D40</f>
        <v>982</v>
      </c>
      <c r="M45" s="56">
        <f>F40</f>
        <v>780</v>
      </c>
      <c r="N45" s="56">
        <f>F45</f>
        <v>12485</v>
      </c>
      <c r="O45" s="56">
        <f>F44</f>
        <v>3878.42</v>
      </c>
      <c r="P45" s="56">
        <f>F43</f>
        <v>8030</v>
      </c>
      <c r="U45" s="4"/>
    </row>
    <row r="46" spans="1:16">
      <c r="A46" s="142" t="s">
        <v>340</v>
      </c>
      <c r="B46" s="142"/>
      <c r="C46" s="142"/>
      <c r="D46" s="142"/>
      <c r="E46" s="142"/>
      <c r="F46" s="142"/>
      <c r="G46" s="76"/>
      <c r="H46" s="40" t="s">
        <v>229</v>
      </c>
      <c r="I46" s="111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spans="1:16">
      <c r="A47" s="79" t="s">
        <v>316</v>
      </c>
      <c r="B47" s="79" t="s">
        <v>317</v>
      </c>
      <c r="C47" s="79" t="s">
        <v>228</v>
      </c>
      <c r="D47" s="79" t="s">
        <v>229</v>
      </c>
      <c r="E47" s="79" t="s">
        <v>230</v>
      </c>
      <c r="F47" s="80" t="s">
        <v>17</v>
      </c>
      <c r="G47" s="76"/>
      <c r="H47" s="40" t="s">
        <v>230</v>
      </c>
      <c r="I47" s="111">
        <f>ROUND(F43/J47,4)</f>
        <v>0.0198</v>
      </c>
      <c r="J47" s="35">
        <v>405202.2</v>
      </c>
      <c r="K47" s="36" t="s">
        <v>322</v>
      </c>
      <c r="L47" s="56">
        <f>D40-'2022.2.15'!$D$40</f>
        <v>215</v>
      </c>
      <c r="M47" s="56">
        <f>F40-'2022.2.15'!$F$40</f>
        <v>171</v>
      </c>
      <c r="N47" s="56">
        <f>F45-'2022.2.15'!$F$45</f>
        <v>2520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13</v>
      </c>
      <c r="B48" s="79">
        <f>SUM(C13,C14,E13,E14)</f>
        <v>10</v>
      </c>
      <c r="C48" s="79">
        <f>C15+E15</f>
        <v>300</v>
      </c>
      <c r="D48" s="79">
        <f>C16+E16</f>
        <v>0</v>
      </c>
      <c r="E48" s="79">
        <f>C17+E17</f>
        <v>3212</v>
      </c>
      <c r="F48" s="80">
        <f>E3</f>
        <v>182.2</v>
      </c>
      <c r="G48" s="76"/>
      <c r="H48" s="40" t="s">
        <v>231</v>
      </c>
      <c r="I48" s="111">
        <f>ROUND(E7/J48,4)</f>
        <v>0.1846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215</v>
      </c>
      <c r="B49" s="79">
        <f>M47</f>
        <v>171</v>
      </c>
      <c r="C49" s="79">
        <f>N47</f>
        <v>2520</v>
      </c>
      <c r="D49" s="79">
        <f>O47</f>
        <v>925.78</v>
      </c>
      <c r="E49" s="79">
        <f>P47</f>
        <v>4818</v>
      </c>
      <c r="F49" s="80">
        <f>J14</f>
        <v>2430.37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251</v>
      </c>
      <c r="B50" s="79">
        <f>M43</f>
        <v>234</v>
      </c>
      <c r="C50" s="79">
        <f>N43</f>
        <v>7840</v>
      </c>
      <c r="D50" s="79">
        <f>O43</f>
        <v>2287.98</v>
      </c>
      <c r="E50" s="79">
        <f>P43</f>
        <v>8030</v>
      </c>
      <c r="F50" s="80">
        <f>K7</f>
        <v>6498.93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12日自年初1月1日起完成产值4571.55万元，自开工累计完成产值16664.31万元，自开工占总产值90284.4万元的18.46%，100章临建完成6000.78万元，400章桥梁完成10663.53万元。已完成梁片预制982片，占设计量的16.61%；梁片安装780片，占设计量的13.19%；湿接缝12485米，占设计量的9.24%；防撞护栏3878.42米，占设计量的5.78%；桥面铺装8030平米，占设计量的1.98%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347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B28:C28"/>
    <mergeCell ref="D28:E28"/>
    <mergeCell ref="I28:J28"/>
    <mergeCell ref="K28:L28"/>
    <mergeCell ref="M28:N28"/>
    <mergeCell ref="O28:P28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10" workbookViewId="0">
      <selection activeCell="L47" sqref="L4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44633</v>
      </c>
      <c r="B3" s="12" t="s">
        <v>7</v>
      </c>
      <c r="C3" s="12">
        <v>0</v>
      </c>
      <c r="D3" s="12">
        <f>ROUND(D11+D12+D15+D16+D17+D13+D14,2)</f>
        <v>29.63</v>
      </c>
      <c r="E3" s="13">
        <f>ROUND(C5+D5,2)</f>
        <v>129.5</v>
      </c>
      <c r="F3" s="14" t="s">
        <v>375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99.87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129.5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0</v>
      </c>
      <c r="D6" s="20">
        <v>4701.05</v>
      </c>
      <c r="E6" s="8">
        <f>ROUND(C6+D6,2)</f>
        <v>4701.05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6000.78</v>
      </c>
      <c r="D7" s="20">
        <v>10793.03</v>
      </c>
      <c r="E7" s="8">
        <f>ROUND(C7+D7,2)</f>
        <v>16793.81</v>
      </c>
      <c r="F7" s="17"/>
      <c r="G7" s="18"/>
      <c r="H7" s="22"/>
      <c r="I7" s="48">
        <f>210+C6</f>
        <v>210</v>
      </c>
      <c r="J7" s="48">
        <f>D6+1717.38</f>
        <v>6418.43</v>
      </c>
      <c r="K7" s="48">
        <f>J7+I7</f>
        <v>6628.43</v>
      </c>
      <c r="L7" s="40"/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44633</v>
      </c>
      <c r="B11" s="32" t="s">
        <v>172</v>
      </c>
      <c r="C11" s="33">
        <v>3</v>
      </c>
      <c r="D11" s="8">
        <v>23.1</v>
      </c>
      <c r="E11" s="33">
        <v>5</v>
      </c>
      <c r="F11" s="8">
        <v>38.55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0</v>
      </c>
      <c r="D12" s="8"/>
      <c r="E12" s="33">
        <v>3</v>
      </c>
      <c r="F12" s="8">
        <v>45.75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16793.81</v>
      </c>
      <c r="K13" s="35"/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f>J13-I13</f>
        <v>2559.87</v>
      </c>
      <c r="K14" s="48"/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>
        <v>455</v>
      </c>
      <c r="F15" s="8">
        <v>13.7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29.63</v>
      </c>
      <c r="D18" s="8"/>
      <c r="E18" s="8">
        <f>ROUND(F11+F12+F15+F16+F17+F13+F14,2)</f>
        <v>99.87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129.5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33</v>
      </c>
      <c r="N20" s="94">
        <f>D38-81</f>
        <v>66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229</v>
      </c>
      <c r="N21" s="94">
        <f>F38-44</f>
        <v>70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63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172</v>
      </c>
      <c r="N24" s="94">
        <f>F39-7</f>
        <v>96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6995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1846.38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8030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4711.38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349</v>
      </c>
      <c r="D30" s="49" t="s">
        <v>75</v>
      </c>
      <c r="E30" s="38">
        <f>C39+D39</f>
        <v>258</v>
      </c>
      <c r="F30" s="39"/>
      <c r="G30" s="38"/>
    </row>
    <row r="31" spans="1:7">
      <c r="A31" s="37"/>
      <c r="B31" s="49" t="s">
        <v>76</v>
      </c>
      <c r="C31" s="38">
        <f>E38+F38</f>
        <v>644</v>
      </c>
      <c r="D31" s="49" t="s">
        <v>77</v>
      </c>
      <c r="E31" s="38">
        <f>E39+F39</f>
        <v>533</v>
      </c>
      <c r="F31" s="39"/>
      <c r="G31" s="38"/>
    </row>
    <row r="32" spans="1:7">
      <c r="A32" s="37"/>
      <c r="B32" s="49" t="s">
        <v>78</v>
      </c>
      <c r="C32" s="38">
        <f>C33-C30-C31</f>
        <v>4787</v>
      </c>
      <c r="D32" s="49" t="s">
        <v>79</v>
      </c>
      <c r="E32" s="38">
        <f>E33-E30-E31</f>
        <v>4989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44624</v>
      </c>
      <c r="B36" s="54">
        <v>100.09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44625</v>
      </c>
      <c r="B37" s="54">
        <v>196.25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44626</v>
      </c>
      <c r="B38" s="54">
        <v>136.47</v>
      </c>
      <c r="C38" s="58">
        <v>202</v>
      </c>
      <c r="D38" s="58">
        <v>147</v>
      </c>
      <c r="E38" s="58">
        <v>530</v>
      </c>
      <c r="F38" s="58">
        <v>114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44627</v>
      </c>
      <c r="B39" s="54">
        <v>118.66</v>
      </c>
      <c r="C39" s="60">
        <v>130</v>
      </c>
      <c r="D39" s="60">
        <v>128</v>
      </c>
      <c r="E39" s="60">
        <v>430</v>
      </c>
      <c r="F39" s="60">
        <v>103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44628</v>
      </c>
      <c r="B40" s="62">
        <v>118.67</v>
      </c>
      <c r="C40" s="63" t="s">
        <v>182</v>
      </c>
      <c r="D40" s="64">
        <f>C38+D38+E38+F38</f>
        <v>993</v>
      </c>
      <c r="E40" s="65" t="s">
        <v>69</v>
      </c>
      <c r="F40" s="66">
        <f>C39+D39+E39+F39</f>
        <v>791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44629</v>
      </c>
      <c r="B41" s="54">
        <v>123.6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截止2022年03月13日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44630</v>
      </c>
      <c r="B42" s="54">
        <v>142.12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44631</v>
      </c>
      <c r="B43" s="54">
        <v>138.46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11">
        <f>ROUND(D40/J43,4)</f>
        <v>0.1679</v>
      </c>
      <c r="J43" s="35">
        <v>5913</v>
      </c>
      <c r="K43" s="36" t="s">
        <v>318</v>
      </c>
      <c r="L43" s="56">
        <f>L44+155</f>
        <v>254</v>
      </c>
      <c r="M43" s="56">
        <f>M44+171</f>
        <v>234</v>
      </c>
      <c r="N43" s="56">
        <f>N44+1460</f>
        <v>8455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44632</v>
      </c>
      <c r="B44" s="54">
        <v>182.2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11">
        <f>ROUND(F40/J44,4)</f>
        <v>0.1338</v>
      </c>
      <c r="J44" s="35">
        <v>5913</v>
      </c>
      <c r="K44" s="36" t="s">
        <v>319</v>
      </c>
      <c r="L44" s="56">
        <f>SUM(M20:N20)</f>
        <v>99</v>
      </c>
      <c r="M44" s="56">
        <f>SUM(M23:N23)</f>
        <v>63</v>
      </c>
      <c r="N44" s="56">
        <f>M25</f>
        <v>6995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44633</v>
      </c>
      <c r="B45" s="54">
        <v>129.5</v>
      </c>
      <c r="C45" s="74" t="s">
        <v>228</v>
      </c>
      <c r="D45" s="74">
        <v>6120</v>
      </c>
      <c r="E45" s="74">
        <v>6980</v>
      </c>
      <c r="F45" s="74">
        <f t="shared" si="0"/>
        <v>13100</v>
      </c>
      <c r="G45" s="75"/>
      <c r="H45" s="40" t="s">
        <v>228</v>
      </c>
      <c r="I45" s="111">
        <f>ROUND(F45/J45,4)</f>
        <v>0.0969</v>
      </c>
      <c r="J45" s="35">
        <v>135185</v>
      </c>
      <c r="K45" s="36" t="s">
        <v>320</v>
      </c>
      <c r="L45" s="56">
        <f>D40</f>
        <v>993</v>
      </c>
      <c r="M45" s="56">
        <f>F40</f>
        <v>791</v>
      </c>
      <c r="N45" s="56">
        <f>F45</f>
        <v>13100</v>
      </c>
      <c r="O45" s="56">
        <f>F44</f>
        <v>3878.42</v>
      </c>
      <c r="P45" s="56">
        <f>F43</f>
        <v>8030</v>
      </c>
      <c r="U45" s="4"/>
    </row>
    <row r="46" ht="17.4" spans="1:16">
      <c r="A46" s="130" t="s">
        <v>377</v>
      </c>
      <c r="B46" s="130"/>
      <c r="C46" s="130"/>
      <c r="D46" s="130"/>
      <c r="E46" s="130"/>
      <c r="F46" s="130"/>
      <c r="G46" s="76"/>
      <c r="H46" s="40" t="s">
        <v>229</v>
      </c>
      <c r="I46" s="111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0.0198</v>
      </c>
      <c r="J47" s="35">
        <v>405202.2</v>
      </c>
      <c r="K47" s="36" t="s">
        <v>322</v>
      </c>
      <c r="L47" s="56">
        <f>D40-'2022.2.15'!$D$40</f>
        <v>226</v>
      </c>
      <c r="M47" s="56">
        <f>F40-'2022.2.15'!$F$40</f>
        <v>182</v>
      </c>
      <c r="N47" s="56">
        <f>F45-'2022.2.15'!$F$45</f>
        <v>3135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11</v>
      </c>
      <c r="B48" s="79">
        <f>SUM(C13,C14,E13,E14)</f>
        <v>11</v>
      </c>
      <c r="C48" s="79">
        <f>C15+E15</f>
        <v>615</v>
      </c>
      <c r="D48" s="79">
        <f>C16+E16</f>
        <v>0</v>
      </c>
      <c r="E48" s="79">
        <f>C17+E17</f>
        <v>0</v>
      </c>
      <c r="F48" s="80">
        <f>E3</f>
        <v>129.5</v>
      </c>
      <c r="G48" s="76"/>
      <c r="H48" s="40" t="s">
        <v>231</v>
      </c>
      <c r="I48" s="111">
        <f>ROUND(E7/J48,4)</f>
        <v>0.186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226</v>
      </c>
      <c r="B49" s="79">
        <f>M47</f>
        <v>182</v>
      </c>
      <c r="C49" s="79">
        <f>N47</f>
        <v>3135</v>
      </c>
      <c r="D49" s="79">
        <f>O47</f>
        <v>925.78</v>
      </c>
      <c r="E49" s="79">
        <f>P47</f>
        <v>4818</v>
      </c>
      <c r="F49" s="80">
        <f>J14</f>
        <v>2559.87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254</v>
      </c>
      <c r="B50" s="79">
        <f>M43</f>
        <v>234</v>
      </c>
      <c r="C50" s="79">
        <f>N43</f>
        <v>8455</v>
      </c>
      <c r="D50" s="79">
        <f>O43</f>
        <v>2287.98</v>
      </c>
      <c r="E50" s="79">
        <f>P43</f>
        <v>8030</v>
      </c>
      <c r="F50" s="80">
        <f>K7</f>
        <v>6628.43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13日自年初1月1日起完成产值4701.05万元，自开工累计完成产值16793.81万元，自开工占总产值90284.4万元的18.6%，100章临建完成6000.78万元，400章桥梁完成10793.03万元。已完成梁片预制993片，占设计量的16.79%；梁片安装791片，占设计量的13.38%；湿接缝13100米，占设计量的9.69%；防撞护栏3878.42米，占设计量的5.78%；桥面铺装8030平米，占设计量的1.98%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347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18" workbookViewId="0">
      <selection activeCell="H51" sqref="H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44634</v>
      </c>
      <c r="B3" s="12" t="s">
        <v>7</v>
      </c>
      <c r="C3" s="12">
        <v>0</v>
      </c>
      <c r="D3" s="12">
        <f>ROUND(D11+D12+D15+D16+D17+D13+D14,2)</f>
        <v>60.86</v>
      </c>
      <c r="E3" s="13">
        <f>ROUND(C5+D5,2)</f>
        <v>185.87</v>
      </c>
      <c r="F3" s="14" t="s">
        <v>378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125.01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185.87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0</v>
      </c>
      <c r="D6" s="20">
        <v>4886.92</v>
      </c>
      <c r="E6" s="8">
        <f>ROUND(C6+D6,2)</f>
        <v>4886.92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6000.78</v>
      </c>
      <c r="D7" s="20">
        <v>10978.9</v>
      </c>
      <c r="E7" s="8">
        <f>ROUND(C7+D7,2)</f>
        <v>16979.68</v>
      </c>
      <c r="F7" s="17"/>
      <c r="G7" s="18"/>
      <c r="H7" s="22"/>
      <c r="I7" s="48">
        <f>210+C6</f>
        <v>210</v>
      </c>
      <c r="J7" s="48">
        <f>D6+1717.38</f>
        <v>6604.3</v>
      </c>
      <c r="K7" s="48">
        <f>J7+I7</f>
        <v>6814.3</v>
      </c>
      <c r="L7" s="40"/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44634</v>
      </c>
      <c r="B11" s="32" t="s">
        <v>172</v>
      </c>
      <c r="C11" s="33">
        <v>3</v>
      </c>
      <c r="D11" s="8">
        <v>23.1</v>
      </c>
      <c r="E11" s="33">
        <v>10</v>
      </c>
      <c r="F11" s="8">
        <v>76.93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3</v>
      </c>
      <c r="F12" s="8">
        <v>45.7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f>E7</f>
        <v>16979.68</v>
      </c>
      <c r="K13" s="35"/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3</v>
      </c>
      <c r="F14" s="8">
        <v>0.756</v>
      </c>
      <c r="G14" s="10"/>
      <c r="H14" s="30"/>
      <c r="I14" s="48">
        <v>699.51</v>
      </c>
      <c r="J14" s="48">
        <f>J13-I13</f>
        <v>2745.74</v>
      </c>
      <c r="K14" s="48"/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60.86</v>
      </c>
      <c r="D18" s="8"/>
      <c r="E18" s="8">
        <f>ROUND(F11+F12+F15+F16+F17+F13+F14,2)</f>
        <v>125.01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185.87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36</v>
      </c>
      <c r="N20" s="94">
        <f>D38-81</f>
        <v>68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239</v>
      </c>
      <c r="N21" s="94">
        <f>F38-44</f>
        <v>73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66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182</v>
      </c>
      <c r="N24" s="94">
        <f>F39-7</f>
        <v>99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7155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1846.38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8030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4897.25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354</v>
      </c>
      <c r="D30" s="49" t="s">
        <v>75</v>
      </c>
      <c r="E30" s="38">
        <f>C39+D39</f>
        <v>261</v>
      </c>
      <c r="F30" s="39"/>
      <c r="G30" s="38"/>
    </row>
    <row r="31" spans="1:7">
      <c r="A31" s="37"/>
      <c r="B31" s="49" t="s">
        <v>76</v>
      </c>
      <c r="C31" s="38">
        <f>E38+F38</f>
        <v>657</v>
      </c>
      <c r="D31" s="49" t="s">
        <v>77</v>
      </c>
      <c r="E31" s="38">
        <f>E39+F39</f>
        <v>546</v>
      </c>
      <c r="F31" s="39"/>
      <c r="G31" s="38"/>
    </row>
    <row r="32" spans="1:7">
      <c r="A32" s="37"/>
      <c r="B32" s="49" t="s">
        <v>78</v>
      </c>
      <c r="C32" s="38">
        <f>C33-C30-C31</f>
        <v>4769</v>
      </c>
      <c r="D32" s="49" t="s">
        <v>79</v>
      </c>
      <c r="E32" s="38">
        <f>E33-E30-E31</f>
        <v>4973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44625</v>
      </c>
      <c r="B36" s="54">
        <v>196.25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44626</v>
      </c>
      <c r="B37" s="54">
        <v>136.47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44627</v>
      </c>
      <c r="B38" s="54">
        <v>118.66</v>
      </c>
      <c r="C38" s="58">
        <v>205</v>
      </c>
      <c r="D38" s="58">
        <v>149</v>
      </c>
      <c r="E38" s="58">
        <v>540</v>
      </c>
      <c r="F38" s="58">
        <v>117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44628</v>
      </c>
      <c r="B39" s="54">
        <v>118.67</v>
      </c>
      <c r="C39" s="60">
        <v>130</v>
      </c>
      <c r="D39" s="60">
        <v>131</v>
      </c>
      <c r="E39" s="60">
        <v>440</v>
      </c>
      <c r="F39" s="60">
        <v>106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44629</v>
      </c>
      <c r="B40" s="62">
        <v>123.6</v>
      </c>
      <c r="C40" s="63" t="s">
        <v>182</v>
      </c>
      <c r="D40" s="64">
        <f>C38+D38+E38+F38</f>
        <v>1011</v>
      </c>
      <c r="E40" s="65" t="s">
        <v>69</v>
      </c>
      <c r="F40" s="66">
        <f>C39+D39+E39+F39</f>
        <v>807</v>
      </c>
      <c r="G40" s="61"/>
      <c r="H40" s="67" t="s">
        <v>285</v>
      </c>
      <c r="I40" s="106" t="s">
        <v>286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44630</v>
      </c>
      <c r="B41" s="54">
        <v>142.12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截止2022年03月14日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44631</v>
      </c>
      <c r="B42" s="54">
        <v>138.46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44632</v>
      </c>
      <c r="B43" s="54">
        <v>182.2</v>
      </c>
      <c r="C43" s="74" t="s">
        <v>230</v>
      </c>
      <c r="D43" s="74">
        <v>8030</v>
      </c>
      <c r="E43" s="74"/>
      <c r="F43" s="74">
        <f t="shared" ref="F43:F45" si="0">D43+E43</f>
        <v>8030</v>
      </c>
      <c r="G43" s="73"/>
      <c r="H43" s="40" t="s">
        <v>61</v>
      </c>
      <c r="I43" s="111">
        <f>ROUND(D40/J43,4)</f>
        <v>0.171</v>
      </c>
      <c r="J43" s="35">
        <v>5913</v>
      </c>
      <c r="K43" s="36" t="s">
        <v>318</v>
      </c>
      <c r="L43" s="56">
        <f>L44+155</f>
        <v>259</v>
      </c>
      <c r="M43" s="56">
        <f>M44+171</f>
        <v>237</v>
      </c>
      <c r="N43" s="56">
        <f>N44+1460</f>
        <v>8615</v>
      </c>
      <c r="O43" s="56">
        <f>O44+441.6</f>
        <v>2287.98</v>
      </c>
      <c r="P43" s="56">
        <f>P44+0</f>
        <v>8030</v>
      </c>
      <c r="U43" s="4"/>
    </row>
    <row r="44" ht="15.6" spans="1:21">
      <c r="A44" s="53">
        <v>44633</v>
      </c>
      <c r="B44" s="54">
        <v>129.5</v>
      </c>
      <c r="C44" s="74" t="s">
        <v>229</v>
      </c>
      <c r="D44" s="74">
        <v>2496.72</v>
      </c>
      <c r="E44" s="74">
        <v>1381.7</v>
      </c>
      <c r="F44" s="74">
        <f t="shared" si="0"/>
        <v>3878.42</v>
      </c>
      <c r="G44" s="73"/>
      <c r="H44" s="40" t="s">
        <v>62</v>
      </c>
      <c r="I44" s="111">
        <f>ROUND(F40/J44,4)</f>
        <v>0.1365</v>
      </c>
      <c r="J44" s="35">
        <v>5913</v>
      </c>
      <c r="K44" s="36" t="s">
        <v>319</v>
      </c>
      <c r="L44" s="56">
        <f>SUM(M20:N20)</f>
        <v>104</v>
      </c>
      <c r="M44" s="56">
        <f>SUM(M23:N23)</f>
        <v>66</v>
      </c>
      <c r="N44" s="56">
        <f>M25</f>
        <v>7155</v>
      </c>
      <c r="O44" s="56">
        <f>M26</f>
        <v>1846.38</v>
      </c>
      <c r="P44" s="56">
        <f>M27</f>
        <v>8030</v>
      </c>
      <c r="U44" s="4"/>
    </row>
    <row r="45" ht="15.6" spans="1:21">
      <c r="A45" s="53">
        <v>44634</v>
      </c>
      <c r="B45" s="54">
        <v>185.87</v>
      </c>
      <c r="C45" s="74" t="s">
        <v>228</v>
      </c>
      <c r="D45" s="74">
        <v>6280</v>
      </c>
      <c r="E45" s="74">
        <v>6980</v>
      </c>
      <c r="F45" s="74">
        <f t="shared" si="0"/>
        <v>13260</v>
      </c>
      <c r="G45" s="75"/>
      <c r="H45" s="40" t="s">
        <v>228</v>
      </c>
      <c r="I45" s="111">
        <f>ROUND(F45/J45,4)</f>
        <v>0.0981</v>
      </c>
      <c r="J45" s="35">
        <v>135185</v>
      </c>
      <c r="K45" s="36" t="s">
        <v>320</v>
      </c>
      <c r="L45" s="56">
        <f>D40</f>
        <v>1011</v>
      </c>
      <c r="M45" s="56">
        <f>F40</f>
        <v>807</v>
      </c>
      <c r="N45" s="56">
        <f>F45</f>
        <v>13260</v>
      </c>
      <c r="O45" s="56">
        <f>F44</f>
        <v>3878.42</v>
      </c>
      <c r="P45" s="56">
        <f>F43</f>
        <v>8030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0.0578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0.0198</v>
      </c>
      <c r="J47" s="35">
        <v>405202.2</v>
      </c>
      <c r="K47" s="36" t="s">
        <v>322</v>
      </c>
      <c r="L47" s="56">
        <f>D40-'2022.2.15'!$D$40</f>
        <v>244</v>
      </c>
      <c r="M47" s="56">
        <f>F40-'2022.2.15'!$F$40</f>
        <v>198</v>
      </c>
      <c r="N47" s="56">
        <f>F45-'2022.2.15'!$F$45</f>
        <v>3295</v>
      </c>
      <c r="O47" s="56">
        <f>F44-'2022.2.15'!$F$44</f>
        <v>925.78</v>
      </c>
      <c r="P47" s="56">
        <f>F43-'2022.2.15'!$F$43</f>
        <v>4818</v>
      </c>
    </row>
    <row r="48" spans="1:16">
      <c r="A48" s="79">
        <f>SUM(C11,E11,C12,E12)</f>
        <v>18</v>
      </c>
      <c r="B48" s="79">
        <f>SUM(C13,C14,E13,E14)</f>
        <v>16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185.87</v>
      </c>
      <c r="G48" s="76"/>
      <c r="H48" s="40" t="s">
        <v>231</v>
      </c>
      <c r="I48" s="111">
        <f>ROUND(E7/J48,4)</f>
        <v>0.1881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244</v>
      </c>
      <c r="B49" s="79">
        <f>M47</f>
        <v>198</v>
      </c>
      <c r="C49" s="79">
        <f>N47</f>
        <v>3295</v>
      </c>
      <c r="D49" s="79">
        <f>O47</f>
        <v>925.78</v>
      </c>
      <c r="E49" s="79">
        <f>P47</f>
        <v>4818</v>
      </c>
      <c r="F49" s="80">
        <f>J14</f>
        <v>2745.74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259</v>
      </c>
      <c r="B50" s="79">
        <f>M43</f>
        <v>237</v>
      </c>
      <c r="C50" s="79">
        <f>N43</f>
        <v>8615</v>
      </c>
      <c r="D50" s="79">
        <f>O43</f>
        <v>2287.98</v>
      </c>
      <c r="E50" s="79">
        <f>P43</f>
        <v>8030</v>
      </c>
      <c r="F50" s="80">
        <f>K7</f>
        <v>6814.3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14日自年初1月1日起完成产值4886.92万元，自开工累计完成产值16979.68万元，自开工占总产值90284.4万元的18.81%，100章临建完成6000.78万元，400章桥梁完成10978.9万元。已完成梁片预制1011片，占设计量的17.1%；梁片安装807片，占设计量的13.65%；湿接缝13260米，占设计量的9.81%；防撞护栏3878.42米，占设计量的5.78%；桥面铺装8030平米，占设计量的1.98%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379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10" workbookViewId="0">
      <selection activeCell="V29" sqref="V2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44635</v>
      </c>
      <c r="B3" s="12" t="s">
        <v>7</v>
      </c>
      <c r="C3" s="12">
        <v>0</v>
      </c>
      <c r="D3" s="12">
        <f>ROUND(D11+D12+D15+D16+D17+D13+D14,2)</f>
        <v>104.42</v>
      </c>
      <c r="E3" s="13">
        <f>ROUND(C5+D5,2)</f>
        <v>190.59</v>
      </c>
      <c r="F3" s="14" t="s">
        <v>380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86.17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190.59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0</v>
      </c>
      <c r="D6" s="20">
        <v>5077.51</v>
      </c>
      <c r="E6" s="8">
        <f>ROUND(C6+D6,2)</f>
        <v>5077.51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6000.78</v>
      </c>
      <c r="D7" s="20">
        <v>11169.49</v>
      </c>
      <c r="E7" s="8">
        <f>ROUND(C7+D7,2)</f>
        <v>17170.27</v>
      </c>
      <c r="F7" s="17"/>
      <c r="G7" s="18"/>
      <c r="H7" s="22"/>
      <c r="I7" s="48">
        <f>210+C6</f>
        <v>210</v>
      </c>
      <c r="J7" s="48">
        <f>D6+1717.38</f>
        <v>6794.89</v>
      </c>
      <c r="K7" s="48">
        <f>J7+I7</f>
        <v>7004.89</v>
      </c>
      <c r="L7" s="40"/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44635</v>
      </c>
      <c r="B11" s="32" t="s">
        <v>172</v>
      </c>
      <c r="C11" s="33">
        <v>3</v>
      </c>
      <c r="D11" s="8">
        <v>23.1</v>
      </c>
      <c r="E11" s="33">
        <v>7</v>
      </c>
      <c r="F11" s="8">
        <v>53.83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30.52</v>
      </c>
      <c r="E12" s="33">
        <v>2</v>
      </c>
      <c r="F12" s="8">
        <v>30.47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17170.27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2</v>
      </c>
      <c r="D14" s="8">
        <v>0.504</v>
      </c>
      <c r="E14" s="33">
        <v>1</v>
      </c>
      <c r="F14" s="8">
        <v>0.252</v>
      </c>
      <c r="G14" s="10"/>
      <c r="H14" s="30"/>
      <c r="I14" s="48">
        <v>699.51</v>
      </c>
      <c r="J14" s="48">
        <v>2936.33</v>
      </c>
      <c r="K14" s="48">
        <f>K13-J13</f>
        <v>0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>
        <v>480.96</v>
      </c>
      <c r="D16" s="8">
        <v>50.3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104.42</v>
      </c>
      <c r="D18" s="8"/>
      <c r="E18" s="8">
        <f>ROUND(F11+F12+F15+F16+F17+F13+F14,2)</f>
        <v>86.17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190.59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39</v>
      </c>
      <c r="N20" s="94">
        <f>D38-81</f>
        <v>70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246</v>
      </c>
      <c r="N21" s="94">
        <f>F38-44</f>
        <v>75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68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192</v>
      </c>
      <c r="N24" s="94">
        <f>F39-7</f>
        <v>100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7155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2466.71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5087.84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359</v>
      </c>
      <c r="D30" s="49" t="s">
        <v>75</v>
      </c>
      <c r="E30" s="38">
        <f>C39+D39</f>
        <v>263</v>
      </c>
      <c r="F30" s="39"/>
      <c r="G30" s="38"/>
    </row>
    <row r="31" spans="1:7">
      <c r="A31" s="37"/>
      <c r="B31" s="49" t="s">
        <v>76</v>
      </c>
      <c r="C31" s="38">
        <f>E38+F38</f>
        <v>666</v>
      </c>
      <c r="D31" s="49" t="s">
        <v>77</v>
      </c>
      <c r="E31" s="38">
        <f>E39+F39</f>
        <v>557</v>
      </c>
      <c r="F31" s="39"/>
      <c r="G31" s="38"/>
    </row>
    <row r="32" spans="1:7">
      <c r="A32" s="37"/>
      <c r="B32" s="49" t="s">
        <v>78</v>
      </c>
      <c r="C32" s="38">
        <f>C33-C30-C31</f>
        <v>4755</v>
      </c>
      <c r="D32" s="49" t="s">
        <v>79</v>
      </c>
      <c r="E32" s="38">
        <f>E33-E30-E31</f>
        <v>4960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44626</v>
      </c>
      <c r="B36" s="54">
        <v>136.47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44627</v>
      </c>
      <c r="B37" s="54">
        <v>118.66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44628</v>
      </c>
      <c r="B38" s="54">
        <v>118.67</v>
      </c>
      <c r="C38" s="58">
        <v>208</v>
      </c>
      <c r="D38" s="58">
        <v>151</v>
      </c>
      <c r="E38" s="58">
        <v>547</v>
      </c>
      <c r="F38" s="58">
        <v>119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44629</v>
      </c>
      <c r="B39" s="54">
        <v>123.6</v>
      </c>
      <c r="C39" s="60">
        <v>130</v>
      </c>
      <c r="D39" s="60">
        <v>133</v>
      </c>
      <c r="E39" s="60">
        <v>450</v>
      </c>
      <c r="F39" s="60">
        <v>107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44630</v>
      </c>
      <c r="B40" s="62">
        <v>142.12</v>
      </c>
      <c r="C40" s="63" t="s">
        <v>182</v>
      </c>
      <c r="D40" s="64">
        <f>C38+D38+E38+F38</f>
        <v>1025</v>
      </c>
      <c r="E40" s="65" t="s">
        <v>69</v>
      </c>
      <c r="F40" s="66">
        <f>C39+D39+E39+F39</f>
        <v>820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44631</v>
      </c>
      <c r="B41" s="54">
        <v>138.46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截止2022年03月15日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44632</v>
      </c>
      <c r="B42" s="54">
        <v>182.2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44633</v>
      </c>
      <c r="B43" s="54">
        <v>129.5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0.1733</v>
      </c>
      <c r="J43" s="35">
        <v>5913</v>
      </c>
      <c r="K43" s="36" t="s">
        <v>318</v>
      </c>
      <c r="L43" s="56">
        <f>L44+155</f>
        <v>264</v>
      </c>
      <c r="M43" s="56">
        <f>M44+171</f>
        <v>239</v>
      </c>
      <c r="N43" s="56">
        <f>N44+1460</f>
        <v>8615</v>
      </c>
      <c r="O43" s="56">
        <f>O44+441.6</f>
        <v>2908.31</v>
      </c>
      <c r="P43" s="56">
        <f>P44+0</f>
        <v>6130.99</v>
      </c>
      <c r="U43" s="4"/>
    </row>
    <row r="44" ht="15.6" spans="1:21">
      <c r="A44" s="53">
        <v>44634</v>
      </c>
      <c r="B44" s="54">
        <v>185.87</v>
      </c>
      <c r="C44" s="74" t="s">
        <v>229</v>
      </c>
      <c r="D44" s="74">
        <f>2807.9+500</f>
        <v>3307.9</v>
      </c>
      <c r="E44" s="74">
        <v>1190.85</v>
      </c>
      <c r="F44" s="74">
        <f t="shared" si="0"/>
        <v>4498.75</v>
      </c>
      <c r="G44" s="73"/>
      <c r="H44" s="40" t="s">
        <v>62</v>
      </c>
      <c r="I44" s="111">
        <f>ROUND(F40/J44,4)</f>
        <v>0.1387</v>
      </c>
      <c r="J44" s="35">
        <v>5913</v>
      </c>
      <c r="K44" s="36" t="s">
        <v>319</v>
      </c>
      <c r="L44" s="56">
        <f>SUM(M20:N20)</f>
        <v>109</v>
      </c>
      <c r="M44" s="56">
        <f>SUM(M23:N23)</f>
        <v>68</v>
      </c>
      <c r="N44" s="56">
        <f>M25</f>
        <v>7155</v>
      </c>
      <c r="O44" s="56">
        <f>M26</f>
        <v>2466.71</v>
      </c>
      <c r="P44" s="56">
        <f>M27</f>
        <v>6130.99</v>
      </c>
      <c r="U44" s="4"/>
    </row>
    <row r="45" ht="15.6" spans="1:21">
      <c r="A45" s="53">
        <v>44635</v>
      </c>
      <c r="B45" s="54">
        <v>190.59</v>
      </c>
      <c r="C45" s="74" t="s">
        <v>228</v>
      </c>
      <c r="D45" s="74">
        <v>6280</v>
      </c>
      <c r="E45" s="74">
        <v>6980</v>
      </c>
      <c r="F45" s="74">
        <f t="shared" si="0"/>
        <v>13260</v>
      </c>
      <c r="G45" s="75"/>
      <c r="H45" s="40" t="s">
        <v>228</v>
      </c>
      <c r="I45" s="111">
        <f>ROUND(F45/J45,4)</f>
        <v>0.0981</v>
      </c>
      <c r="J45" s="35">
        <v>135185</v>
      </c>
      <c r="K45" s="36" t="s">
        <v>320</v>
      </c>
      <c r="L45" s="56">
        <f>D40</f>
        <v>1025</v>
      </c>
      <c r="M45" s="56">
        <f>F40</f>
        <v>820</v>
      </c>
      <c r="N45" s="56">
        <f>F45</f>
        <v>13260</v>
      </c>
      <c r="O45" s="56">
        <f>F44</f>
        <v>4498.75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D40-'2022.2.15'!$D$40</f>
        <v>258</v>
      </c>
      <c r="M47" s="56">
        <f>F40-'2022.2.15'!$F$40</f>
        <v>211</v>
      </c>
      <c r="N47" s="56">
        <f>F45-'2022.2.15'!$F$45</f>
        <v>3295</v>
      </c>
      <c r="O47" s="56">
        <f>F44-'2022.2.15'!$F$44</f>
        <v>1546.11</v>
      </c>
      <c r="P47" s="56">
        <f>F43-'2022.2.15'!$F$43</f>
        <v>2918.99</v>
      </c>
    </row>
    <row r="48" spans="1:16">
      <c r="A48" s="79">
        <f>SUM(C11,E11,C12,E12)</f>
        <v>14</v>
      </c>
      <c r="B48" s="79">
        <f>SUM(C13,C14,E13,E14)</f>
        <v>13</v>
      </c>
      <c r="C48" s="79">
        <f>C15+E15</f>
        <v>0</v>
      </c>
      <c r="D48" s="79">
        <f>C16+E16</f>
        <v>480.96</v>
      </c>
      <c r="E48" s="79">
        <f>C17+E17</f>
        <v>0</v>
      </c>
      <c r="F48" s="80">
        <f>E3</f>
        <v>190.59</v>
      </c>
      <c r="G48" s="76"/>
      <c r="H48" s="40" t="s">
        <v>231</v>
      </c>
      <c r="I48" s="111">
        <f>ROUND(E7/J48,4)</f>
        <v>0.1902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258</v>
      </c>
      <c r="B49" s="79">
        <f>M47</f>
        <v>211</v>
      </c>
      <c r="C49" s="79">
        <f>N47</f>
        <v>3295</v>
      </c>
      <c r="D49" s="79">
        <f>O47</f>
        <v>1546.11</v>
      </c>
      <c r="E49" s="79">
        <f>P47</f>
        <v>2918.99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264</v>
      </c>
      <c r="B50" s="79">
        <f>M43</f>
        <v>239</v>
      </c>
      <c r="C50" s="79">
        <f>N43</f>
        <v>8615</v>
      </c>
      <c r="D50" s="79">
        <f>O43</f>
        <v>2908.31</v>
      </c>
      <c r="E50" s="79">
        <f>P43</f>
        <v>6130.99</v>
      </c>
      <c r="F50" s="80">
        <f>K7</f>
        <v>7004.89</v>
      </c>
    </row>
    <row r="51" ht="75" customHeight="1" spans="1:11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15日自年初1月1日起完成产值5077.51万元，自开工累计完成产值17170.27万元，自开工占总产值90284.4万元的19.02%，100章临建完成6000.78万元，400章桥梁完成11169.49万元。已完成梁片预制1025片，占设计量的17.33%；梁片安装820片，占设计量的13.87%；湿接缝13260米，占设计量的9.81%；防撞护栏4498.75米，占设计量的6.7%；桥面铺装6130.99平米，占设计量的1.51%。</v>
      </c>
      <c r="B51" s="83"/>
      <c r="C51" s="83"/>
      <c r="D51" s="83"/>
      <c r="E51" s="83"/>
      <c r="F51" s="84"/>
      <c r="I51" s="112" t="s">
        <v>382</v>
      </c>
      <c r="J51" s="3" t="s">
        <v>229</v>
      </c>
      <c r="K51" s="3">
        <v>50.4</v>
      </c>
    </row>
    <row r="52" ht="25.05" customHeight="1" spans="1:15">
      <c r="A52" s="129" t="s">
        <v>379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V29" sqref="V2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44636</v>
      </c>
      <c r="B3" s="12" t="s">
        <v>7</v>
      </c>
      <c r="C3" s="12">
        <v>0</v>
      </c>
      <c r="D3" s="12">
        <f>ROUND(D11+D12+D15+D16+D17+D13+D14,2)</f>
        <v>61.14</v>
      </c>
      <c r="E3" s="13">
        <f>ROUND(C5+D5,2)</f>
        <v>78.8</v>
      </c>
      <c r="F3" s="14" t="s">
        <v>383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17.66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78.8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0</v>
      </c>
      <c r="D6" s="20">
        <v>5156.31</v>
      </c>
      <c r="E6" s="8">
        <f>ROUND(C6+D6,2)</f>
        <v>5156.31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6000.78</v>
      </c>
      <c r="D7" s="20">
        <v>11248.29</v>
      </c>
      <c r="E7" s="8">
        <f>ROUND(C7+D7,2)</f>
        <v>17249.07</v>
      </c>
      <c r="F7" s="17"/>
      <c r="G7" s="18"/>
      <c r="H7" s="22"/>
      <c r="I7" s="48">
        <f>210+C6</f>
        <v>210</v>
      </c>
      <c r="J7" s="48">
        <f>D6+1717.38</f>
        <v>6873.69</v>
      </c>
      <c r="K7" s="48">
        <f>J7+I7</f>
        <v>7083.69</v>
      </c>
      <c r="L7" s="40"/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44636</v>
      </c>
      <c r="B11" s="32" t="s">
        <v>172</v>
      </c>
      <c r="C11" s="33">
        <v>3</v>
      </c>
      <c r="D11" s="8">
        <v>23.28</v>
      </c>
      <c r="E11" s="33">
        <v>2</v>
      </c>
      <c r="F11" s="8">
        <v>15.28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30.57</v>
      </c>
      <c r="E12" s="33">
        <v>0</v>
      </c>
      <c r="F12" s="8"/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17249.07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78.7999999999993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61.14</v>
      </c>
      <c r="D18" s="8"/>
      <c r="E18" s="8">
        <f>ROUND(F11+F12+F15+F16+F17+F13+F14,2)</f>
        <v>17.66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78.8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44</v>
      </c>
      <c r="N20" s="94">
        <f>D38-81</f>
        <v>75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248</v>
      </c>
      <c r="N21" s="94">
        <f>F38-44</f>
        <v>75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75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212</v>
      </c>
      <c r="N24" s="94">
        <f>F39-7</f>
        <v>103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7315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2126.39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5166.64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369</v>
      </c>
      <c r="D30" s="49" t="s">
        <v>75</v>
      </c>
      <c r="E30" s="38">
        <f>C39+D39</f>
        <v>270</v>
      </c>
      <c r="F30" s="39"/>
      <c r="G30" s="38"/>
    </row>
    <row r="31" spans="1:7">
      <c r="A31" s="37"/>
      <c r="B31" s="49" t="s">
        <v>76</v>
      </c>
      <c r="C31" s="38">
        <f>E38+F38</f>
        <v>668</v>
      </c>
      <c r="D31" s="49" t="s">
        <v>77</v>
      </c>
      <c r="E31" s="38">
        <f>E39+F39</f>
        <v>580</v>
      </c>
      <c r="F31" s="39"/>
      <c r="G31" s="38"/>
    </row>
    <row r="32" spans="1:7">
      <c r="A32" s="37"/>
      <c r="B32" s="49" t="s">
        <v>78</v>
      </c>
      <c r="C32" s="38">
        <f>C33-C30-C31</f>
        <v>4743</v>
      </c>
      <c r="D32" s="49" t="s">
        <v>79</v>
      </c>
      <c r="E32" s="38">
        <f>E33-E30-E31</f>
        <v>4930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44627</v>
      </c>
      <c r="B36" s="54">
        <v>118.66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44628</v>
      </c>
      <c r="B37" s="54">
        <v>118.67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44629</v>
      </c>
      <c r="B38" s="54">
        <v>123.6</v>
      </c>
      <c r="C38" s="58">
        <v>213</v>
      </c>
      <c r="D38" s="58">
        <v>156</v>
      </c>
      <c r="E38" s="58">
        <v>549</v>
      </c>
      <c r="F38" s="58">
        <v>119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44630</v>
      </c>
      <c r="B39" s="54">
        <v>142.12</v>
      </c>
      <c r="C39" s="60">
        <v>130</v>
      </c>
      <c r="D39" s="60">
        <v>140</v>
      </c>
      <c r="E39" s="60">
        <v>470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44631</v>
      </c>
      <c r="B40" s="62">
        <v>138.46</v>
      </c>
      <c r="C40" s="63" t="s">
        <v>182</v>
      </c>
      <c r="D40" s="64">
        <f>C38+D38+E38+F38</f>
        <v>1037</v>
      </c>
      <c r="E40" s="65" t="s">
        <v>69</v>
      </c>
      <c r="F40" s="66">
        <f>C39+D39+E39+F39</f>
        <v>850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44632</v>
      </c>
      <c r="B41" s="54">
        <v>182.2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截止2022年03月16日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44633</v>
      </c>
      <c r="B42" s="54">
        <v>129.5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44634</v>
      </c>
      <c r="B43" s="54">
        <v>185.87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0.1754</v>
      </c>
      <c r="J43" s="35">
        <v>5913</v>
      </c>
      <c r="K43" s="36" t="s">
        <v>318</v>
      </c>
      <c r="L43" s="56">
        <f>L44+155</f>
        <v>274</v>
      </c>
      <c r="M43" s="56">
        <f>M44+171</f>
        <v>246</v>
      </c>
      <c r="N43" s="56">
        <f>N44+1460</f>
        <v>8775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44635</v>
      </c>
      <c r="B44" s="54">
        <v>190.59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11">
        <f>ROUND(F40/J44,4)</f>
        <v>0.1438</v>
      </c>
      <c r="J44" s="35">
        <v>5913</v>
      </c>
      <c r="K44" s="36" t="s">
        <v>319</v>
      </c>
      <c r="L44" s="56">
        <f>SUM(M20:N20)</f>
        <v>119</v>
      </c>
      <c r="M44" s="56">
        <f>SUM(M23:N23)</f>
        <v>75</v>
      </c>
      <c r="N44" s="56">
        <f>M25</f>
        <v>7315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44636</v>
      </c>
      <c r="B45" s="54">
        <v>78.8</v>
      </c>
      <c r="C45" s="74" t="s">
        <v>228</v>
      </c>
      <c r="D45" s="74">
        <v>6440</v>
      </c>
      <c r="E45" s="74">
        <v>6980</v>
      </c>
      <c r="F45" s="74">
        <f t="shared" si="0"/>
        <v>13420</v>
      </c>
      <c r="G45" s="75"/>
      <c r="H45" s="40" t="s">
        <v>228</v>
      </c>
      <c r="I45" s="111">
        <f>ROUND(F45/J45,4)</f>
        <v>0.0993</v>
      </c>
      <c r="J45" s="35">
        <v>135185</v>
      </c>
      <c r="K45" s="36" t="s">
        <v>320</v>
      </c>
      <c r="L45" s="56">
        <f>D40</f>
        <v>1037</v>
      </c>
      <c r="M45" s="56">
        <f>F40</f>
        <v>850</v>
      </c>
      <c r="N45" s="56">
        <f>F45</f>
        <v>13420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D40-'2022.2.15'!$D$40</f>
        <v>270</v>
      </c>
      <c r="M47" s="56">
        <f>F40-'2022.2.15'!$F$40</f>
        <v>241</v>
      </c>
      <c r="N47" s="56">
        <f>F45-'2022.2.15'!$F$45</f>
        <v>3455</v>
      </c>
      <c r="O47" s="56">
        <f>F44-'2022.2.15'!$F$44</f>
        <v>1205.79</v>
      </c>
      <c r="P47" s="56">
        <f>F43-'2022.2.15'!$F$43</f>
        <v>2918.99</v>
      </c>
    </row>
    <row r="48" spans="1:16">
      <c r="A48" s="79">
        <f>SUM(C11,E11,C12,E12)</f>
        <v>7</v>
      </c>
      <c r="B48" s="79">
        <f>SUM(C13,C14,E13,E14)</f>
        <v>16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78.8</v>
      </c>
      <c r="G48" s="76"/>
      <c r="H48" s="40" t="s">
        <v>231</v>
      </c>
      <c r="I48" s="111">
        <f>ROUND(E7/J48,4)</f>
        <v>0.1911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270</v>
      </c>
      <c r="B49" s="79">
        <f>M47</f>
        <v>241</v>
      </c>
      <c r="C49" s="79">
        <f>N47</f>
        <v>3455</v>
      </c>
      <c r="D49" s="79">
        <f>O47</f>
        <v>1205.79</v>
      </c>
      <c r="E49" s="79">
        <f>P47</f>
        <v>2918.99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274</v>
      </c>
      <c r="B50" s="79">
        <f>M43</f>
        <v>246</v>
      </c>
      <c r="C50" s="79">
        <f>N43</f>
        <v>8775</v>
      </c>
      <c r="D50" s="79">
        <f>O43</f>
        <v>2567.99</v>
      </c>
      <c r="E50" s="79">
        <f>P43</f>
        <v>6130.99</v>
      </c>
      <c r="F50" s="80">
        <f>K7</f>
        <v>7083.69</v>
      </c>
    </row>
    <row r="51" ht="75" customHeight="1" spans="1:11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16日自年初1月1日起完成产值5156.31万元，自开工累计完成产值17249.07万元，自开工占总产值90284.4万元的19.11%，100章临建完成6000.78万元，400章桥梁完成11248.29万元。已完成梁片预制1037片，占设计量的17.54%；梁片安装850片，占设计量的14.38%；湿接缝13420米，占设计量的9.93%；防撞护栏4158.43米，占设计量的6.2%；桥面铺装6130.99平米，占设计量的1.51%。</v>
      </c>
      <c r="B51" s="83"/>
      <c r="C51" s="83"/>
      <c r="D51" s="83"/>
      <c r="E51" s="83"/>
      <c r="F51" s="84"/>
      <c r="I51" s="112" t="s">
        <v>382</v>
      </c>
      <c r="J51" s="3" t="s">
        <v>229</v>
      </c>
      <c r="K51" s="3">
        <v>50.4</v>
      </c>
    </row>
    <row r="52" ht="25.05" customHeight="1" spans="1:15">
      <c r="A52" s="129" t="s">
        <v>379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R48" sqref="R4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44637</v>
      </c>
      <c r="B3" s="12" t="s">
        <v>7</v>
      </c>
      <c r="C3" s="12">
        <v>0</v>
      </c>
      <c r="D3" s="12">
        <f>ROUND(D11+D12+D15+D16+D17+D13+D14,2)</f>
        <v>79.16</v>
      </c>
      <c r="E3" s="13">
        <f>ROUND(C5+D5,2)</f>
        <v>130.78</v>
      </c>
      <c r="F3" s="14" t="s">
        <v>384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1.62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80.78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50</v>
      </c>
      <c r="D6" s="20">
        <v>5237.09</v>
      </c>
      <c r="E6" s="8">
        <f>ROUND(C6+D6,2)</f>
        <v>5287.09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6050.78</v>
      </c>
      <c r="D7" s="20">
        <v>11329.07</v>
      </c>
      <c r="E7" s="8">
        <f>ROUND(C7+D7,2)</f>
        <v>17379.85</v>
      </c>
      <c r="F7" s="17"/>
      <c r="G7" s="18"/>
      <c r="H7" s="22"/>
      <c r="I7" s="48">
        <f>210+C6</f>
        <v>260</v>
      </c>
      <c r="J7" s="48">
        <f>D6+1717.38</f>
        <v>6954.47</v>
      </c>
      <c r="K7" s="48">
        <f>J7+I7</f>
        <v>7214.47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44637</v>
      </c>
      <c r="B11" s="32" t="s">
        <v>172</v>
      </c>
      <c r="C11" s="33">
        <v>2</v>
      </c>
      <c r="D11" s="8">
        <v>15.46</v>
      </c>
      <c r="E11" s="33">
        <v>0</v>
      </c>
      <c r="F11" s="8"/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45.84</v>
      </c>
      <c r="E12" s="33">
        <v>0</v>
      </c>
      <c r="F12" s="8"/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17379.85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4</v>
      </c>
      <c r="D14" s="8">
        <v>1.008</v>
      </c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209.579999999998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>
        <v>159.68</v>
      </c>
      <c r="D16" s="8">
        <v>16.85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79.16</v>
      </c>
      <c r="D18" s="8"/>
      <c r="E18" s="8">
        <f>ROUND(F11+F12+F15+F16+F17+F13+F14,2)</f>
        <v>1.62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80.78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44</v>
      </c>
      <c r="N20" s="94">
        <f>D38-81</f>
        <v>75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248</v>
      </c>
      <c r="N21" s="94">
        <f>F38-44</f>
        <v>75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75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212</v>
      </c>
      <c r="N24" s="94">
        <f>F39-7</f>
        <v>103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7315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2126.39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5297.42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369</v>
      </c>
      <c r="D30" s="49" t="s">
        <v>75</v>
      </c>
      <c r="E30" s="38">
        <f>C39+D39</f>
        <v>270</v>
      </c>
      <c r="F30" s="39"/>
      <c r="G30" s="38"/>
    </row>
    <row r="31" spans="1:7">
      <c r="A31" s="37"/>
      <c r="B31" s="49" t="s">
        <v>76</v>
      </c>
      <c r="C31" s="38">
        <f>E38+F38</f>
        <v>668</v>
      </c>
      <c r="D31" s="49" t="s">
        <v>77</v>
      </c>
      <c r="E31" s="38">
        <f>E39+F39</f>
        <v>580</v>
      </c>
      <c r="F31" s="39"/>
      <c r="G31" s="38"/>
    </row>
    <row r="32" spans="1:7">
      <c r="A32" s="37"/>
      <c r="B32" s="49" t="s">
        <v>78</v>
      </c>
      <c r="C32" s="38">
        <f>C33-C30-C31</f>
        <v>4743</v>
      </c>
      <c r="D32" s="49" t="s">
        <v>79</v>
      </c>
      <c r="E32" s="38">
        <f>E33-E30-E31</f>
        <v>4930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44628</v>
      </c>
      <c r="B36" s="54">
        <v>118.67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44629</v>
      </c>
      <c r="B37" s="54">
        <v>123.6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44630</v>
      </c>
      <c r="B38" s="54">
        <v>142.12</v>
      </c>
      <c r="C38" s="58">
        <v>213</v>
      </c>
      <c r="D38" s="58">
        <v>156</v>
      </c>
      <c r="E38" s="58">
        <v>549</v>
      </c>
      <c r="F38" s="58">
        <v>119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44631</v>
      </c>
      <c r="B39" s="54">
        <v>138.46</v>
      </c>
      <c r="C39" s="60">
        <v>130</v>
      </c>
      <c r="D39" s="60">
        <v>140</v>
      </c>
      <c r="E39" s="60">
        <v>470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44632</v>
      </c>
      <c r="B40" s="62">
        <v>182.2</v>
      </c>
      <c r="C40" s="63" t="s">
        <v>182</v>
      </c>
      <c r="D40" s="64">
        <f>C38+D38+E38+F38</f>
        <v>1037</v>
      </c>
      <c r="E40" s="65" t="s">
        <v>69</v>
      </c>
      <c r="F40" s="66">
        <f>C39+D39+E39+F39</f>
        <v>850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44633</v>
      </c>
      <c r="B41" s="54">
        <v>129.5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截止2022年03月17日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44634</v>
      </c>
      <c r="B42" s="54">
        <v>185.87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44635</v>
      </c>
      <c r="B43" s="54">
        <v>190.59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0.1754</v>
      </c>
      <c r="J43" s="35">
        <v>5913</v>
      </c>
      <c r="K43" s="36" t="s">
        <v>318</v>
      </c>
      <c r="L43" s="56">
        <f>L44+155</f>
        <v>274</v>
      </c>
      <c r="M43" s="56">
        <f>M44+171</f>
        <v>246</v>
      </c>
      <c r="N43" s="56">
        <f>N44+1460</f>
        <v>8775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44636</v>
      </c>
      <c r="B44" s="54">
        <v>78.8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11">
        <f>ROUND(F40/J44,4)</f>
        <v>0.1438</v>
      </c>
      <c r="J44" s="35">
        <v>5913</v>
      </c>
      <c r="K44" s="36" t="s">
        <v>319</v>
      </c>
      <c r="L44" s="56">
        <f>SUM(M20:N20)</f>
        <v>119</v>
      </c>
      <c r="M44" s="56">
        <f>SUM(M23:N23)</f>
        <v>75</v>
      </c>
      <c r="N44" s="56">
        <f>M25</f>
        <v>7315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44637</v>
      </c>
      <c r="B45" s="54">
        <v>130.78</v>
      </c>
      <c r="C45" s="74" t="s">
        <v>228</v>
      </c>
      <c r="D45" s="74">
        <v>6440</v>
      </c>
      <c r="E45" s="74">
        <v>6980</v>
      </c>
      <c r="F45" s="74">
        <f t="shared" si="0"/>
        <v>13420</v>
      </c>
      <c r="G45" s="75"/>
      <c r="H45" s="40" t="s">
        <v>228</v>
      </c>
      <c r="I45" s="111">
        <f>ROUND(F45/J45,4)</f>
        <v>0.0993</v>
      </c>
      <c r="J45" s="35">
        <v>135185</v>
      </c>
      <c r="K45" s="36" t="s">
        <v>320</v>
      </c>
      <c r="L45" s="56">
        <f>D40</f>
        <v>1037</v>
      </c>
      <c r="M45" s="56">
        <f>F40</f>
        <v>850</v>
      </c>
      <c r="N45" s="56">
        <f>F45</f>
        <v>13420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D40-'2022.2.15'!$D$40</f>
        <v>270</v>
      </c>
      <c r="M47" s="56">
        <f>F40-'2022.2.15'!$F$40</f>
        <v>241</v>
      </c>
      <c r="N47" s="56">
        <f>F45-'2022.2.15'!$F$45</f>
        <v>3455</v>
      </c>
      <c r="O47" s="56">
        <f>F44-'2022.2.15'!$F$44</f>
        <v>1205.79</v>
      </c>
      <c r="P47" s="56">
        <f>F43-'2022.2.15'!$F$43</f>
        <v>2918.99</v>
      </c>
    </row>
    <row r="48" spans="1:16">
      <c r="A48" s="79">
        <f>SUM(C11,E11,C12,E12)</f>
        <v>5</v>
      </c>
      <c r="B48" s="79">
        <f>SUM(C13,C14,E13,E14)</f>
        <v>14</v>
      </c>
      <c r="C48" s="79">
        <f>C15+E15</f>
        <v>0</v>
      </c>
      <c r="D48" s="79">
        <f>C16+E16</f>
        <v>159.68</v>
      </c>
      <c r="E48" s="79">
        <f>C17+E17</f>
        <v>0</v>
      </c>
      <c r="F48" s="80">
        <f>E3</f>
        <v>130.78</v>
      </c>
      <c r="G48" s="76"/>
      <c r="H48" s="40" t="s">
        <v>231</v>
      </c>
      <c r="I48" s="111">
        <f>ROUND(E7/J48,4)</f>
        <v>0.1925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270</v>
      </c>
      <c r="B49" s="79">
        <f>M47</f>
        <v>241</v>
      </c>
      <c r="C49" s="79">
        <f>N47</f>
        <v>3455</v>
      </c>
      <c r="D49" s="79">
        <f>O47</f>
        <v>1205.79</v>
      </c>
      <c r="E49" s="79">
        <f>P47</f>
        <v>2918.99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274</v>
      </c>
      <c r="B50" s="79">
        <f>M43</f>
        <v>246</v>
      </c>
      <c r="C50" s="79">
        <f>N43</f>
        <v>8775</v>
      </c>
      <c r="D50" s="79">
        <f>O43</f>
        <v>2567.99</v>
      </c>
      <c r="E50" s="79">
        <f>P43</f>
        <v>6130.99</v>
      </c>
      <c r="F50" s="80">
        <f>K7</f>
        <v>7214.47</v>
      </c>
    </row>
    <row r="51" ht="75" customHeight="1" spans="1:11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17日自年初1月1日起完成产值5287.09万元，自开工累计完成产值17379.85万元，自开工占总产值90284.4万元的19.25%，100章临建完成6050.78万元，400章桥梁完成11329.07万元。已完成梁片预制1037片，占设计量的17.54%；梁片安装850片，占设计量的14.38%；湿接缝13420米，占设计量的9.93%；防撞护栏4158.43米，占设计量的6.2%；桥面铺装6130.99平米，占设计量的1.51%。</v>
      </c>
      <c r="B51" s="83"/>
      <c r="C51" s="83"/>
      <c r="D51" s="83"/>
      <c r="E51" s="83"/>
      <c r="F51" s="84"/>
      <c r="I51" s="112" t="s">
        <v>382</v>
      </c>
      <c r="J51" s="3" t="s">
        <v>229</v>
      </c>
      <c r="K51" s="3">
        <v>50.4</v>
      </c>
    </row>
    <row r="52" ht="25.05" customHeight="1" spans="1:15">
      <c r="A52" s="129" t="s">
        <v>379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18" workbookViewId="0">
      <selection activeCell="H52" sqref="H5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44638</v>
      </c>
      <c r="B3" s="12" t="s">
        <v>7</v>
      </c>
      <c r="C3" s="12">
        <v>0</v>
      </c>
      <c r="D3" s="12">
        <f>ROUND(D11+D12+D15+D16+D17+D13+D14,2)</f>
        <v>30.71</v>
      </c>
      <c r="E3" s="13">
        <f>ROUND(C5+D5,2)</f>
        <v>105.36</v>
      </c>
      <c r="F3" s="14" t="s">
        <v>385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24.65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55.36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100</v>
      </c>
      <c r="D6" s="20">
        <v>5292.45</v>
      </c>
      <c r="E6" s="8">
        <f>ROUND(C6+D6,2)</f>
        <v>5392.45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6100.78</v>
      </c>
      <c r="D7" s="20">
        <v>11384.43</v>
      </c>
      <c r="E7" s="8">
        <f>ROUND(C7+D7,2)</f>
        <v>17485.21</v>
      </c>
      <c r="F7" s="17"/>
      <c r="G7" s="18"/>
      <c r="H7" s="22"/>
      <c r="I7" s="48">
        <f>210+C6</f>
        <v>310</v>
      </c>
      <c r="J7" s="48">
        <f>D6+1717.38</f>
        <v>7009.83</v>
      </c>
      <c r="K7" s="48">
        <f>J7+I7</f>
        <v>7319.83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44638</v>
      </c>
      <c r="B11" s="32" t="s">
        <v>172</v>
      </c>
      <c r="C11" s="33">
        <v>2</v>
      </c>
      <c r="D11" s="8">
        <v>15.43</v>
      </c>
      <c r="E11" s="33">
        <v>1</v>
      </c>
      <c r="F11" s="8">
        <v>7.64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1</v>
      </c>
      <c r="D12" s="8">
        <v>15.28</v>
      </c>
      <c r="E12" s="33">
        <v>1</v>
      </c>
      <c r="F12" s="8">
        <v>15.23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11</v>
      </c>
      <c r="F13" s="8">
        <v>1.782</v>
      </c>
      <c r="G13" s="10"/>
      <c r="H13" s="30"/>
      <c r="I13" s="35">
        <v>14233.94</v>
      </c>
      <c r="J13" s="35">
        <v>17170.27</v>
      </c>
      <c r="K13" s="35">
        <f>E7</f>
        <v>17485.21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314.939999999999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30.71</v>
      </c>
      <c r="D18" s="8"/>
      <c r="E18" s="8">
        <f>ROUND(F11+F12+F15+F16+F17+F13+F14,2)</f>
        <v>24.65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55.36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46</v>
      </c>
      <c r="N20" s="94">
        <f>D38-81</f>
        <v>76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249</v>
      </c>
      <c r="N21" s="94">
        <f>F38-44</f>
        <v>76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0</v>
      </c>
      <c r="N23" s="94">
        <f>D39-65</f>
        <v>75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223</v>
      </c>
      <c r="N24" s="94">
        <f>F39-7</f>
        <v>103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7315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2126.39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5402.78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372</v>
      </c>
      <c r="D30" s="49" t="s">
        <v>75</v>
      </c>
      <c r="E30" s="38">
        <f>C39+D39</f>
        <v>270</v>
      </c>
      <c r="F30" s="39"/>
      <c r="G30" s="38"/>
    </row>
    <row r="31" spans="1:7">
      <c r="A31" s="37"/>
      <c r="B31" s="49" t="s">
        <v>76</v>
      </c>
      <c r="C31" s="38">
        <f>E38+F38</f>
        <v>670</v>
      </c>
      <c r="D31" s="49" t="s">
        <v>77</v>
      </c>
      <c r="E31" s="38">
        <f>E39+F39</f>
        <v>591</v>
      </c>
      <c r="F31" s="39"/>
      <c r="G31" s="38"/>
    </row>
    <row r="32" spans="1:7">
      <c r="A32" s="37"/>
      <c r="B32" s="49" t="s">
        <v>78</v>
      </c>
      <c r="C32" s="38">
        <f>C33-C30-C31</f>
        <v>4738</v>
      </c>
      <c r="D32" s="49" t="s">
        <v>79</v>
      </c>
      <c r="E32" s="38">
        <f>E33-E30-E31</f>
        <v>4919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44629</v>
      </c>
      <c r="B36" s="54">
        <v>123.6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44630</v>
      </c>
      <c r="B37" s="54">
        <v>142.12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44631</v>
      </c>
      <c r="B38" s="54">
        <v>138.46</v>
      </c>
      <c r="C38" s="58">
        <v>215</v>
      </c>
      <c r="D38" s="58">
        <v>157</v>
      </c>
      <c r="E38" s="58">
        <v>550</v>
      </c>
      <c r="F38" s="58">
        <v>120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44632</v>
      </c>
      <c r="B39" s="54">
        <v>182.2</v>
      </c>
      <c r="C39" s="60">
        <v>130</v>
      </c>
      <c r="D39" s="60">
        <v>140</v>
      </c>
      <c r="E39" s="60">
        <v>481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44633</v>
      </c>
      <c r="B40" s="62">
        <v>129.5</v>
      </c>
      <c r="C40" s="63" t="s">
        <v>182</v>
      </c>
      <c r="D40" s="64">
        <f>C38+D38+E38+F38</f>
        <v>1042</v>
      </c>
      <c r="E40" s="65" t="s">
        <v>69</v>
      </c>
      <c r="F40" s="66">
        <f>C39+D39+E39+F39</f>
        <v>861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44634</v>
      </c>
      <c r="B41" s="54">
        <v>185.87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截止2022年03月18日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44635</v>
      </c>
      <c r="B42" s="54">
        <v>190.59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44636</v>
      </c>
      <c r="B43" s="54">
        <v>78.8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0.1762</v>
      </c>
      <c r="J43" s="35">
        <v>5913</v>
      </c>
      <c r="K43" s="36" t="s">
        <v>318</v>
      </c>
      <c r="L43" s="56">
        <f>L44+155</f>
        <v>277</v>
      </c>
      <c r="M43" s="56">
        <f>M44+171</f>
        <v>246</v>
      </c>
      <c r="N43" s="56">
        <f>N44+1460</f>
        <v>8775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44637</v>
      </c>
      <c r="B44" s="54">
        <v>130.78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11">
        <f>ROUND(F40/J44,4)</f>
        <v>0.1456</v>
      </c>
      <c r="J44" s="35">
        <v>5913</v>
      </c>
      <c r="K44" s="36" t="s">
        <v>319</v>
      </c>
      <c r="L44" s="56">
        <f>SUM(M20:N20)</f>
        <v>122</v>
      </c>
      <c r="M44" s="56">
        <f>SUM(M23:N23)</f>
        <v>75</v>
      </c>
      <c r="N44" s="56">
        <f>M25</f>
        <v>7315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44638</v>
      </c>
      <c r="B45" s="54">
        <v>105.36</v>
      </c>
      <c r="C45" s="74" t="s">
        <v>228</v>
      </c>
      <c r="D45" s="74">
        <v>6440</v>
      </c>
      <c r="E45" s="74">
        <v>6980</v>
      </c>
      <c r="F45" s="74">
        <f t="shared" si="0"/>
        <v>13420</v>
      </c>
      <c r="G45" s="75"/>
      <c r="H45" s="40" t="s">
        <v>228</v>
      </c>
      <c r="I45" s="111">
        <f>ROUND(F45/J45,4)</f>
        <v>0.0993</v>
      </c>
      <c r="J45" s="35">
        <v>135185</v>
      </c>
      <c r="K45" s="36" t="s">
        <v>320</v>
      </c>
      <c r="L45" s="56">
        <f>D40</f>
        <v>1042</v>
      </c>
      <c r="M45" s="56">
        <f>F40</f>
        <v>861</v>
      </c>
      <c r="N45" s="56">
        <f>F45</f>
        <v>13420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17</v>
      </c>
      <c r="M47" s="56">
        <f>F40-'2022.3.15'!$F$40</f>
        <v>41</v>
      </c>
      <c r="N47" s="56">
        <f>F45-'2022.3.15'!$F$45</f>
        <v>160</v>
      </c>
      <c r="O47" s="56">
        <f>F44-'2022.3.15'!$F$44+340.32</f>
        <v>0</v>
      </c>
      <c r="P47" s="56">
        <f>F43-'2022.3.15'!$F$43</f>
        <v>0</v>
      </c>
    </row>
    <row r="48" spans="1:16">
      <c r="A48" s="79">
        <f>SUM(C11,E11,C12,E12)</f>
        <v>5</v>
      </c>
      <c r="B48" s="79">
        <f>SUM(C13,C14,E13,E14)</f>
        <v>11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105.36</v>
      </c>
      <c r="G48" s="76"/>
      <c r="H48" s="40" t="s">
        <v>231</v>
      </c>
      <c r="I48" s="111">
        <f>ROUND(E7/J48,4)</f>
        <v>0.1937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17</v>
      </c>
      <c r="B49" s="79">
        <f>M47</f>
        <v>41</v>
      </c>
      <c r="C49" s="79">
        <f>N47</f>
        <v>160</v>
      </c>
      <c r="D49" s="79">
        <f>O47</f>
        <v>0</v>
      </c>
      <c r="E49" s="79">
        <f>P47</f>
        <v>0</v>
      </c>
      <c r="F49" s="80">
        <f>J14</f>
        <v>2936.33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277</v>
      </c>
      <c r="B50" s="79">
        <f>M43</f>
        <v>246</v>
      </c>
      <c r="C50" s="79">
        <f>N43</f>
        <v>8775</v>
      </c>
      <c r="D50" s="79">
        <f>O43</f>
        <v>2567.99</v>
      </c>
      <c r="E50" s="79">
        <f>P43</f>
        <v>6130.99</v>
      </c>
      <c r="F50" s="80">
        <f>K7</f>
        <v>7319.83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18日自年初1月1日起完成产值5392.45万元，自开工累计完成产值17485.21万元，自开工占总产值90284.4万元的19.37%，100章临建完成6100.78万元，400章桥梁完成11384.43万元。已完成梁片预制1042片，占设计量的17.62%；梁片安装861片，占设计量的14.56%；湿接缝13420米，占设计量的9.93%；防撞护栏4158.43米，占设计量的6.2%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K40"/>
  <sheetViews>
    <sheetView workbookViewId="0">
      <selection activeCell="E27" sqref="E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44478</v>
      </c>
      <c r="B3" s="157" t="s">
        <v>7</v>
      </c>
      <c r="C3" s="157">
        <v>0</v>
      </c>
      <c r="D3" s="157">
        <f>D11+F11</f>
        <v>7.82</v>
      </c>
      <c r="E3" s="250">
        <f>C5+D5</f>
        <v>15.46</v>
      </c>
      <c r="F3" s="243" t="s">
        <v>40</v>
      </c>
    </row>
    <row r="4" ht="15" customHeight="1" spans="1:6">
      <c r="A4" s="157"/>
      <c r="B4" s="157" t="s">
        <v>9</v>
      </c>
      <c r="C4" s="157">
        <v>0</v>
      </c>
      <c r="D4" s="157">
        <f>D12+F12</f>
        <v>7.64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0</v>
      </c>
      <c r="D5" s="157">
        <f>SUM(D3:D4)</f>
        <v>15.46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5457.78</v>
      </c>
      <c r="D6" s="258">
        <v>384.38</v>
      </c>
      <c r="E6" s="239">
        <f>C6+D6</f>
        <v>5842.16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5457.78</v>
      </c>
      <c r="D7" s="258">
        <v>384.38</v>
      </c>
      <c r="E7" s="239">
        <f>C7+D7</f>
        <v>5842.16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44478</v>
      </c>
      <c r="B11" s="157" t="s">
        <v>7</v>
      </c>
      <c r="C11" s="247">
        <v>1</v>
      </c>
      <c r="D11" s="248">
        <v>7.82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1</v>
      </c>
      <c r="D12" s="248">
        <v>7.64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2</v>
      </c>
      <c r="D13" s="248">
        <f>ROUND(D11+D12,2)</f>
        <v>15.46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15.46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44469</v>
      </c>
      <c r="B31" s="235">
        <v>8.82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44470</v>
      </c>
      <c r="B32" s="235">
        <v>24.1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44471</v>
      </c>
      <c r="B33" s="235">
        <v>17.46</v>
      </c>
      <c r="C33" s="35">
        <v>24</v>
      </c>
      <c r="D33" s="35">
        <v>6</v>
      </c>
      <c r="E33" s="35">
        <v>14</v>
      </c>
      <c r="F33" s="35">
        <v>0</v>
      </c>
    </row>
    <row r="34" ht="15.6" spans="1:6">
      <c r="A34" s="53">
        <v>44472</v>
      </c>
      <c r="B34" s="235">
        <v>31.74</v>
      </c>
      <c r="C34" s="35"/>
      <c r="D34" s="35"/>
      <c r="E34" s="35">
        <v>0</v>
      </c>
      <c r="F34" s="35">
        <v>38482</v>
      </c>
    </row>
    <row r="35" ht="15.6" spans="1:6">
      <c r="A35" s="53">
        <v>44473</v>
      </c>
      <c r="B35" s="235">
        <v>2</v>
      </c>
      <c r="C35" s="35"/>
      <c r="D35" s="35"/>
      <c r="E35" s="35"/>
      <c r="F35" s="35"/>
    </row>
    <row r="36" ht="15.6" spans="1:6">
      <c r="A36" s="53">
        <v>44474</v>
      </c>
      <c r="B36" s="235">
        <v>33.56</v>
      </c>
      <c r="C36" s="35"/>
      <c r="D36" s="35"/>
      <c r="E36" s="35"/>
      <c r="F36" s="35"/>
    </row>
    <row r="37" ht="15.6" spans="1:6">
      <c r="A37" s="53">
        <v>44475</v>
      </c>
      <c r="B37" s="235">
        <v>23.1</v>
      </c>
      <c r="C37" s="35"/>
      <c r="D37" s="35"/>
      <c r="E37" s="35"/>
      <c r="F37" s="35"/>
    </row>
    <row r="38" ht="15.6" spans="1:6">
      <c r="A38" s="53">
        <v>44476</v>
      </c>
      <c r="B38" s="235">
        <v>7.64</v>
      </c>
      <c r="C38" s="35"/>
      <c r="D38" s="35"/>
      <c r="E38" s="35"/>
      <c r="F38" s="35"/>
    </row>
    <row r="39" ht="15.6" spans="1:6">
      <c r="A39" s="53">
        <v>44477</v>
      </c>
      <c r="B39" s="235">
        <v>1.65</v>
      </c>
      <c r="C39" s="35"/>
      <c r="D39" s="35"/>
      <c r="E39" s="35"/>
      <c r="F39" s="35"/>
    </row>
    <row r="40" ht="15.6" spans="1:6">
      <c r="A40" s="53">
        <v>44478</v>
      </c>
      <c r="B40" s="235">
        <v>15.46</v>
      </c>
      <c r="C40" s="104">
        <f>C33+D33+E33+F33</f>
        <v>44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44639</v>
      </c>
      <c r="B3" s="12" t="s">
        <v>7</v>
      </c>
      <c r="C3" s="12">
        <v>0</v>
      </c>
      <c r="D3" s="12">
        <f>ROUND(D11+D12+D15+D16+D17+D13+D14,2)</f>
        <v>92.12</v>
      </c>
      <c r="E3" s="13">
        <f>ROUND(C5+D5,2)</f>
        <v>242.02</v>
      </c>
      <c r="F3" s="14" t="s">
        <v>387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99.9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192.02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150</v>
      </c>
      <c r="D6" s="20">
        <v>5484.47</v>
      </c>
      <c r="E6" s="8">
        <f>ROUND(C6+D6,2)</f>
        <v>5634.47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6150.78</v>
      </c>
      <c r="D7" s="20">
        <v>11576.45</v>
      </c>
      <c r="E7" s="8">
        <f>ROUND(C7+D7,2)</f>
        <v>17727.23</v>
      </c>
      <c r="F7" s="17"/>
      <c r="G7" s="18"/>
      <c r="H7" s="22"/>
      <c r="I7" s="48">
        <f>210+C6</f>
        <v>360</v>
      </c>
      <c r="J7" s="48">
        <f>D6+1717.38</f>
        <v>7201.85</v>
      </c>
      <c r="K7" s="48">
        <f>J7+I7</f>
        <v>7561.85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44639</v>
      </c>
      <c r="B11" s="32" t="s">
        <v>172</v>
      </c>
      <c r="C11" s="33">
        <v>6</v>
      </c>
      <c r="D11" s="8">
        <v>45.99</v>
      </c>
      <c r="E11" s="33">
        <v>7</v>
      </c>
      <c r="F11" s="8">
        <v>54.2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45.81</v>
      </c>
      <c r="E12" s="33">
        <v>3</v>
      </c>
      <c r="F12" s="8">
        <v>45.7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2</v>
      </c>
      <c r="D13" s="8">
        <v>0.324</v>
      </c>
      <c r="E13" s="33">
        <v>0</v>
      </c>
      <c r="F13" s="8"/>
      <c r="G13" s="10"/>
      <c r="H13" s="30"/>
      <c r="I13" s="35">
        <v>14233.94</v>
      </c>
      <c r="J13" s="35">
        <v>17170.27</v>
      </c>
      <c r="K13" s="35">
        <f>E7</f>
        <v>17727.23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556.959999999999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92.12</v>
      </c>
      <c r="D18" s="8"/>
      <c r="E18" s="8">
        <f>ROUND(F11+F12+F15+F16+F17+F13+F14,2)</f>
        <v>99.9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192.02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52</v>
      </c>
      <c r="N20" s="94">
        <f>D38-81</f>
        <v>79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256</v>
      </c>
      <c r="N21" s="94">
        <f>F38-44</f>
        <v>79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2</v>
      </c>
      <c r="N23" s="94">
        <f>D39-65</f>
        <v>75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223</v>
      </c>
      <c r="N24" s="94">
        <f>F39-7</f>
        <v>103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7315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2126.39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5644.8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381</v>
      </c>
      <c r="D30" s="49" t="s">
        <v>75</v>
      </c>
      <c r="E30" s="38">
        <f>C39+D39</f>
        <v>272</v>
      </c>
      <c r="F30" s="39"/>
      <c r="G30" s="38"/>
    </row>
    <row r="31" spans="1:7">
      <c r="A31" s="37"/>
      <c r="B31" s="49" t="s">
        <v>76</v>
      </c>
      <c r="C31" s="38">
        <f>E38+F38</f>
        <v>680</v>
      </c>
      <c r="D31" s="49" t="s">
        <v>77</v>
      </c>
      <c r="E31" s="38">
        <f>E39+F39</f>
        <v>591</v>
      </c>
      <c r="F31" s="39"/>
      <c r="G31" s="38"/>
    </row>
    <row r="32" spans="1:7">
      <c r="A32" s="37"/>
      <c r="B32" s="49" t="s">
        <v>78</v>
      </c>
      <c r="C32" s="38">
        <f>C33-C30-C31</f>
        <v>4719</v>
      </c>
      <c r="D32" s="49" t="s">
        <v>79</v>
      </c>
      <c r="E32" s="38">
        <f>E33-E30-E31</f>
        <v>4917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44630</v>
      </c>
      <c r="B36" s="54">
        <v>142.12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44631</v>
      </c>
      <c r="B37" s="54">
        <v>138.46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44632</v>
      </c>
      <c r="B38" s="54">
        <v>182.2</v>
      </c>
      <c r="C38" s="58">
        <v>221</v>
      </c>
      <c r="D38" s="58">
        <v>160</v>
      </c>
      <c r="E38" s="58">
        <v>557</v>
      </c>
      <c r="F38" s="58">
        <v>123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44633</v>
      </c>
      <c r="B39" s="54">
        <v>129.5</v>
      </c>
      <c r="C39" s="60">
        <v>132</v>
      </c>
      <c r="D39" s="60">
        <v>140</v>
      </c>
      <c r="E39" s="60">
        <v>481</v>
      </c>
      <c r="F39" s="60">
        <v>110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44634</v>
      </c>
      <c r="B40" s="62">
        <v>185.87</v>
      </c>
      <c r="C40" s="63" t="s">
        <v>182</v>
      </c>
      <c r="D40" s="64">
        <f>C38+D38+E38+F38</f>
        <v>1061</v>
      </c>
      <c r="E40" s="65" t="s">
        <v>69</v>
      </c>
      <c r="F40" s="66">
        <f>C39+D39+E39+F39</f>
        <v>863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44635</v>
      </c>
      <c r="B41" s="54">
        <v>190.59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截止2022年03月19日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44636</v>
      </c>
      <c r="B42" s="54">
        <v>78.8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44637</v>
      </c>
      <c r="B43" s="54">
        <v>130.78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0.1794</v>
      </c>
      <c r="J43" s="35">
        <v>5913</v>
      </c>
      <c r="K43" s="36" t="s">
        <v>318</v>
      </c>
      <c r="L43" s="56">
        <f>L44+155</f>
        <v>286</v>
      </c>
      <c r="M43" s="56">
        <f>M44+171</f>
        <v>248</v>
      </c>
      <c r="N43" s="56">
        <f>N44+1460</f>
        <v>8775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44638</v>
      </c>
      <c r="B44" s="54">
        <v>105.36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11">
        <f>ROUND(F40/J44,4)</f>
        <v>0.1459</v>
      </c>
      <c r="J44" s="35">
        <v>5913</v>
      </c>
      <c r="K44" s="36" t="s">
        <v>319</v>
      </c>
      <c r="L44" s="56">
        <f>SUM(M20:N20)</f>
        <v>131</v>
      </c>
      <c r="M44" s="56">
        <f>SUM(M23:N23)</f>
        <v>77</v>
      </c>
      <c r="N44" s="56">
        <f>M25</f>
        <v>7315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44639</v>
      </c>
      <c r="B45" s="54">
        <v>242.02</v>
      </c>
      <c r="C45" s="74" t="s">
        <v>228</v>
      </c>
      <c r="D45" s="74">
        <v>6440</v>
      </c>
      <c r="E45" s="74">
        <v>6980</v>
      </c>
      <c r="F45" s="74">
        <f t="shared" si="0"/>
        <v>13420</v>
      </c>
      <c r="G45" s="75"/>
      <c r="H45" s="40" t="s">
        <v>228</v>
      </c>
      <c r="I45" s="111">
        <f>ROUND(F45/J45,4)</f>
        <v>0.0993</v>
      </c>
      <c r="J45" s="35">
        <v>135185</v>
      </c>
      <c r="K45" s="36" t="s">
        <v>320</v>
      </c>
      <c r="L45" s="56">
        <f>D40</f>
        <v>1061</v>
      </c>
      <c r="M45" s="56">
        <f>F40</f>
        <v>863</v>
      </c>
      <c r="N45" s="56">
        <f>F45</f>
        <v>13420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36</v>
      </c>
      <c r="M47" s="56">
        <f>F40-'2022.3.15'!$F$40</f>
        <v>43</v>
      </c>
      <c r="N47" s="56">
        <f>F45-'2022.3.15'!$F$45</f>
        <v>160</v>
      </c>
      <c r="O47" s="56">
        <f>F44-'2022.3.15'!$F$44+340.32</f>
        <v>0</v>
      </c>
      <c r="P47" s="56">
        <f>F43-'2022.3.15'!$F$43</f>
        <v>0</v>
      </c>
    </row>
    <row r="48" spans="1:16">
      <c r="A48" s="79">
        <f>SUM(C11,E11,C12,E12)</f>
        <v>19</v>
      </c>
      <c r="B48" s="79">
        <f>SUM(C13,C14,E13,E14)</f>
        <v>2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242.02</v>
      </c>
      <c r="G48" s="76"/>
      <c r="H48" s="40" t="s">
        <v>231</v>
      </c>
      <c r="I48" s="111">
        <f>ROUND(E7/J48,4)</f>
        <v>0.1963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36</v>
      </c>
      <c r="B49" s="79">
        <f>M47</f>
        <v>43</v>
      </c>
      <c r="C49" s="79">
        <f>N47</f>
        <v>160</v>
      </c>
      <c r="D49" s="79">
        <f>O47</f>
        <v>0</v>
      </c>
      <c r="E49" s="79">
        <f>P47</f>
        <v>0</v>
      </c>
      <c r="F49" s="80">
        <f>K14</f>
        <v>556.959999999999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286</v>
      </c>
      <c r="B50" s="79">
        <f>M43</f>
        <v>248</v>
      </c>
      <c r="C50" s="79">
        <f>N43</f>
        <v>8775</v>
      </c>
      <c r="D50" s="79">
        <f>O43</f>
        <v>2567.99</v>
      </c>
      <c r="E50" s="79">
        <f>P43</f>
        <v>6130.99</v>
      </c>
      <c r="F50" s="80">
        <f>K7</f>
        <v>7561.85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19日自年初1月1日起完成产值5634.47万元，自开工累计完成产值17727.23万元，自开工占总产值90284.4万元的19.63%，100章临建完成6150.78万元，400章桥梁完成11576.45万元。已完成梁片预制1061片，占设计量的17.94%；梁片安装863片，占设计量的14.59%；湿接缝13420米，占设计量的9.93%；防撞护栏4158.43米，占设计量的6.2%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44640</v>
      </c>
      <c r="B3" s="12" t="s">
        <v>7</v>
      </c>
      <c r="C3" s="12">
        <v>0</v>
      </c>
      <c r="D3" s="12">
        <f>ROUND(D11+D12+D15+D16+D17+D13+D14,2)</f>
        <v>39.23</v>
      </c>
      <c r="E3" s="13">
        <f>ROUND(C5+D5,2)</f>
        <v>205.8</v>
      </c>
      <c r="F3" s="14" t="s">
        <v>388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116.57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155.8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200</v>
      </c>
      <c r="D6" s="20">
        <v>5640.27</v>
      </c>
      <c r="E6" s="8">
        <f>ROUND(C6+D6,2)</f>
        <v>5840.27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6200.78</v>
      </c>
      <c r="D7" s="20">
        <v>11732.25</v>
      </c>
      <c r="E7" s="8">
        <f>ROUND(C7+D7,2)</f>
        <v>17933.03</v>
      </c>
      <c r="F7" s="17"/>
      <c r="G7" s="18"/>
      <c r="H7" s="22"/>
      <c r="I7" s="48">
        <f>210+C6</f>
        <v>410</v>
      </c>
      <c r="J7" s="48">
        <f>D6+1717.38</f>
        <v>7357.65</v>
      </c>
      <c r="K7" s="48">
        <f>J7+I7</f>
        <v>7767.65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44640</v>
      </c>
      <c r="B11" s="32" t="s">
        <v>172</v>
      </c>
      <c r="C11" s="33">
        <v>5</v>
      </c>
      <c r="D11" s="8">
        <v>38.74</v>
      </c>
      <c r="E11" s="33">
        <v>9</v>
      </c>
      <c r="F11" s="8">
        <v>69.47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0</v>
      </c>
      <c r="D12" s="8"/>
      <c r="E12" s="33">
        <v>3</v>
      </c>
      <c r="F12" s="8">
        <v>45.84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3</v>
      </c>
      <c r="D13" s="8">
        <v>0.486</v>
      </c>
      <c r="E13" s="33">
        <v>0</v>
      </c>
      <c r="F13" s="8"/>
      <c r="G13" s="10"/>
      <c r="H13" s="30"/>
      <c r="I13" s="35">
        <v>14233.94</v>
      </c>
      <c r="J13" s="35">
        <v>17170.27</v>
      </c>
      <c r="K13" s="35">
        <f>E7</f>
        <v>17933.03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5</v>
      </c>
      <c r="F14" s="8">
        <v>1.26</v>
      </c>
      <c r="G14" s="10"/>
      <c r="H14" s="30"/>
      <c r="I14" s="48">
        <v>699.51</v>
      </c>
      <c r="J14" s="48">
        <v>2936.33</v>
      </c>
      <c r="K14" s="48">
        <f>K13-J13</f>
        <v>762.759999999998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39.23</v>
      </c>
      <c r="D18" s="8"/>
      <c r="E18" s="8">
        <f>ROUND(F11+F12+F15+F16+F17+F13+F14,2)</f>
        <v>116.57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155.8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57</v>
      </c>
      <c r="N20" s="94">
        <f>D38-81</f>
        <v>79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265</v>
      </c>
      <c r="N21" s="94">
        <f>F38-44</f>
        <v>82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5</v>
      </c>
      <c r="N23" s="94">
        <f>D39-65</f>
        <v>75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223</v>
      </c>
      <c r="N24" s="94">
        <f>F39-7</f>
        <v>108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7315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2126.39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5850.6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386</v>
      </c>
      <c r="D30" s="49" t="s">
        <v>75</v>
      </c>
      <c r="E30" s="38">
        <f>C39+D39</f>
        <v>275</v>
      </c>
      <c r="F30" s="39"/>
      <c r="G30" s="38"/>
    </row>
    <row r="31" spans="1:7">
      <c r="A31" s="37"/>
      <c r="B31" s="49" t="s">
        <v>76</v>
      </c>
      <c r="C31" s="38">
        <f>E38+F38</f>
        <v>692</v>
      </c>
      <c r="D31" s="49" t="s">
        <v>77</v>
      </c>
      <c r="E31" s="38">
        <f>E39+F39</f>
        <v>596</v>
      </c>
      <c r="F31" s="39"/>
      <c r="G31" s="38"/>
    </row>
    <row r="32" spans="1:7">
      <c r="A32" s="37"/>
      <c r="B32" s="49" t="s">
        <v>78</v>
      </c>
      <c r="C32" s="38">
        <f>C33-C30-C31</f>
        <v>4702</v>
      </c>
      <c r="D32" s="49" t="s">
        <v>79</v>
      </c>
      <c r="E32" s="38">
        <f>E33-E30-E31</f>
        <v>4909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44631</v>
      </c>
      <c r="B36" s="54">
        <v>138.46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44632</v>
      </c>
      <c r="B37" s="54">
        <v>182.2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44633</v>
      </c>
      <c r="B38" s="54">
        <v>129.5</v>
      </c>
      <c r="C38" s="58">
        <v>226</v>
      </c>
      <c r="D38" s="58">
        <v>160</v>
      </c>
      <c r="E38" s="58">
        <v>566</v>
      </c>
      <c r="F38" s="58">
        <v>126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44634</v>
      </c>
      <c r="B39" s="54">
        <v>185.87</v>
      </c>
      <c r="C39" s="60">
        <v>135</v>
      </c>
      <c r="D39" s="60">
        <v>140</v>
      </c>
      <c r="E39" s="60">
        <v>481</v>
      </c>
      <c r="F39" s="60">
        <v>115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44635</v>
      </c>
      <c r="B40" s="62">
        <v>190.59</v>
      </c>
      <c r="C40" s="63" t="s">
        <v>182</v>
      </c>
      <c r="D40" s="64">
        <f>C38+D38+E38+F38</f>
        <v>1078</v>
      </c>
      <c r="E40" s="65" t="s">
        <v>69</v>
      </c>
      <c r="F40" s="66">
        <f>C39+D39+E39+F39</f>
        <v>871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44636</v>
      </c>
      <c r="B41" s="54">
        <v>78.8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截止2022年03月20日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44637</v>
      </c>
      <c r="B42" s="54">
        <v>130.78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44638</v>
      </c>
      <c r="B43" s="54">
        <v>105.36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0.1823</v>
      </c>
      <c r="J43" s="35">
        <v>5913</v>
      </c>
      <c r="K43" s="36" t="s">
        <v>318</v>
      </c>
      <c r="L43" s="56">
        <f>L44+155</f>
        <v>291</v>
      </c>
      <c r="M43" s="56">
        <f>M44+171</f>
        <v>251</v>
      </c>
      <c r="N43" s="56">
        <f>N44+1460</f>
        <v>8775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44639</v>
      </c>
      <c r="B44" s="54">
        <v>242.02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11">
        <f>ROUND(F40/J44,4)</f>
        <v>0.1473</v>
      </c>
      <c r="J44" s="35">
        <v>5913</v>
      </c>
      <c r="K44" s="36" t="s">
        <v>319</v>
      </c>
      <c r="L44" s="56">
        <f>SUM(M20:N20)</f>
        <v>136</v>
      </c>
      <c r="M44" s="56">
        <f>SUM(M23:N23)</f>
        <v>80</v>
      </c>
      <c r="N44" s="56">
        <f>M25</f>
        <v>7315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44640</v>
      </c>
      <c r="B45" s="54">
        <v>205.8</v>
      </c>
      <c r="C45" s="74" t="s">
        <v>228</v>
      </c>
      <c r="D45" s="74">
        <v>6440</v>
      </c>
      <c r="E45" s="74">
        <v>6980</v>
      </c>
      <c r="F45" s="74">
        <f t="shared" si="0"/>
        <v>13420</v>
      </c>
      <c r="G45" s="75"/>
      <c r="H45" s="40" t="s">
        <v>228</v>
      </c>
      <c r="I45" s="111">
        <f>ROUND(F45/J45,4)</f>
        <v>0.0993</v>
      </c>
      <c r="J45" s="35">
        <v>135185</v>
      </c>
      <c r="K45" s="36" t="s">
        <v>320</v>
      </c>
      <c r="L45" s="56">
        <f>D40</f>
        <v>1078</v>
      </c>
      <c r="M45" s="56">
        <f>F40</f>
        <v>871</v>
      </c>
      <c r="N45" s="56">
        <f>F45</f>
        <v>13420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53</v>
      </c>
      <c r="M47" s="56">
        <f>F40-'2022.3.15'!$F$40</f>
        <v>51</v>
      </c>
      <c r="N47" s="56">
        <f>F45-'2022.3.15'!$F$45</f>
        <v>160</v>
      </c>
      <c r="O47" s="56">
        <f>F44-'2022.3.15'!$F$44+340.32</f>
        <v>0</v>
      </c>
      <c r="P47" s="56">
        <f>F43-'2022.3.15'!$F$43</f>
        <v>0</v>
      </c>
    </row>
    <row r="48" spans="1:16">
      <c r="A48" s="79">
        <f>SUM(C11,E11,C12,E12)</f>
        <v>17</v>
      </c>
      <c r="B48" s="79">
        <f>SUM(C13,C14,E13,E14)</f>
        <v>8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205.8</v>
      </c>
      <c r="G48" s="76"/>
      <c r="H48" s="40" t="s">
        <v>231</v>
      </c>
      <c r="I48" s="111">
        <f>ROUND(E7/J48,4)</f>
        <v>0.1986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53</v>
      </c>
      <c r="B49" s="79">
        <f>M47</f>
        <v>51</v>
      </c>
      <c r="C49" s="79">
        <f>N47</f>
        <v>160</v>
      </c>
      <c r="D49" s="79">
        <f>O47</f>
        <v>0</v>
      </c>
      <c r="E49" s="79">
        <f>P47</f>
        <v>0</v>
      </c>
      <c r="F49" s="80">
        <f>K14</f>
        <v>762.759999999998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291</v>
      </c>
      <c r="B50" s="79">
        <f>M43</f>
        <v>251</v>
      </c>
      <c r="C50" s="79">
        <f>N43</f>
        <v>8775</v>
      </c>
      <c r="D50" s="79">
        <f>O43</f>
        <v>2567.99</v>
      </c>
      <c r="E50" s="79">
        <f>P43</f>
        <v>6130.99</v>
      </c>
      <c r="F50" s="80">
        <f>K7</f>
        <v>7767.65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20日自年初1月1日起完成产值5840.27万元，自开工累计完成产值17933.03万元，自开工占总产值90284.4万元的19.86%，100章临建完成6200.78万元，400章桥梁完成11732.25万元。已完成梁片预制1078片，占设计量的18.23%；梁片安装871片，占设计量的14.73%；湿接缝13420米，占设计量的9.93%；防撞护栏4158.43米，占设计量的6.2%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44641</v>
      </c>
      <c r="B3" s="12" t="s">
        <v>7</v>
      </c>
      <c r="C3" s="12">
        <v>0</v>
      </c>
      <c r="D3" s="12">
        <f>ROUND(D11+D12+D15+D16+D17+D13+D14,2)</f>
        <v>101.16</v>
      </c>
      <c r="E3" s="13">
        <f>ROUND(C5+D5,2)</f>
        <v>199.76</v>
      </c>
      <c r="F3" s="14" t="s">
        <v>389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98.6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199.76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200</v>
      </c>
      <c r="D6" s="20">
        <v>5840.03</v>
      </c>
      <c r="E6" s="8">
        <f>ROUND(C6+D6,2)</f>
        <v>6040.03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6200.78</v>
      </c>
      <c r="D7" s="20">
        <v>11932.01</v>
      </c>
      <c r="E7" s="8">
        <f>ROUND(C7+D7,2)</f>
        <v>18132.79</v>
      </c>
      <c r="F7" s="17"/>
      <c r="G7" s="18"/>
      <c r="H7" s="22"/>
      <c r="I7" s="48">
        <f>210+C6</f>
        <v>410</v>
      </c>
      <c r="J7" s="48">
        <f>D6+1717.38</f>
        <v>7557.41</v>
      </c>
      <c r="K7" s="48">
        <f>J7+I7</f>
        <v>7967.41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44641</v>
      </c>
      <c r="B11" s="32" t="s">
        <v>172</v>
      </c>
      <c r="C11" s="33">
        <v>7</v>
      </c>
      <c r="D11" s="8">
        <v>54.15</v>
      </c>
      <c r="E11" s="33">
        <v>7</v>
      </c>
      <c r="F11" s="8">
        <v>54.2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45.75</v>
      </c>
      <c r="E12" s="33">
        <v>2</v>
      </c>
      <c r="F12" s="8">
        <v>30.57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18132.79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5</v>
      </c>
      <c r="D14" s="8">
        <v>1.26</v>
      </c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962.52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300</v>
      </c>
      <c r="F15" s="8">
        <v>12.21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101.16</v>
      </c>
      <c r="D18" s="8"/>
      <c r="E18" s="8">
        <f>ROUND(F11+F12+F15+F16+F17+F13+F14,2)</f>
        <v>98.6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199.76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64</v>
      </c>
      <c r="N20" s="94">
        <f>D38-81</f>
        <v>82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272</v>
      </c>
      <c r="N21" s="94">
        <f>F38-44</f>
        <v>84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5</v>
      </c>
      <c r="N23" s="94">
        <f>D39-65</f>
        <v>80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233</v>
      </c>
      <c r="N24" s="94">
        <f>F39-7</f>
        <v>108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7615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2126.39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6050.36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396</v>
      </c>
      <c r="D30" s="49" t="s">
        <v>75</v>
      </c>
      <c r="E30" s="38">
        <f>C39+D39</f>
        <v>280</v>
      </c>
      <c r="F30" s="39"/>
      <c r="G30" s="38"/>
    </row>
    <row r="31" spans="1:7">
      <c r="A31" s="37"/>
      <c r="B31" s="49" t="s">
        <v>76</v>
      </c>
      <c r="C31" s="38">
        <f>E38+F38</f>
        <v>701</v>
      </c>
      <c r="D31" s="49" t="s">
        <v>77</v>
      </c>
      <c r="E31" s="38">
        <f>E39+F39</f>
        <v>606</v>
      </c>
      <c r="F31" s="39"/>
      <c r="G31" s="38"/>
    </row>
    <row r="32" spans="1:7">
      <c r="A32" s="37"/>
      <c r="B32" s="49" t="s">
        <v>78</v>
      </c>
      <c r="C32" s="38">
        <f>C33-C30-C31</f>
        <v>4683</v>
      </c>
      <c r="D32" s="49" t="s">
        <v>79</v>
      </c>
      <c r="E32" s="38">
        <f>E33-E30-E31</f>
        <v>4894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44632</v>
      </c>
      <c r="B36" s="54">
        <v>182.2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44633</v>
      </c>
      <c r="B37" s="54">
        <v>129.5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44634</v>
      </c>
      <c r="B38" s="54">
        <v>185.87</v>
      </c>
      <c r="C38" s="58">
        <v>233</v>
      </c>
      <c r="D38" s="58">
        <v>163</v>
      </c>
      <c r="E38" s="58">
        <v>573</v>
      </c>
      <c r="F38" s="58">
        <v>128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44635</v>
      </c>
      <c r="B39" s="54">
        <v>190.59</v>
      </c>
      <c r="C39" s="60">
        <v>135</v>
      </c>
      <c r="D39" s="60">
        <v>145</v>
      </c>
      <c r="E39" s="60">
        <v>491</v>
      </c>
      <c r="F39" s="60">
        <v>115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44636</v>
      </c>
      <c r="B40" s="62">
        <v>78.8</v>
      </c>
      <c r="C40" s="63" t="s">
        <v>182</v>
      </c>
      <c r="D40" s="64">
        <f>C38+D38+E38+F38</f>
        <v>1097</v>
      </c>
      <c r="E40" s="65" t="s">
        <v>69</v>
      </c>
      <c r="F40" s="66">
        <f>C39+D39+E39+F39</f>
        <v>886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44637</v>
      </c>
      <c r="B41" s="54">
        <v>130.78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截止2022年03月21日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44638</v>
      </c>
      <c r="B42" s="54">
        <v>105.36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44639</v>
      </c>
      <c r="B43" s="54">
        <v>242.02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0.1855</v>
      </c>
      <c r="J43" s="35">
        <v>5913</v>
      </c>
      <c r="K43" s="36" t="s">
        <v>318</v>
      </c>
      <c r="L43" s="56">
        <f>L44+155</f>
        <v>301</v>
      </c>
      <c r="M43" s="56">
        <f>M44+171</f>
        <v>256</v>
      </c>
      <c r="N43" s="56">
        <f>N44+1460</f>
        <v>9075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44640</v>
      </c>
      <c r="B44" s="54">
        <v>205.8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11">
        <f>ROUND(F40/J44,4)</f>
        <v>0.1498</v>
      </c>
      <c r="J44" s="35">
        <v>5913</v>
      </c>
      <c r="K44" s="36" t="s">
        <v>319</v>
      </c>
      <c r="L44" s="56">
        <f>SUM(M20:N20)</f>
        <v>146</v>
      </c>
      <c r="M44" s="56">
        <f>SUM(M23:N23)</f>
        <v>85</v>
      </c>
      <c r="N44" s="56">
        <f>M25</f>
        <v>7615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44641</v>
      </c>
      <c r="B45" s="54">
        <v>199.76</v>
      </c>
      <c r="C45" s="74" t="s">
        <v>228</v>
      </c>
      <c r="D45" s="74">
        <v>6440</v>
      </c>
      <c r="E45" s="74">
        <v>7280</v>
      </c>
      <c r="F45" s="74">
        <f t="shared" si="0"/>
        <v>13720</v>
      </c>
      <c r="G45" s="75"/>
      <c r="H45" s="40" t="s">
        <v>228</v>
      </c>
      <c r="I45" s="111">
        <f>ROUND(F45/J45,4)</f>
        <v>0.1015</v>
      </c>
      <c r="J45" s="35">
        <v>135185</v>
      </c>
      <c r="K45" s="36" t="s">
        <v>320</v>
      </c>
      <c r="L45" s="56">
        <f>D40</f>
        <v>1097</v>
      </c>
      <c r="M45" s="56">
        <f>F40</f>
        <v>886</v>
      </c>
      <c r="N45" s="56">
        <f>F45</f>
        <v>13720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72</v>
      </c>
      <c r="M47" s="56">
        <f>F40-'2022.3.15'!$F$40</f>
        <v>66</v>
      </c>
      <c r="N47" s="56">
        <f>F45-'2022.3.15'!$F$45</f>
        <v>460</v>
      </c>
      <c r="O47" s="56">
        <f>F44-'2022.3.15'!$F$44+340.32</f>
        <v>0</v>
      </c>
      <c r="P47" s="56">
        <f>F43-'2022.3.15'!$F$43</f>
        <v>0</v>
      </c>
    </row>
    <row r="48" spans="1:16">
      <c r="A48" s="79">
        <f>SUM(C11,E11,C12,E12)</f>
        <v>19</v>
      </c>
      <c r="B48" s="79">
        <f>SUM(C13,C14,E13,E14)</f>
        <v>15</v>
      </c>
      <c r="C48" s="79">
        <f>C15+E15</f>
        <v>300</v>
      </c>
      <c r="D48" s="79">
        <f>C16+E16</f>
        <v>0</v>
      </c>
      <c r="E48" s="79">
        <f>C17+E17</f>
        <v>0</v>
      </c>
      <c r="F48" s="80">
        <f>E3</f>
        <v>199.76</v>
      </c>
      <c r="G48" s="76"/>
      <c r="H48" s="40" t="s">
        <v>231</v>
      </c>
      <c r="I48" s="111">
        <f>ROUND(E7/J48,4)</f>
        <v>0.2008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72</v>
      </c>
      <c r="B49" s="79">
        <f>M47</f>
        <v>66</v>
      </c>
      <c r="C49" s="79">
        <f>N47</f>
        <v>460</v>
      </c>
      <c r="D49" s="79">
        <f>O47</f>
        <v>0</v>
      </c>
      <c r="E49" s="79">
        <f>P47</f>
        <v>0</v>
      </c>
      <c r="F49" s="80">
        <f>K14</f>
        <v>962.52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301</v>
      </c>
      <c r="B50" s="79">
        <f>M43</f>
        <v>256</v>
      </c>
      <c r="C50" s="79">
        <f>N43</f>
        <v>9075</v>
      </c>
      <c r="D50" s="79">
        <f>O43</f>
        <v>2567.99</v>
      </c>
      <c r="E50" s="79">
        <f>P43</f>
        <v>6130.99</v>
      </c>
      <c r="F50" s="80">
        <f>K7</f>
        <v>7967.41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21日自年初1月1日起完成产值6040.03万元，自开工累计完成产值18132.79万元，自开工占总产值90284.4万元的20.08%，100章临建完成6200.78万元，400章桥梁完成11932.01万元。已完成梁片预制1097片，占设计量的18.55%；梁片安装886片，占设计量的14.98%；湿接缝13720米，占设计量的10.15%；防撞护栏4158.43米，占设计量的6.2%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44642</v>
      </c>
      <c r="B3" s="12" t="s">
        <v>7</v>
      </c>
      <c r="C3" s="12">
        <v>0</v>
      </c>
      <c r="D3" s="12">
        <f>ROUND(D11+D12+D15+D16+D17+D13+D14,2)</f>
        <v>85.26</v>
      </c>
      <c r="E3" s="13">
        <f>ROUND(C5+D5,2)</f>
        <v>229.09</v>
      </c>
      <c r="F3" s="14" t="s">
        <v>390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50</v>
      </c>
      <c r="D4" s="12">
        <f>ROUND(F11+F12+F15+F16+F17+F13+F14,2)</f>
        <v>93.83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50</v>
      </c>
      <c r="D5" s="12">
        <f>SUM(D3:D4)</f>
        <v>179.09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6019.12</v>
      </c>
      <c r="E6" s="8">
        <f>ROUND(C6+D6,2)</f>
        <v>6269.12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12111.1</v>
      </c>
      <c r="E7" s="8">
        <f>ROUND(C7+D7,2)</f>
        <v>18361.88</v>
      </c>
      <c r="F7" s="17"/>
      <c r="G7" s="18"/>
      <c r="H7" s="22"/>
      <c r="I7" s="48">
        <f>210+C6</f>
        <v>460</v>
      </c>
      <c r="J7" s="48">
        <f>D6+1717.38</f>
        <v>7736.5</v>
      </c>
      <c r="K7" s="48">
        <f>J7+I7</f>
        <v>8196.5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44642</v>
      </c>
      <c r="B11" s="32" t="s">
        <v>172</v>
      </c>
      <c r="C11" s="33">
        <v>7</v>
      </c>
      <c r="D11" s="8">
        <v>53.42</v>
      </c>
      <c r="E11" s="33">
        <v>8</v>
      </c>
      <c r="F11" s="8">
        <v>61.65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30.58</v>
      </c>
      <c r="E12" s="33">
        <v>2</v>
      </c>
      <c r="F12" s="8">
        <v>30.45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6</v>
      </c>
      <c r="F13" s="8">
        <v>0.972</v>
      </c>
      <c r="G13" s="10"/>
      <c r="H13" s="30"/>
      <c r="I13" s="35">
        <v>14233.94</v>
      </c>
      <c r="J13" s="35">
        <v>17170.27</v>
      </c>
      <c r="K13" s="35">
        <f>E7</f>
        <v>18361.88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5</v>
      </c>
      <c r="D14" s="8">
        <v>1.26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1191.61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85.26</v>
      </c>
      <c r="D18" s="8"/>
      <c r="E18" s="8">
        <f>ROUND(F11+F12+F15+F16+F17+F13+F14,2)</f>
        <v>93.83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179.09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71</v>
      </c>
      <c r="N20" s="94">
        <f>D38-81</f>
        <v>84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280</v>
      </c>
      <c r="N21" s="94">
        <f>F38-44</f>
        <v>86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5</v>
      </c>
      <c r="N23" s="94">
        <f>D39-65</f>
        <v>85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239</v>
      </c>
      <c r="N24" s="94">
        <f>F39-7</f>
        <v>111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7615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2126.39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6279.45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405</v>
      </c>
      <c r="D30" s="49" t="s">
        <v>75</v>
      </c>
      <c r="E30" s="38">
        <f>C39+D39</f>
        <v>285</v>
      </c>
      <c r="F30" s="39"/>
      <c r="G30" s="38"/>
    </row>
    <row r="31" spans="1:7">
      <c r="A31" s="37"/>
      <c r="B31" s="49" t="s">
        <v>76</v>
      </c>
      <c r="C31" s="38">
        <f>E38+F38</f>
        <v>711</v>
      </c>
      <c r="D31" s="49" t="s">
        <v>77</v>
      </c>
      <c r="E31" s="38">
        <f>E39+F39</f>
        <v>615</v>
      </c>
      <c r="F31" s="39"/>
      <c r="G31" s="38"/>
    </row>
    <row r="32" spans="1:7">
      <c r="A32" s="37"/>
      <c r="B32" s="49" t="s">
        <v>78</v>
      </c>
      <c r="C32" s="38">
        <f>C33-C30-C31</f>
        <v>4664</v>
      </c>
      <c r="D32" s="49" t="s">
        <v>79</v>
      </c>
      <c r="E32" s="38">
        <f>E33-E30-E31</f>
        <v>4880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44633</v>
      </c>
      <c r="B36" s="54">
        <v>129.5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44634</v>
      </c>
      <c r="B37" s="54">
        <v>185.87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44635</v>
      </c>
      <c r="B38" s="54">
        <v>190.59</v>
      </c>
      <c r="C38" s="58">
        <v>240</v>
      </c>
      <c r="D38" s="58">
        <v>165</v>
      </c>
      <c r="E38" s="58">
        <v>581</v>
      </c>
      <c r="F38" s="58">
        <v>130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44636</v>
      </c>
      <c r="B39" s="54">
        <v>78.8</v>
      </c>
      <c r="C39" s="60">
        <v>135</v>
      </c>
      <c r="D39" s="60">
        <v>150</v>
      </c>
      <c r="E39" s="60">
        <v>497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44637</v>
      </c>
      <c r="B40" s="62">
        <v>130.78</v>
      </c>
      <c r="C40" s="63" t="s">
        <v>182</v>
      </c>
      <c r="D40" s="64">
        <f>C38+D38+E38+F38</f>
        <v>1116</v>
      </c>
      <c r="E40" s="65" t="s">
        <v>69</v>
      </c>
      <c r="F40" s="66">
        <f>C39+D39+E39+F39</f>
        <v>900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44638</v>
      </c>
      <c r="B41" s="54">
        <v>105.36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截止2022年03月22日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44639</v>
      </c>
      <c r="B42" s="54">
        <v>242.02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44640</v>
      </c>
      <c r="B43" s="54">
        <v>205.8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0.1887</v>
      </c>
      <c r="J43" s="35">
        <v>5913</v>
      </c>
      <c r="K43" s="36" t="s">
        <v>318</v>
      </c>
      <c r="L43" s="56">
        <f>L44+155</f>
        <v>310</v>
      </c>
      <c r="M43" s="56">
        <f>M44+171</f>
        <v>261</v>
      </c>
      <c r="N43" s="56">
        <f>N44+1460</f>
        <v>9075</v>
      </c>
      <c r="O43" s="56">
        <f>O44+441.6</f>
        <v>2567.99</v>
      </c>
      <c r="P43" s="56">
        <f>P44+0</f>
        <v>6130.99</v>
      </c>
      <c r="U43" s="4"/>
    </row>
    <row r="44" ht="15.6" spans="1:21">
      <c r="A44" s="53">
        <v>44641</v>
      </c>
      <c r="B44" s="54">
        <v>199.76</v>
      </c>
      <c r="C44" s="74" t="s">
        <v>229</v>
      </c>
      <c r="D44" s="74">
        <v>2967.58</v>
      </c>
      <c r="E44" s="74">
        <v>1190.85</v>
      </c>
      <c r="F44" s="74">
        <f t="shared" si="0"/>
        <v>4158.43</v>
      </c>
      <c r="G44" s="73"/>
      <c r="H44" s="40" t="s">
        <v>62</v>
      </c>
      <c r="I44" s="111">
        <f>ROUND(F40/J44,4)</f>
        <v>0.1522</v>
      </c>
      <c r="J44" s="35">
        <v>5913</v>
      </c>
      <c r="K44" s="36" t="s">
        <v>319</v>
      </c>
      <c r="L44" s="56">
        <f>SUM(M20:N20)</f>
        <v>155</v>
      </c>
      <c r="M44" s="56">
        <f>SUM(M23:N23)</f>
        <v>90</v>
      </c>
      <c r="N44" s="56">
        <f>M25</f>
        <v>7615</v>
      </c>
      <c r="O44" s="56">
        <f>M26</f>
        <v>2126.39</v>
      </c>
      <c r="P44" s="56">
        <f>M27</f>
        <v>6130.99</v>
      </c>
      <c r="U44" s="4"/>
    </row>
    <row r="45" ht="15.6" spans="1:21">
      <c r="A45" s="53">
        <v>44642</v>
      </c>
      <c r="B45" s="54">
        <v>229.09</v>
      </c>
      <c r="C45" s="74" t="s">
        <v>228</v>
      </c>
      <c r="D45" s="74">
        <v>6440</v>
      </c>
      <c r="E45" s="74">
        <v>7280</v>
      </c>
      <c r="F45" s="74">
        <f t="shared" si="0"/>
        <v>13720</v>
      </c>
      <c r="G45" s="75"/>
      <c r="H45" s="40" t="s">
        <v>228</v>
      </c>
      <c r="I45" s="111">
        <f>ROUND(F45/J45,4)</f>
        <v>0.1015</v>
      </c>
      <c r="J45" s="35">
        <v>135185</v>
      </c>
      <c r="K45" s="36" t="s">
        <v>320</v>
      </c>
      <c r="L45" s="56">
        <f>D40</f>
        <v>1116</v>
      </c>
      <c r="M45" s="56">
        <f>F40</f>
        <v>900</v>
      </c>
      <c r="N45" s="56">
        <f>F45</f>
        <v>13720</v>
      </c>
      <c r="O45" s="56">
        <f>F44</f>
        <v>4158.43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91</v>
      </c>
      <c r="M47" s="56">
        <f>F40-'2022.3.15'!$F$40</f>
        <v>80</v>
      </c>
      <c r="N47" s="56">
        <f>F45-'2022.3.15'!$F$45</f>
        <v>460</v>
      </c>
      <c r="O47" s="56">
        <f>F44-'2022.3.15'!$F$44+340.32</f>
        <v>0</v>
      </c>
      <c r="P47" s="56">
        <f>F43-'2022.3.15'!$F$43</f>
        <v>0</v>
      </c>
    </row>
    <row r="48" spans="1:16">
      <c r="A48" s="79">
        <f>SUM(C11,E11,C12,E12)</f>
        <v>19</v>
      </c>
      <c r="B48" s="79">
        <f>SUM(C13,C14,E13,E14)</f>
        <v>14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229.09</v>
      </c>
      <c r="G48" s="76"/>
      <c r="H48" s="40" t="s">
        <v>231</v>
      </c>
      <c r="I48" s="111">
        <f>ROUND(E7/J48,4)</f>
        <v>0.2034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91</v>
      </c>
      <c r="B49" s="79">
        <f>M47</f>
        <v>80</v>
      </c>
      <c r="C49" s="79">
        <f>N47</f>
        <v>460</v>
      </c>
      <c r="D49" s="79">
        <f>O47</f>
        <v>0</v>
      </c>
      <c r="E49" s="79">
        <f>P47</f>
        <v>0</v>
      </c>
      <c r="F49" s="80">
        <f>K14</f>
        <v>1191.61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310</v>
      </c>
      <c r="B50" s="79">
        <f>M43</f>
        <v>261</v>
      </c>
      <c r="C50" s="79">
        <f>N43</f>
        <v>9075</v>
      </c>
      <c r="D50" s="79">
        <f>O43</f>
        <v>2567.99</v>
      </c>
      <c r="E50" s="79">
        <f>P43</f>
        <v>6130.99</v>
      </c>
      <c r="F50" s="80">
        <f>K7</f>
        <v>8196.5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22日自年初1月1日起完成产值6269.12万元，自开工累计完成产值18361.88万元，自开工占总产值90284.4万元的20.34%，100章临建完成6250.78万元，400章桥梁完成12111.1万元。已完成梁片预制1116片，占设计量的18.87%；梁片安装900片，占设计量的15.22%；湿接缝13720米，占设计量的10.15%；防撞护栏4158.43米，占设计量的6.2%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44643</v>
      </c>
      <c r="B3" s="12" t="s">
        <v>7</v>
      </c>
      <c r="C3" s="12">
        <v>0</v>
      </c>
      <c r="D3" s="12">
        <f>ROUND(D11+D12+D15+D16+D17+D13+D14,2)</f>
        <v>108.79</v>
      </c>
      <c r="E3" s="13">
        <f>ROUND(C5+D5,2)</f>
        <v>201.88</v>
      </c>
      <c r="F3" s="14" t="s">
        <v>391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93.09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201.88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6221</v>
      </c>
      <c r="E6" s="8">
        <f>ROUND(C6+D6,2)</f>
        <v>6471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12312.98</v>
      </c>
      <c r="E7" s="8">
        <f>ROUND(C7+D7,2)</f>
        <v>18563.76</v>
      </c>
      <c r="F7" s="17"/>
      <c r="G7" s="18"/>
      <c r="H7" s="22"/>
      <c r="I7" s="48">
        <f>210+C6</f>
        <v>460</v>
      </c>
      <c r="J7" s="48">
        <f>D6+1717.38</f>
        <v>7938.38</v>
      </c>
      <c r="K7" s="48">
        <f>J7+I7</f>
        <v>8398.38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44643</v>
      </c>
      <c r="B11" s="32" t="s">
        <v>172</v>
      </c>
      <c r="C11" s="33">
        <v>8</v>
      </c>
      <c r="D11" s="8">
        <v>61.6</v>
      </c>
      <c r="E11" s="33">
        <v>7</v>
      </c>
      <c r="F11" s="8">
        <v>53.83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2</v>
      </c>
      <c r="F12" s="8">
        <v>30.47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4</v>
      </c>
      <c r="F13" s="8">
        <v>0.648</v>
      </c>
      <c r="G13" s="10"/>
      <c r="H13" s="30"/>
      <c r="I13" s="35">
        <v>14233.94</v>
      </c>
      <c r="J13" s="35">
        <v>17170.27</v>
      </c>
      <c r="K13" s="35">
        <f>E7</f>
        <v>18563.76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1393.49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200</v>
      </c>
      <c r="F15" s="8">
        <v>8.14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>
        <v>160.32</v>
      </c>
      <c r="D16" s="8">
        <v>16.72</v>
      </c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108.79</v>
      </c>
      <c r="D18" s="8"/>
      <c r="E18" s="8">
        <f>ROUND(F11+F12+F15+F16+F17+F13+F14,2)</f>
        <v>93.09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201.88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79</v>
      </c>
      <c r="N20" s="94">
        <f>D38-81</f>
        <v>86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287</v>
      </c>
      <c r="N21" s="94">
        <f>F38-44</f>
        <v>88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5</v>
      </c>
      <c r="N23" s="94">
        <f>D39-65</f>
        <v>85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243</v>
      </c>
      <c r="N24" s="94">
        <f>F39-7</f>
        <v>111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7815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2286.71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6481.33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415</v>
      </c>
      <c r="D30" s="49" t="s">
        <v>75</v>
      </c>
      <c r="E30" s="38">
        <f>C39+D39</f>
        <v>285</v>
      </c>
      <c r="F30" s="39"/>
      <c r="G30" s="38"/>
    </row>
    <row r="31" spans="1:7">
      <c r="A31" s="37"/>
      <c r="B31" s="49" t="s">
        <v>76</v>
      </c>
      <c r="C31" s="38">
        <f>E38+F38</f>
        <v>720</v>
      </c>
      <c r="D31" s="49" t="s">
        <v>77</v>
      </c>
      <c r="E31" s="38">
        <f>E39+F39</f>
        <v>619</v>
      </c>
      <c r="F31" s="39"/>
      <c r="G31" s="38"/>
    </row>
    <row r="32" spans="1:7">
      <c r="A32" s="37"/>
      <c r="B32" s="49" t="s">
        <v>78</v>
      </c>
      <c r="C32" s="38">
        <f>C33-C30-C31</f>
        <v>4645</v>
      </c>
      <c r="D32" s="49" t="s">
        <v>79</v>
      </c>
      <c r="E32" s="38">
        <f>E33-E30-E31</f>
        <v>4876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44634</v>
      </c>
      <c r="B36" s="54">
        <v>185.87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44635</v>
      </c>
      <c r="B37" s="54">
        <v>190.59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44636</v>
      </c>
      <c r="B38" s="54">
        <v>78.8</v>
      </c>
      <c r="C38" s="58">
        <v>248</v>
      </c>
      <c r="D38" s="58">
        <v>167</v>
      </c>
      <c r="E38" s="58">
        <v>588</v>
      </c>
      <c r="F38" s="58">
        <v>132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44637</v>
      </c>
      <c r="B39" s="54">
        <v>130.78</v>
      </c>
      <c r="C39" s="60">
        <v>135</v>
      </c>
      <c r="D39" s="60">
        <v>150</v>
      </c>
      <c r="E39" s="60">
        <v>501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44638</v>
      </c>
      <c r="B40" s="62">
        <v>105.36</v>
      </c>
      <c r="C40" s="63" t="s">
        <v>182</v>
      </c>
      <c r="D40" s="64">
        <f>C38+D38+E38+F38</f>
        <v>1135</v>
      </c>
      <c r="E40" s="65" t="s">
        <v>69</v>
      </c>
      <c r="F40" s="66">
        <f>C39+D39+E39+F39</f>
        <v>904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44639</v>
      </c>
      <c r="B41" s="54">
        <v>242.02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截止2022年03月23日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44640</v>
      </c>
      <c r="B42" s="54">
        <v>205.8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44641</v>
      </c>
      <c r="B43" s="54">
        <v>199.76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0.1919</v>
      </c>
      <c r="J43" s="35">
        <v>5913</v>
      </c>
      <c r="K43" s="36" t="s">
        <v>318</v>
      </c>
      <c r="L43" s="56">
        <f>L44+155</f>
        <v>320</v>
      </c>
      <c r="M43" s="56">
        <f>M44+171</f>
        <v>261</v>
      </c>
      <c r="N43" s="56">
        <f>N44+1460</f>
        <v>9275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44642</v>
      </c>
      <c r="B44" s="54">
        <v>229.09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11">
        <f>ROUND(F40/J44,4)</f>
        <v>0.1529</v>
      </c>
      <c r="J44" s="35">
        <v>5913</v>
      </c>
      <c r="K44" s="36" t="s">
        <v>319</v>
      </c>
      <c r="L44" s="56">
        <f>SUM(M20:N20)</f>
        <v>165</v>
      </c>
      <c r="M44" s="56">
        <f>SUM(M23:N23)</f>
        <v>90</v>
      </c>
      <c r="N44" s="56">
        <f>M25</f>
        <v>7815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44643</v>
      </c>
      <c r="B45" s="54">
        <v>201.88</v>
      </c>
      <c r="C45" s="74" t="s">
        <v>228</v>
      </c>
      <c r="D45" s="74">
        <v>6440</v>
      </c>
      <c r="E45" s="74">
        <v>7480</v>
      </c>
      <c r="F45" s="74">
        <f t="shared" si="0"/>
        <v>13920</v>
      </c>
      <c r="G45" s="75"/>
      <c r="H45" s="40" t="s">
        <v>228</v>
      </c>
      <c r="I45" s="111">
        <f>ROUND(F45/J45,4)</f>
        <v>0.103</v>
      </c>
      <c r="J45" s="35">
        <v>135185</v>
      </c>
      <c r="K45" s="36" t="s">
        <v>320</v>
      </c>
      <c r="L45" s="56">
        <f>D40</f>
        <v>1135</v>
      </c>
      <c r="M45" s="56">
        <f>F40</f>
        <v>904</v>
      </c>
      <c r="N45" s="56">
        <f>F45</f>
        <v>13920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110</v>
      </c>
      <c r="M47" s="56">
        <f>F40-'2022.3.15'!$F$40</f>
        <v>84</v>
      </c>
      <c r="N47" s="56">
        <f>F45-'2022.3.15'!$F$45</f>
        <v>660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19</v>
      </c>
      <c r="B48" s="79">
        <f>SUM(C13,C14,E13,E14)</f>
        <v>4</v>
      </c>
      <c r="C48" s="79">
        <f>C15+E15</f>
        <v>200</v>
      </c>
      <c r="D48" s="79">
        <f>C16+E16</f>
        <v>160.32</v>
      </c>
      <c r="E48" s="79">
        <f>C17+E17</f>
        <v>0</v>
      </c>
      <c r="F48" s="80">
        <f>E3</f>
        <v>201.88</v>
      </c>
      <c r="G48" s="76"/>
      <c r="H48" s="40" t="s">
        <v>231</v>
      </c>
      <c r="I48" s="111">
        <f>ROUND(E7/J48,4)</f>
        <v>0.2056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110</v>
      </c>
      <c r="B49" s="79">
        <f>M47</f>
        <v>84</v>
      </c>
      <c r="C49" s="79">
        <f>N47</f>
        <v>660</v>
      </c>
      <c r="D49" s="79">
        <f>O47</f>
        <v>160.32</v>
      </c>
      <c r="E49" s="79">
        <f>P47</f>
        <v>0</v>
      </c>
      <c r="F49" s="80">
        <f>K14</f>
        <v>1393.49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320</v>
      </c>
      <c r="B50" s="79">
        <f>M43</f>
        <v>261</v>
      </c>
      <c r="C50" s="79">
        <f>N43</f>
        <v>9275</v>
      </c>
      <c r="D50" s="79">
        <f>O43</f>
        <v>2728.31</v>
      </c>
      <c r="E50" s="79">
        <f>P43</f>
        <v>6130.99</v>
      </c>
      <c r="F50" s="80">
        <f>K7</f>
        <v>8398.38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23日自年初1月1日起完成产值6471万元，自开工累计完成产值18563.76万元，自开工占总产值90284.4万元的20.56%，100章临建完成6250.78万元，400章桥梁完成12312.98万元。已完成梁片预制1135片，占设计量的19.19%；梁片安装904片，占设计量的15.29%；湿接缝13920米，占设计量的10.3%；防撞护栏4318.75米，占设计量的6.44%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Q14" sqref="Q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44644</v>
      </c>
      <c r="B3" s="12" t="s">
        <v>7</v>
      </c>
      <c r="C3" s="12">
        <v>0</v>
      </c>
      <c r="D3" s="12">
        <f>ROUND(D11+D12+D15+D16+D17+D13+D14,2)</f>
        <v>100.38</v>
      </c>
      <c r="E3" s="13">
        <f>ROUND(C5+D5,2)</f>
        <v>146.54</v>
      </c>
      <c r="F3" s="14" t="s">
        <v>392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46.16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146.54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6367.54</v>
      </c>
      <c r="E6" s="8">
        <f>ROUND(C6+D6,2)</f>
        <v>6617.54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12459.52</v>
      </c>
      <c r="E7" s="8">
        <f>ROUND(C7+D7,2)</f>
        <v>18710.3</v>
      </c>
      <c r="F7" s="17"/>
      <c r="G7" s="18"/>
      <c r="H7" s="22"/>
      <c r="I7" s="48">
        <f>210+C6</f>
        <v>460</v>
      </c>
      <c r="J7" s="48">
        <f>D6+1717.38</f>
        <v>8084.92</v>
      </c>
      <c r="K7" s="48">
        <f>J7+I7</f>
        <v>8544.92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44644</v>
      </c>
      <c r="B11" s="32" t="s">
        <v>172</v>
      </c>
      <c r="C11" s="33">
        <v>8</v>
      </c>
      <c r="D11" s="8">
        <v>61.81</v>
      </c>
      <c r="E11" s="33">
        <v>4</v>
      </c>
      <c r="F11" s="8">
        <v>30.92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1</v>
      </c>
      <c r="F12" s="8">
        <v>15.24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0</v>
      </c>
      <c r="F13" s="8"/>
      <c r="G13" s="10"/>
      <c r="H13" s="30"/>
      <c r="I13" s="35">
        <v>14233.94</v>
      </c>
      <c r="J13" s="35">
        <v>17170.27</v>
      </c>
      <c r="K13" s="35">
        <f>E7</f>
        <v>18710.3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1540.03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100.38</v>
      </c>
      <c r="D18" s="8"/>
      <c r="E18" s="8">
        <f>ROUND(F11+F12+F15+F16+F17+F13+F14,2)</f>
        <v>46.16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146.54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87</v>
      </c>
      <c r="N20" s="94">
        <f>D38-81</f>
        <v>88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291</v>
      </c>
      <c r="N21" s="94">
        <f>F38-44</f>
        <v>89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10</v>
      </c>
      <c r="N23" s="94">
        <f>D39-65</f>
        <v>88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243</v>
      </c>
      <c r="N24" s="94">
        <f>F39-7</f>
        <v>111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7975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2286.71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6627.87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425</v>
      </c>
      <c r="D30" s="49" t="s">
        <v>75</v>
      </c>
      <c r="E30" s="38">
        <f>C39+D39</f>
        <v>293</v>
      </c>
      <c r="F30" s="39"/>
      <c r="G30" s="38"/>
    </row>
    <row r="31" spans="1:7">
      <c r="A31" s="37"/>
      <c r="B31" s="49" t="s">
        <v>76</v>
      </c>
      <c r="C31" s="38">
        <f>E38+F38</f>
        <v>725</v>
      </c>
      <c r="D31" s="49" t="s">
        <v>77</v>
      </c>
      <c r="E31" s="38">
        <f>E39+F39</f>
        <v>619</v>
      </c>
      <c r="F31" s="39"/>
      <c r="G31" s="38"/>
    </row>
    <row r="32" spans="1:7">
      <c r="A32" s="37"/>
      <c r="B32" s="49" t="s">
        <v>78</v>
      </c>
      <c r="C32" s="38">
        <f>C33-C30-C31</f>
        <v>4630</v>
      </c>
      <c r="D32" s="49" t="s">
        <v>79</v>
      </c>
      <c r="E32" s="38">
        <f>E33-E30-E31</f>
        <v>4868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44635</v>
      </c>
      <c r="B36" s="54">
        <v>190.59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44636</v>
      </c>
      <c r="B37" s="54">
        <v>78.8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44637</v>
      </c>
      <c r="B38" s="54">
        <v>130.78</v>
      </c>
      <c r="C38" s="58">
        <v>256</v>
      </c>
      <c r="D38" s="58">
        <v>169</v>
      </c>
      <c r="E38" s="58">
        <v>592</v>
      </c>
      <c r="F38" s="58">
        <v>133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44638</v>
      </c>
      <c r="B39" s="54">
        <v>105.36</v>
      </c>
      <c r="C39" s="60">
        <v>140</v>
      </c>
      <c r="D39" s="60">
        <v>153</v>
      </c>
      <c r="E39" s="60">
        <v>501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44639</v>
      </c>
      <c r="B40" s="62">
        <v>242.02</v>
      </c>
      <c r="C40" s="63" t="s">
        <v>182</v>
      </c>
      <c r="D40" s="64">
        <f>C38+D38+E38+F38</f>
        <v>1150</v>
      </c>
      <c r="E40" s="65" t="s">
        <v>69</v>
      </c>
      <c r="F40" s="66">
        <f>C39+D39+E39+F39</f>
        <v>912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44640</v>
      </c>
      <c r="B41" s="54">
        <v>205.8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截止2022年03月24日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44641</v>
      </c>
      <c r="B42" s="54">
        <v>199.76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44642</v>
      </c>
      <c r="B43" s="54">
        <v>229.09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0.1945</v>
      </c>
      <c r="J43" s="35">
        <v>5913</v>
      </c>
      <c r="K43" s="36" t="s">
        <v>318</v>
      </c>
      <c r="L43" s="56">
        <f>L44+155</f>
        <v>330</v>
      </c>
      <c r="M43" s="56">
        <f>M44+171</f>
        <v>269</v>
      </c>
      <c r="N43" s="56">
        <f>N44+1460</f>
        <v>9435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44643</v>
      </c>
      <c r="B44" s="54">
        <v>201.88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11">
        <f>ROUND(F40/J44,4)</f>
        <v>0.1542</v>
      </c>
      <c r="J44" s="35">
        <v>5913</v>
      </c>
      <c r="K44" s="36" t="s">
        <v>319</v>
      </c>
      <c r="L44" s="56">
        <f>SUM(M20:N20)</f>
        <v>175</v>
      </c>
      <c r="M44" s="56">
        <f>SUM(M23:N23)</f>
        <v>98</v>
      </c>
      <c r="N44" s="56">
        <f>M25</f>
        <v>7975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44644</v>
      </c>
      <c r="B45" s="54">
        <v>146.54</v>
      </c>
      <c r="C45" s="74" t="s">
        <v>228</v>
      </c>
      <c r="D45" s="74">
        <v>6600</v>
      </c>
      <c r="E45" s="74">
        <v>7480</v>
      </c>
      <c r="F45" s="74">
        <f t="shared" si="0"/>
        <v>14080</v>
      </c>
      <c r="G45" s="75"/>
      <c r="H45" s="40" t="s">
        <v>228</v>
      </c>
      <c r="I45" s="111">
        <f>ROUND(F45/J45,4)</f>
        <v>0.1042</v>
      </c>
      <c r="J45" s="35">
        <v>135185</v>
      </c>
      <c r="K45" s="36" t="s">
        <v>320</v>
      </c>
      <c r="L45" s="56">
        <f>D40</f>
        <v>1150</v>
      </c>
      <c r="M45" s="56">
        <f>F40</f>
        <v>912</v>
      </c>
      <c r="N45" s="56">
        <f>F45</f>
        <v>14080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125</v>
      </c>
      <c r="M47" s="56">
        <f>F40-'2022.3.15'!$F$40</f>
        <v>92</v>
      </c>
      <c r="N47" s="56">
        <f>F45-'2022.3.15'!$F$45</f>
        <v>820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15</v>
      </c>
      <c r="B48" s="79">
        <f>SUM(C13,C14,E13,E14)</f>
        <v>8</v>
      </c>
      <c r="C48" s="79">
        <f>C15+E15</f>
        <v>160</v>
      </c>
      <c r="D48" s="79">
        <f>C16+E16</f>
        <v>0</v>
      </c>
      <c r="E48" s="79">
        <f>C17+E17</f>
        <v>0</v>
      </c>
      <c r="F48" s="80">
        <f>E3</f>
        <v>146.54</v>
      </c>
      <c r="G48" s="76"/>
      <c r="H48" s="40" t="s">
        <v>231</v>
      </c>
      <c r="I48" s="111">
        <f>ROUND(E7/J48,4)</f>
        <v>0.2072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125</v>
      </c>
      <c r="B49" s="79">
        <f>M47</f>
        <v>92</v>
      </c>
      <c r="C49" s="79">
        <f>N47</f>
        <v>820</v>
      </c>
      <c r="D49" s="79">
        <f>O47</f>
        <v>160.32</v>
      </c>
      <c r="E49" s="79">
        <f>P47</f>
        <v>0</v>
      </c>
      <c r="F49" s="80">
        <f>K14</f>
        <v>1540.03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330</v>
      </c>
      <c r="B50" s="79">
        <f>M43</f>
        <v>269</v>
      </c>
      <c r="C50" s="79">
        <f>N43</f>
        <v>9435</v>
      </c>
      <c r="D50" s="79">
        <f>O43</f>
        <v>2728.31</v>
      </c>
      <c r="E50" s="79">
        <f>P43</f>
        <v>6130.99</v>
      </c>
      <c r="F50" s="80">
        <f>K7</f>
        <v>8544.92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24日自年初1月1日起完成产值6617.54万元，自开工累计完成产值18710.3万元，自开工占总产值90284.4万元的20.72%，100章临建完成6250.78万元，400章桥梁完成12459.52万元。已完成梁片预制1150片，占设计量的19.45%；梁片安装912片，占设计量的15.42%；湿接缝14080米，占设计量的10.42%；防撞护栏4318.75米，占设计量的6.44%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Q14" sqref="Q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44645</v>
      </c>
      <c r="B3" s="12" t="s">
        <v>7</v>
      </c>
      <c r="C3" s="12">
        <v>0</v>
      </c>
      <c r="D3" s="12">
        <f>ROUND(D11+D12+D15+D16+D17+D13+D14,2)</f>
        <v>108.37</v>
      </c>
      <c r="E3" s="13">
        <f>ROUND(C5+D5,2)</f>
        <v>240.8</v>
      </c>
      <c r="F3" s="14" t="s">
        <v>393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132.43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240.8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6608.34</v>
      </c>
      <c r="E6" s="8">
        <f>ROUND(C6+D6,2)</f>
        <v>6858.34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12700.32</v>
      </c>
      <c r="E7" s="8">
        <f>ROUND(C7+D7,2)</f>
        <v>18951.1</v>
      </c>
      <c r="F7" s="17"/>
      <c r="G7" s="18"/>
      <c r="H7" s="22"/>
      <c r="I7" s="48">
        <f>210+C6</f>
        <v>460</v>
      </c>
      <c r="J7" s="48">
        <f>D6+1717.38</f>
        <v>8325.72</v>
      </c>
      <c r="K7" s="48">
        <f>J7+I7</f>
        <v>8785.72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44645</v>
      </c>
      <c r="B11" s="32" t="s">
        <v>172</v>
      </c>
      <c r="C11" s="33">
        <v>8</v>
      </c>
      <c r="D11" s="8">
        <v>61.83</v>
      </c>
      <c r="E11" s="33">
        <v>8</v>
      </c>
      <c r="F11" s="8">
        <v>61.83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45.73</v>
      </c>
      <c r="E12" s="33">
        <v>3</v>
      </c>
      <c r="F12" s="8">
        <v>45.68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13</v>
      </c>
      <c r="F13" s="8">
        <v>2.106</v>
      </c>
      <c r="G13" s="10"/>
      <c r="H13" s="30"/>
      <c r="I13" s="35">
        <v>14233.94</v>
      </c>
      <c r="J13" s="35">
        <v>17170.27</v>
      </c>
      <c r="K13" s="35">
        <f>E7</f>
        <v>18951.1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0</v>
      </c>
      <c r="F14" s="8"/>
      <c r="G14" s="10"/>
      <c r="H14" s="30"/>
      <c r="I14" s="48">
        <v>699.51</v>
      </c>
      <c r="J14" s="48">
        <v>2936.33</v>
      </c>
      <c r="K14" s="48">
        <f>K13-J13</f>
        <v>1780.83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560</v>
      </c>
      <c r="F15" s="8">
        <v>22.81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108.37</v>
      </c>
      <c r="D18" s="8"/>
      <c r="E18" s="8">
        <f>ROUND(F11+F12+F15+F16+F17+F13+F14,2)</f>
        <v>132.43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240.8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95</v>
      </c>
      <c r="N20" s="94">
        <f>D38-81</f>
        <v>91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299</v>
      </c>
      <c r="N21" s="94">
        <f>F38-44</f>
        <v>92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15</v>
      </c>
      <c r="N23" s="94">
        <f>D39-65</f>
        <v>88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256</v>
      </c>
      <c r="N24" s="94">
        <f>F39-7</f>
        <v>111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8535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2286.71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6868.67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436</v>
      </c>
      <c r="D30" s="49" t="s">
        <v>75</v>
      </c>
      <c r="E30" s="38">
        <f>C39+D39</f>
        <v>298</v>
      </c>
      <c r="F30" s="39"/>
      <c r="G30" s="38"/>
    </row>
    <row r="31" spans="1:7">
      <c r="A31" s="37"/>
      <c r="B31" s="49" t="s">
        <v>76</v>
      </c>
      <c r="C31" s="38">
        <f>E38+F38</f>
        <v>736</v>
      </c>
      <c r="D31" s="49" t="s">
        <v>77</v>
      </c>
      <c r="E31" s="38">
        <f>E39+F39</f>
        <v>632</v>
      </c>
      <c r="F31" s="39"/>
      <c r="G31" s="38"/>
    </row>
    <row r="32" spans="1:7">
      <c r="A32" s="37"/>
      <c r="B32" s="49" t="s">
        <v>78</v>
      </c>
      <c r="C32" s="38">
        <f>C33-C30-C31</f>
        <v>4608</v>
      </c>
      <c r="D32" s="49" t="s">
        <v>79</v>
      </c>
      <c r="E32" s="38">
        <f>E33-E30-E31</f>
        <v>4850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44636</v>
      </c>
      <c r="B36" s="54">
        <v>78.8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44637</v>
      </c>
      <c r="B37" s="54">
        <v>130.78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44638</v>
      </c>
      <c r="B38" s="54">
        <v>105.36</v>
      </c>
      <c r="C38" s="58">
        <v>264</v>
      </c>
      <c r="D38" s="58">
        <v>172</v>
      </c>
      <c r="E38" s="58">
        <v>600</v>
      </c>
      <c r="F38" s="58">
        <v>136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44639</v>
      </c>
      <c r="B39" s="54">
        <v>242.02</v>
      </c>
      <c r="C39" s="60">
        <v>145</v>
      </c>
      <c r="D39" s="60">
        <v>153</v>
      </c>
      <c r="E39" s="60">
        <v>514</v>
      </c>
      <c r="F39" s="60">
        <v>118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44640</v>
      </c>
      <c r="B40" s="62">
        <v>205.8</v>
      </c>
      <c r="C40" s="63" t="s">
        <v>182</v>
      </c>
      <c r="D40" s="64">
        <f>C38+D38+E38+F38</f>
        <v>1172</v>
      </c>
      <c r="E40" s="65" t="s">
        <v>69</v>
      </c>
      <c r="F40" s="66">
        <f>C39+D39+E39+F39</f>
        <v>930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44641</v>
      </c>
      <c r="B41" s="54">
        <v>199.76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截止2022年03月25日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44642</v>
      </c>
      <c r="B42" s="54">
        <v>229.09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44643</v>
      </c>
      <c r="B43" s="54">
        <v>201.88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0.1982</v>
      </c>
      <c r="J43" s="35">
        <v>5913</v>
      </c>
      <c r="K43" s="36" t="s">
        <v>318</v>
      </c>
      <c r="L43" s="56">
        <f>L44+155</f>
        <v>341</v>
      </c>
      <c r="M43" s="56">
        <f>M44+171</f>
        <v>274</v>
      </c>
      <c r="N43" s="56">
        <f>N44+1460</f>
        <v>9995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44644</v>
      </c>
      <c r="B44" s="54">
        <v>146.54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11">
        <f>ROUND(F40/J44,4)</f>
        <v>0.1573</v>
      </c>
      <c r="J44" s="35">
        <v>5913</v>
      </c>
      <c r="K44" s="36" t="s">
        <v>319</v>
      </c>
      <c r="L44" s="56">
        <f>SUM(M20:N20)</f>
        <v>186</v>
      </c>
      <c r="M44" s="56">
        <f>SUM(M23:N23)</f>
        <v>103</v>
      </c>
      <c r="N44" s="56">
        <f>M25</f>
        <v>8535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44645</v>
      </c>
      <c r="B45" s="54">
        <v>240.8</v>
      </c>
      <c r="C45" s="74" t="s">
        <v>228</v>
      </c>
      <c r="D45" s="74">
        <v>6600</v>
      </c>
      <c r="E45" s="74">
        <v>8040</v>
      </c>
      <c r="F45" s="74">
        <f t="shared" si="0"/>
        <v>14640</v>
      </c>
      <c r="G45" s="75"/>
      <c r="H45" s="40" t="s">
        <v>228</v>
      </c>
      <c r="I45" s="111">
        <f>ROUND(F45/J45,4)</f>
        <v>0.1083</v>
      </c>
      <c r="J45" s="35">
        <v>135185</v>
      </c>
      <c r="K45" s="36" t="s">
        <v>320</v>
      </c>
      <c r="L45" s="56">
        <f>D40</f>
        <v>1172</v>
      </c>
      <c r="M45" s="56">
        <f>F40</f>
        <v>930</v>
      </c>
      <c r="N45" s="56">
        <f>F45</f>
        <v>14640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147</v>
      </c>
      <c r="M47" s="56">
        <f>F40-'2022.3.15'!$F$40</f>
        <v>110</v>
      </c>
      <c r="N47" s="56">
        <f>F45-'2022.3.15'!$F$45</f>
        <v>1380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22</v>
      </c>
      <c r="B48" s="79">
        <f>SUM(C13,C14,E13,E14)</f>
        <v>18</v>
      </c>
      <c r="C48" s="79">
        <f>C15+E15</f>
        <v>560</v>
      </c>
      <c r="D48" s="79">
        <f>C16+E16</f>
        <v>0</v>
      </c>
      <c r="E48" s="79">
        <f>C17+E17</f>
        <v>0</v>
      </c>
      <c r="F48" s="80">
        <f>E3</f>
        <v>240.8</v>
      </c>
      <c r="G48" s="76"/>
      <c r="H48" s="40" t="s">
        <v>231</v>
      </c>
      <c r="I48" s="111">
        <f>ROUND(E7/J48,4)</f>
        <v>0.2099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147</v>
      </c>
      <c r="B49" s="79">
        <f>M47</f>
        <v>110</v>
      </c>
      <c r="C49" s="79">
        <f>N47</f>
        <v>1380</v>
      </c>
      <c r="D49" s="79">
        <f>O47</f>
        <v>160.32</v>
      </c>
      <c r="E49" s="79">
        <f>P47</f>
        <v>0</v>
      </c>
      <c r="F49" s="80">
        <f>K14</f>
        <v>1780.83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341</v>
      </c>
      <c r="B50" s="79">
        <f>M43</f>
        <v>274</v>
      </c>
      <c r="C50" s="79">
        <f>N43</f>
        <v>9995</v>
      </c>
      <c r="D50" s="79">
        <f>O43</f>
        <v>2728.31</v>
      </c>
      <c r="E50" s="79">
        <f>P43</f>
        <v>6130.99</v>
      </c>
      <c r="F50" s="80">
        <f>K7</f>
        <v>8785.72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25日自年初1月1日起完成产值6858.34万元，自开工累计完成产值18951.1万元，自开工占总产值90284.4万元的20.99%，100章临建完成6250.78万元，400章桥梁完成12700.32万元。已完成梁片预制1172片，占设计量的19.82%；梁片安装930片，占设计量的15.73%；湿接缝14640米，占设计量的10.83%；防撞护栏4318.75米，占设计量的6.44%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Q14" sqref="Q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44646</v>
      </c>
      <c r="B3" s="12" t="s">
        <v>7</v>
      </c>
      <c r="C3" s="12">
        <v>0</v>
      </c>
      <c r="D3" s="12">
        <f>ROUND(D11+D12+D15+D16+D17+D13+D14,2)</f>
        <v>115.27</v>
      </c>
      <c r="E3" s="13">
        <f>ROUND(C5+D5,2)</f>
        <v>244.98</v>
      </c>
      <c r="F3" s="14" t="s">
        <v>394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129.71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244.98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6853.32</v>
      </c>
      <c r="E6" s="8">
        <f>ROUND(C6+D6,2)</f>
        <v>7103.32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12945.3</v>
      </c>
      <c r="E7" s="8">
        <f>ROUND(C7+D7,2)</f>
        <v>19196.08</v>
      </c>
      <c r="F7" s="17"/>
      <c r="G7" s="18"/>
      <c r="H7" s="22"/>
      <c r="I7" s="48">
        <f>210+C6</f>
        <v>460</v>
      </c>
      <c r="J7" s="48">
        <f>D6+1717.38</f>
        <v>8570.7</v>
      </c>
      <c r="K7" s="48">
        <f>J7+I7</f>
        <v>9030.7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44646</v>
      </c>
      <c r="B11" s="32" t="s">
        <v>172</v>
      </c>
      <c r="C11" s="33">
        <v>4</v>
      </c>
      <c r="D11" s="8">
        <v>31.07</v>
      </c>
      <c r="E11" s="33">
        <v>9</v>
      </c>
      <c r="F11" s="8">
        <v>69.47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5</v>
      </c>
      <c r="D12" s="8">
        <v>76.36</v>
      </c>
      <c r="E12" s="33">
        <v>3</v>
      </c>
      <c r="F12" s="8">
        <v>45.8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6</v>
      </c>
      <c r="F13" s="8">
        <v>0.972</v>
      </c>
      <c r="G13" s="10"/>
      <c r="H13" s="30"/>
      <c r="I13" s="35">
        <v>14233.94</v>
      </c>
      <c r="J13" s="35">
        <v>17170.27</v>
      </c>
      <c r="K13" s="35">
        <f>E7</f>
        <v>19196.08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2</v>
      </c>
      <c r="D14" s="8">
        <v>0.504</v>
      </c>
      <c r="E14" s="33">
        <v>5</v>
      </c>
      <c r="F14" s="8">
        <v>1.26</v>
      </c>
      <c r="G14" s="10"/>
      <c r="H14" s="30"/>
      <c r="I14" s="48">
        <v>699.51</v>
      </c>
      <c r="J14" s="48">
        <v>2936.33</v>
      </c>
      <c r="K14" s="48">
        <f>K13-J13</f>
        <v>2025.81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>
        <v>300</v>
      </c>
      <c r="F15" s="8">
        <v>12.21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115.27</v>
      </c>
      <c r="D18" s="8"/>
      <c r="E18" s="8">
        <f>ROUND(F11+F12+F15+F16+F17+F13+F14,2)</f>
        <v>129.71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244.98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99</v>
      </c>
      <c r="N20" s="94">
        <f>D38-81</f>
        <v>96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308</v>
      </c>
      <c r="N21" s="94">
        <f>F38-44</f>
        <v>95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20</v>
      </c>
      <c r="N23" s="94">
        <f>D39-65</f>
        <v>90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262</v>
      </c>
      <c r="N24" s="94">
        <f>F39-7</f>
        <v>116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8995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2286.71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7113.65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445</v>
      </c>
      <c r="D30" s="49" t="s">
        <v>75</v>
      </c>
      <c r="E30" s="38">
        <f>C39+D39</f>
        <v>305</v>
      </c>
      <c r="F30" s="39"/>
      <c r="G30" s="38"/>
    </row>
    <row r="31" spans="1:7">
      <c r="A31" s="37"/>
      <c r="B31" s="49" t="s">
        <v>76</v>
      </c>
      <c r="C31" s="38">
        <f>E38+F38</f>
        <v>748</v>
      </c>
      <c r="D31" s="49" t="s">
        <v>77</v>
      </c>
      <c r="E31" s="38">
        <f>E39+F39</f>
        <v>643</v>
      </c>
      <c r="F31" s="39"/>
      <c r="G31" s="38"/>
    </row>
    <row r="32" spans="1:7">
      <c r="A32" s="37"/>
      <c r="B32" s="49" t="s">
        <v>78</v>
      </c>
      <c r="C32" s="38">
        <f>C33-C30-C31</f>
        <v>4587</v>
      </c>
      <c r="D32" s="49" t="s">
        <v>79</v>
      </c>
      <c r="E32" s="38">
        <f>E33-E30-E31</f>
        <v>4832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44637</v>
      </c>
      <c r="B36" s="54">
        <v>130.78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44638</v>
      </c>
      <c r="B37" s="54">
        <v>105.36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44639</v>
      </c>
      <c r="B38" s="54">
        <v>242.02</v>
      </c>
      <c r="C38" s="58">
        <v>268</v>
      </c>
      <c r="D38" s="58">
        <v>177</v>
      </c>
      <c r="E38" s="58">
        <v>609</v>
      </c>
      <c r="F38" s="58">
        <v>139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44640</v>
      </c>
      <c r="B39" s="54">
        <v>205.8</v>
      </c>
      <c r="C39" s="60">
        <v>150</v>
      </c>
      <c r="D39" s="60">
        <v>155</v>
      </c>
      <c r="E39" s="60">
        <v>520</v>
      </c>
      <c r="F39" s="60">
        <v>123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44641</v>
      </c>
      <c r="B40" s="62">
        <v>199.76</v>
      </c>
      <c r="C40" s="63" t="s">
        <v>182</v>
      </c>
      <c r="D40" s="64">
        <f>C38+D38+E38+F38</f>
        <v>1193</v>
      </c>
      <c r="E40" s="65" t="s">
        <v>69</v>
      </c>
      <c r="F40" s="66">
        <f>C39+D39+E39+F39</f>
        <v>948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44642</v>
      </c>
      <c r="B41" s="54">
        <v>229.09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截止2022年03月26日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44643</v>
      </c>
      <c r="B42" s="54">
        <v>201.88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44644</v>
      </c>
      <c r="B43" s="54">
        <v>146.54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0.2018</v>
      </c>
      <c r="J43" s="35">
        <v>5913</v>
      </c>
      <c r="K43" s="36" t="s">
        <v>318</v>
      </c>
      <c r="L43" s="56">
        <f>L44+155</f>
        <v>350</v>
      </c>
      <c r="M43" s="56">
        <f>M44+171</f>
        <v>281</v>
      </c>
      <c r="N43" s="56">
        <f>N44+1460</f>
        <v>10455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44645</v>
      </c>
      <c r="B44" s="54">
        <v>240.8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11">
        <f>ROUND(F40/J44,4)</f>
        <v>0.1603</v>
      </c>
      <c r="J44" s="35">
        <v>5913</v>
      </c>
      <c r="K44" s="36" t="s">
        <v>319</v>
      </c>
      <c r="L44" s="56">
        <f>SUM(M20:N20)</f>
        <v>195</v>
      </c>
      <c r="M44" s="56">
        <f>SUM(M23:N23)</f>
        <v>110</v>
      </c>
      <c r="N44" s="56">
        <f>M25</f>
        <v>8995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44646</v>
      </c>
      <c r="B45" s="54">
        <v>244.98</v>
      </c>
      <c r="C45" s="74" t="s">
        <v>228</v>
      </c>
      <c r="D45" s="74">
        <v>6760</v>
      </c>
      <c r="E45" s="74">
        <v>8340</v>
      </c>
      <c r="F45" s="74">
        <f t="shared" si="0"/>
        <v>15100</v>
      </c>
      <c r="G45" s="75"/>
      <c r="H45" s="40" t="s">
        <v>228</v>
      </c>
      <c r="I45" s="111">
        <f>ROUND(F45/J45,4)</f>
        <v>0.1117</v>
      </c>
      <c r="J45" s="35">
        <v>135185</v>
      </c>
      <c r="K45" s="36" t="s">
        <v>320</v>
      </c>
      <c r="L45" s="56">
        <f>D40</f>
        <v>1193</v>
      </c>
      <c r="M45" s="56">
        <f>F40</f>
        <v>948</v>
      </c>
      <c r="N45" s="56">
        <f>F45</f>
        <v>15100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168</v>
      </c>
      <c r="M47" s="56">
        <f>F40-'2022.3.15'!$F$40</f>
        <v>128</v>
      </c>
      <c r="N47" s="56">
        <f>F45-'2022.3.15'!$F$45</f>
        <v>1840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21</v>
      </c>
      <c r="B48" s="79">
        <f>SUM(C13,C14,E13,E14)</f>
        <v>18</v>
      </c>
      <c r="C48" s="79">
        <f>C15+E15</f>
        <v>460</v>
      </c>
      <c r="D48" s="79">
        <f>C16+E16</f>
        <v>0</v>
      </c>
      <c r="E48" s="79">
        <f>C17+E17</f>
        <v>0</v>
      </c>
      <c r="F48" s="80">
        <f>E3</f>
        <v>244.98</v>
      </c>
      <c r="G48" s="76"/>
      <c r="H48" s="40" t="s">
        <v>231</v>
      </c>
      <c r="I48" s="111">
        <f>ROUND(E7/J48,4)</f>
        <v>0.2126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168</v>
      </c>
      <c r="B49" s="79">
        <f>M47</f>
        <v>128</v>
      </c>
      <c r="C49" s="79">
        <f>N47</f>
        <v>1840</v>
      </c>
      <c r="D49" s="79">
        <f>O47</f>
        <v>160.32</v>
      </c>
      <c r="E49" s="79">
        <f>P47</f>
        <v>0</v>
      </c>
      <c r="F49" s="80">
        <f>K14</f>
        <v>2025.81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350</v>
      </c>
      <c r="B50" s="79">
        <f>M43</f>
        <v>281</v>
      </c>
      <c r="C50" s="79">
        <f>N43</f>
        <v>10455</v>
      </c>
      <c r="D50" s="79">
        <f>O43</f>
        <v>2728.31</v>
      </c>
      <c r="E50" s="79">
        <f>P43</f>
        <v>6130.99</v>
      </c>
      <c r="F50" s="80">
        <f>K7</f>
        <v>9030.7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26日自年初1月1日起完成产值7103.32万元，自开工累计完成产值19196.08万元，自开工占总产值90284.4万元的21.26%，100章临建完成6250.78万元，400章桥梁完成12945.3万元。已完成梁片预制1193片，占设计量的20.18%；梁片安装948片，占设计量的16.03%；湿接缝15100米，占设计量的11.17%；防撞护栏4318.75米，占设计量的6.44%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Q14" sqref="Q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44647</v>
      </c>
      <c r="B3" s="12" t="s">
        <v>7</v>
      </c>
      <c r="C3" s="12">
        <v>0</v>
      </c>
      <c r="D3" s="12">
        <f>ROUND(D11+D12+D15+D16+D17+D13+D14,2)</f>
        <v>108.83</v>
      </c>
      <c r="E3" s="13">
        <f>ROUND(C5+D5,2)</f>
        <v>207.33</v>
      </c>
      <c r="F3" s="14" t="s">
        <v>395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98.5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207.33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7060.65</v>
      </c>
      <c r="E6" s="8">
        <f>ROUND(C6+D6,2)</f>
        <v>7310.65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13152.63</v>
      </c>
      <c r="E7" s="8">
        <f>ROUND(C7+D7,2)</f>
        <v>19403.41</v>
      </c>
      <c r="F7" s="17"/>
      <c r="G7" s="18"/>
      <c r="H7" s="22"/>
      <c r="I7" s="48">
        <f>210+C6</f>
        <v>460</v>
      </c>
      <c r="J7" s="48">
        <f>D6+1717.38</f>
        <v>8778.03</v>
      </c>
      <c r="K7" s="48">
        <f>J7+I7</f>
        <v>9238.03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44647</v>
      </c>
      <c r="B11" s="32" t="s">
        <v>172</v>
      </c>
      <c r="C11" s="33">
        <v>6</v>
      </c>
      <c r="D11" s="8">
        <v>46.38</v>
      </c>
      <c r="E11" s="33">
        <v>7</v>
      </c>
      <c r="F11" s="8">
        <v>53.83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4</v>
      </c>
      <c r="D12" s="8">
        <v>61.14</v>
      </c>
      <c r="E12" s="33">
        <v>2</v>
      </c>
      <c r="F12" s="8">
        <v>30.57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7</v>
      </c>
      <c r="F13" s="8">
        <v>1.134</v>
      </c>
      <c r="G13" s="10"/>
      <c r="H13" s="30"/>
      <c r="I13" s="35">
        <v>14233.94</v>
      </c>
      <c r="J13" s="35">
        <v>17170.27</v>
      </c>
      <c r="K13" s="35">
        <f>E7</f>
        <v>19403.41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2</v>
      </c>
      <c r="D14" s="8">
        <v>0.504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2233.14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300</v>
      </c>
      <c r="F15" s="8">
        <v>12.21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108.83</v>
      </c>
      <c r="D18" s="8"/>
      <c r="E18" s="8">
        <f>ROUND(F11+F12+F15+F16+F17+F13+F14,2)</f>
        <v>98.5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207.33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105</v>
      </c>
      <c r="N20" s="94">
        <f>D38-81</f>
        <v>100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315</v>
      </c>
      <c r="N21" s="94">
        <f>F38-44</f>
        <v>97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25</v>
      </c>
      <c r="N23" s="94">
        <f>D39-65</f>
        <v>92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269</v>
      </c>
      <c r="N24" s="94">
        <f>F39-7</f>
        <v>119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9295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2286.71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7320.98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455</v>
      </c>
      <c r="D30" s="49" t="s">
        <v>75</v>
      </c>
      <c r="E30" s="38">
        <f>C39+D39</f>
        <v>312</v>
      </c>
      <c r="F30" s="39"/>
      <c r="G30" s="38"/>
    </row>
    <row r="31" spans="1:7">
      <c r="A31" s="37"/>
      <c r="B31" s="49" t="s">
        <v>76</v>
      </c>
      <c r="C31" s="38">
        <f>E38+F38</f>
        <v>757</v>
      </c>
      <c r="D31" s="49" t="s">
        <v>77</v>
      </c>
      <c r="E31" s="38">
        <f>E39+F39</f>
        <v>653</v>
      </c>
      <c r="F31" s="39"/>
      <c r="G31" s="38"/>
    </row>
    <row r="32" spans="1:7">
      <c r="A32" s="37"/>
      <c r="B32" s="49" t="s">
        <v>78</v>
      </c>
      <c r="C32" s="38">
        <f>C33-C30-C31</f>
        <v>4568</v>
      </c>
      <c r="D32" s="49" t="s">
        <v>79</v>
      </c>
      <c r="E32" s="38">
        <f>E33-E30-E31</f>
        <v>4815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44638</v>
      </c>
      <c r="B36" s="54">
        <v>105.36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44639</v>
      </c>
      <c r="B37" s="54">
        <v>242.02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44640</v>
      </c>
      <c r="B38" s="54">
        <v>205.8</v>
      </c>
      <c r="C38" s="58">
        <v>274</v>
      </c>
      <c r="D38" s="58">
        <v>181</v>
      </c>
      <c r="E38" s="58">
        <v>616</v>
      </c>
      <c r="F38" s="58">
        <v>141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44641</v>
      </c>
      <c r="B39" s="54">
        <v>199.76</v>
      </c>
      <c r="C39" s="60">
        <v>155</v>
      </c>
      <c r="D39" s="60">
        <v>157</v>
      </c>
      <c r="E39" s="60">
        <v>527</v>
      </c>
      <c r="F39" s="60">
        <v>126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44642</v>
      </c>
      <c r="B40" s="62">
        <v>229.09</v>
      </c>
      <c r="C40" s="63" t="s">
        <v>182</v>
      </c>
      <c r="D40" s="64">
        <f>C38+D38+E38+F38</f>
        <v>1212</v>
      </c>
      <c r="E40" s="65" t="s">
        <v>69</v>
      </c>
      <c r="F40" s="66">
        <f>C39+D39+E39+F39</f>
        <v>965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44643</v>
      </c>
      <c r="B41" s="54">
        <v>201.88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截止2022年03月27日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44644</v>
      </c>
      <c r="B42" s="54">
        <v>146.54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44645</v>
      </c>
      <c r="B43" s="54">
        <v>240.8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0.205</v>
      </c>
      <c r="J43" s="35">
        <v>5913</v>
      </c>
      <c r="K43" s="36" t="s">
        <v>318</v>
      </c>
      <c r="L43" s="56">
        <f>L44+155</f>
        <v>360</v>
      </c>
      <c r="M43" s="56">
        <f>M44+171</f>
        <v>288</v>
      </c>
      <c r="N43" s="56">
        <f>N44+1460</f>
        <v>10755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44646</v>
      </c>
      <c r="B44" s="54">
        <v>244.98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11">
        <f>ROUND(F40/J44,4)</f>
        <v>0.1632</v>
      </c>
      <c r="J44" s="35">
        <v>5913</v>
      </c>
      <c r="K44" s="36" t="s">
        <v>319</v>
      </c>
      <c r="L44" s="56">
        <f>SUM(M20:N20)</f>
        <v>205</v>
      </c>
      <c r="M44" s="56">
        <f>SUM(M23:N23)</f>
        <v>117</v>
      </c>
      <c r="N44" s="56">
        <f>M25</f>
        <v>9295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44647</v>
      </c>
      <c r="B45" s="54">
        <v>207.33</v>
      </c>
      <c r="C45" s="74" t="s">
        <v>228</v>
      </c>
      <c r="D45" s="74">
        <v>6760</v>
      </c>
      <c r="E45" s="74">
        <v>8640</v>
      </c>
      <c r="F45" s="74">
        <f t="shared" si="0"/>
        <v>15400</v>
      </c>
      <c r="G45" s="75"/>
      <c r="H45" s="40" t="s">
        <v>228</v>
      </c>
      <c r="I45" s="111">
        <f>ROUND(F45/J45,4)</f>
        <v>0.1139</v>
      </c>
      <c r="J45" s="35">
        <v>135185</v>
      </c>
      <c r="K45" s="36" t="s">
        <v>320</v>
      </c>
      <c r="L45" s="56">
        <f>D40</f>
        <v>1212</v>
      </c>
      <c r="M45" s="56">
        <f>F40</f>
        <v>965</v>
      </c>
      <c r="N45" s="56">
        <f>F45</f>
        <v>15400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187</v>
      </c>
      <c r="M47" s="56">
        <f>F40-'2022.3.15'!$F$40</f>
        <v>145</v>
      </c>
      <c r="N47" s="56">
        <f>F45-'2022.3.15'!$F$45</f>
        <v>2140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19</v>
      </c>
      <c r="B48" s="79">
        <f>SUM(C13,C14,E13,E14)</f>
        <v>17</v>
      </c>
      <c r="C48" s="79">
        <f>C15+E15</f>
        <v>300</v>
      </c>
      <c r="D48" s="79">
        <f>C16+E16</f>
        <v>0</v>
      </c>
      <c r="E48" s="79">
        <f>C17+E17</f>
        <v>0</v>
      </c>
      <c r="F48" s="80">
        <f>E3</f>
        <v>207.33</v>
      </c>
      <c r="G48" s="76"/>
      <c r="H48" s="40" t="s">
        <v>231</v>
      </c>
      <c r="I48" s="111">
        <f>ROUND(E7/J48,4)</f>
        <v>0.2149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187</v>
      </c>
      <c r="B49" s="79">
        <f>M47</f>
        <v>145</v>
      </c>
      <c r="C49" s="79">
        <f>N47</f>
        <v>2140</v>
      </c>
      <c r="D49" s="79">
        <f>O47</f>
        <v>160.32</v>
      </c>
      <c r="E49" s="79">
        <f>P47</f>
        <v>0</v>
      </c>
      <c r="F49" s="80">
        <f>K14</f>
        <v>2233.14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360</v>
      </c>
      <c r="B50" s="79">
        <f>M43</f>
        <v>288</v>
      </c>
      <c r="C50" s="79">
        <f>N43</f>
        <v>10755</v>
      </c>
      <c r="D50" s="79">
        <f>O43</f>
        <v>2728.31</v>
      </c>
      <c r="E50" s="79">
        <f>P43</f>
        <v>6130.99</v>
      </c>
      <c r="F50" s="80">
        <f>K7</f>
        <v>9238.03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27日自年初1月1日起完成产值7310.65万元，自开工累计完成产值19403.41万元，自开工占总产值90284.4万元的21.49%，100章临建完成6250.78万元，400章桥梁完成13152.63万元。已完成梁片预制1212片，占设计量的20.5%；梁片安装965片，占设计量的16.32%；湿接缝15400米，占设计量的11.39%；防撞护栏4318.75米，占设计量的6.44%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Q14" sqref="Q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44648</v>
      </c>
      <c r="B3" s="12" t="s">
        <v>7</v>
      </c>
      <c r="C3" s="12">
        <v>0</v>
      </c>
      <c r="D3" s="12">
        <f>ROUND(D11+D12+D15+D16+D17+D13+D14,2)</f>
        <v>76.73</v>
      </c>
      <c r="E3" s="13">
        <f>ROUND(C5+D5,2)</f>
        <v>185.18</v>
      </c>
      <c r="F3" s="14" t="s">
        <v>396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108.45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185.18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7245.83</v>
      </c>
      <c r="E6" s="8">
        <f>ROUND(C6+D6,2)</f>
        <v>7495.83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13337.81</v>
      </c>
      <c r="E7" s="8">
        <f>ROUND(C7+D7,2)</f>
        <v>19588.59</v>
      </c>
      <c r="F7" s="17"/>
      <c r="G7" s="18"/>
      <c r="H7" s="22"/>
      <c r="I7" s="48">
        <f>210+C6</f>
        <v>460</v>
      </c>
      <c r="J7" s="48">
        <f>D6+1717.38</f>
        <v>8963.21</v>
      </c>
      <c r="K7" s="48">
        <f>J7+I7</f>
        <v>9423.21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44648</v>
      </c>
      <c r="B11" s="32" t="s">
        <v>172</v>
      </c>
      <c r="C11" s="33">
        <v>8</v>
      </c>
      <c r="D11" s="8">
        <v>61.44</v>
      </c>
      <c r="E11" s="33">
        <v>8</v>
      </c>
      <c r="F11" s="8">
        <v>61.65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1</v>
      </c>
      <c r="D12" s="8">
        <v>15.29</v>
      </c>
      <c r="E12" s="33">
        <v>3</v>
      </c>
      <c r="F12" s="8">
        <v>45.81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3</v>
      </c>
      <c r="F13" s="8">
        <v>0.486</v>
      </c>
      <c r="G13" s="10"/>
      <c r="H13" s="30"/>
      <c r="I13" s="35">
        <v>14233.94</v>
      </c>
      <c r="J13" s="35">
        <v>17170.27</v>
      </c>
      <c r="K13" s="35">
        <f>E7</f>
        <v>19588.59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2</v>
      </c>
      <c r="F14" s="8">
        <v>0.504</v>
      </c>
      <c r="G14" s="10"/>
      <c r="H14" s="30"/>
      <c r="I14" s="48">
        <v>699.51</v>
      </c>
      <c r="J14" s="48">
        <v>2936.33</v>
      </c>
      <c r="K14" s="48">
        <f>K13-J13</f>
        <v>2418.32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76.73</v>
      </c>
      <c r="D18" s="8"/>
      <c r="E18" s="8">
        <f>ROUND(F11+F12+F15+F16+F17+F13+F14,2)</f>
        <v>108.45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185.18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113</v>
      </c>
      <c r="N20" s="94">
        <f>D38-81</f>
        <v>101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323</v>
      </c>
      <c r="N21" s="94">
        <f>F38-44</f>
        <v>100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25</v>
      </c>
      <c r="N23" s="94">
        <f>D39-65</f>
        <v>92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272</v>
      </c>
      <c r="N24" s="94">
        <f>F39-7</f>
        <v>121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9295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2286.71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7506.16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464</v>
      </c>
      <c r="D30" s="49" t="s">
        <v>75</v>
      </c>
      <c r="E30" s="38">
        <f>C39+D39</f>
        <v>312</v>
      </c>
      <c r="F30" s="39"/>
      <c r="G30" s="38"/>
    </row>
    <row r="31" spans="1:7">
      <c r="A31" s="37"/>
      <c r="B31" s="49" t="s">
        <v>76</v>
      </c>
      <c r="C31" s="38">
        <f>E38+F38</f>
        <v>768</v>
      </c>
      <c r="D31" s="49" t="s">
        <v>77</v>
      </c>
      <c r="E31" s="38">
        <f>E39+F39</f>
        <v>658</v>
      </c>
      <c r="F31" s="39"/>
      <c r="G31" s="38"/>
    </row>
    <row r="32" spans="1:7">
      <c r="A32" s="37"/>
      <c r="B32" s="49" t="s">
        <v>78</v>
      </c>
      <c r="C32" s="38">
        <f>C33-C30-C31</f>
        <v>4548</v>
      </c>
      <c r="D32" s="49" t="s">
        <v>79</v>
      </c>
      <c r="E32" s="38">
        <f>E33-E30-E31</f>
        <v>4810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44639</v>
      </c>
      <c r="B36" s="54">
        <v>242.02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44640</v>
      </c>
      <c r="B37" s="54">
        <v>205.8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44641</v>
      </c>
      <c r="B38" s="54">
        <v>199.76</v>
      </c>
      <c r="C38" s="58">
        <v>282</v>
      </c>
      <c r="D38" s="58">
        <v>182</v>
      </c>
      <c r="E38" s="58">
        <v>624</v>
      </c>
      <c r="F38" s="58">
        <v>144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44642</v>
      </c>
      <c r="B39" s="54">
        <v>229.09</v>
      </c>
      <c r="C39" s="60">
        <v>155</v>
      </c>
      <c r="D39" s="60">
        <v>157</v>
      </c>
      <c r="E39" s="60">
        <v>530</v>
      </c>
      <c r="F39" s="60">
        <v>128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44643</v>
      </c>
      <c r="B40" s="62">
        <v>201.88</v>
      </c>
      <c r="C40" s="63" t="s">
        <v>182</v>
      </c>
      <c r="D40" s="64">
        <f>C38+D38+E38+F38</f>
        <v>1232</v>
      </c>
      <c r="E40" s="65" t="s">
        <v>69</v>
      </c>
      <c r="F40" s="66">
        <f>C39+D39+E39+F39</f>
        <v>970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44644</v>
      </c>
      <c r="B41" s="54">
        <v>146.54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截止2022年03月28日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44645</v>
      </c>
      <c r="B42" s="54">
        <v>240.8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44646</v>
      </c>
      <c r="B43" s="54">
        <v>244.98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0.2084</v>
      </c>
      <c r="J43" s="35">
        <v>5913</v>
      </c>
      <c r="K43" s="36" t="s">
        <v>318</v>
      </c>
      <c r="L43" s="56">
        <f>L44+155</f>
        <v>369</v>
      </c>
      <c r="M43" s="56">
        <f>M44+171</f>
        <v>288</v>
      </c>
      <c r="N43" s="56">
        <f>N44+1460</f>
        <v>10755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44647</v>
      </c>
      <c r="B44" s="54">
        <v>207.33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11">
        <f>ROUND(F40/J44,4)</f>
        <v>0.164</v>
      </c>
      <c r="J44" s="35">
        <v>5913</v>
      </c>
      <c r="K44" s="36" t="s">
        <v>319</v>
      </c>
      <c r="L44" s="56">
        <f>SUM(M20:N20)</f>
        <v>214</v>
      </c>
      <c r="M44" s="56">
        <f>SUM(M23:N23)</f>
        <v>117</v>
      </c>
      <c r="N44" s="56">
        <f>M25</f>
        <v>9295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44648</v>
      </c>
      <c r="B45" s="54">
        <v>185.18</v>
      </c>
      <c r="C45" s="74" t="s">
        <v>228</v>
      </c>
      <c r="D45" s="74">
        <v>6760</v>
      </c>
      <c r="E45" s="74">
        <v>8640</v>
      </c>
      <c r="F45" s="74">
        <f t="shared" si="0"/>
        <v>15400</v>
      </c>
      <c r="G45" s="75"/>
      <c r="H45" s="40" t="s">
        <v>228</v>
      </c>
      <c r="I45" s="111">
        <f>ROUND(F45/J45,4)</f>
        <v>0.1139</v>
      </c>
      <c r="J45" s="35">
        <v>135185</v>
      </c>
      <c r="K45" s="36" t="s">
        <v>320</v>
      </c>
      <c r="L45" s="56">
        <f>D40</f>
        <v>1232</v>
      </c>
      <c r="M45" s="56">
        <f>F40</f>
        <v>970</v>
      </c>
      <c r="N45" s="56">
        <f>F45</f>
        <v>15400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207</v>
      </c>
      <c r="M47" s="56">
        <f>F40-'2022.3.15'!$F$40</f>
        <v>150</v>
      </c>
      <c r="N47" s="56">
        <f>F45-'2022.3.15'!$F$45</f>
        <v>2140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20</v>
      </c>
      <c r="B48" s="79">
        <f>SUM(C13,C14,E13,E14)</f>
        <v>5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185.18</v>
      </c>
      <c r="G48" s="76"/>
      <c r="H48" s="40" t="s">
        <v>231</v>
      </c>
      <c r="I48" s="111">
        <f>ROUND(E7/J48,4)</f>
        <v>0.217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207</v>
      </c>
      <c r="B49" s="79">
        <f>M47</f>
        <v>150</v>
      </c>
      <c r="C49" s="79">
        <f>N47</f>
        <v>2140</v>
      </c>
      <c r="D49" s="79">
        <f>O47</f>
        <v>160.32</v>
      </c>
      <c r="E49" s="79">
        <f>P47</f>
        <v>0</v>
      </c>
      <c r="F49" s="80">
        <f>K14</f>
        <v>2418.32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369</v>
      </c>
      <c r="B50" s="79">
        <f>M43</f>
        <v>288</v>
      </c>
      <c r="C50" s="79">
        <f>N43</f>
        <v>10755</v>
      </c>
      <c r="D50" s="79">
        <f>O43</f>
        <v>2728.31</v>
      </c>
      <c r="E50" s="79">
        <f>P43</f>
        <v>6130.99</v>
      </c>
      <c r="F50" s="80">
        <f>K7</f>
        <v>9423.21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28日自年初1月1日起完成产值7495.83万元，自开工累计完成产值19588.59万元，自开工占总产值90284.4万元的21.7%，100章临建完成6250.78万元，400章桥梁完成13337.81万元。已完成梁片预制1232片，占设计量的20.84%；梁片安装970片，占设计量的16.4%；湿接缝15400米，占设计量的11.39%；防撞护栏4318.75米，占设计量的6.44%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44479</v>
      </c>
      <c r="B3" s="157" t="s">
        <v>7</v>
      </c>
      <c r="C3" s="157">
        <v>2</v>
      </c>
      <c r="D3" s="157">
        <f>D11+F11</f>
        <v>7.82</v>
      </c>
      <c r="E3" s="250">
        <f>C5+D5</f>
        <v>9.82</v>
      </c>
      <c r="F3" s="243" t="s">
        <v>41</v>
      </c>
    </row>
    <row r="4" ht="15" customHeight="1" spans="1:6">
      <c r="A4" s="157"/>
      <c r="B4" s="157" t="s">
        <v>9</v>
      </c>
      <c r="C4" s="157">
        <v>0</v>
      </c>
      <c r="D4" s="157">
        <f>D12+F12</f>
        <v>0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2</v>
      </c>
      <c r="D5" s="157">
        <f>SUM(D3:D4)</f>
        <v>7.82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5459.78</v>
      </c>
      <c r="D6" s="258">
        <v>392.2</v>
      </c>
      <c r="E6" s="239">
        <f>C6+D6</f>
        <v>5851.98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5459.78</v>
      </c>
      <c r="D7" s="258">
        <v>392.2</v>
      </c>
      <c r="E7" s="239">
        <f>C7+D7</f>
        <v>5851.98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44479</v>
      </c>
      <c r="B11" s="157" t="s">
        <v>7</v>
      </c>
      <c r="C11" s="247">
        <v>1</v>
      </c>
      <c r="D11" s="248">
        <v>7.82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0</v>
      </c>
      <c r="D12" s="248">
        <v>0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1</v>
      </c>
      <c r="D13" s="248">
        <f>ROUND(D11+D12,2)</f>
        <v>7.82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7.82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44470</v>
      </c>
      <c r="B31" s="235">
        <v>24.1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44471</v>
      </c>
      <c r="B32" s="235">
        <v>17.46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44472</v>
      </c>
      <c r="B33" s="235">
        <v>31.74</v>
      </c>
      <c r="C33" s="35">
        <v>25</v>
      </c>
      <c r="D33" s="35">
        <v>6</v>
      </c>
      <c r="E33" s="35">
        <v>14</v>
      </c>
      <c r="F33" s="35">
        <v>0</v>
      </c>
    </row>
    <row r="34" ht="15.6" spans="1:6">
      <c r="A34" s="53">
        <v>44473</v>
      </c>
      <c r="B34" s="235">
        <v>2</v>
      </c>
      <c r="C34" s="35"/>
      <c r="D34" s="35"/>
      <c r="E34" s="35">
        <v>0</v>
      </c>
      <c r="F34" s="35">
        <v>38482</v>
      </c>
    </row>
    <row r="35" ht="15.6" spans="1:6">
      <c r="A35" s="53">
        <v>44474</v>
      </c>
      <c r="B35" s="235">
        <v>33.56</v>
      </c>
      <c r="C35" s="35"/>
      <c r="D35" s="35"/>
      <c r="E35" s="35"/>
      <c r="F35" s="35"/>
    </row>
    <row r="36" ht="15.6" spans="1:6">
      <c r="A36" s="53">
        <v>44475</v>
      </c>
      <c r="B36" s="235">
        <v>23.1</v>
      </c>
      <c r="C36" s="35"/>
      <c r="D36" s="35"/>
      <c r="E36" s="35"/>
      <c r="F36" s="35"/>
    </row>
    <row r="37" ht="15.6" spans="1:6">
      <c r="A37" s="53">
        <v>44476</v>
      </c>
      <c r="B37" s="235">
        <v>7.64</v>
      </c>
      <c r="C37" s="35"/>
      <c r="D37" s="35"/>
      <c r="E37" s="35"/>
      <c r="F37" s="35"/>
    </row>
    <row r="38" ht="15.6" spans="1:6">
      <c r="A38" s="53">
        <v>44477</v>
      </c>
      <c r="B38" s="235">
        <v>1.65</v>
      </c>
      <c r="C38" s="35"/>
      <c r="D38" s="35"/>
      <c r="E38" s="35"/>
      <c r="F38" s="35"/>
    </row>
    <row r="39" ht="15.6" spans="1:6">
      <c r="A39" s="53">
        <v>44478</v>
      </c>
      <c r="B39" s="235">
        <v>15.46</v>
      </c>
      <c r="C39" s="35"/>
      <c r="D39" s="35"/>
      <c r="E39" s="35"/>
      <c r="F39" s="35"/>
    </row>
    <row r="40" ht="15.6" spans="1:6">
      <c r="A40" s="53">
        <v>44479</v>
      </c>
      <c r="B40" s="235">
        <v>9.82</v>
      </c>
      <c r="C40" s="104">
        <f>C33+D33+E33+F33</f>
        <v>45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Q7" sqref="Q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44649</v>
      </c>
      <c r="B3" s="12" t="s">
        <v>7</v>
      </c>
      <c r="C3" s="12">
        <v>0</v>
      </c>
      <c r="D3" s="12">
        <f>ROUND(D11+D12+D15+D16+D17+D13+D14,2)</f>
        <v>108.32</v>
      </c>
      <c r="E3" s="13">
        <f>ROUND(C5+D5,2)</f>
        <v>209.43</v>
      </c>
      <c r="F3" s="14" t="s">
        <v>397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101.11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209.43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7455.26</v>
      </c>
      <c r="E6" s="8">
        <f>ROUND(C6+D6,2)</f>
        <v>7705.26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13547.24</v>
      </c>
      <c r="E7" s="8">
        <f>ROUND(C7+D7,2)</f>
        <v>19798.02</v>
      </c>
      <c r="F7" s="17"/>
      <c r="G7" s="18"/>
      <c r="H7" s="22"/>
      <c r="I7" s="48">
        <f>210+C6</f>
        <v>460</v>
      </c>
      <c r="J7" s="48">
        <f>D6+1717.38</f>
        <v>9172.64</v>
      </c>
      <c r="K7" s="48">
        <f>J7+I7</f>
        <v>9632.64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44649</v>
      </c>
      <c r="B11" s="32" t="s">
        <v>172</v>
      </c>
      <c r="C11" s="33">
        <v>8</v>
      </c>
      <c r="D11" s="8">
        <v>61.76</v>
      </c>
      <c r="E11" s="33">
        <v>7</v>
      </c>
      <c r="F11" s="8">
        <v>54.01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45.8</v>
      </c>
      <c r="E12" s="33">
        <v>3</v>
      </c>
      <c r="F12" s="8">
        <v>45.86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3</v>
      </c>
      <c r="F13" s="8">
        <v>0.486</v>
      </c>
      <c r="G13" s="10"/>
      <c r="H13" s="30"/>
      <c r="I13" s="35">
        <v>14233.94</v>
      </c>
      <c r="J13" s="35">
        <v>17170.27</v>
      </c>
      <c r="K13" s="35">
        <f>E7</f>
        <v>19798.02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3</v>
      </c>
      <c r="D14" s="8">
        <v>0.756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>K13-J13</f>
        <v>2627.75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/>
      <c r="F15" s="8"/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/>
      <c r="F16" s="8"/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108.32</v>
      </c>
      <c r="D18" s="8"/>
      <c r="E18" s="8">
        <f>ROUND(F11+F12+F15+F16+F17+F13+F14,2)</f>
        <v>101.11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209.43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121</v>
      </c>
      <c r="N20" s="94">
        <f>D38-81</f>
        <v>104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330</v>
      </c>
      <c r="N21" s="94">
        <f>F38-44</f>
        <v>103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25</v>
      </c>
      <c r="N23" s="94">
        <f>D39-65</f>
        <v>95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275</v>
      </c>
      <c r="N24" s="94">
        <f>F39-7</f>
        <v>124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9295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2286.71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7715.59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475</v>
      </c>
      <c r="D30" s="49" t="s">
        <v>75</v>
      </c>
      <c r="E30" s="38">
        <f>C39+D39</f>
        <v>315</v>
      </c>
      <c r="F30" s="39"/>
      <c r="G30" s="38"/>
    </row>
    <row r="31" spans="1:7">
      <c r="A31" s="37"/>
      <c r="B31" s="49" t="s">
        <v>76</v>
      </c>
      <c r="C31" s="38">
        <f>E38+F38</f>
        <v>778</v>
      </c>
      <c r="D31" s="49" t="s">
        <v>77</v>
      </c>
      <c r="E31" s="38">
        <f>E39+F39</f>
        <v>664</v>
      </c>
      <c r="F31" s="39"/>
      <c r="G31" s="38"/>
    </row>
    <row r="32" spans="1:7">
      <c r="A32" s="37"/>
      <c r="B32" s="49" t="s">
        <v>78</v>
      </c>
      <c r="C32" s="38">
        <f>C33-C30-C31</f>
        <v>4527</v>
      </c>
      <c r="D32" s="49" t="s">
        <v>79</v>
      </c>
      <c r="E32" s="38">
        <f>E33-E30-E31</f>
        <v>4801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44640</v>
      </c>
      <c r="B36" s="54">
        <v>205.8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44641</v>
      </c>
      <c r="B37" s="54">
        <v>199.76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44642</v>
      </c>
      <c r="B38" s="54">
        <v>229.09</v>
      </c>
      <c r="C38" s="58">
        <v>290</v>
      </c>
      <c r="D38" s="58">
        <v>185</v>
      </c>
      <c r="E38" s="58">
        <v>631</v>
      </c>
      <c r="F38" s="58">
        <v>147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44643</v>
      </c>
      <c r="B39" s="54">
        <v>201.88</v>
      </c>
      <c r="C39" s="60">
        <v>155</v>
      </c>
      <c r="D39" s="60">
        <v>160</v>
      </c>
      <c r="E39" s="60">
        <v>533</v>
      </c>
      <c r="F39" s="60">
        <v>131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44644</v>
      </c>
      <c r="B40" s="62">
        <v>146.54</v>
      </c>
      <c r="C40" s="63" t="s">
        <v>182</v>
      </c>
      <c r="D40" s="64">
        <f>C38+D38+E38+F38</f>
        <v>1253</v>
      </c>
      <c r="E40" s="65" t="s">
        <v>69</v>
      </c>
      <c r="F40" s="66">
        <f>C39+D39+E39+F39</f>
        <v>979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44645</v>
      </c>
      <c r="B41" s="54">
        <v>240.8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截止2022年03月29日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44646</v>
      </c>
      <c r="B42" s="54">
        <v>244.98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44647</v>
      </c>
      <c r="B43" s="54">
        <v>207.33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0.2119</v>
      </c>
      <c r="J43" s="35">
        <v>5913</v>
      </c>
      <c r="K43" s="36" t="s">
        <v>318</v>
      </c>
      <c r="L43" s="56">
        <f>L44+155</f>
        <v>380</v>
      </c>
      <c r="M43" s="56">
        <f>M44+171</f>
        <v>291</v>
      </c>
      <c r="N43" s="56">
        <f>N44+1460</f>
        <v>10755</v>
      </c>
      <c r="O43" s="56">
        <f>O44+441.6</f>
        <v>2728.31</v>
      </c>
      <c r="P43" s="56">
        <f>P44+0</f>
        <v>6130.99</v>
      </c>
      <c r="U43" s="4"/>
    </row>
    <row r="44" ht="15.6" spans="1:21">
      <c r="A44" s="53">
        <v>44648</v>
      </c>
      <c r="B44" s="54">
        <v>185.18</v>
      </c>
      <c r="C44" s="74" t="s">
        <v>229</v>
      </c>
      <c r="D44" s="74">
        <v>3127.9</v>
      </c>
      <c r="E44" s="74">
        <v>1190.85</v>
      </c>
      <c r="F44" s="74">
        <f t="shared" si="0"/>
        <v>4318.75</v>
      </c>
      <c r="G44" s="73"/>
      <c r="H44" s="40" t="s">
        <v>62</v>
      </c>
      <c r="I44" s="111">
        <f>ROUND(F40/J44,4)</f>
        <v>0.1656</v>
      </c>
      <c r="J44" s="35">
        <v>5913</v>
      </c>
      <c r="K44" s="36" t="s">
        <v>319</v>
      </c>
      <c r="L44" s="56">
        <f>SUM(M20:N20)</f>
        <v>225</v>
      </c>
      <c r="M44" s="56">
        <f>SUM(M23:N23)</f>
        <v>120</v>
      </c>
      <c r="N44" s="56">
        <f>M25</f>
        <v>9295</v>
      </c>
      <c r="O44" s="56">
        <f>M26</f>
        <v>2286.71</v>
      </c>
      <c r="P44" s="56">
        <f>M27</f>
        <v>6130.99</v>
      </c>
      <c r="U44" s="4"/>
    </row>
    <row r="45" ht="15.6" spans="1:21">
      <c r="A45" s="53">
        <v>44649</v>
      </c>
      <c r="B45" s="54">
        <v>209.43</v>
      </c>
      <c r="C45" s="74" t="s">
        <v>228</v>
      </c>
      <c r="D45" s="74">
        <v>6760</v>
      </c>
      <c r="E45" s="74">
        <v>8640</v>
      </c>
      <c r="F45" s="74">
        <f t="shared" si="0"/>
        <v>15400</v>
      </c>
      <c r="G45" s="75"/>
      <c r="H45" s="40" t="s">
        <v>228</v>
      </c>
      <c r="I45" s="111">
        <f>ROUND(F45/J45,4)</f>
        <v>0.1139</v>
      </c>
      <c r="J45" s="35">
        <v>135185</v>
      </c>
      <c r="K45" s="36" t="s">
        <v>320</v>
      </c>
      <c r="L45" s="56">
        <f>D40</f>
        <v>1253</v>
      </c>
      <c r="M45" s="56">
        <f>F40</f>
        <v>979</v>
      </c>
      <c r="N45" s="56">
        <f>F45</f>
        <v>15400</v>
      </c>
      <c r="O45" s="56">
        <f>F44</f>
        <v>4318.75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0.0644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228</v>
      </c>
      <c r="M47" s="56">
        <f>F40-'2022.3.15'!$F$40</f>
        <v>159</v>
      </c>
      <c r="N47" s="56">
        <f>F45-'2022.3.15'!$F$45</f>
        <v>2140</v>
      </c>
      <c r="O47" s="56">
        <f>F44-'2022.3.15'!$F$44+340.32</f>
        <v>160.32</v>
      </c>
      <c r="P47" s="56">
        <f>F43-'2022.3.15'!$F$43</f>
        <v>0</v>
      </c>
    </row>
    <row r="48" spans="1:16">
      <c r="A48" s="79">
        <f>SUM(C11,E11,C12,E12)</f>
        <v>21</v>
      </c>
      <c r="B48" s="79">
        <f>SUM(C13,C14,E13,E14)</f>
        <v>9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209.43</v>
      </c>
      <c r="G48" s="76"/>
      <c r="H48" s="40" t="s">
        <v>231</v>
      </c>
      <c r="I48" s="111">
        <f>ROUND(E7/J48,4)</f>
        <v>0.2193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228</v>
      </c>
      <c r="B49" s="79">
        <f>M47</f>
        <v>159</v>
      </c>
      <c r="C49" s="79">
        <f>N47</f>
        <v>2140</v>
      </c>
      <c r="D49" s="79">
        <f>O47</f>
        <v>160.32</v>
      </c>
      <c r="E49" s="79">
        <f>P47</f>
        <v>0</v>
      </c>
      <c r="F49" s="80">
        <f>K14</f>
        <v>2627.75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380</v>
      </c>
      <c r="B50" s="79">
        <f>M43</f>
        <v>291</v>
      </c>
      <c r="C50" s="79">
        <f>N43</f>
        <v>10755</v>
      </c>
      <c r="D50" s="79">
        <f>O43</f>
        <v>2728.31</v>
      </c>
      <c r="E50" s="79">
        <f>P43</f>
        <v>6130.99</v>
      </c>
      <c r="F50" s="80">
        <f>K7</f>
        <v>9632.64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29日自年初1月1日起完成产值7705.26万元，自开工累计完成产值19798.02万元，自开工占总产值90284.4万元的21.93%，100章临建完成6250.78万元，400章桥梁完成13547.24万元。已完成梁片预制1253片，占设计量的21.19%；梁片安装979片，占设计量的16.56%；湿接缝15400米，占设计量的11.39%；防撞护栏4318.75米，占设计量的6.44%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R12" sqref="R1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44650</v>
      </c>
      <c r="B3" s="12" t="s">
        <v>7</v>
      </c>
      <c r="C3" s="12">
        <v>0</v>
      </c>
      <c r="D3" s="12">
        <f>ROUND(D11+D12+D15+D16+D17+D13+D14,2)</f>
        <v>99.95</v>
      </c>
      <c r="E3" s="13">
        <f>ROUND(C5+D5,2)</f>
        <v>272.16</v>
      </c>
      <c r="F3" s="14" t="s">
        <v>398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172.21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272.16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7727.42</v>
      </c>
      <c r="E6" s="8">
        <f>ROUND(C6+D6,2)</f>
        <v>7977.42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13819.4</v>
      </c>
      <c r="E7" s="8">
        <f>ROUND(C7+D7,2)</f>
        <v>20070.18</v>
      </c>
      <c r="F7" s="17"/>
      <c r="G7" s="18"/>
      <c r="H7" s="22"/>
      <c r="I7" s="48">
        <f>210+C6</f>
        <v>460</v>
      </c>
      <c r="J7" s="48">
        <f>D6+1717.38</f>
        <v>9444.8</v>
      </c>
      <c r="K7" s="48">
        <f>J7+I7</f>
        <v>9904.8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44650</v>
      </c>
      <c r="B11" s="32" t="s">
        <v>172</v>
      </c>
      <c r="C11" s="33">
        <v>7</v>
      </c>
      <c r="D11" s="8">
        <v>54.12</v>
      </c>
      <c r="E11" s="33">
        <v>9</v>
      </c>
      <c r="F11" s="8">
        <v>69.47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3</v>
      </c>
      <c r="D12" s="8">
        <v>45.83</v>
      </c>
      <c r="E12" s="33">
        <v>3</v>
      </c>
      <c r="F12" s="8">
        <v>45.84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7</v>
      </c>
      <c r="F13" s="8">
        <v>1.134</v>
      </c>
      <c r="G13" s="10"/>
      <c r="H13" s="30"/>
      <c r="I13" s="35">
        <v>14233.94</v>
      </c>
      <c r="J13" s="35">
        <v>17170.27</v>
      </c>
      <c r="K13" s="35">
        <f>E7</f>
        <v>20070.18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2</v>
      </c>
      <c r="F14" s="8">
        <v>0.504</v>
      </c>
      <c r="G14" s="10"/>
      <c r="H14" s="30"/>
      <c r="I14" s="48">
        <v>699.51</v>
      </c>
      <c r="J14" s="48">
        <v>2936.33</v>
      </c>
      <c r="K14" s="48">
        <f>K13-J13</f>
        <v>2899.91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780</v>
      </c>
      <c r="F15" s="8">
        <v>31.79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>
        <v>222.15</v>
      </c>
      <c r="F16" s="8">
        <v>23.47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99.95</v>
      </c>
      <c r="D18" s="8"/>
      <c r="E18" s="8">
        <f>ROUND(F11+F12+F15+F16+F17+F13+F14,2)</f>
        <v>172.21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272.16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128</v>
      </c>
      <c r="N20" s="94">
        <f>D38-81</f>
        <v>107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339</v>
      </c>
      <c r="N21" s="94">
        <f>F38-44</f>
        <v>106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25</v>
      </c>
      <c r="N23" s="94">
        <f>D39-65</f>
        <v>95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282</v>
      </c>
      <c r="N24" s="94">
        <f>F39-7</f>
        <v>126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10075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2508.86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7987.75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485</v>
      </c>
      <c r="D30" s="49" t="s">
        <v>75</v>
      </c>
      <c r="E30" s="38">
        <f>C39+D39</f>
        <v>315</v>
      </c>
      <c r="F30" s="39"/>
      <c r="G30" s="38"/>
    </row>
    <row r="31" spans="1:7">
      <c r="A31" s="37"/>
      <c r="B31" s="49" t="s">
        <v>76</v>
      </c>
      <c r="C31" s="38">
        <f>E38+F38</f>
        <v>790</v>
      </c>
      <c r="D31" s="49" t="s">
        <v>77</v>
      </c>
      <c r="E31" s="38">
        <f>E39+F39</f>
        <v>673</v>
      </c>
      <c r="F31" s="39"/>
      <c r="G31" s="38"/>
    </row>
    <row r="32" spans="1:7">
      <c r="A32" s="37"/>
      <c r="B32" s="49" t="s">
        <v>78</v>
      </c>
      <c r="C32" s="38">
        <f>C33-C30-C31</f>
        <v>4505</v>
      </c>
      <c r="D32" s="49" t="s">
        <v>79</v>
      </c>
      <c r="E32" s="38">
        <f>E33-E30-E31</f>
        <v>4792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44641</v>
      </c>
      <c r="B36" s="54">
        <v>199.76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44642</v>
      </c>
      <c r="B37" s="54">
        <v>229.09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44643</v>
      </c>
      <c r="B38" s="54">
        <v>201.88</v>
      </c>
      <c r="C38" s="58">
        <v>297</v>
      </c>
      <c r="D38" s="58">
        <v>188</v>
      </c>
      <c r="E38" s="58">
        <v>640</v>
      </c>
      <c r="F38" s="58">
        <v>150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44644</v>
      </c>
      <c r="B39" s="54">
        <v>146.54</v>
      </c>
      <c r="C39" s="60">
        <v>155</v>
      </c>
      <c r="D39" s="60">
        <v>160</v>
      </c>
      <c r="E39" s="60">
        <v>540</v>
      </c>
      <c r="F39" s="60">
        <v>133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44645</v>
      </c>
      <c r="B40" s="62">
        <v>240.8</v>
      </c>
      <c r="C40" s="63" t="s">
        <v>182</v>
      </c>
      <c r="D40" s="64">
        <f>C38+D38+E38+F38</f>
        <v>1275</v>
      </c>
      <c r="E40" s="65" t="s">
        <v>69</v>
      </c>
      <c r="F40" s="66">
        <f>C39+D39+E39+F39</f>
        <v>988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44646</v>
      </c>
      <c r="B41" s="54">
        <v>244.98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截止2022年03月30日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44647</v>
      </c>
      <c r="B42" s="54">
        <v>207.33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44648</v>
      </c>
      <c r="B43" s="54">
        <v>185.18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0.2156</v>
      </c>
      <c r="J43" s="35">
        <v>5913</v>
      </c>
      <c r="K43" s="36" t="s">
        <v>318</v>
      </c>
      <c r="L43" s="56">
        <f>L44+155</f>
        <v>390</v>
      </c>
      <c r="M43" s="56">
        <f>M44+171</f>
        <v>291</v>
      </c>
      <c r="N43" s="56">
        <f>N44+1460</f>
        <v>11535</v>
      </c>
      <c r="O43" s="56">
        <f>O44+441.6</f>
        <v>2950.46</v>
      </c>
      <c r="P43" s="56">
        <f>P44+0</f>
        <v>6130.99</v>
      </c>
      <c r="U43" s="4"/>
    </row>
    <row r="44" ht="15.6" spans="1:21">
      <c r="A44" s="53">
        <v>44649</v>
      </c>
      <c r="B44" s="54">
        <v>209.43</v>
      </c>
      <c r="C44" s="74" t="s">
        <v>229</v>
      </c>
      <c r="D44" s="74">
        <v>3127.9</v>
      </c>
      <c r="E44" s="74">
        <v>1413</v>
      </c>
      <c r="F44" s="74">
        <f t="shared" si="0"/>
        <v>4540.9</v>
      </c>
      <c r="G44" s="73"/>
      <c r="H44" s="40" t="s">
        <v>62</v>
      </c>
      <c r="I44" s="111">
        <f>ROUND(F40/J44,4)</f>
        <v>0.1671</v>
      </c>
      <c r="J44" s="35">
        <v>5913</v>
      </c>
      <c r="K44" s="36" t="s">
        <v>319</v>
      </c>
      <c r="L44" s="56">
        <f>SUM(M20:N20)</f>
        <v>235</v>
      </c>
      <c r="M44" s="56">
        <f>SUM(M23:N23)</f>
        <v>120</v>
      </c>
      <c r="N44" s="56">
        <f>M25</f>
        <v>10075</v>
      </c>
      <c r="O44" s="56">
        <f>M26</f>
        <v>2508.86</v>
      </c>
      <c r="P44" s="56">
        <f>M27</f>
        <v>6130.99</v>
      </c>
      <c r="U44" s="4"/>
    </row>
    <row r="45" ht="15.6" spans="1:21">
      <c r="A45" s="53">
        <v>44650</v>
      </c>
      <c r="B45" s="54">
        <v>272.16</v>
      </c>
      <c r="C45" s="74" t="s">
        <v>228</v>
      </c>
      <c r="D45" s="74">
        <v>6760</v>
      </c>
      <c r="E45" s="74">
        <v>9420</v>
      </c>
      <c r="F45" s="74">
        <f t="shared" si="0"/>
        <v>16180</v>
      </c>
      <c r="G45" s="75"/>
      <c r="H45" s="40" t="s">
        <v>228</v>
      </c>
      <c r="I45" s="111">
        <f>ROUND(F45/J45,4)</f>
        <v>0.1197</v>
      </c>
      <c r="J45" s="35">
        <v>135185</v>
      </c>
      <c r="K45" s="36" t="s">
        <v>320</v>
      </c>
      <c r="L45" s="56">
        <f>D40</f>
        <v>1275</v>
      </c>
      <c r="M45" s="56">
        <f>F40</f>
        <v>988</v>
      </c>
      <c r="N45" s="56">
        <f>F45</f>
        <v>16180</v>
      </c>
      <c r="O45" s="56">
        <f>F44</f>
        <v>4540.9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0.0677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250</v>
      </c>
      <c r="M47" s="56">
        <f>F40-'2022.3.15'!$F$40</f>
        <v>168</v>
      </c>
      <c r="N47" s="56">
        <f>F45-'2022.3.15'!$F$45</f>
        <v>2920</v>
      </c>
      <c r="O47" s="56">
        <f>F44-'2022.3.15'!$F$44+340.32</f>
        <v>382.47</v>
      </c>
      <c r="P47" s="56">
        <f>F43-'2022.3.15'!$F$43</f>
        <v>0</v>
      </c>
    </row>
    <row r="48" spans="1:16">
      <c r="A48" s="79">
        <f>SUM(C11,E11,C12,E12)</f>
        <v>22</v>
      </c>
      <c r="B48" s="79">
        <f>SUM(C13,C14,E13,E14)</f>
        <v>9</v>
      </c>
      <c r="C48" s="79">
        <f>C15+E15</f>
        <v>780</v>
      </c>
      <c r="D48" s="79">
        <f>C16+E16</f>
        <v>222.15</v>
      </c>
      <c r="E48" s="79">
        <f>C17+E17</f>
        <v>0</v>
      </c>
      <c r="F48" s="80">
        <f>E3</f>
        <v>272.16</v>
      </c>
      <c r="G48" s="76"/>
      <c r="H48" s="40" t="s">
        <v>231</v>
      </c>
      <c r="I48" s="111">
        <f>ROUND(E7/J48,4)</f>
        <v>0.2223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250</v>
      </c>
      <c r="B49" s="79">
        <f>M47</f>
        <v>168</v>
      </c>
      <c r="C49" s="79">
        <f>N47</f>
        <v>2920</v>
      </c>
      <c r="D49" s="79">
        <f>O47</f>
        <v>382.47</v>
      </c>
      <c r="E49" s="79">
        <f>P47</f>
        <v>0</v>
      </c>
      <c r="F49" s="80">
        <f>K14</f>
        <v>2899.91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390</v>
      </c>
      <c r="B50" s="79">
        <f>M43</f>
        <v>291</v>
      </c>
      <c r="C50" s="79">
        <f>N43</f>
        <v>11535</v>
      </c>
      <c r="D50" s="79">
        <f>O43</f>
        <v>2950.46</v>
      </c>
      <c r="E50" s="79">
        <f>P43</f>
        <v>6130.99</v>
      </c>
      <c r="F50" s="80">
        <f>K7</f>
        <v>9904.8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30日自年初1月1日起完成产值7977.42万元，自开工累计完成产值20070.18万元，自开工占总产值90284.4万元的22.23%，100章临建完成6250.78万元，400章桥梁完成13819.4万元。已完成梁片预制1275片，占设计量的21.56%；梁片安装988片，占设计量的16.71%；湿接缝16180米，占设计量的11.97%；防撞护栏4540.9米，占设计量的6.77%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9" t="s">
        <v>386</v>
      </c>
      <c r="B52" s="129"/>
      <c r="C52" s="129"/>
      <c r="D52" s="129"/>
      <c r="E52" s="129"/>
      <c r="F52" s="129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18" workbookViewId="0">
      <selection activeCell="H52" sqref="H5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44651</v>
      </c>
      <c r="B3" s="12" t="s">
        <v>7</v>
      </c>
      <c r="C3" s="12">
        <v>0</v>
      </c>
      <c r="D3" s="12">
        <f>ROUND(D11+D12+D15+D16+D17+D13+D14,2)</f>
        <v>84.28</v>
      </c>
      <c r="E3" s="13">
        <f>ROUND(C5+D5,2)</f>
        <v>236.95</v>
      </c>
      <c r="F3" s="14" t="s">
        <v>399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152.67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236.95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7964.37</v>
      </c>
      <c r="E6" s="8">
        <f>ROUND(C6+D6,2)</f>
        <v>8214.37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14056.35</v>
      </c>
      <c r="E7" s="8">
        <f>ROUND(C7+D7,2)</f>
        <v>20307.13</v>
      </c>
      <c r="F7" s="17"/>
      <c r="G7" s="18"/>
      <c r="H7" s="22"/>
      <c r="I7" s="48">
        <f>210+C6</f>
        <v>460</v>
      </c>
      <c r="J7" s="48">
        <f>D6+1717.38</f>
        <v>9681.75</v>
      </c>
      <c r="K7" s="48">
        <f>J7+I7</f>
        <v>10141.75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44651</v>
      </c>
      <c r="B11" s="32" t="s">
        <v>172</v>
      </c>
      <c r="C11" s="33">
        <v>7</v>
      </c>
      <c r="D11" s="8">
        <v>53.73</v>
      </c>
      <c r="E11" s="33">
        <v>8</v>
      </c>
      <c r="F11" s="8">
        <v>61.65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30.55</v>
      </c>
      <c r="E12" s="33">
        <v>3</v>
      </c>
      <c r="F12" s="8">
        <v>45.84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20307.13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5</v>
      </c>
      <c r="F14" s="8">
        <v>1.26</v>
      </c>
      <c r="G14" s="10"/>
      <c r="H14" s="30"/>
      <c r="I14" s="48">
        <v>699.51</v>
      </c>
      <c r="J14" s="48">
        <v>2936.33</v>
      </c>
      <c r="K14" s="48">
        <f>K13-J13</f>
        <v>3136.86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480</v>
      </c>
      <c r="F15" s="8">
        <v>19.82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>
        <v>212.33</v>
      </c>
      <c r="F16" s="8">
        <v>22.48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84.28</v>
      </c>
      <c r="D18" s="8"/>
      <c r="E18" s="8">
        <f>ROUND(F11+F12+F15+F16+F17+F13+F14,2)</f>
        <v>152.67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236.95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135</v>
      </c>
      <c r="N20" s="94">
        <f>D38-81</f>
        <v>109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347</v>
      </c>
      <c r="N21" s="94">
        <f>F38-44</f>
        <v>109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25</v>
      </c>
      <c r="N23" s="94">
        <f>D39-65</f>
        <v>95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292</v>
      </c>
      <c r="N24" s="94">
        <f>F39-7</f>
        <v>131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10555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2721.19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8224.7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494</v>
      </c>
      <c r="D30" s="49" t="s">
        <v>75</v>
      </c>
      <c r="E30" s="38">
        <f>C39+D39</f>
        <v>315</v>
      </c>
      <c r="F30" s="39"/>
      <c r="G30" s="38"/>
    </row>
    <row r="31" spans="1:7">
      <c r="A31" s="37"/>
      <c r="B31" s="49" t="s">
        <v>76</v>
      </c>
      <c r="C31" s="38">
        <f>E38+F38</f>
        <v>801</v>
      </c>
      <c r="D31" s="49" t="s">
        <v>77</v>
      </c>
      <c r="E31" s="38">
        <f>E39+F39</f>
        <v>688</v>
      </c>
      <c r="F31" s="39"/>
      <c r="G31" s="38"/>
    </row>
    <row r="32" spans="1:7">
      <c r="A32" s="37"/>
      <c r="B32" s="49" t="s">
        <v>78</v>
      </c>
      <c r="C32" s="38">
        <f>C33-C30-C31</f>
        <v>4485</v>
      </c>
      <c r="D32" s="49" t="s">
        <v>79</v>
      </c>
      <c r="E32" s="38">
        <f>E33-E30-E31</f>
        <v>4777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44642</v>
      </c>
      <c r="B36" s="54">
        <v>229.09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44643</v>
      </c>
      <c r="B37" s="54">
        <v>201.88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44644</v>
      </c>
      <c r="B38" s="54">
        <v>146.54</v>
      </c>
      <c r="C38" s="58">
        <v>304</v>
      </c>
      <c r="D38" s="58">
        <v>190</v>
      </c>
      <c r="E38" s="58">
        <v>648</v>
      </c>
      <c r="F38" s="58">
        <v>153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44645</v>
      </c>
      <c r="B39" s="54">
        <v>240.8</v>
      </c>
      <c r="C39" s="60">
        <v>155</v>
      </c>
      <c r="D39" s="60">
        <v>160</v>
      </c>
      <c r="E39" s="60">
        <v>550</v>
      </c>
      <c r="F39" s="60">
        <v>138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44646</v>
      </c>
      <c r="B40" s="62">
        <v>244.98</v>
      </c>
      <c r="C40" s="63" t="s">
        <v>182</v>
      </c>
      <c r="D40" s="64">
        <f>C38+D38+E38+F38</f>
        <v>1295</v>
      </c>
      <c r="E40" s="65" t="s">
        <v>69</v>
      </c>
      <c r="F40" s="66">
        <f>C39+D39+E39+F39</f>
        <v>1003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44647</v>
      </c>
      <c r="B41" s="54">
        <v>207.33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截止2022年03月31日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44648</v>
      </c>
      <c r="B42" s="54">
        <v>185.18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44649</v>
      </c>
      <c r="B43" s="54">
        <v>209.43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0.219</v>
      </c>
      <c r="J43" s="35">
        <v>5913</v>
      </c>
      <c r="K43" s="36" t="s">
        <v>318</v>
      </c>
      <c r="L43" s="56">
        <f>L44+155</f>
        <v>399</v>
      </c>
      <c r="M43" s="56">
        <f>M44+171</f>
        <v>291</v>
      </c>
      <c r="N43" s="56">
        <f>N44+1460</f>
        <v>12015</v>
      </c>
      <c r="O43" s="56">
        <f>O44+441.6</f>
        <v>3162.79</v>
      </c>
      <c r="P43" s="56">
        <f>P44+0</f>
        <v>6130.99</v>
      </c>
      <c r="U43" s="4"/>
    </row>
    <row r="44" ht="15.6" spans="1:21">
      <c r="A44" s="53">
        <v>44650</v>
      </c>
      <c r="B44" s="54">
        <v>272.16</v>
      </c>
      <c r="C44" s="74" t="s">
        <v>229</v>
      </c>
      <c r="D44" s="74">
        <v>3127.9</v>
      </c>
      <c r="E44" s="74">
        <v>1625.33</v>
      </c>
      <c r="F44" s="74">
        <f t="shared" si="0"/>
        <v>4753.23</v>
      </c>
      <c r="G44" s="73"/>
      <c r="H44" s="40" t="s">
        <v>62</v>
      </c>
      <c r="I44" s="111">
        <f>ROUND(F40/J44,4)</f>
        <v>0.1696</v>
      </c>
      <c r="J44" s="35">
        <v>5913</v>
      </c>
      <c r="K44" s="36" t="s">
        <v>319</v>
      </c>
      <c r="L44" s="56">
        <f>SUM(M20:N20)</f>
        <v>244</v>
      </c>
      <c r="M44" s="56">
        <f>SUM(M23:N23)</f>
        <v>120</v>
      </c>
      <c r="N44" s="56">
        <f>M25</f>
        <v>10555</v>
      </c>
      <c r="O44" s="56">
        <f>M26</f>
        <v>2721.19</v>
      </c>
      <c r="P44" s="56">
        <f>M27</f>
        <v>6130.99</v>
      </c>
      <c r="U44" s="4"/>
    </row>
    <row r="45" ht="15.6" spans="1:21">
      <c r="A45" s="53">
        <v>44651</v>
      </c>
      <c r="B45" s="54">
        <v>236.95</v>
      </c>
      <c r="C45" s="74" t="s">
        <v>228</v>
      </c>
      <c r="D45" s="74">
        <v>6760</v>
      </c>
      <c r="E45" s="74">
        <v>9900</v>
      </c>
      <c r="F45" s="74">
        <f t="shared" si="0"/>
        <v>16660</v>
      </c>
      <c r="G45" s="75"/>
      <c r="H45" s="40" t="s">
        <v>228</v>
      </c>
      <c r="I45" s="111">
        <f>ROUND(F45/J45,4)</f>
        <v>0.1232</v>
      </c>
      <c r="J45" s="35">
        <v>135185</v>
      </c>
      <c r="K45" s="36" t="s">
        <v>320</v>
      </c>
      <c r="L45" s="56">
        <f>D40</f>
        <v>1295</v>
      </c>
      <c r="M45" s="56">
        <f>F40</f>
        <v>1003</v>
      </c>
      <c r="N45" s="56">
        <f>F45</f>
        <v>16660</v>
      </c>
      <c r="O45" s="56">
        <f>F44</f>
        <v>4753.23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0.0708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270</v>
      </c>
      <c r="M47" s="56">
        <f>F40-'2022.3.15'!$F$40</f>
        <v>183</v>
      </c>
      <c r="N47" s="56">
        <f>F45-'2022.3.15'!$F$45</f>
        <v>3400</v>
      </c>
      <c r="O47" s="56">
        <f>F44-'2022.3.15'!$F$44+340.32</f>
        <v>594.8</v>
      </c>
      <c r="P47" s="56">
        <f>F43-'2022.3.15'!$F$43</f>
        <v>0</v>
      </c>
    </row>
    <row r="48" spans="1:16">
      <c r="A48" s="79">
        <f>SUM(C11,E11,C12,E12)</f>
        <v>20</v>
      </c>
      <c r="B48" s="79">
        <f>SUM(C13,C14,E13,E14)</f>
        <v>15</v>
      </c>
      <c r="C48" s="79">
        <f>C15+E15</f>
        <v>480</v>
      </c>
      <c r="D48" s="79">
        <f>C16+E16</f>
        <v>212.33</v>
      </c>
      <c r="E48" s="79">
        <f>C17+E17</f>
        <v>0</v>
      </c>
      <c r="F48" s="80">
        <f>E3</f>
        <v>236.95</v>
      </c>
      <c r="G48" s="76"/>
      <c r="H48" s="40" t="s">
        <v>231</v>
      </c>
      <c r="I48" s="111">
        <f>ROUND(E7/J48,4)</f>
        <v>0.2249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270</v>
      </c>
      <c r="B49" s="79">
        <f>M47</f>
        <v>183</v>
      </c>
      <c r="C49" s="79">
        <f>N47</f>
        <v>3400</v>
      </c>
      <c r="D49" s="79">
        <f>O47</f>
        <v>594.8</v>
      </c>
      <c r="E49" s="79">
        <f>P47</f>
        <v>0</v>
      </c>
      <c r="F49" s="80">
        <f>K14</f>
        <v>3136.86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399</v>
      </c>
      <c r="B50" s="79">
        <f>M43</f>
        <v>291</v>
      </c>
      <c r="C50" s="79">
        <f>N43</f>
        <v>12015</v>
      </c>
      <c r="D50" s="79">
        <f>O43</f>
        <v>3162.79</v>
      </c>
      <c r="E50" s="79">
        <f>P43</f>
        <v>6130.99</v>
      </c>
      <c r="F50" s="80">
        <f>K7</f>
        <v>10141.75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03月31日自年初1月1日起完成产值8214.37万元，自开工累计完成产值20307.13万元，自开工占总产值90284.4万元的22.49%，100章临建完成6250.78万元，400章桥梁完成14056.35万元。已完成梁片预制1295片，占设计量的21.9%；梁片安装1003片，占设计量的16.96%；湿接缝16660米，占设计量的12.32%；防撞护栏4753.23米，占设计量的7.08%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8" t="s">
        <v>386</v>
      </c>
      <c r="B52" s="128"/>
      <c r="C52" s="128"/>
      <c r="D52" s="128"/>
      <c r="E52" s="128"/>
      <c r="F52" s="128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18" workbookViewId="0">
      <selection activeCell="H52" sqref="H5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44652</v>
      </c>
      <c r="B3" s="12" t="s">
        <v>7</v>
      </c>
      <c r="C3" s="12">
        <v>0</v>
      </c>
      <c r="D3" s="12">
        <f>ROUND(D11+D12+D15+D16+D17+D13+D14,2)</f>
        <v>137.87</v>
      </c>
      <c r="E3" s="13">
        <f>ROUND(C5+D5,2)</f>
        <v>255.84</v>
      </c>
      <c r="F3" s="14" t="s">
        <v>400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117.97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255.84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8220.21</v>
      </c>
      <c r="E6" s="8">
        <f>ROUND(C6+D6,2)</f>
        <v>8470.21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14312.19</v>
      </c>
      <c r="E7" s="8">
        <f>ROUND(C7+D7,2)</f>
        <v>20562.97</v>
      </c>
      <c r="F7" s="17"/>
      <c r="G7" s="18"/>
      <c r="H7" s="22"/>
      <c r="I7" s="48">
        <f>210+C6</f>
        <v>460</v>
      </c>
      <c r="J7" s="48">
        <f>D6+1717.38</f>
        <v>9937.59</v>
      </c>
      <c r="K7" s="48">
        <f>J7+I7</f>
        <v>10397.59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44652</v>
      </c>
      <c r="B11" s="32" t="s">
        <v>172</v>
      </c>
      <c r="C11" s="33">
        <v>6</v>
      </c>
      <c r="D11" s="8">
        <v>46.17</v>
      </c>
      <c r="E11" s="33">
        <v>5</v>
      </c>
      <c r="F11" s="8">
        <v>38.37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6</v>
      </c>
      <c r="D12" s="8">
        <v>91.7</v>
      </c>
      <c r="E12" s="33">
        <v>3</v>
      </c>
      <c r="F12" s="8">
        <v>45.84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/>
      <c r="E13" s="33">
        <v>10</v>
      </c>
      <c r="F13" s="8">
        <v>1.62</v>
      </c>
      <c r="G13" s="10"/>
      <c r="H13" s="30"/>
      <c r="I13" s="35">
        <v>14233.94</v>
      </c>
      <c r="J13" s="35">
        <v>17170.27</v>
      </c>
      <c r="K13" s="35">
        <f>E7</f>
        <v>20562.97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/>
      <c r="E14" s="33">
        <v>1</v>
      </c>
      <c r="F14" s="8">
        <v>0.252</v>
      </c>
      <c r="G14" s="10"/>
      <c r="H14" s="30"/>
      <c r="I14" s="48">
        <v>699.51</v>
      </c>
      <c r="J14" s="48">
        <v>2936.33</v>
      </c>
      <c r="K14" s="48">
        <f>K13-J13</f>
        <v>3392.7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/>
      <c r="D15" s="8"/>
      <c r="E15" s="33">
        <v>480</v>
      </c>
      <c r="F15" s="8">
        <v>19.82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/>
      <c r="D16" s="8"/>
      <c r="E16" s="33">
        <v>112.93</v>
      </c>
      <c r="F16" s="8">
        <v>12.07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/>
      <c r="D17" s="8"/>
      <c r="E17" s="33"/>
      <c r="F17" s="8"/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137.87</v>
      </c>
      <c r="D18" s="8"/>
      <c r="E18" s="8">
        <f>ROUND(F11+F12+F15+F16+F17+F13+F14,2)</f>
        <v>117.97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255.84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141</v>
      </c>
      <c r="N20" s="94">
        <f>D38-81</f>
        <v>115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352</v>
      </c>
      <c r="N21" s="94">
        <f>F38-44</f>
        <v>112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25</v>
      </c>
      <c r="N23" s="94">
        <f>D39-65</f>
        <v>95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302</v>
      </c>
      <c r="N24" s="94">
        <f>F39-7</f>
        <v>132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11035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2834.12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8480.54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506</v>
      </c>
      <c r="D30" s="49" t="s">
        <v>75</v>
      </c>
      <c r="E30" s="38">
        <f>C39+D39</f>
        <v>315</v>
      </c>
      <c r="F30" s="39"/>
      <c r="G30" s="38"/>
    </row>
    <row r="31" spans="1:7">
      <c r="A31" s="37"/>
      <c r="B31" s="49" t="s">
        <v>76</v>
      </c>
      <c r="C31" s="38">
        <f>E38+F38</f>
        <v>809</v>
      </c>
      <c r="D31" s="49" t="s">
        <v>77</v>
      </c>
      <c r="E31" s="38">
        <f>E39+F39</f>
        <v>699</v>
      </c>
      <c r="F31" s="39"/>
      <c r="G31" s="38"/>
    </row>
    <row r="32" spans="1:7">
      <c r="A32" s="37"/>
      <c r="B32" s="49" t="s">
        <v>78</v>
      </c>
      <c r="C32" s="38">
        <f>C33-C30-C31</f>
        <v>4465</v>
      </c>
      <c r="D32" s="49" t="s">
        <v>79</v>
      </c>
      <c r="E32" s="38">
        <f>E33-E30-E31</f>
        <v>4766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44643</v>
      </c>
      <c r="B36" s="54">
        <v>201.88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44644</v>
      </c>
      <c r="B37" s="54">
        <v>146.54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44645</v>
      </c>
      <c r="B38" s="54">
        <v>240.8</v>
      </c>
      <c r="C38" s="58">
        <v>310</v>
      </c>
      <c r="D38" s="58">
        <v>196</v>
      </c>
      <c r="E38" s="58">
        <v>653</v>
      </c>
      <c r="F38" s="58">
        <v>156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44646</v>
      </c>
      <c r="B39" s="54">
        <v>244.98</v>
      </c>
      <c r="C39" s="60">
        <v>155</v>
      </c>
      <c r="D39" s="60">
        <v>160</v>
      </c>
      <c r="E39" s="60">
        <v>560</v>
      </c>
      <c r="F39" s="60">
        <v>139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44647</v>
      </c>
      <c r="B40" s="62">
        <v>207.33</v>
      </c>
      <c r="C40" s="63" t="s">
        <v>182</v>
      </c>
      <c r="D40" s="64">
        <f>C38+D38+E38+F38</f>
        <v>1315</v>
      </c>
      <c r="E40" s="65" t="s">
        <v>69</v>
      </c>
      <c r="F40" s="66">
        <f>C39+D39+E39+F39</f>
        <v>1014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44648</v>
      </c>
      <c r="B41" s="54">
        <v>185.18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截止2022年04月01日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44649</v>
      </c>
      <c r="B42" s="54">
        <v>209.43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44650</v>
      </c>
      <c r="B43" s="54">
        <v>272.16</v>
      </c>
      <c r="C43" s="74" t="s">
        <v>230</v>
      </c>
      <c r="D43" s="74">
        <v>6130.99</v>
      </c>
      <c r="E43" s="74"/>
      <c r="F43" s="74">
        <f t="shared" ref="F43:F45" si="0">D43+E43</f>
        <v>6130.99</v>
      </c>
      <c r="G43" s="73"/>
      <c r="H43" s="40" t="s">
        <v>61</v>
      </c>
      <c r="I43" s="111">
        <f>ROUND(D40/J43,4)</f>
        <v>0.2224</v>
      </c>
      <c r="J43" s="35">
        <v>5913</v>
      </c>
      <c r="K43" s="36" t="s">
        <v>318</v>
      </c>
      <c r="L43" s="56">
        <f>L44+155</f>
        <v>411</v>
      </c>
      <c r="M43" s="56">
        <f>M44+171</f>
        <v>291</v>
      </c>
      <c r="N43" s="56">
        <f>N44+1460</f>
        <v>12495</v>
      </c>
      <c r="O43" s="56">
        <f>O44+441.6</f>
        <v>3275.72</v>
      </c>
      <c r="P43" s="56">
        <f>P44+0</f>
        <v>6130.99</v>
      </c>
      <c r="U43" s="4"/>
    </row>
    <row r="44" ht="15.6" spans="1:21">
      <c r="A44" s="53">
        <v>44651</v>
      </c>
      <c r="B44" s="54">
        <v>236.95</v>
      </c>
      <c r="C44" s="74" t="s">
        <v>229</v>
      </c>
      <c r="D44" s="74">
        <v>3127.9</v>
      </c>
      <c r="E44" s="74">
        <v>1738.26</v>
      </c>
      <c r="F44" s="74">
        <f t="shared" si="0"/>
        <v>4866.16</v>
      </c>
      <c r="G44" s="73"/>
      <c r="H44" s="40" t="s">
        <v>62</v>
      </c>
      <c r="I44" s="111">
        <f>ROUND(F40/J44,4)</f>
        <v>0.1715</v>
      </c>
      <c r="J44" s="35">
        <v>5913</v>
      </c>
      <c r="K44" s="36" t="s">
        <v>319</v>
      </c>
      <c r="L44" s="56">
        <f>SUM(M20:N20)</f>
        <v>256</v>
      </c>
      <c r="M44" s="56">
        <f>SUM(M23:N23)</f>
        <v>120</v>
      </c>
      <c r="N44" s="56">
        <f>M25</f>
        <v>11035</v>
      </c>
      <c r="O44" s="56">
        <f>M26</f>
        <v>2834.12</v>
      </c>
      <c r="P44" s="56">
        <f>M27</f>
        <v>6130.99</v>
      </c>
      <c r="U44" s="4"/>
    </row>
    <row r="45" ht="15.6" spans="1:21">
      <c r="A45" s="53">
        <v>44652</v>
      </c>
      <c r="B45" s="54">
        <v>255.84</v>
      </c>
      <c r="C45" s="74" t="s">
        <v>228</v>
      </c>
      <c r="D45" s="74">
        <v>6760</v>
      </c>
      <c r="E45" s="74">
        <v>10380</v>
      </c>
      <c r="F45" s="74">
        <f t="shared" si="0"/>
        <v>17140</v>
      </c>
      <c r="G45" s="75"/>
      <c r="H45" s="40" t="s">
        <v>228</v>
      </c>
      <c r="I45" s="111">
        <f>ROUND(F45/J45,4)</f>
        <v>0.1268</v>
      </c>
      <c r="J45" s="35">
        <v>135185</v>
      </c>
      <c r="K45" s="36" t="s">
        <v>320</v>
      </c>
      <c r="L45" s="56">
        <f>D40</f>
        <v>1315</v>
      </c>
      <c r="M45" s="56">
        <f>F40</f>
        <v>1014</v>
      </c>
      <c r="N45" s="56">
        <f>F45</f>
        <v>17140</v>
      </c>
      <c r="O45" s="56">
        <f>F44</f>
        <v>4866.16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0.0725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322</v>
      </c>
      <c r="L47" s="56">
        <f>D40-'2022.3.15'!$D$40</f>
        <v>290</v>
      </c>
      <c r="M47" s="56">
        <f>F40-'2022.3.15'!$F$40</f>
        <v>194</v>
      </c>
      <c r="N47" s="56">
        <f>F45-'2022.3.15'!$F$45</f>
        <v>3880</v>
      </c>
      <c r="O47" s="56">
        <f>F44-'2022.3.15'!$F$44+340.32</f>
        <v>707.73</v>
      </c>
      <c r="P47" s="56">
        <f>F43-'2022.3.15'!$F$43</f>
        <v>0</v>
      </c>
    </row>
    <row r="48" spans="1:16">
      <c r="A48" s="79">
        <f>SUM(C11,E11,C12,E12)</f>
        <v>20</v>
      </c>
      <c r="B48" s="79">
        <f>SUM(C13,C14,E13,E14)</f>
        <v>11</v>
      </c>
      <c r="C48" s="79">
        <f>C15+E15</f>
        <v>480</v>
      </c>
      <c r="D48" s="79">
        <f>C16+E16</f>
        <v>112.93</v>
      </c>
      <c r="E48" s="79">
        <f>C17+E17</f>
        <v>0</v>
      </c>
      <c r="F48" s="80">
        <f>E3</f>
        <v>255.84</v>
      </c>
      <c r="G48" s="76"/>
      <c r="H48" s="40" t="s">
        <v>231</v>
      </c>
      <c r="I48" s="111">
        <f>ROUND(E7/J48,4)</f>
        <v>0.2278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290</v>
      </c>
      <c r="B49" s="79">
        <f>M47</f>
        <v>194</v>
      </c>
      <c r="C49" s="79">
        <f>N47</f>
        <v>3880</v>
      </c>
      <c r="D49" s="79">
        <f>O47</f>
        <v>707.73</v>
      </c>
      <c r="E49" s="79">
        <f>P47</f>
        <v>0</v>
      </c>
      <c r="F49" s="80">
        <f>K14</f>
        <v>3392.7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411</v>
      </c>
      <c r="B50" s="79">
        <f>M43</f>
        <v>291</v>
      </c>
      <c r="C50" s="79">
        <f>N43</f>
        <v>12495</v>
      </c>
      <c r="D50" s="79">
        <f>O43</f>
        <v>3275.72</v>
      </c>
      <c r="E50" s="79">
        <f>P43</f>
        <v>6130.99</v>
      </c>
      <c r="F50" s="80">
        <f>K7</f>
        <v>10397.59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01日自年初1月1日起完成产值8470.21万元，自开工累计完成产值20562.97万元，自开工占总产值90284.4万元的22.78%，100章临建完成6250.78万元，400章桥梁完成14312.19万元。已完成梁片预制1315片，占设计量的22.24%；梁片安装1014片，占设计量的17.15%；湿接缝17140米，占设计量的12.68%；防撞护栏4866.16米，占设计量的7.25%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8" t="s">
        <v>386</v>
      </c>
      <c r="B52" s="128"/>
      <c r="C52" s="128"/>
      <c r="D52" s="128"/>
      <c r="E52" s="128"/>
      <c r="F52" s="128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S38" sqref="S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44653</v>
      </c>
      <c r="B3" s="12" t="s">
        <v>7</v>
      </c>
      <c r="C3" s="12">
        <v>0</v>
      </c>
      <c r="D3" s="12">
        <f>ROUND(D11+D12+D15+D16+D17+D13+D14,2)</f>
        <v>77.53</v>
      </c>
      <c r="E3" s="13">
        <f>ROUND(C5+D5,2)</f>
        <v>195.44</v>
      </c>
      <c r="F3" s="14" t="s">
        <v>401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117.91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195.44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8415.65</v>
      </c>
      <c r="E6" s="8">
        <f>ROUND(C6+D6,2)</f>
        <v>8665.65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14507.63</v>
      </c>
      <c r="E7" s="8">
        <f>ROUND(C7+D7,2)</f>
        <v>20758.41</v>
      </c>
      <c r="F7" s="17"/>
      <c r="G7" s="18"/>
      <c r="H7" s="22"/>
      <c r="I7" s="48">
        <f>210+C6</f>
        <v>460</v>
      </c>
      <c r="J7" s="48">
        <f>D6+1717.38</f>
        <v>10133.03</v>
      </c>
      <c r="K7" s="48">
        <f>J7+I7</f>
        <v>10593.03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44653</v>
      </c>
      <c r="B11" s="32" t="s">
        <v>172</v>
      </c>
      <c r="C11" s="33">
        <v>6</v>
      </c>
      <c r="D11" s="8">
        <v>46.17</v>
      </c>
      <c r="E11" s="33">
        <v>11</v>
      </c>
      <c r="F11" s="8">
        <v>84.93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30.55</v>
      </c>
      <c r="E12" s="33">
        <v>2</v>
      </c>
      <c r="F12" s="8">
        <v>30.57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4</v>
      </c>
      <c r="F13" s="8">
        <v>0.648</v>
      </c>
      <c r="G13" s="10"/>
      <c r="H13" s="30"/>
      <c r="I13" s="35">
        <v>14233.94</v>
      </c>
      <c r="J13" s="35">
        <v>17170.27</v>
      </c>
      <c r="K13" s="35">
        <f>E7</f>
        <v>20758.41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>
        <v>0</v>
      </c>
      <c r="E14" s="33">
        <v>7</v>
      </c>
      <c r="F14" s="8">
        <v>1.764</v>
      </c>
      <c r="G14" s="10"/>
      <c r="H14" s="30"/>
      <c r="I14" s="48">
        <v>699.51</v>
      </c>
      <c r="J14" s="48">
        <v>2936.33</v>
      </c>
      <c r="K14" s="48">
        <f>K13-J13</f>
        <v>3588.14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77.53</v>
      </c>
      <c r="D18" s="8"/>
      <c r="E18" s="8">
        <f>ROUND(F11+F12+F15+F16+F17+F13+F14,2)</f>
        <v>117.91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195.44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88</v>
      </c>
      <c r="N20" s="94">
        <f>D38-81</f>
        <v>99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363</v>
      </c>
      <c r="N21" s="94">
        <f>F38-44</f>
        <v>114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30</v>
      </c>
      <c r="N23" s="94">
        <f>D39-65</f>
        <v>95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306</v>
      </c>
      <c r="N24" s="94">
        <f>F39-7</f>
        <v>139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11035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2834.12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8675.98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437</v>
      </c>
      <c r="D30" s="49" t="s">
        <v>75</v>
      </c>
      <c r="E30" s="38">
        <f>C39+D39</f>
        <v>320</v>
      </c>
      <c r="F30" s="39"/>
      <c r="G30" s="38"/>
    </row>
    <row r="31" spans="1:7">
      <c r="A31" s="37"/>
      <c r="B31" s="49" t="s">
        <v>76</v>
      </c>
      <c r="C31" s="38">
        <f>E38+F38</f>
        <v>822</v>
      </c>
      <c r="D31" s="49" t="s">
        <v>77</v>
      </c>
      <c r="E31" s="38">
        <f>E39+F39</f>
        <v>710</v>
      </c>
      <c r="F31" s="39"/>
      <c r="G31" s="38"/>
    </row>
    <row r="32" spans="1:7">
      <c r="A32" s="37"/>
      <c r="B32" s="49" t="s">
        <v>78</v>
      </c>
      <c r="C32" s="38">
        <f>C33-C30-C31</f>
        <v>4521</v>
      </c>
      <c r="D32" s="49" t="s">
        <v>79</v>
      </c>
      <c r="E32" s="38">
        <f>E33-E30-E31</f>
        <v>4750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44644</v>
      </c>
      <c r="B36" s="54">
        <v>146.54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44645</v>
      </c>
      <c r="B37" s="54">
        <v>240.8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44646</v>
      </c>
      <c r="B38" s="54">
        <v>244.98</v>
      </c>
      <c r="C38" s="58">
        <v>257</v>
      </c>
      <c r="D38" s="58">
        <v>180</v>
      </c>
      <c r="E38" s="58">
        <v>664</v>
      </c>
      <c r="F38" s="58">
        <v>158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44647</v>
      </c>
      <c r="B39" s="54">
        <v>207.33</v>
      </c>
      <c r="C39" s="60">
        <v>160</v>
      </c>
      <c r="D39" s="60">
        <v>160</v>
      </c>
      <c r="E39" s="60">
        <v>564</v>
      </c>
      <c r="F39" s="60">
        <v>146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44648</v>
      </c>
      <c r="B40" s="62">
        <v>185.18</v>
      </c>
      <c r="C40" s="63" t="s">
        <v>182</v>
      </c>
      <c r="D40" s="64">
        <f>C38+D38+E38+F38</f>
        <v>1259</v>
      </c>
      <c r="E40" s="65" t="s">
        <v>69</v>
      </c>
      <c r="F40" s="66">
        <f>C39+D39+E39+F39</f>
        <v>1030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44649</v>
      </c>
      <c r="B41" s="54">
        <v>209.43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截止2022年04月02日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44650</v>
      </c>
      <c r="B42" s="54">
        <v>272.16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44651</v>
      </c>
      <c r="B43" s="54">
        <v>236.95</v>
      </c>
      <c r="C43" s="74" t="s">
        <v>230</v>
      </c>
      <c r="D43" s="74">
        <v>6130.99</v>
      </c>
      <c r="E43" s="74">
        <v>0</v>
      </c>
      <c r="F43" s="74">
        <f t="shared" ref="F43:F45" si="0">D43+E43</f>
        <v>6130.99</v>
      </c>
      <c r="G43" s="73"/>
      <c r="H43" s="40" t="s">
        <v>61</v>
      </c>
      <c r="I43" s="111">
        <f>ROUND(D40/J43,4)</f>
        <v>0.2129</v>
      </c>
      <c r="J43" s="35">
        <v>5913</v>
      </c>
      <c r="K43" s="36" t="s">
        <v>318</v>
      </c>
      <c r="L43" s="56">
        <f>L44+155</f>
        <v>342</v>
      </c>
      <c r="M43" s="56">
        <f>M44+171</f>
        <v>296</v>
      </c>
      <c r="N43" s="56">
        <f>N44+1460</f>
        <v>12495</v>
      </c>
      <c r="O43" s="56">
        <f>O44+441.6</f>
        <v>3275.72</v>
      </c>
      <c r="P43" s="56">
        <f>P44+0</f>
        <v>6130.99</v>
      </c>
      <c r="U43" s="4"/>
    </row>
    <row r="44" ht="15.6" spans="1:21">
      <c r="A44" s="53">
        <v>44652</v>
      </c>
      <c r="B44" s="54">
        <v>255.84</v>
      </c>
      <c r="C44" s="74" t="s">
        <v>229</v>
      </c>
      <c r="D44" s="74">
        <v>3127.9</v>
      </c>
      <c r="E44" s="74">
        <v>1738.26</v>
      </c>
      <c r="F44" s="74">
        <f t="shared" si="0"/>
        <v>4866.16</v>
      </c>
      <c r="G44" s="73"/>
      <c r="H44" s="40" t="s">
        <v>62</v>
      </c>
      <c r="I44" s="111">
        <f>ROUND(F40/J44,4)</f>
        <v>0.1742</v>
      </c>
      <c r="J44" s="35">
        <v>5913</v>
      </c>
      <c r="K44" s="36" t="s">
        <v>319</v>
      </c>
      <c r="L44" s="56">
        <f>SUM(M20:N20)</f>
        <v>187</v>
      </c>
      <c r="M44" s="56">
        <f>SUM(M23:N23)</f>
        <v>125</v>
      </c>
      <c r="N44" s="56">
        <f>M25</f>
        <v>11035</v>
      </c>
      <c r="O44" s="56">
        <f>M26</f>
        <v>2834.12</v>
      </c>
      <c r="P44" s="56">
        <f>M27</f>
        <v>6130.99</v>
      </c>
      <c r="U44" s="4"/>
    </row>
    <row r="45" ht="15.6" spans="1:21">
      <c r="A45" s="53">
        <v>44653</v>
      </c>
      <c r="B45" s="54">
        <v>195.44</v>
      </c>
      <c r="C45" s="74" t="s">
        <v>228</v>
      </c>
      <c r="D45" s="74">
        <v>6760</v>
      </c>
      <c r="E45" s="74">
        <v>10380</v>
      </c>
      <c r="F45" s="74">
        <f t="shared" si="0"/>
        <v>17140</v>
      </c>
      <c r="G45" s="75"/>
      <c r="H45" s="40" t="s">
        <v>228</v>
      </c>
      <c r="I45" s="111">
        <f>ROUND(F45/J45,4)</f>
        <v>0.1268</v>
      </c>
      <c r="J45" s="35">
        <v>135185</v>
      </c>
      <c r="K45" s="36" t="s">
        <v>320</v>
      </c>
      <c r="L45" s="56">
        <f>D40</f>
        <v>1259</v>
      </c>
      <c r="M45" s="56">
        <f>F40</f>
        <v>1030</v>
      </c>
      <c r="N45" s="56">
        <f>F45</f>
        <v>17140</v>
      </c>
      <c r="O45" s="56">
        <f>F44</f>
        <v>4866.16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0.0725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>D40-'2022.3.15'!$D$40</f>
        <v>234</v>
      </c>
      <c r="M47" s="56">
        <f>F40-'2022.3.15'!$F$40</f>
        <v>210</v>
      </c>
      <c r="N47" s="56">
        <f>F45-'2022.3.15'!$F$45</f>
        <v>3880</v>
      </c>
      <c r="O47" s="56">
        <f>F44-'2022.3.15'!$F$44+340.32</f>
        <v>707.73</v>
      </c>
      <c r="P47" s="56">
        <f>F43-'2022.3.15'!$F$43</f>
        <v>0</v>
      </c>
    </row>
    <row r="48" spans="1:16">
      <c r="A48" s="79">
        <f>SUM(C11,E11,C12,E12)</f>
        <v>21</v>
      </c>
      <c r="B48" s="79">
        <f>SUM(C13,C14,E13,E14)</f>
        <v>16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195.44</v>
      </c>
      <c r="G48" s="76"/>
      <c r="H48" s="40" t="s">
        <v>231</v>
      </c>
      <c r="I48" s="111">
        <f>ROUND(E7/J48,4)</f>
        <v>0.2299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234</v>
      </c>
      <c r="B49" s="79">
        <f>M47</f>
        <v>210</v>
      </c>
      <c r="C49" s="79">
        <f>N47</f>
        <v>3880</v>
      </c>
      <c r="D49" s="79">
        <f>O47</f>
        <v>707.73</v>
      </c>
      <c r="E49" s="79">
        <f>P47</f>
        <v>0</v>
      </c>
      <c r="F49" s="80">
        <f>K14</f>
        <v>3588.14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342</v>
      </c>
      <c r="B50" s="79">
        <f>M43</f>
        <v>296</v>
      </c>
      <c r="C50" s="79">
        <f>N43</f>
        <v>12495</v>
      </c>
      <c r="D50" s="79">
        <f>O43</f>
        <v>3275.72</v>
      </c>
      <c r="E50" s="79">
        <f>P43</f>
        <v>6130.99</v>
      </c>
      <c r="F50" s="80">
        <f>K7</f>
        <v>10593.03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02日自年初1月1日起完成产值8665.65万元，自开工累计完成产值20758.41万元，自开工占总产值90284.4万元的22.99%，100章临建完成6250.78万元，400章桥梁完成14507.63万元。已完成梁片预制1259片，占设计量的21.29%；梁片安装1030片，占设计量的17.42%；湿接缝17140米，占设计量的12.68%；防撞护栏4866.16米，占设计量的7.25%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128" t="s">
        <v>386</v>
      </c>
      <c r="B52" s="128"/>
      <c r="C52" s="128"/>
      <c r="D52" s="128"/>
      <c r="E52" s="128"/>
      <c r="F52" s="128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22" workbookViewId="0">
      <selection activeCell="H55" sqref="H5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44654</v>
      </c>
      <c r="B3" s="12" t="s">
        <v>7</v>
      </c>
      <c r="C3" s="12">
        <v>0</v>
      </c>
      <c r="D3" s="12">
        <f>ROUND(D11+D12+D15+D16+D17+D13+D14,2)</f>
        <v>107.65</v>
      </c>
      <c r="E3" s="13">
        <f>ROUND(C5+D5,2)</f>
        <v>224.04</v>
      </c>
      <c r="F3" s="14" t="s">
        <v>403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116.39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224.04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8639.69</v>
      </c>
      <c r="E6" s="8">
        <f>ROUND(C6+D6,2)</f>
        <v>8889.69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14731.67</v>
      </c>
      <c r="E7" s="8">
        <f>ROUND(C7+D7,2)</f>
        <v>20982.45</v>
      </c>
      <c r="F7" s="17"/>
      <c r="G7" s="18"/>
      <c r="H7" s="22"/>
      <c r="I7" s="48">
        <f>210+C6</f>
        <v>460</v>
      </c>
      <c r="J7" s="48">
        <f>D6+1717.38</f>
        <v>10357.07</v>
      </c>
      <c r="K7" s="48">
        <f>J7+I7</f>
        <v>10817.07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132</v>
      </c>
      <c r="D9" s="28"/>
      <c r="E9" s="28" t="s">
        <v>133</v>
      </c>
      <c r="F9" s="28"/>
      <c r="G9" s="29"/>
      <c r="H9" s="30" t="s">
        <v>200</v>
      </c>
      <c r="I9" s="126" t="s">
        <v>201</v>
      </c>
      <c r="J9" s="126" t="s">
        <v>202</v>
      </c>
      <c r="K9" s="126" t="s">
        <v>203</v>
      </c>
      <c r="L9" s="126" t="s">
        <v>204</v>
      </c>
      <c r="M9" s="126" t="s">
        <v>205</v>
      </c>
      <c r="N9" s="126" t="s">
        <v>206</v>
      </c>
      <c r="O9" s="126" t="s">
        <v>207</v>
      </c>
      <c r="P9" s="126" t="s">
        <v>208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44654</v>
      </c>
      <c r="B11" s="32" t="s">
        <v>172</v>
      </c>
      <c r="C11" s="33">
        <v>10</v>
      </c>
      <c r="D11" s="8">
        <v>77.08</v>
      </c>
      <c r="E11" s="33">
        <v>7</v>
      </c>
      <c r="F11" s="8">
        <v>54.01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30.57</v>
      </c>
      <c r="E12" s="33">
        <v>4</v>
      </c>
      <c r="F12" s="8">
        <v>61.07</v>
      </c>
      <c r="G12" s="10"/>
      <c r="H12" s="30"/>
      <c r="I12" s="126" t="s">
        <v>209</v>
      </c>
      <c r="J12" s="126" t="s">
        <v>210</v>
      </c>
      <c r="K12" s="126" t="s">
        <v>211</v>
      </c>
      <c r="L12" s="126" t="s">
        <v>212</v>
      </c>
      <c r="M12" s="126" t="s">
        <v>213</v>
      </c>
      <c r="N12" s="126" t="s">
        <v>214</v>
      </c>
      <c r="O12" s="126" t="s">
        <v>215</v>
      </c>
      <c r="P12" s="126" t="s">
        <v>216</v>
      </c>
    </row>
    <row r="13" ht="15" customHeight="1" spans="1:16">
      <c r="A13" s="16"/>
      <c r="B13" s="34" t="s">
        <v>169</v>
      </c>
      <c r="C13" s="33">
        <v>0</v>
      </c>
      <c r="D13" s="8">
        <v>0</v>
      </c>
      <c r="E13" s="33">
        <v>5</v>
      </c>
      <c r="F13" s="8">
        <v>0.81</v>
      </c>
      <c r="G13" s="10"/>
      <c r="H13" s="30"/>
      <c r="I13" s="35">
        <v>14233.94</v>
      </c>
      <c r="J13" s="35">
        <v>17170.27</v>
      </c>
      <c r="K13" s="35">
        <f>E7</f>
        <v>20982.45</v>
      </c>
      <c r="L13" s="35"/>
      <c r="M13" s="35"/>
      <c r="N13" s="35"/>
      <c r="O13" s="35"/>
      <c r="P13" s="35"/>
    </row>
    <row r="14" ht="15" customHeight="1" spans="1:16">
      <c r="A14" s="16"/>
      <c r="B14" s="34" t="s">
        <v>170</v>
      </c>
      <c r="C14" s="33">
        <v>0</v>
      </c>
      <c r="D14" s="8">
        <v>0</v>
      </c>
      <c r="E14" s="33">
        <v>2</v>
      </c>
      <c r="F14" s="8">
        <v>0.504</v>
      </c>
      <c r="G14" s="10"/>
      <c r="H14" s="30"/>
      <c r="I14" s="48">
        <v>699.51</v>
      </c>
      <c r="J14" s="48">
        <v>2936.33</v>
      </c>
      <c r="K14" s="48">
        <f>K13-J13</f>
        <v>3812.18</v>
      </c>
      <c r="L14" s="48"/>
      <c r="M14" s="48"/>
      <c r="N14" s="48"/>
      <c r="O14" s="48"/>
      <c r="P14" s="48"/>
    </row>
    <row r="15" ht="15" customHeight="1" spans="1:16">
      <c r="A15" s="16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30"/>
      <c r="I15" s="127" t="s">
        <v>217</v>
      </c>
      <c r="J15" s="127" t="s">
        <v>218</v>
      </c>
      <c r="K15" s="127" t="s">
        <v>219</v>
      </c>
      <c r="L15" s="127" t="s">
        <v>220</v>
      </c>
      <c r="M15" s="127" t="s">
        <v>221</v>
      </c>
      <c r="N15" s="127" t="s">
        <v>222</v>
      </c>
      <c r="O15" s="127" t="s">
        <v>223</v>
      </c>
      <c r="P15" s="127" t="s">
        <v>224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30"/>
      <c r="I16" s="35"/>
      <c r="J16" s="35"/>
      <c r="K16" s="35"/>
      <c r="L16" s="35"/>
      <c r="M16" s="35"/>
      <c r="N16" s="35"/>
      <c r="O16" s="35"/>
      <c r="P16" s="35"/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/>
      <c r="J17" s="48"/>
      <c r="K17" s="48"/>
      <c r="L17" s="48"/>
      <c r="M17" s="48"/>
      <c r="N17" s="48"/>
      <c r="O17" s="48"/>
      <c r="P17" s="48"/>
    </row>
    <row r="18" ht="15" customHeight="1" spans="1:17">
      <c r="A18" s="16"/>
      <c r="B18" s="8" t="s">
        <v>134</v>
      </c>
      <c r="C18" s="8">
        <f>ROUND(D11+D12+D15+D16+D17+D13+D14,2)</f>
        <v>107.65</v>
      </c>
      <c r="D18" s="8"/>
      <c r="E18" s="8">
        <f>ROUND(F11+F12+F15+F16+F17+F13+F14,2)</f>
        <v>116.39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224.04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93</v>
      </c>
      <c r="N20" s="94">
        <f>D38-81</f>
        <v>100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370</v>
      </c>
      <c r="N21" s="94">
        <f>F38-44</f>
        <v>118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30</v>
      </c>
      <c r="N23" s="94">
        <f>D39-65</f>
        <v>95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311</v>
      </c>
      <c r="N24" s="94">
        <f>F39-7</f>
        <v>141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11035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2834.12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8900.02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443</v>
      </c>
      <c r="D30" s="49" t="s">
        <v>75</v>
      </c>
      <c r="E30" s="38">
        <f>C39+D39</f>
        <v>320</v>
      </c>
      <c r="F30" s="39"/>
      <c r="G30" s="38"/>
    </row>
    <row r="31" spans="1:7">
      <c r="A31" s="37"/>
      <c r="B31" s="49" t="s">
        <v>76</v>
      </c>
      <c r="C31" s="38">
        <f>E38+F38</f>
        <v>833</v>
      </c>
      <c r="D31" s="49" t="s">
        <v>77</v>
      </c>
      <c r="E31" s="38">
        <f>E39+F39</f>
        <v>717</v>
      </c>
      <c r="F31" s="39"/>
      <c r="G31" s="38"/>
    </row>
    <row r="32" spans="1:7">
      <c r="A32" s="37"/>
      <c r="B32" s="49" t="s">
        <v>78</v>
      </c>
      <c r="C32" s="38">
        <f>C33-C30-C31</f>
        <v>4504</v>
      </c>
      <c r="D32" s="49" t="s">
        <v>79</v>
      </c>
      <c r="E32" s="38">
        <f>E33-E30-E31</f>
        <v>4743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44645</v>
      </c>
      <c r="B36" s="54">
        <v>240.8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44646</v>
      </c>
      <c r="B37" s="54">
        <v>244.98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44647</v>
      </c>
      <c r="B38" s="54">
        <v>207.33</v>
      </c>
      <c r="C38" s="58">
        <v>262</v>
      </c>
      <c r="D38" s="58">
        <v>181</v>
      </c>
      <c r="E38" s="58">
        <v>671</v>
      </c>
      <c r="F38" s="58">
        <v>162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44648</v>
      </c>
      <c r="B39" s="54">
        <v>185.18</v>
      </c>
      <c r="C39" s="60">
        <v>160</v>
      </c>
      <c r="D39" s="60">
        <v>160</v>
      </c>
      <c r="E39" s="60">
        <v>569</v>
      </c>
      <c r="F39" s="60">
        <v>148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44649</v>
      </c>
      <c r="B40" s="62">
        <v>209.43</v>
      </c>
      <c r="C40" s="63" t="s">
        <v>182</v>
      </c>
      <c r="D40" s="64">
        <f>C38+D38+E38+F38</f>
        <v>1276</v>
      </c>
      <c r="E40" s="65" t="s">
        <v>69</v>
      </c>
      <c r="F40" s="66">
        <f>C39+D39+E39+F39</f>
        <v>1037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44650</v>
      </c>
      <c r="B41" s="54">
        <v>272.16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截止2022年04月03日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44651</v>
      </c>
      <c r="B42" s="54">
        <v>236.95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44652</v>
      </c>
      <c r="B43" s="54">
        <v>255.84</v>
      </c>
      <c r="C43" s="74" t="s">
        <v>230</v>
      </c>
      <c r="D43" s="74">
        <v>6130.99</v>
      </c>
      <c r="E43" s="74">
        <v>0</v>
      </c>
      <c r="F43" s="74">
        <f t="shared" ref="F43:F45" si="0">D43+E43</f>
        <v>6130.99</v>
      </c>
      <c r="G43" s="73"/>
      <c r="H43" s="40" t="s">
        <v>61</v>
      </c>
      <c r="I43" s="111">
        <f>ROUND(D40/J43,4)</f>
        <v>0.2158</v>
      </c>
      <c r="J43" s="35">
        <v>5913</v>
      </c>
      <c r="K43" s="36" t="s">
        <v>318</v>
      </c>
      <c r="L43" s="56">
        <f>L44+155</f>
        <v>348</v>
      </c>
      <c r="M43" s="56">
        <f>M44+171</f>
        <v>296</v>
      </c>
      <c r="N43" s="56">
        <f>N44+1460</f>
        <v>12495</v>
      </c>
      <c r="O43" s="56">
        <f>O44+441.6</f>
        <v>3275.72</v>
      </c>
      <c r="P43" s="56">
        <f>P44+0</f>
        <v>6130.99</v>
      </c>
      <c r="U43" s="4"/>
    </row>
    <row r="44" ht="15.6" spans="1:21">
      <c r="A44" s="53">
        <v>44653</v>
      </c>
      <c r="B44" s="54">
        <v>195.44</v>
      </c>
      <c r="C44" s="74" t="s">
        <v>229</v>
      </c>
      <c r="D44" s="74">
        <v>3127.9</v>
      </c>
      <c r="E44" s="74">
        <v>1738.26</v>
      </c>
      <c r="F44" s="74">
        <f t="shared" si="0"/>
        <v>4866.16</v>
      </c>
      <c r="G44" s="73"/>
      <c r="H44" s="40" t="s">
        <v>62</v>
      </c>
      <c r="I44" s="111">
        <f>ROUND(F40/J44,4)</f>
        <v>0.1754</v>
      </c>
      <c r="J44" s="35">
        <v>5913</v>
      </c>
      <c r="K44" s="36" t="s">
        <v>319</v>
      </c>
      <c r="L44" s="56">
        <f>SUM(M20:N20)</f>
        <v>193</v>
      </c>
      <c r="M44" s="56">
        <f>SUM(M23:N23)</f>
        <v>125</v>
      </c>
      <c r="N44" s="56">
        <f>M25</f>
        <v>11035</v>
      </c>
      <c r="O44" s="56">
        <f>M26</f>
        <v>2834.12</v>
      </c>
      <c r="P44" s="56">
        <f>M27</f>
        <v>6130.99</v>
      </c>
      <c r="U44" s="4"/>
    </row>
    <row r="45" ht="15.6" spans="1:21">
      <c r="A45" s="53">
        <v>44654</v>
      </c>
      <c r="B45" s="54">
        <v>224.04</v>
      </c>
      <c r="C45" s="74" t="s">
        <v>228</v>
      </c>
      <c r="D45" s="74">
        <v>6760</v>
      </c>
      <c r="E45" s="74">
        <v>10380</v>
      </c>
      <c r="F45" s="74">
        <f t="shared" si="0"/>
        <v>17140</v>
      </c>
      <c r="G45" s="75"/>
      <c r="H45" s="40" t="s">
        <v>228</v>
      </c>
      <c r="I45" s="111">
        <f>ROUND(F45/J45,4)</f>
        <v>0.1268</v>
      </c>
      <c r="J45" s="35">
        <v>135185</v>
      </c>
      <c r="K45" s="36" t="s">
        <v>320</v>
      </c>
      <c r="L45" s="56">
        <f>D40</f>
        <v>1276</v>
      </c>
      <c r="M45" s="56">
        <f>F40</f>
        <v>1037</v>
      </c>
      <c r="N45" s="56">
        <f>F45</f>
        <v>17140</v>
      </c>
      <c r="O45" s="56">
        <f>F44</f>
        <v>4866.16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0.0725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>D40-'2022.3.15'!$D$40</f>
        <v>251</v>
      </c>
      <c r="M47" s="56">
        <f>F40-'2022.3.15'!$F$40</f>
        <v>217</v>
      </c>
      <c r="N47" s="56">
        <f>F45-'2022.3.15'!$F$45</f>
        <v>3880</v>
      </c>
      <c r="O47" s="56">
        <f>F44-'2022.3.15'!$F$44+340.32</f>
        <v>707.73</v>
      </c>
      <c r="P47" s="56">
        <f>F43-'2022.3.15'!$F$43</f>
        <v>0</v>
      </c>
    </row>
    <row r="48" spans="1:16">
      <c r="A48" s="79">
        <f>SUM(C11,E11,C12,E12)</f>
        <v>23</v>
      </c>
      <c r="B48" s="79">
        <f>SUM(C13,C14,E13,E14)</f>
        <v>7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224.04</v>
      </c>
      <c r="G48" s="76"/>
      <c r="H48" s="40" t="s">
        <v>231</v>
      </c>
      <c r="I48" s="111">
        <f>ROUND(E7/J48,4)</f>
        <v>0.2324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>L47</f>
        <v>251</v>
      </c>
      <c r="B49" s="79">
        <f>M47</f>
        <v>217</v>
      </c>
      <c r="C49" s="79">
        <f>N47</f>
        <v>3880</v>
      </c>
      <c r="D49" s="79">
        <f>O47</f>
        <v>707.73</v>
      </c>
      <c r="E49" s="79">
        <f>P47</f>
        <v>0</v>
      </c>
      <c r="F49" s="80">
        <f>K14</f>
        <v>3812.18</v>
      </c>
      <c r="G49" s="76"/>
      <c r="H49" s="81" t="s">
        <v>225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348</v>
      </c>
      <c r="B50" s="79">
        <f>M43</f>
        <v>296</v>
      </c>
      <c r="C50" s="79">
        <f>N43</f>
        <v>12495</v>
      </c>
      <c r="D50" s="79">
        <f>O43</f>
        <v>3275.72</v>
      </c>
      <c r="E50" s="79">
        <f>P43</f>
        <v>6130.99</v>
      </c>
      <c r="F50" s="80">
        <f>K7</f>
        <v>10817.07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03日自年初1月1日起完成产值8889.69万元，自开工累计完成产值20982.45万元，自开工占总产值90284.4万元的23.24%，100章临建完成6250.78万元，400章桥梁完成14731.67万元。已完成梁片预制1276片，占设计量的21.58%；梁片安装1037片，占设计量的17.54%；湿接缝17140米，占设计量的12.68%；防撞护栏4866.16米，占设计量的7.25%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5">
      <c r="A52" s="85" t="s">
        <v>386</v>
      </c>
      <c r="B52" s="85"/>
      <c r="C52" s="85"/>
      <c r="D52" s="85"/>
      <c r="E52" s="85"/>
      <c r="F52" s="85"/>
      <c r="I52" s="86" t="s">
        <v>352</v>
      </c>
      <c r="J52" s="86"/>
      <c r="K52" s="86"/>
      <c r="L52" s="86"/>
      <c r="M52" s="86"/>
      <c r="N52" s="86"/>
      <c r="O52" s="86"/>
    </row>
    <row r="53" spans="9:15">
      <c r="I53" s="87" t="s">
        <v>353</v>
      </c>
      <c r="J53" s="113"/>
      <c r="K53" s="113"/>
      <c r="L53" s="114"/>
      <c r="M53" s="115" t="s">
        <v>354</v>
      </c>
      <c r="N53" s="115" t="s">
        <v>354</v>
      </c>
      <c r="O53" s="115" t="s">
        <v>354</v>
      </c>
    </row>
    <row r="54" spans="9:15">
      <c r="I54" s="88" t="s">
        <v>355</v>
      </c>
      <c r="J54" s="88" t="s">
        <v>356</v>
      </c>
      <c r="K54" s="88" t="s">
        <v>357</v>
      </c>
      <c r="L54" s="88"/>
      <c r="M54" s="88" t="s">
        <v>358</v>
      </c>
      <c r="N54" s="88" t="s">
        <v>359</v>
      </c>
      <c r="O54" s="88" t="s">
        <v>360</v>
      </c>
    </row>
    <row r="55" spans="9:15">
      <c r="I55" s="89">
        <v>1</v>
      </c>
      <c r="J55" s="89">
        <v>100</v>
      </c>
      <c r="K55" s="118" t="s">
        <v>361</v>
      </c>
      <c r="L55" s="118"/>
      <c r="M55" s="119">
        <v>72272958</v>
      </c>
      <c r="N55" s="119">
        <f t="shared" ref="N55:N60" si="1">M55/10000</f>
        <v>7227.2958</v>
      </c>
      <c r="O55" s="119">
        <f t="shared" ref="O55:O60" si="2">ROUND(N55/10000,2)</f>
        <v>0.72</v>
      </c>
    </row>
    <row r="56" spans="9:15">
      <c r="I56" s="89">
        <v>2</v>
      </c>
      <c r="J56" s="89">
        <v>400</v>
      </c>
      <c r="K56" s="118" t="s">
        <v>362</v>
      </c>
      <c r="L56" s="118"/>
      <c r="M56" s="119">
        <v>808224659</v>
      </c>
      <c r="N56" s="119">
        <f t="shared" si="1"/>
        <v>80822.4659</v>
      </c>
      <c r="O56" s="119">
        <f t="shared" si="2"/>
        <v>8.08</v>
      </c>
    </row>
    <row r="57" spans="9:15">
      <c r="I57" s="89">
        <v>3</v>
      </c>
      <c r="J57" s="89">
        <v>400</v>
      </c>
      <c r="K57" s="118" t="s">
        <v>363</v>
      </c>
      <c r="L57" s="118"/>
      <c r="M57" s="119">
        <v>8817290</v>
      </c>
      <c r="N57" s="119">
        <f t="shared" si="1"/>
        <v>881.729</v>
      </c>
      <c r="O57" s="119">
        <f t="shared" si="2"/>
        <v>0.09</v>
      </c>
    </row>
    <row r="58" spans="9:15">
      <c r="I58" s="89">
        <v>4</v>
      </c>
      <c r="J58" s="118" t="s">
        <v>364</v>
      </c>
      <c r="K58" s="118"/>
      <c r="L58" s="118"/>
      <c r="M58" s="119">
        <v>889314907</v>
      </c>
      <c r="N58" s="119">
        <f t="shared" si="1"/>
        <v>88931.4907</v>
      </c>
      <c r="O58" s="119">
        <f t="shared" si="2"/>
        <v>8.89</v>
      </c>
    </row>
    <row r="59" spans="9:15">
      <c r="I59" s="89">
        <v>5</v>
      </c>
      <c r="J59" s="118" t="s">
        <v>365</v>
      </c>
      <c r="K59" s="118"/>
      <c r="L59" s="118"/>
      <c r="M59" s="119">
        <v>1380000</v>
      </c>
      <c r="N59" s="119">
        <f t="shared" si="1"/>
        <v>138</v>
      </c>
      <c r="O59" s="119">
        <f t="shared" si="2"/>
        <v>0.01</v>
      </c>
    </row>
    <row r="60" spans="9:15">
      <c r="I60" s="89">
        <v>6</v>
      </c>
      <c r="J60" s="118" t="s">
        <v>366</v>
      </c>
      <c r="K60" s="118"/>
      <c r="L60" s="118"/>
      <c r="M60" s="119">
        <v>887934907</v>
      </c>
      <c r="N60" s="119">
        <f t="shared" si="1"/>
        <v>88793.4907</v>
      </c>
      <c r="O60" s="119">
        <f t="shared" si="2"/>
        <v>8.88</v>
      </c>
    </row>
    <row r="61" spans="9:15">
      <c r="I61" s="89">
        <v>7</v>
      </c>
      <c r="J61" s="118" t="s">
        <v>367</v>
      </c>
      <c r="K61" s="118"/>
      <c r="L61" s="118"/>
      <c r="M61" s="119"/>
      <c r="N61" s="119"/>
      <c r="O61" s="119"/>
    </row>
    <row r="62" spans="9:15">
      <c r="I62" s="89">
        <v>8</v>
      </c>
      <c r="J62" s="118" t="s">
        <v>368</v>
      </c>
      <c r="K62" s="118"/>
      <c r="L62" s="118"/>
      <c r="M62" s="119">
        <v>13529094</v>
      </c>
      <c r="N62" s="119">
        <f>M62/10000</f>
        <v>1352.9094</v>
      </c>
      <c r="O62" s="119">
        <f>ROUND(N62/10000,2)</f>
        <v>0.14</v>
      </c>
    </row>
    <row r="63" spans="9:15">
      <c r="I63" s="89">
        <v>9</v>
      </c>
      <c r="J63" s="118" t="s">
        <v>369</v>
      </c>
      <c r="K63" s="118"/>
      <c r="L63" s="118"/>
      <c r="M63" s="119">
        <v>902844001</v>
      </c>
      <c r="N63" s="119">
        <f>M63/10000</f>
        <v>90284.4001</v>
      </c>
      <c r="O63" s="119">
        <f>ROUND(N63/10000,2)</f>
        <v>9.03</v>
      </c>
    </row>
  </sheetData>
  <mergeCells count="67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I52:O52"/>
    <mergeCell ref="A53:F53"/>
    <mergeCell ref="I53:L53"/>
    <mergeCell ref="K54:L54"/>
    <mergeCell ref="K55:L55"/>
    <mergeCell ref="K56:L56"/>
    <mergeCell ref="K57:L57"/>
    <mergeCell ref="J58:L58"/>
    <mergeCell ref="J59:L59"/>
    <mergeCell ref="J60:L60"/>
    <mergeCell ref="J61:L61"/>
    <mergeCell ref="J62:L62"/>
    <mergeCell ref="J63:L63"/>
    <mergeCell ref="A3:A7"/>
    <mergeCell ref="A9:A10"/>
    <mergeCell ref="A11:A19"/>
    <mergeCell ref="B9:B10"/>
    <mergeCell ref="E3:E5"/>
    <mergeCell ref="F3:F7"/>
    <mergeCell ref="H6:H7"/>
    <mergeCell ref="H9:H17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S8" sqref="S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44655</v>
      </c>
      <c r="B3" s="12" t="s">
        <v>7</v>
      </c>
      <c r="C3" s="12">
        <v>0</v>
      </c>
      <c r="D3" s="12">
        <f>ROUND(D11+D12+D15+D16+D17+D13+D14,2)</f>
        <v>101.42</v>
      </c>
      <c r="E3" s="13">
        <f>ROUND(C5+D5,2)</f>
        <v>232.13</v>
      </c>
      <c r="F3" s="14" t="s">
        <v>404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130.71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232.13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8871.82</v>
      </c>
      <c r="E6" s="8">
        <f>ROUND(C6+D6,2)</f>
        <v>9121.82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14963.8</v>
      </c>
      <c r="E7" s="8">
        <f>ROUND(C7+D7,2)</f>
        <v>21214.58</v>
      </c>
      <c r="F7" s="17"/>
      <c r="G7" s="18"/>
      <c r="H7" s="22"/>
      <c r="I7" s="48">
        <f>210+C6</f>
        <v>460</v>
      </c>
      <c r="J7" s="48">
        <f>D6+1717.38</f>
        <v>10589.2</v>
      </c>
      <c r="K7" s="48">
        <f>J7+I7</f>
        <v>11049.2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405</v>
      </c>
      <c r="D9" s="28"/>
      <c r="E9" s="28" t="s">
        <v>133</v>
      </c>
      <c r="F9" s="28"/>
      <c r="G9" s="29"/>
      <c r="H9" s="30" t="s">
        <v>200</v>
      </c>
      <c r="I9" s="93">
        <v>44362</v>
      </c>
      <c r="J9" s="93">
        <v>44392</v>
      </c>
      <c r="K9" s="93">
        <v>44423</v>
      </c>
      <c r="L9" s="93">
        <v>44454</v>
      </c>
      <c r="M9" s="93">
        <v>44484</v>
      </c>
      <c r="N9" s="93">
        <v>44515</v>
      </c>
      <c r="O9" s="93">
        <v>44545</v>
      </c>
      <c r="P9" s="93">
        <v>44576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44655</v>
      </c>
      <c r="B11" s="32" t="s">
        <v>172</v>
      </c>
      <c r="C11" s="33">
        <v>11</v>
      </c>
      <c r="D11" s="8">
        <v>84.57</v>
      </c>
      <c r="E11" s="33">
        <v>8</v>
      </c>
      <c r="F11" s="8">
        <v>61.83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1</v>
      </c>
      <c r="D12" s="8">
        <v>15.23</v>
      </c>
      <c r="E12" s="33">
        <v>1</v>
      </c>
      <c r="F12" s="8">
        <v>15.28</v>
      </c>
      <c r="G12" s="10"/>
      <c r="H12" s="30"/>
      <c r="I12" s="93">
        <v>44607</v>
      </c>
      <c r="J12" s="93">
        <v>44635</v>
      </c>
      <c r="K12" s="93">
        <v>44666</v>
      </c>
      <c r="L12" s="93">
        <v>44696</v>
      </c>
      <c r="M12" s="93">
        <v>44727</v>
      </c>
      <c r="N12" s="93">
        <v>44757</v>
      </c>
      <c r="O12" s="93">
        <v>44788</v>
      </c>
      <c r="P12" s="93">
        <v>44819</v>
      </c>
    </row>
    <row r="13" ht="15" customHeight="1" spans="1:16">
      <c r="A13" s="16"/>
      <c r="B13" s="34" t="s">
        <v>169</v>
      </c>
      <c r="C13" s="33">
        <v>10</v>
      </c>
      <c r="D13" s="8">
        <v>1.62</v>
      </c>
      <c r="E13" s="33">
        <v>10</v>
      </c>
      <c r="F13" s="8">
        <v>1.62</v>
      </c>
      <c r="G13" s="10"/>
      <c r="H13" s="30"/>
      <c r="I13" s="35">
        <v>14233.94</v>
      </c>
      <c r="J13" s="35">
        <f ca="1">IF($A$3&gt;J12,INDIRECT(TEXT(J12,"yyyy.m.d")&amp;"!$E$7"),$E$7)</f>
        <v>17170.27</v>
      </c>
      <c r="K13" s="35">
        <f ca="1">IF($A$3&gt;K12,INDIRECT(TEXT(K12,"yyyy.m.d")&amp;"!$E$7"),$E$7)</f>
        <v>21214.58</v>
      </c>
      <c r="L13" s="35">
        <f ca="1">IF($A$3&gt;L12,INDIRECT(TEXT(L12,"yyyy.m.d")&amp;"!$E$7"),$E$7)</f>
        <v>21214.58</v>
      </c>
      <c r="M13" s="35">
        <f ca="1">IF($A$3&gt;M12,INDIRECT(TEXT(M12,"yyyy.m.d")&amp;"!$E$7"),$E$7)</f>
        <v>21214.58</v>
      </c>
      <c r="N13" s="35">
        <f ca="1">IF($A$3&gt;N12,INDIRECT(TEXT(N12,"yyyy.m.d")&amp;"!$E$7"),$E$7)</f>
        <v>21214.58</v>
      </c>
      <c r="O13" s="35">
        <f ca="1">IF($A$3&gt;O12,INDIRECT(TEXT(O12,"yyyy.m.d")&amp;"!$E$7"),$E$7)</f>
        <v>21214.58</v>
      </c>
      <c r="P13" s="35">
        <f ca="1">IF($A$3&gt;P12,INDIRECT(TEXT(P12,"yyyy.m.d")&amp;"!$E$7"),$E$7)</f>
        <v>21214.58</v>
      </c>
    </row>
    <row r="14" ht="15" customHeight="1" spans="1:16">
      <c r="A14" s="16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G14" s="10"/>
      <c r="H14" s="30"/>
      <c r="I14" s="48">
        <v>699.51</v>
      </c>
      <c r="J14" s="48">
        <v>2936.33</v>
      </c>
      <c r="K14" s="48">
        <f ca="1" t="shared" ref="K14:P14" si="0">IFERROR(K13-J13,"")</f>
        <v>4044.31</v>
      </c>
      <c r="L14" s="48">
        <f ca="1" t="shared" si="0"/>
        <v>0</v>
      </c>
      <c r="M14" s="48">
        <f ca="1" t="shared" si="0"/>
        <v>0</v>
      </c>
      <c r="N14" s="48">
        <f ca="1" t="shared" si="0"/>
        <v>0</v>
      </c>
      <c r="O14" s="48">
        <f ca="1" t="shared" si="0"/>
        <v>0</v>
      </c>
      <c r="P14" s="48">
        <f ca="1" t="shared" si="0"/>
        <v>0</v>
      </c>
    </row>
    <row r="15" ht="15" customHeight="1" spans="1:16">
      <c r="A15" s="16"/>
      <c r="B15" s="34" t="s">
        <v>112</v>
      </c>
      <c r="C15" s="33">
        <v>0</v>
      </c>
      <c r="D15" s="8">
        <v>0</v>
      </c>
      <c r="E15" s="33">
        <v>780</v>
      </c>
      <c r="F15" s="8">
        <v>32.04</v>
      </c>
      <c r="G15" s="10"/>
      <c r="H15" s="30"/>
      <c r="I15" s="97">
        <v>44849</v>
      </c>
      <c r="J15" s="97">
        <v>44880</v>
      </c>
      <c r="K15" s="97">
        <v>44910</v>
      </c>
      <c r="L15" s="97">
        <v>44941</v>
      </c>
      <c r="M15" s="97">
        <v>44972</v>
      </c>
      <c r="N15" s="97">
        <v>45000</v>
      </c>
      <c r="O15" s="97">
        <v>45031</v>
      </c>
      <c r="P15" s="97">
        <v>45061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186.58</v>
      </c>
      <c r="F16" s="8">
        <v>19.94</v>
      </c>
      <c r="G16" s="10"/>
      <c r="H16" s="30"/>
      <c r="I16" s="35">
        <f ca="1">IF($A$3&gt;I15,INDIRECT(TEXT(I15,"yyyy.m.d")&amp;"!$E$7"),$E$7)</f>
        <v>21214.58</v>
      </c>
      <c r="J16" s="35">
        <f ca="1">IF($A$3&gt;J15,INDIRECT(TEXT(J15,"yyyy.m.d")&amp;"!$E$7"),$E$7)</f>
        <v>21214.58</v>
      </c>
      <c r="K16" s="35">
        <f ca="1">IF($A$3&gt;K15,INDIRECT(TEXT(K15,"yyyy.m.d")&amp;"!$E$7"),$E$7)</f>
        <v>21214.58</v>
      </c>
      <c r="L16" s="35">
        <f ca="1">IF($A$3&gt;L15,INDIRECT(TEXT(L15,"yyyy.m.d")&amp;"!$E$7"),$E$7)</f>
        <v>21214.58</v>
      </c>
      <c r="M16" s="35">
        <f ca="1">IF($A$3&gt;M15,INDIRECT(TEXT(M15,"yyyy.m.d")&amp;"!$E$7"),$E$7)</f>
        <v>21214.58</v>
      </c>
      <c r="N16" s="35">
        <f ca="1">IF($A$3&gt;N15,INDIRECT(TEXT(N15,"yyyy.m.d")&amp;"!$E$7"),$E$7)</f>
        <v>21214.58</v>
      </c>
      <c r="O16" s="35">
        <f ca="1">IF($A$3&gt;O15,INDIRECT(TEXT(O15,"yyyy.m.d")&amp;"!$E$7"),$E$7)</f>
        <v>21214.58</v>
      </c>
      <c r="P16" s="35">
        <f ca="1">IF($A$3&gt;P15,INDIRECT(TEXT(P15,"yyyy.m.d")&amp;"!$E$7"),$E$7)</f>
        <v>21214.58</v>
      </c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>
        <f ca="1">IFERROR(I16-P13,"")</f>
        <v>0</v>
      </c>
      <c r="J17" s="48">
        <f ca="1" t="shared" ref="J17:P17" si="1">IFERROR(J16-I16,"")</f>
        <v>0</v>
      </c>
      <c r="K17" s="48">
        <f ca="1" t="shared" si="1"/>
        <v>0</v>
      </c>
      <c r="L17" s="48">
        <f ca="1" t="shared" si="1"/>
        <v>0</v>
      </c>
      <c r="M17" s="48">
        <f ca="1" t="shared" si="1"/>
        <v>0</v>
      </c>
      <c r="N17" s="48">
        <f ca="1" t="shared" si="1"/>
        <v>0</v>
      </c>
      <c r="O17" s="48">
        <f ca="1" t="shared" si="1"/>
        <v>0</v>
      </c>
      <c r="P17" s="48">
        <f ca="1" t="shared" si="1"/>
        <v>0</v>
      </c>
    </row>
    <row r="18" ht="15" customHeight="1" spans="1:17">
      <c r="A18" s="16"/>
      <c r="B18" s="8" t="s">
        <v>134</v>
      </c>
      <c r="C18" s="8">
        <f>ROUND(D11+D12+D15+D16+D17+D13+D14,2)</f>
        <v>101.42</v>
      </c>
      <c r="D18" s="8"/>
      <c r="E18" s="8">
        <f>ROUND(F11+F12+F15+F16+F17+F13+F14,2)</f>
        <v>130.71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232.13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97</v>
      </c>
      <c r="N20" s="94">
        <f>D38-81</f>
        <v>101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378</v>
      </c>
      <c r="N21" s="94">
        <f>F38-44</f>
        <v>119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30</v>
      </c>
      <c r="N23" s="94">
        <f>D39-65</f>
        <v>95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321</v>
      </c>
      <c r="N24" s="94">
        <f>F39-7</f>
        <v>141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11815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3020.7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9132.15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448</v>
      </c>
      <c r="D30" s="49" t="s">
        <v>75</v>
      </c>
      <c r="E30" s="38">
        <f>C39+D39</f>
        <v>320</v>
      </c>
      <c r="F30" s="39"/>
      <c r="G30" s="38"/>
    </row>
    <row r="31" spans="1:7">
      <c r="A31" s="37"/>
      <c r="B31" s="49" t="s">
        <v>76</v>
      </c>
      <c r="C31" s="38">
        <f>E38+F38</f>
        <v>842</v>
      </c>
      <c r="D31" s="49" t="s">
        <v>77</v>
      </c>
      <c r="E31" s="38">
        <f>E39+F39</f>
        <v>727</v>
      </c>
      <c r="F31" s="39"/>
      <c r="G31" s="38"/>
    </row>
    <row r="32" spans="1:7">
      <c r="A32" s="37"/>
      <c r="B32" s="49" t="s">
        <v>78</v>
      </c>
      <c r="C32" s="38">
        <f>C33-C30-C31</f>
        <v>4490</v>
      </c>
      <c r="D32" s="49" t="s">
        <v>79</v>
      </c>
      <c r="E32" s="38">
        <f>E33-E30-E31</f>
        <v>4733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44646</v>
      </c>
      <c r="B36" s="54">
        <v>244.98</v>
      </c>
      <c r="C36" s="55" t="s">
        <v>32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44647</v>
      </c>
      <c r="B37" s="54">
        <v>207.33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44648</v>
      </c>
      <c r="B38" s="54">
        <v>185.18</v>
      </c>
      <c r="C38" s="58">
        <v>266</v>
      </c>
      <c r="D38" s="58">
        <v>182</v>
      </c>
      <c r="E38" s="58">
        <v>679</v>
      </c>
      <c r="F38" s="58">
        <v>163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44649</v>
      </c>
      <c r="B39" s="54">
        <v>209.43</v>
      </c>
      <c r="C39" s="60">
        <v>160</v>
      </c>
      <c r="D39" s="60">
        <v>160</v>
      </c>
      <c r="E39" s="60">
        <v>579</v>
      </c>
      <c r="F39" s="60">
        <v>148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44650</v>
      </c>
      <c r="B40" s="62">
        <v>272.16</v>
      </c>
      <c r="C40" s="63" t="s">
        <v>182</v>
      </c>
      <c r="D40" s="64">
        <f>C38+D38+E38+F38</f>
        <v>1290</v>
      </c>
      <c r="E40" s="65" t="s">
        <v>69</v>
      </c>
      <c r="F40" s="66">
        <f>C39+D39+E39+F39</f>
        <v>1047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44651</v>
      </c>
      <c r="B41" s="54">
        <v>236.95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截止2022年04月04日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44652</v>
      </c>
      <c r="B42" s="54">
        <v>255.84</v>
      </c>
      <c r="C42" s="72" t="s">
        <v>288</v>
      </c>
      <c r="D42" s="72" t="s">
        <v>289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44653</v>
      </c>
      <c r="B43" s="54">
        <v>195.44</v>
      </c>
      <c r="C43" s="74" t="s">
        <v>230</v>
      </c>
      <c r="D43" s="74">
        <v>6130.99</v>
      </c>
      <c r="E43" s="74">
        <v>0</v>
      </c>
      <c r="F43" s="74">
        <f t="shared" ref="F43:F45" si="2">D43+E43</f>
        <v>6130.99</v>
      </c>
      <c r="G43" s="73"/>
      <c r="H43" s="40" t="s">
        <v>61</v>
      </c>
      <c r="I43" s="111">
        <f>ROUND(D40/J43,4)</f>
        <v>0.2182</v>
      </c>
      <c r="J43" s="35">
        <v>5913</v>
      </c>
      <c r="K43" s="36" t="s">
        <v>318</v>
      </c>
      <c r="L43" s="56">
        <f>L44+155</f>
        <v>353</v>
      </c>
      <c r="M43" s="56">
        <f>M44+171</f>
        <v>296</v>
      </c>
      <c r="N43" s="56">
        <f>N44+1460</f>
        <v>13275</v>
      </c>
      <c r="O43" s="56">
        <f>O44+441.6</f>
        <v>3462.3</v>
      </c>
      <c r="P43" s="56">
        <f>P44+0</f>
        <v>6130.99</v>
      </c>
      <c r="U43" s="4"/>
    </row>
    <row r="44" ht="15.6" spans="1:21">
      <c r="A44" s="53">
        <v>44654</v>
      </c>
      <c r="B44" s="54">
        <v>224.04</v>
      </c>
      <c r="C44" s="74" t="s">
        <v>229</v>
      </c>
      <c r="D44" s="74">
        <v>3127.9</v>
      </c>
      <c r="E44" s="74">
        <v>1924.84</v>
      </c>
      <c r="F44" s="74">
        <f t="shared" si="2"/>
        <v>5052.74</v>
      </c>
      <c r="G44" s="73"/>
      <c r="H44" s="40" t="s">
        <v>62</v>
      </c>
      <c r="I44" s="111">
        <f>ROUND(F40/J44,4)</f>
        <v>0.1771</v>
      </c>
      <c r="J44" s="35">
        <v>5913</v>
      </c>
      <c r="K44" s="36" t="s">
        <v>319</v>
      </c>
      <c r="L44" s="56">
        <f>SUM(M20:N20)</f>
        <v>198</v>
      </c>
      <c r="M44" s="56">
        <f>SUM(M23:N23)</f>
        <v>125</v>
      </c>
      <c r="N44" s="56">
        <f>M25</f>
        <v>11815</v>
      </c>
      <c r="O44" s="56">
        <f>M26</f>
        <v>3020.7</v>
      </c>
      <c r="P44" s="56">
        <f>M27</f>
        <v>6130.99</v>
      </c>
      <c r="U44" s="4"/>
    </row>
    <row r="45" ht="15.6" spans="1:21">
      <c r="A45" s="53">
        <v>44655</v>
      </c>
      <c r="B45" s="54">
        <v>232.13</v>
      </c>
      <c r="C45" s="74" t="s">
        <v>228</v>
      </c>
      <c r="D45" s="74">
        <v>6760</v>
      </c>
      <c r="E45" s="74">
        <v>11160</v>
      </c>
      <c r="F45" s="74">
        <f t="shared" si="2"/>
        <v>17920</v>
      </c>
      <c r="G45" s="75"/>
      <c r="H45" s="40" t="s">
        <v>228</v>
      </c>
      <c r="I45" s="111">
        <f>ROUND(F45/J45,4)</f>
        <v>0.1326</v>
      </c>
      <c r="J45" s="35">
        <v>135185</v>
      </c>
      <c r="K45" s="36" t="s">
        <v>320</v>
      </c>
      <c r="L45" s="56">
        <f>D40</f>
        <v>1290</v>
      </c>
      <c r="M45" s="56">
        <f>F40</f>
        <v>1047</v>
      </c>
      <c r="N45" s="56">
        <f>F45</f>
        <v>17920</v>
      </c>
      <c r="O45" s="56">
        <f>F44</f>
        <v>5052.74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0.0753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 ca="1">D40-INDIRECT(YEAR(TODAY()+ROUND(DAY(DATE(YEAR(TODAY()),MONTH(TODAY())+1,0))/2,0))&amp;"."&amp;MONTH(TODAY()+ROUND(DAY(DATE(YEAR(TODAY()),MONTH(TODAY())+1,0))/2,0))-1&amp;".15"&amp;"!d40")</f>
        <v>265</v>
      </c>
      <c r="M47" s="56">
        <f ca="1">F40-INDIRECT(YEAR(TODAY()+ROUND(DAY(DATE(YEAR(TODAY()),MONTH(TODAY())+1,0))/2,0))&amp;"."&amp;MONTH(TODAY()+ROUND(DAY(DATE(YEAR(TODAY()),MONTH(TODAY())+1,0))/2,0))-1&amp;".15"&amp;"!f40")</f>
        <v>227</v>
      </c>
      <c r="N47" s="56">
        <f ca="1">F45-INDIRECT(YEAR(TODAY()+ROUND(DAY(DATE(YEAR(TODAY()),MONTH(TODAY())+1,0))/2,0))&amp;"."&amp;MONTH(TODAY()+ROUND(DAY(DATE(YEAR(TODAY()),MONTH(TODAY())+1,0))/2,0))-1&amp;".15"&amp;"!f45")</f>
        <v>4660</v>
      </c>
      <c r="O47" s="56">
        <f ca="1">F44-INDIRECT(YEAR(TODAY()+ROUND(DAY(DATE(YEAR(TODAY()),MONTH(TODAY())+1,0))/2,0))&amp;"."&amp;MONTH(TODAY()+ROUND(DAY(DATE(YEAR(TODAY()),MONTH(TODAY())+1,0))/2,0))-1&amp;".15"&amp;"!f44")</f>
        <v>553.99</v>
      </c>
      <c r="P47" s="56">
        <f ca="1">F43-INDIRECT(YEAR(TODAY()+ROUND(DAY(DATE(YEAR(TODAY()),MONTH(TODAY())+1,0))/2,0))&amp;"."&amp;MONTH(TODAY()+ROUND(DAY(DATE(YEAR(TODAY()),MONTH(TODAY())+1,0))/2,0))-1&amp;".15"&amp;"!f43")</f>
        <v>0</v>
      </c>
    </row>
    <row r="48" spans="1:16">
      <c r="A48" s="79">
        <f>SUM(C11,E11,C12,E12)</f>
        <v>21</v>
      </c>
      <c r="B48" s="79">
        <f>SUM(C13,C14,E13,E14)</f>
        <v>20</v>
      </c>
      <c r="C48" s="79">
        <f>C15+E15</f>
        <v>780</v>
      </c>
      <c r="D48" s="79">
        <f>C16+E16</f>
        <v>186.58</v>
      </c>
      <c r="E48" s="79">
        <f>C17+E17</f>
        <v>0</v>
      </c>
      <c r="F48" s="80">
        <f>E3</f>
        <v>232.13</v>
      </c>
      <c r="G48" s="76"/>
      <c r="H48" s="40" t="s">
        <v>231</v>
      </c>
      <c r="I48" s="111">
        <f>ROUND(E7/J48,4)</f>
        <v>0.235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 ca="1">L47</f>
        <v>265</v>
      </c>
      <c r="B49" s="79">
        <f ca="1">M47</f>
        <v>227</v>
      </c>
      <c r="C49" s="79">
        <f ca="1">N47</f>
        <v>4660</v>
      </c>
      <c r="D49" s="79">
        <f ca="1">O47</f>
        <v>553.99</v>
      </c>
      <c r="E49" s="79">
        <f ca="1">P47</f>
        <v>0</v>
      </c>
      <c r="F49" s="80">
        <f ca="1">E7-INDIRECT(TEXT(P53,"yyyy.m.d")&amp;"!E7")</f>
        <v>4044.31</v>
      </c>
      <c r="G49" s="76"/>
      <c r="H49" s="81" t="s">
        <v>406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353</v>
      </c>
      <c r="B50" s="79">
        <f>M43</f>
        <v>296</v>
      </c>
      <c r="C50" s="79">
        <f>N43</f>
        <v>13275</v>
      </c>
      <c r="D50" s="79">
        <f>O43</f>
        <v>3462.3</v>
      </c>
      <c r="E50" s="79">
        <f>P43</f>
        <v>6130.99</v>
      </c>
      <c r="F50" s="80">
        <f>K7</f>
        <v>11049.2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04日自年初1月1日起完成产值9121.82万元，自开工累计完成产值21214.58万元，自开工占总产值90284.4万元的23.5%，100章临建完成6250.78万元，400章桥梁完成14963.8万元。已完成梁片预制1290片，占设计量的21.82%；梁片安装1047片，占设计量的17.71%；湿接缝17920米，占设计量的13.26%；防撞护栏5052.74米，占设计量的7.53%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6">
      <c r="A52" s="85" t="s">
        <v>386</v>
      </c>
      <c r="B52" s="85"/>
      <c r="C52" s="85"/>
      <c r="D52" s="85"/>
      <c r="E52" s="85"/>
      <c r="F52" s="85"/>
      <c r="H52" s="86" t="s">
        <v>352</v>
      </c>
      <c r="I52" s="86"/>
      <c r="J52" s="86"/>
      <c r="K52" s="86"/>
      <c r="L52" s="86"/>
      <c r="M52" s="86"/>
      <c r="N52" s="86"/>
      <c r="O52" s="86" t="s">
        <v>407</v>
      </c>
      <c r="P52" s="86"/>
    </row>
    <row r="53" spans="8:16">
      <c r="H53" s="87" t="s">
        <v>353</v>
      </c>
      <c r="I53" s="113"/>
      <c r="J53" s="113"/>
      <c r="K53" s="114"/>
      <c r="L53" s="115" t="s">
        <v>354</v>
      </c>
      <c r="M53" s="115" t="s">
        <v>354</v>
      </c>
      <c r="N53" s="115" t="s">
        <v>354</v>
      </c>
      <c r="O53" s="116" t="s">
        <v>408</v>
      </c>
      <c r="P53" s="117" t="str">
        <f>YEAR(P55+ROUND(DAY(DATE(YEAR(P55),MONTH(P55)+1,0))/2,0))&amp;"/"&amp;MONTH(P55+ROUND(DAY(DATE(YEAR(P55),MONTH(P55)+1,0))/2,0))-1&amp;"/15"</f>
        <v>2022/3/15</v>
      </c>
    </row>
    <row r="54" spans="8:16">
      <c r="H54" s="88" t="s">
        <v>355</v>
      </c>
      <c r="I54" s="88" t="s">
        <v>356</v>
      </c>
      <c r="J54" s="88" t="s">
        <v>357</v>
      </c>
      <c r="K54" s="88"/>
      <c r="L54" s="88" t="s">
        <v>358</v>
      </c>
      <c r="M54" s="88" t="s">
        <v>359</v>
      </c>
      <c r="N54" s="88" t="s">
        <v>360</v>
      </c>
      <c r="O54" s="116"/>
      <c r="P54" s="117"/>
    </row>
    <row r="55" spans="8:16">
      <c r="H55" s="89">
        <v>1</v>
      </c>
      <c r="I55" s="89">
        <v>100</v>
      </c>
      <c r="J55" s="118" t="s">
        <v>361</v>
      </c>
      <c r="K55" s="118"/>
      <c r="L55" s="119">
        <v>72272958</v>
      </c>
      <c r="M55" s="119">
        <f t="shared" ref="M55:M60" si="3">L55/10000</f>
        <v>7227.2958</v>
      </c>
      <c r="N55" s="119">
        <f t="shared" ref="N55:N60" si="4">ROUND(M55/10000,2)</f>
        <v>0.72</v>
      </c>
      <c r="O55" s="120" t="s">
        <v>409</v>
      </c>
      <c r="P55" s="121">
        <f>A3</f>
        <v>44655</v>
      </c>
    </row>
    <row r="56" spans="8:16">
      <c r="H56" s="89">
        <v>2</v>
      </c>
      <c r="I56" s="89">
        <v>400</v>
      </c>
      <c r="J56" s="118" t="s">
        <v>362</v>
      </c>
      <c r="K56" s="118"/>
      <c r="L56" s="119">
        <v>808224659</v>
      </c>
      <c r="M56" s="119">
        <f t="shared" si="3"/>
        <v>80822.4659</v>
      </c>
      <c r="N56" s="119">
        <f t="shared" si="4"/>
        <v>8.08</v>
      </c>
      <c r="O56" s="122"/>
      <c r="P56" s="123"/>
    </row>
    <row r="57" spans="8:16">
      <c r="H57" s="89">
        <v>3</v>
      </c>
      <c r="I57" s="89">
        <v>400</v>
      </c>
      <c r="J57" s="118" t="s">
        <v>363</v>
      </c>
      <c r="K57" s="118"/>
      <c r="L57" s="119">
        <v>8817290</v>
      </c>
      <c r="M57" s="119">
        <f t="shared" si="3"/>
        <v>881.729</v>
      </c>
      <c r="N57" s="119">
        <f t="shared" si="4"/>
        <v>0.09</v>
      </c>
      <c r="O57" s="120" t="s">
        <v>410</v>
      </c>
      <c r="P57" s="121">
        <f>DATE(YEAR(P53),MONTH(P53)+1,15)</f>
        <v>44666</v>
      </c>
    </row>
    <row r="58" spans="8:16">
      <c r="H58" s="89">
        <v>4</v>
      </c>
      <c r="I58" s="118" t="s">
        <v>364</v>
      </c>
      <c r="J58" s="118"/>
      <c r="K58" s="118"/>
      <c r="L58" s="119">
        <v>889314907</v>
      </c>
      <c r="M58" s="119">
        <f t="shared" si="3"/>
        <v>88931.4907</v>
      </c>
      <c r="N58" s="119">
        <f t="shared" si="4"/>
        <v>8.89</v>
      </c>
      <c r="O58" s="122"/>
      <c r="P58" s="123"/>
    </row>
    <row r="59" spans="8:16">
      <c r="H59" s="89">
        <v>5</v>
      </c>
      <c r="I59" s="118" t="s">
        <v>365</v>
      </c>
      <c r="J59" s="118"/>
      <c r="K59" s="118"/>
      <c r="L59" s="119">
        <v>1380000</v>
      </c>
      <c r="M59" s="119">
        <f t="shared" si="3"/>
        <v>138</v>
      </c>
      <c r="N59" s="119">
        <f t="shared" si="4"/>
        <v>0.01</v>
      </c>
      <c r="O59" s="124"/>
      <c r="P59" s="117"/>
    </row>
    <row r="60" spans="8:16">
      <c r="H60" s="89">
        <v>6</v>
      </c>
      <c r="I60" s="118" t="s">
        <v>366</v>
      </c>
      <c r="J60" s="118"/>
      <c r="K60" s="118"/>
      <c r="L60" s="119">
        <v>887934907</v>
      </c>
      <c r="M60" s="119">
        <f t="shared" si="3"/>
        <v>88793.4907</v>
      </c>
      <c r="N60" s="119">
        <f t="shared" si="4"/>
        <v>8.88</v>
      </c>
      <c r="O60" s="124"/>
      <c r="P60" s="117"/>
    </row>
    <row r="61" spans="8:16">
      <c r="H61" s="89">
        <v>7</v>
      </c>
      <c r="I61" s="118" t="s">
        <v>367</v>
      </c>
      <c r="J61" s="118"/>
      <c r="K61" s="118"/>
      <c r="L61" s="119"/>
      <c r="M61" s="119"/>
      <c r="N61" s="119"/>
      <c r="O61" s="124"/>
      <c r="P61" s="117"/>
    </row>
    <row r="62" spans="8:16">
      <c r="H62" s="89">
        <v>8</v>
      </c>
      <c r="I62" s="118" t="s">
        <v>368</v>
      </c>
      <c r="J62" s="118"/>
      <c r="K62" s="118"/>
      <c r="L62" s="119">
        <v>13529094</v>
      </c>
      <c r="M62" s="119">
        <f>L62/10000</f>
        <v>1352.9094</v>
      </c>
      <c r="N62" s="119">
        <f>ROUND(M62/10000,2)</f>
        <v>0.14</v>
      </c>
      <c r="O62" s="124"/>
      <c r="P62" s="117"/>
    </row>
    <row r="63" spans="8:16">
      <c r="H63" s="89">
        <v>9</v>
      </c>
      <c r="I63" s="118" t="s">
        <v>369</v>
      </c>
      <c r="J63" s="118"/>
      <c r="K63" s="118"/>
      <c r="L63" s="119">
        <v>902844001</v>
      </c>
      <c r="M63" s="119">
        <f>L63/10000</f>
        <v>90284.4001</v>
      </c>
      <c r="N63" s="119">
        <f>ROUND(M63/10000,2)</f>
        <v>9.03</v>
      </c>
      <c r="O63" s="124"/>
      <c r="P63" s="117"/>
    </row>
  </sheetData>
  <mergeCells count="74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H52:N52"/>
    <mergeCell ref="O52:P52"/>
    <mergeCell ref="A53:F53"/>
    <mergeCell ref="H53:K53"/>
    <mergeCell ref="J54:K54"/>
    <mergeCell ref="J55:K55"/>
    <mergeCell ref="J56:K56"/>
    <mergeCell ref="J57:K57"/>
    <mergeCell ref="I58:K58"/>
    <mergeCell ref="I59:K59"/>
    <mergeCell ref="I60:K60"/>
    <mergeCell ref="I61:K61"/>
    <mergeCell ref="I62:K62"/>
    <mergeCell ref="I63:K63"/>
    <mergeCell ref="A3:A7"/>
    <mergeCell ref="A9:A10"/>
    <mergeCell ref="A11:A19"/>
    <mergeCell ref="B9:B10"/>
    <mergeCell ref="E3:E5"/>
    <mergeCell ref="F3:F7"/>
    <mergeCell ref="H6:H7"/>
    <mergeCell ref="H9:H17"/>
    <mergeCell ref="O53:O54"/>
    <mergeCell ref="O55:O56"/>
    <mergeCell ref="O57:O58"/>
    <mergeCell ref="P53:P54"/>
    <mergeCell ref="P55:P56"/>
    <mergeCell ref="P57:P58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3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44656</v>
      </c>
      <c r="B3" s="12" t="s">
        <v>7</v>
      </c>
      <c r="C3" s="12">
        <v>0</v>
      </c>
      <c r="D3" s="12">
        <f>ROUND(D11+D12+D15+D16+D17+D13+D14,2)</f>
        <v>40.13</v>
      </c>
      <c r="E3" s="13">
        <f>ROUND(C5+D5,2)</f>
        <v>125.95</v>
      </c>
      <c r="F3" s="14" t="s">
        <v>411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85.82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125.95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8997.77</v>
      </c>
      <c r="E6" s="8">
        <f>ROUND(C6+D6,2)</f>
        <v>9247.77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15089.75</v>
      </c>
      <c r="E7" s="8">
        <f>ROUND(C7+D7,2)</f>
        <v>21340.53</v>
      </c>
      <c r="F7" s="17"/>
      <c r="G7" s="18"/>
      <c r="H7" s="22"/>
      <c r="I7" s="48">
        <f>210+C6</f>
        <v>460</v>
      </c>
      <c r="J7" s="48">
        <f>D6+1717.38</f>
        <v>10715.15</v>
      </c>
      <c r="K7" s="48">
        <f>J7+I7</f>
        <v>11175.15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405</v>
      </c>
      <c r="D9" s="28"/>
      <c r="E9" s="28" t="s">
        <v>133</v>
      </c>
      <c r="F9" s="28"/>
      <c r="G9" s="29"/>
      <c r="H9" s="30" t="s">
        <v>200</v>
      </c>
      <c r="I9" s="93">
        <v>44362</v>
      </c>
      <c r="J9" s="93">
        <v>44392</v>
      </c>
      <c r="K9" s="93">
        <v>44423</v>
      </c>
      <c r="L9" s="93">
        <v>44454</v>
      </c>
      <c r="M9" s="93">
        <v>44484</v>
      </c>
      <c r="N9" s="93">
        <v>44515</v>
      </c>
      <c r="O9" s="93">
        <v>44545</v>
      </c>
      <c r="P9" s="93">
        <v>44576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44656</v>
      </c>
      <c r="B11" s="32" t="s">
        <v>172</v>
      </c>
      <c r="C11" s="33">
        <v>3</v>
      </c>
      <c r="D11" s="8">
        <v>23.28</v>
      </c>
      <c r="E11" s="33">
        <v>7</v>
      </c>
      <c r="F11" s="8">
        <v>53.83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1</v>
      </c>
      <c r="D12" s="8">
        <v>15.23</v>
      </c>
      <c r="E12" s="33">
        <v>2</v>
      </c>
      <c r="F12" s="8">
        <v>30.53</v>
      </c>
      <c r="G12" s="10"/>
      <c r="H12" s="30"/>
      <c r="I12" s="93">
        <v>44607</v>
      </c>
      <c r="J12" s="93">
        <v>44635</v>
      </c>
      <c r="K12" s="93">
        <v>44666</v>
      </c>
      <c r="L12" s="93">
        <v>44696</v>
      </c>
      <c r="M12" s="93">
        <v>44727</v>
      </c>
      <c r="N12" s="93">
        <v>44757</v>
      </c>
      <c r="O12" s="93">
        <v>44788</v>
      </c>
      <c r="P12" s="93">
        <v>44819</v>
      </c>
    </row>
    <row r="13" ht="15" customHeight="1" spans="1:16">
      <c r="A13" s="16"/>
      <c r="B13" s="34" t="s">
        <v>169</v>
      </c>
      <c r="C13" s="33">
        <v>10</v>
      </c>
      <c r="D13" s="8">
        <v>1.62</v>
      </c>
      <c r="E13" s="33">
        <v>9</v>
      </c>
      <c r="F13" s="8">
        <v>1.458</v>
      </c>
      <c r="G13" s="10"/>
      <c r="H13" s="30"/>
      <c r="I13" s="35">
        <v>14233.94</v>
      </c>
      <c r="J13" s="35">
        <f ca="1">IF($A$3&gt;J12,INDIRECT(TEXT(J12,"yyyy.m.d")&amp;"!$E$7"),$E$7)</f>
        <v>17170.27</v>
      </c>
      <c r="K13" s="35">
        <f ca="1">IF($A$3&gt;K12,INDIRECT(TEXT(K12,"yyyy.m.d")&amp;"!$E$7"),$E$7)</f>
        <v>21340.53</v>
      </c>
      <c r="L13" s="35">
        <f ca="1">IF($A$3&gt;L12,INDIRECT(TEXT(L12,"yyyy.m.d")&amp;"!$E$7"),$E$7)</f>
        <v>21340.53</v>
      </c>
      <c r="M13" s="35">
        <f ca="1">IF($A$3&gt;M12,INDIRECT(TEXT(M12,"yyyy.m.d")&amp;"!$E$7"),$E$7)</f>
        <v>21340.53</v>
      </c>
      <c r="N13" s="35">
        <f ca="1">IF($A$3&gt;N12,INDIRECT(TEXT(N12,"yyyy.m.d")&amp;"!$E$7"),$E$7)</f>
        <v>21340.53</v>
      </c>
      <c r="O13" s="35">
        <f ca="1">IF($A$3&gt;O12,INDIRECT(TEXT(O12,"yyyy.m.d")&amp;"!$E$7"),$E$7)</f>
        <v>21340.53</v>
      </c>
      <c r="P13" s="35">
        <f ca="1">IF($A$3&gt;P12,INDIRECT(TEXT(P12,"yyyy.m.d")&amp;"!$E$7"),$E$7)</f>
        <v>21340.53</v>
      </c>
    </row>
    <row r="14" ht="15" customHeight="1" spans="1:16">
      <c r="A14" s="16"/>
      <c r="B14" s="34" t="s">
        <v>170</v>
      </c>
      <c r="C14" s="33">
        <v>0</v>
      </c>
      <c r="D14" s="8">
        <v>0</v>
      </c>
      <c r="E14" s="33">
        <v>0</v>
      </c>
      <c r="F14" s="8">
        <v>0</v>
      </c>
      <c r="G14" s="10"/>
      <c r="H14" s="30"/>
      <c r="I14" s="48">
        <v>699.51</v>
      </c>
      <c r="J14" s="48">
        <v>2936.33</v>
      </c>
      <c r="K14" s="48">
        <f ca="1" t="shared" ref="K14:P14" si="0">IFERROR(K13-J13,"")</f>
        <v>4170.26</v>
      </c>
      <c r="L14" s="48">
        <f ca="1" t="shared" si="0"/>
        <v>0</v>
      </c>
      <c r="M14" s="48">
        <f ca="1" t="shared" si="0"/>
        <v>0</v>
      </c>
      <c r="N14" s="48">
        <f ca="1" t="shared" si="0"/>
        <v>0</v>
      </c>
      <c r="O14" s="48">
        <f ca="1" t="shared" si="0"/>
        <v>0</v>
      </c>
      <c r="P14" s="48">
        <f ca="1" t="shared" si="0"/>
        <v>0</v>
      </c>
    </row>
    <row r="15" ht="15" customHeight="1" spans="1:16">
      <c r="A15" s="16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30"/>
      <c r="I15" s="97">
        <v>44849</v>
      </c>
      <c r="J15" s="97">
        <v>44880</v>
      </c>
      <c r="K15" s="97">
        <v>44910</v>
      </c>
      <c r="L15" s="97">
        <v>44941</v>
      </c>
      <c r="M15" s="97">
        <v>44972</v>
      </c>
      <c r="N15" s="97">
        <v>45000</v>
      </c>
      <c r="O15" s="97">
        <v>45031</v>
      </c>
      <c r="P15" s="97">
        <v>45061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30"/>
      <c r="I16" s="35">
        <f ca="1">IF($A$3&gt;I15,INDIRECT(TEXT(I15,"yyyy.m.d")&amp;"!$E$7"),$E$7)</f>
        <v>21340.53</v>
      </c>
      <c r="J16" s="35">
        <f ca="1">IF($A$3&gt;J15,INDIRECT(TEXT(J15,"yyyy.m.d")&amp;"!$E$7"),$E$7)</f>
        <v>21340.53</v>
      </c>
      <c r="K16" s="35">
        <f ca="1">IF($A$3&gt;K15,INDIRECT(TEXT(K15,"yyyy.m.d")&amp;"!$E$7"),$E$7)</f>
        <v>21340.53</v>
      </c>
      <c r="L16" s="35">
        <f ca="1">IF($A$3&gt;L15,INDIRECT(TEXT(L15,"yyyy.m.d")&amp;"!$E$7"),$E$7)</f>
        <v>21340.53</v>
      </c>
      <c r="M16" s="35">
        <f ca="1">IF($A$3&gt;M15,INDIRECT(TEXT(M15,"yyyy.m.d")&amp;"!$E$7"),$E$7)</f>
        <v>21340.53</v>
      </c>
      <c r="N16" s="35">
        <f ca="1">IF($A$3&gt;N15,INDIRECT(TEXT(N15,"yyyy.m.d")&amp;"!$E$7"),$E$7)</f>
        <v>21340.53</v>
      </c>
      <c r="O16" s="35">
        <f ca="1">IF($A$3&gt;O15,INDIRECT(TEXT(O15,"yyyy.m.d")&amp;"!$E$7"),$E$7)</f>
        <v>21340.53</v>
      </c>
      <c r="P16" s="35">
        <f ca="1">IF($A$3&gt;P15,INDIRECT(TEXT(P15,"yyyy.m.d")&amp;"!$E$7"),$E$7)</f>
        <v>21340.53</v>
      </c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>
        <f ca="1">IFERROR(I16-P13,"")</f>
        <v>0</v>
      </c>
      <c r="J17" s="48">
        <f ca="1" t="shared" ref="J17:P17" si="1">IFERROR(J16-I16,"")</f>
        <v>0</v>
      </c>
      <c r="K17" s="48">
        <f ca="1" t="shared" si="1"/>
        <v>0</v>
      </c>
      <c r="L17" s="48">
        <f ca="1" t="shared" si="1"/>
        <v>0</v>
      </c>
      <c r="M17" s="48">
        <f ca="1" t="shared" si="1"/>
        <v>0</v>
      </c>
      <c r="N17" s="48">
        <f ca="1" t="shared" si="1"/>
        <v>0</v>
      </c>
      <c r="O17" s="48">
        <f ca="1" t="shared" si="1"/>
        <v>0</v>
      </c>
      <c r="P17" s="48">
        <f ca="1" t="shared" si="1"/>
        <v>0</v>
      </c>
    </row>
    <row r="18" ht="15" customHeight="1" spans="1:17">
      <c r="A18" s="16"/>
      <c r="B18" s="8" t="s">
        <v>134</v>
      </c>
      <c r="C18" s="8">
        <f>ROUND(D11+D12+D15+D16+D17+D13+D14,2)</f>
        <v>40.13</v>
      </c>
      <c r="D18" s="8"/>
      <c r="E18" s="8">
        <f>ROUND(F11+F12+F15+F16+F17+F13+F14,2)</f>
        <v>85.82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125.95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100</v>
      </c>
      <c r="N20" s="94">
        <f>D38-81</f>
        <v>102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385</v>
      </c>
      <c r="N21" s="94">
        <f>F38-44</f>
        <v>121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30</v>
      </c>
      <c r="N23" s="94">
        <f>D39-65</f>
        <v>95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330</v>
      </c>
      <c r="N24" s="94">
        <f>F39-7</f>
        <v>141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11815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3020.7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9258.1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452</v>
      </c>
      <c r="D30" s="49" t="s">
        <v>75</v>
      </c>
      <c r="E30" s="38">
        <f>C39+D39</f>
        <v>320</v>
      </c>
      <c r="F30" s="39"/>
      <c r="G30" s="38"/>
    </row>
    <row r="31" spans="1:7">
      <c r="A31" s="37"/>
      <c r="B31" s="49" t="s">
        <v>76</v>
      </c>
      <c r="C31" s="38">
        <f>E38+F38</f>
        <v>851</v>
      </c>
      <c r="D31" s="49" t="s">
        <v>77</v>
      </c>
      <c r="E31" s="38">
        <f>E39+F39</f>
        <v>736</v>
      </c>
      <c r="F31" s="39"/>
      <c r="G31" s="38"/>
    </row>
    <row r="32" spans="1:7">
      <c r="A32" s="37"/>
      <c r="B32" s="49" t="s">
        <v>78</v>
      </c>
      <c r="C32" s="38">
        <f>C33-C30-C31</f>
        <v>4477</v>
      </c>
      <c r="D32" s="49" t="s">
        <v>79</v>
      </c>
      <c r="E32" s="38">
        <f>E33-E30-E31</f>
        <v>4724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44647</v>
      </c>
      <c r="B36" s="54">
        <v>207.33</v>
      </c>
      <c r="C36" s="55" t="s">
        <v>405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44648</v>
      </c>
      <c r="B37" s="54">
        <v>185.18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44649</v>
      </c>
      <c r="B38" s="54">
        <v>209.43</v>
      </c>
      <c r="C38" s="58">
        <v>269</v>
      </c>
      <c r="D38" s="58">
        <v>183</v>
      </c>
      <c r="E38" s="58">
        <v>686</v>
      </c>
      <c r="F38" s="58">
        <v>165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44650</v>
      </c>
      <c r="B39" s="54">
        <v>272.16</v>
      </c>
      <c r="C39" s="60">
        <v>160</v>
      </c>
      <c r="D39" s="60">
        <v>160</v>
      </c>
      <c r="E39" s="60">
        <v>588</v>
      </c>
      <c r="F39" s="60">
        <v>148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44651</v>
      </c>
      <c r="B40" s="62">
        <v>236.95</v>
      </c>
      <c r="C40" s="63" t="s">
        <v>182</v>
      </c>
      <c r="D40" s="64">
        <f>C38+D38+E38+F38</f>
        <v>1303</v>
      </c>
      <c r="E40" s="65" t="s">
        <v>69</v>
      </c>
      <c r="F40" s="66">
        <f>C39+D39+E39+F39</f>
        <v>1056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44652</v>
      </c>
      <c r="B41" s="54">
        <v>255.84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截止2022年04月05日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44653</v>
      </c>
      <c r="B42" s="54">
        <v>195.44</v>
      </c>
      <c r="C42" s="72" t="s">
        <v>288</v>
      </c>
      <c r="D42" s="72" t="s">
        <v>412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44654</v>
      </c>
      <c r="B43" s="54">
        <v>224.04</v>
      </c>
      <c r="C43" s="74" t="s">
        <v>230</v>
      </c>
      <c r="D43" s="74">
        <v>6130.99</v>
      </c>
      <c r="E43" s="74">
        <v>0</v>
      </c>
      <c r="F43" s="74">
        <f t="shared" ref="F43:F45" si="2">D43+E43</f>
        <v>6130.99</v>
      </c>
      <c r="G43" s="73"/>
      <c r="H43" s="40" t="s">
        <v>61</v>
      </c>
      <c r="I43" s="111">
        <f>ROUND(D40/J43,4)</f>
        <v>0.2204</v>
      </c>
      <c r="J43" s="35">
        <v>5913</v>
      </c>
      <c r="K43" s="36" t="s">
        <v>318</v>
      </c>
      <c r="L43" s="56">
        <f>L44+155</f>
        <v>357</v>
      </c>
      <c r="M43" s="56">
        <f>M44+171</f>
        <v>296</v>
      </c>
      <c r="N43" s="56">
        <f>N44+1460</f>
        <v>13275</v>
      </c>
      <c r="O43" s="56">
        <f>O44+441.6</f>
        <v>3462.3</v>
      </c>
      <c r="P43" s="56">
        <f>P44+0</f>
        <v>6130.99</v>
      </c>
      <c r="U43" s="4"/>
    </row>
    <row r="44" ht="15.6" spans="1:21">
      <c r="A44" s="53">
        <v>44655</v>
      </c>
      <c r="B44" s="54">
        <v>232.13</v>
      </c>
      <c r="C44" s="74" t="s">
        <v>229</v>
      </c>
      <c r="D44" s="74">
        <v>3127.9</v>
      </c>
      <c r="E44" s="74">
        <v>1924.84</v>
      </c>
      <c r="F44" s="74">
        <f t="shared" si="2"/>
        <v>5052.74</v>
      </c>
      <c r="G44" s="73"/>
      <c r="H44" s="40" t="s">
        <v>62</v>
      </c>
      <c r="I44" s="111">
        <f>ROUND(F40/J44,4)</f>
        <v>0.1786</v>
      </c>
      <c r="J44" s="35">
        <v>5913</v>
      </c>
      <c r="K44" s="36" t="s">
        <v>319</v>
      </c>
      <c r="L44" s="56">
        <f>SUM(M20:N20)</f>
        <v>202</v>
      </c>
      <c r="M44" s="56">
        <f>SUM(M23:N23)</f>
        <v>125</v>
      </c>
      <c r="N44" s="56">
        <f>M25</f>
        <v>11815</v>
      </c>
      <c r="O44" s="56">
        <f>M26</f>
        <v>3020.7</v>
      </c>
      <c r="P44" s="56">
        <f>M27</f>
        <v>6130.99</v>
      </c>
      <c r="U44" s="4"/>
    </row>
    <row r="45" ht="15.6" spans="1:21">
      <c r="A45" s="53">
        <v>44656</v>
      </c>
      <c r="B45" s="54">
        <v>125.95</v>
      </c>
      <c r="C45" s="74" t="s">
        <v>228</v>
      </c>
      <c r="D45" s="74">
        <v>6760</v>
      </c>
      <c r="E45" s="74">
        <v>11160</v>
      </c>
      <c r="F45" s="74">
        <f t="shared" si="2"/>
        <v>17920</v>
      </c>
      <c r="G45" s="75"/>
      <c r="H45" s="40" t="s">
        <v>228</v>
      </c>
      <c r="I45" s="111">
        <f>ROUND(F45/J45,4)</f>
        <v>0.1326</v>
      </c>
      <c r="J45" s="35">
        <v>135185</v>
      </c>
      <c r="K45" s="36" t="s">
        <v>320</v>
      </c>
      <c r="L45" s="56">
        <f>D40</f>
        <v>1303</v>
      </c>
      <c r="M45" s="56">
        <f>F40</f>
        <v>1056</v>
      </c>
      <c r="N45" s="56">
        <f>F45</f>
        <v>17920</v>
      </c>
      <c r="O45" s="56">
        <f>F44</f>
        <v>5052.74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0.0753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 ca="1">D40-INDIRECT(YEAR(TODAY()+ROUND(DAY(DATE(YEAR(TODAY()),MONTH(TODAY())+1,0))/2,0))&amp;"."&amp;MONTH(TODAY()+ROUND(DAY(DATE(YEAR(TODAY()),MONTH(TODAY())+1,0))/2,0))-1&amp;".15"&amp;"!d40")</f>
        <v>278</v>
      </c>
      <c r="M47" s="56">
        <f ca="1">F40-INDIRECT(YEAR(TODAY()+ROUND(DAY(DATE(YEAR(TODAY()),MONTH(TODAY())+1,0))/2,0))&amp;"."&amp;MONTH(TODAY()+ROUND(DAY(DATE(YEAR(TODAY()),MONTH(TODAY())+1,0))/2,0))-1&amp;".15"&amp;"!f40")</f>
        <v>236</v>
      </c>
      <c r="N47" s="56">
        <f ca="1">F45-INDIRECT(YEAR(TODAY()+ROUND(DAY(DATE(YEAR(TODAY()),MONTH(TODAY())+1,0))/2,0))&amp;"."&amp;MONTH(TODAY()+ROUND(DAY(DATE(YEAR(TODAY()),MONTH(TODAY())+1,0))/2,0))-1&amp;".15"&amp;"!f45")</f>
        <v>4660</v>
      </c>
      <c r="O47" s="56">
        <f ca="1">F44-INDIRECT(YEAR(TODAY()+ROUND(DAY(DATE(YEAR(TODAY()),MONTH(TODAY())+1,0))/2,0))&amp;"."&amp;MONTH(TODAY()+ROUND(DAY(DATE(YEAR(TODAY()),MONTH(TODAY())+1,0))/2,0))-1&amp;".15"&amp;"!f44")</f>
        <v>553.99</v>
      </c>
      <c r="P47" s="56">
        <f ca="1">F43-INDIRECT(YEAR(TODAY()+ROUND(DAY(DATE(YEAR(TODAY()),MONTH(TODAY())+1,0))/2,0))&amp;"."&amp;MONTH(TODAY()+ROUND(DAY(DATE(YEAR(TODAY()),MONTH(TODAY())+1,0))/2,0))-1&amp;".15"&amp;"!f43")</f>
        <v>0</v>
      </c>
    </row>
    <row r="48" spans="1:16">
      <c r="A48" s="79">
        <f>SUM(C11,E11,C12,E12)</f>
        <v>13</v>
      </c>
      <c r="B48" s="79">
        <f>SUM(C13,C14,E13,E14)</f>
        <v>19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125.95</v>
      </c>
      <c r="G48" s="76"/>
      <c r="H48" s="40" t="s">
        <v>231</v>
      </c>
      <c r="I48" s="111">
        <f>ROUND(E7/J48,4)</f>
        <v>0.2364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 ca="1">L47</f>
        <v>278</v>
      </c>
      <c r="B49" s="79">
        <f ca="1">M47</f>
        <v>236</v>
      </c>
      <c r="C49" s="79">
        <f ca="1">N47</f>
        <v>4660</v>
      </c>
      <c r="D49" s="79">
        <f ca="1">O47</f>
        <v>553.99</v>
      </c>
      <c r="E49" s="79">
        <f ca="1">P47</f>
        <v>0</v>
      </c>
      <c r="F49" s="80">
        <f ca="1">E7-INDIRECT(TEXT(P53,"yyyy.m.d")&amp;"!E7")</f>
        <v>4170.26</v>
      </c>
      <c r="G49" s="76"/>
      <c r="H49" s="81" t="s">
        <v>406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357</v>
      </c>
      <c r="B50" s="79">
        <f>M43</f>
        <v>296</v>
      </c>
      <c r="C50" s="79">
        <f>N43</f>
        <v>13275</v>
      </c>
      <c r="D50" s="79">
        <f>O43</f>
        <v>3462.3</v>
      </c>
      <c r="E50" s="79">
        <f>P43</f>
        <v>6130.99</v>
      </c>
      <c r="F50" s="80">
        <f>K7</f>
        <v>11175.15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05日自年初1月1日起完成产值9247.77万元，自开工累计完成产值21340.53万元，自开工占总产值90284.4万元的23.64%，100章临建完成6250.78万元，400章桥梁完成15089.75万元。已完成梁片预制1303片，占设计量的22.04%；梁片安装1056片，占设计量的17.86%；湿接缝17920米，占设计量的13.26%；防撞护栏5052.74米，占设计量的7.53%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6">
      <c r="A52" s="85" t="s">
        <v>386</v>
      </c>
      <c r="B52" s="85"/>
      <c r="C52" s="85"/>
      <c r="D52" s="85"/>
      <c r="E52" s="85"/>
      <c r="F52" s="85"/>
      <c r="H52" s="86" t="s">
        <v>352</v>
      </c>
      <c r="I52" s="86"/>
      <c r="J52" s="86"/>
      <c r="K52" s="86"/>
      <c r="L52" s="86"/>
      <c r="M52" s="86"/>
      <c r="N52" s="86"/>
      <c r="O52" s="86" t="s">
        <v>407</v>
      </c>
      <c r="P52" s="86"/>
    </row>
    <row r="53" spans="8:16">
      <c r="H53" s="87" t="s">
        <v>353</v>
      </c>
      <c r="I53" s="113"/>
      <c r="J53" s="113"/>
      <c r="K53" s="114"/>
      <c r="L53" s="115" t="s">
        <v>354</v>
      </c>
      <c r="M53" s="115" t="s">
        <v>354</v>
      </c>
      <c r="N53" s="115" t="s">
        <v>354</v>
      </c>
      <c r="O53" s="116" t="s">
        <v>408</v>
      </c>
      <c r="P53" s="117" t="str">
        <f>YEAR(P55+ROUND(DAY(DATE(YEAR(P55),MONTH(P55)+1,0))/2,0))&amp;"/"&amp;MONTH(P55+ROUND(DAY(DATE(YEAR(P55),MONTH(P55)+1,0))/2,0))-1&amp;"/15"</f>
        <v>2022/3/15</v>
      </c>
    </row>
    <row r="54" spans="8:16">
      <c r="H54" s="88" t="s">
        <v>355</v>
      </c>
      <c r="I54" s="88" t="s">
        <v>356</v>
      </c>
      <c r="J54" s="88" t="s">
        <v>357</v>
      </c>
      <c r="K54" s="88"/>
      <c r="L54" s="88" t="s">
        <v>358</v>
      </c>
      <c r="M54" s="88" t="s">
        <v>359</v>
      </c>
      <c r="N54" s="88" t="s">
        <v>360</v>
      </c>
      <c r="O54" s="116"/>
      <c r="P54" s="117"/>
    </row>
    <row r="55" spans="8:16">
      <c r="H55" s="89">
        <v>1</v>
      </c>
      <c r="I55" s="89">
        <v>100</v>
      </c>
      <c r="J55" s="118" t="s">
        <v>361</v>
      </c>
      <c r="K55" s="118"/>
      <c r="L55" s="119">
        <v>72272958</v>
      </c>
      <c r="M55" s="119">
        <f t="shared" ref="M55:M60" si="3">L55/10000</f>
        <v>7227.2958</v>
      </c>
      <c r="N55" s="119">
        <f t="shared" ref="N55:N60" si="4">ROUND(M55/10000,2)</f>
        <v>0.72</v>
      </c>
      <c r="O55" s="120" t="s">
        <v>409</v>
      </c>
      <c r="P55" s="121">
        <f>A3</f>
        <v>44656</v>
      </c>
    </row>
    <row r="56" spans="8:16">
      <c r="H56" s="89">
        <v>2</v>
      </c>
      <c r="I56" s="89">
        <v>400</v>
      </c>
      <c r="J56" s="118" t="s">
        <v>362</v>
      </c>
      <c r="K56" s="118"/>
      <c r="L56" s="119">
        <v>808224659</v>
      </c>
      <c r="M56" s="119">
        <f t="shared" si="3"/>
        <v>80822.4659</v>
      </c>
      <c r="N56" s="119">
        <f t="shared" si="4"/>
        <v>8.08</v>
      </c>
      <c r="O56" s="122"/>
      <c r="P56" s="123"/>
    </row>
    <row r="57" spans="8:16">
      <c r="H57" s="89">
        <v>3</v>
      </c>
      <c r="I57" s="89">
        <v>400</v>
      </c>
      <c r="J57" s="118" t="s">
        <v>363</v>
      </c>
      <c r="K57" s="118"/>
      <c r="L57" s="119">
        <v>8817290</v>
      </c>
      <c r="M57" s="119">
        <f t="shared" si="3"/>
        <v>881.729</v>
      </c>
      <c r="N57" s="119">
        <f t="shared" si="4"/>
        <v>0.09</v>
      </c>
      <c r="O57" s="120" t="s">
        <v>410</v>
      </c>
      <c r="P57" s="121">
        <f>DATE(YEAR(P53),MONTH(P53)+1,15)</f>
        <v>44666</v>
      </c>
    </row>
    <row r="58" spans="8:16">
      <c r="H58" s="89">
        <v>4</v>
      </c>
      <c r="I58" s="118" t="s">
        <v>364</v>
      </c>
      <c r="J58" s="118"/>
      <c r="K58" s="118"/>
      <c r="L58" s="119">
        <v>889314907</v>
      </c>
      <c r="M58" s="119">
        <f t="shared" si="3"/>
        <v>88931.4907</v>
      </c>
      <c r="N58" s="119">
        <f t="shared" si="4"/>
        <v>8.89</v>
      </c>
      <c r="O58" s="122"/>
      <c r="P58" s="123"/>
    </row>
    <row r="59" spans="8:16">
      <c r="H59" s="89">
        <v>5</v>
      </c>
      <c r="I59" s="118" t="s">
        <v>365</v>
      </c>
      <c r="J59" s="118"/>
      <c r="K59" s="118"/>
      <c r="L59" s="119">
        <v>1380000</v>
      </c>
      <c r="M59" s="119">
        <f t="shared" si="3"/>
        <v>138</v>
      </c>
      <c r="N59" s="119">
        <f t="shared" si="4"/>
        <v>0.01</v>
      </c>
      <c r="O59" s="124"/>
      <c r="P59" s="117"/>
    </row>
    <row r="60" spans="8:16">
      <c r="H60" s="89">
        <v>6</v>
      </c>
      <c r="I60" s="118" t="s">
        <v>366</v>
      </c>
      <c r="J60" s="118"/>
      <c r="K60" s="118"/>
      <c r="L60" s="119">
        <v>887934907</v>
      </c>
      <c r="M60" s="119">
        <f t="shared" si="3"/>
        <v>88793.4907</v>
      </c>
      <c r="N60" s="119">
        <f t="shared" si="4"/>
        <v>8.88</v>
      </c>
      <c r="O60" s="124"/>
      <c r="P60" s="117"/>
    </row>
    <row r="61" spans="8:16">
      <c r="H61" s="89">
        <v>7</v>
      </c>
      <c r="I61" s="118" t="s">
        <v>367</v>
      </c>
      <c r="J61" s="118"/>
      <c r="K61" s="118"/>
      <c r="L61" s="119"/>
      <c r="M61" s="119"/>
      <c r="N61" s="119"/>
      <c r="O61" s="124"/>
      <c r="P61" s="117"/>
    </row>
    <row r="62" spans="8:16">
      <c r="H62" s="89">
        <v>8</v>
      </c>
      <c r="I62" s="118" t="s">
        <v>368</v>
      </c>
      <c r="J62" s="118"/>
      <c r="K62" s="118"/>
      <c r="L62" s="119">
        <v>13529094</v>
      </c>
      <c r="M62" s="119">
        <f>L62/10000</f>
        <v>1352.9094</v>
      </c>
      <c r="N62" s="119">
        <f>ROUND(M62/10000,2)</f>
        <v>0.14</v>
      </c>
      <c r="O62" s="124"/>
      <c r="P62" s="117"/>
    </row>
    <row r="63" spans="8:16">
      <c r="H63" s="89">
        <v>9</v>
      </c>
      <c r="I63" s="118" t="s">
        <v>369</v>
      </c>
      <c r="J63" s="118"/>
      <c r="K63" s="118"/>
      <c r="L63" s="119">
        <v>902844001</v>
      </c>
      <c r="M63" s="119">
        <f>L63/10000</f>
        <v>90284.4001</v>
      </c>
      <c r="N63" s="119">
        <f>ROUND(M63/10000,2)</f>
        <v>9.03</v>
      </c>
      <c r="O63" s="124"/>
      <c r="P63" s="117"/>
    </row>
  </sheetData>
  <mergeCells count="74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H52:N52"/>
    <mergeCell ref="O52:P52"/>
    <mergeCell ref="A53:F53"/>
    <mergeCell ref="H53:K53"/>
    <mergeCell ref="J54:K54"/>
    <mergeCell ref="J55:K55"/>
    <mergeCell ref="J56:K56"/>
    <mergeCell ref="J57:K57"/>
    <mergeCell ref="I58:K58"/>
    <mergeCell ref="I59:K59"/>
    <mergeCell ref="I60:K60"/>
    <mergeCell ref="I61:K61"/>
    <mergeCell ref="I62:K62"/>
    <mergeCell ref="I63:K63"/>
    <mergeCell ref="A3:A7"/>
    <mergeCell ref="A9:A10"/>
    <mergeCell ref="A11:A19"/>
    <mergeCell ref="B9:B10"/>
    <mergeCell ref="E3:E5"/>
    <mergeCell ref="F3:F7"/>
    <mergeCell ref="H6:H7"/>
    <mergeCell ref="H9:H17"/>
    <mergeCell ref="O53:O54"/>
    <mergeCell ref="O55:O56"/>
    <mergeCell ref="O57:O58"/>
    <mergeCell ref="P53:P54"/>
    <mergeCell ref="P55:P56"/>
    <mergeCell ref="P57:P58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G51" sqref="G5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44657</v>
      </c>
      <c r="B3" s="12" t="s">
        <v>7</v>
      </c>
      <c r="C3" s="12">
        <v>0</v>
      </c>
      <c r="D3" s="12">
        <f>ROUND(D11+D12+D15+D16+D17+D13+D14,2)</f>
        <v>17.35</v>
      </c>
      <c r="E3" s="13">
        <f>ROUND(C5+D5,2)</f>
        <v>127.45</v>
      </c>
      <c r="F3" s="14" t="s">
        <v>413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110.1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127.45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9125.22</v>
      </c>
      <c r="E6" s="8">
        <f>ROUND(C6+D6,2)</f>
        <v>9375.22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15217.2</v>
      </c>
      <c r="E7" s="8">
        <f>ROUND(C7+D7,2)</f>
        <v>21467.98</v>
      </c>
      <c r="F7" s="17"/>
      <c r="G7" s="18"/>
      <c r="H7" s="22"/>
      <c r="I7" s="48">
        <f>210+C6</f>
        <v>460</v>
      </c>
      <c r="J7" s="48">
        <f>D6+1717.38</f>
        <v>10842.6</v>
      </c>
      <c r="K7" s="48">
        <f>J7+I7</f>
        <v>11302.6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405</v>
      </c>
      <c r="D9" s="28"/>
      <c r="E9" s="28" t="s">
        <v>133</v>
      </c>
      <c r="F9" s="28"/>
      <c r="G9" s="29"/>
      <c r="H9" s="30" t="s">
        <v>200</v>
      </c>
      <c r="I9" s="93">
        <v>44362</v>
      </c>
      <c r="J9" s="93">
        <v>44392</v>
      </c>
      <c r="K9" s="93">
        <v>44423</v>
      </c>
      <c r="L9" s="93">
        <v>44454</v>
      </c>
      <c r="M9" s="93">
        <v>44484</v>
      </c>
      <c r="N9" s="93">
        <v>44515</v>
      </c>
      <c r="O9" s="93">
        <v>44545</v>
      </c>
      <c r="P9" s="93">
        <v>44576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44657</v>
      </c>
      <c r="B11" s="32" t="s">
        <v>172</v>
      </c>
      <c r="C11" s="33">
        <v>2</v>
      </c>
      <c r="D11" s="8">
        <v>15.28</v>
      </c>
      <c r="E11" s="33">
        <v>8</v>
      </c>
      <c r="F11" s="8">
        <v>61.83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0</v>
      </c>
      <c r="D12" s="8">
        <v>0</v>
      </c>
      <c r="E12" s="33">
        <v>3</v>
      </c>
      <c r="F12" s="8">
        <v>45.7</v>
      </c>
      <c r="G12" s="10"/>
      <c r="H12" s="30"/>
      <c r="I12" s="93">
        <v>44607</v>
      </c>
      <c r="J12" s="93">
        <v>44635</v>
      </c>
      <c r="K12" s="93">
        <v>44666</v>
      </c>
      <c r="L12" s="93">
        <v>44696</v>
      </c>
      <c r="M12" s="93">
        <v>44727</v>
      </c>
      <c r="N12" s="93">
        <v>44757</v>
      </c>
      <c r="O12" s="93">
        <v>44788</v>
      </c>
      <c r="P12" s="93">
        <v>44819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5</v>
      </c>
      <c r="F13" s="8">
        <v>0.81</v>
      </c>
      <c r="G13" s="10"/>
      <c r="H13" s="30"/>
      <c r="I13" s="35">
        <v>14233.94</v>
      </c>
      <c r="J13" s="35">
        <f ca="1">IF($A$3&gt;J12,INDIRECT(TEXT(J12,"yyyy.m.d")&amp;"!$E$7"),$E$7)</f>
        <v>17170.27</v>
      </c>
      <c r="K13" s="35">
        <f ca="1">IF($A$3&gt;K12,INDIRECT(TEXT(K12,"yyyy.m.d")&amp;"!$E$7"),$E$7)</f>
        <v>21467.98</v>
      </c>
      <c r="L13" s="35">
        <f ca="1">IF($A$3&gt;L12,INDIRECT(TEXT(L12,"yyyy.m.d")&amp;"!$E$7"),$E$7)</f>
        <v>21467.98</v>
      </c>
      <c r="M13" s="35">
        <f ca="1">IF($A$3&gt;M12,INDIRECT(TEXT(M12,"yyyy.m.d")&amp;"!$E$7"),$E$7)</f>
        <v>21467.98</v>
      </c>
      <c r="N13" s="35">
        <f ca="1">IF($A$3&gt;N12,INDIRECT(TEXT(N12,"yyyy.m.d")&amp;"!$E$7"),$E$7)</f>
        <v>21467.98</v>
      </c>
      <c r="O13" s="35">
        <f ca="1">IF($A$3&gt;O12,INDIRECT(TEXT(O12,"yyyy.m.d")&amp;"!$E$7"),$E$7)</f>
        <v>21467.98</v>
      </c>
      <c r="P13" s="35">
        <f ca="1">IF($A$3&gt;P12,INDIRECT(TEXT(P12,"yyyy.m.d")&amp;"!$E$7"),$E$7)</f>
        <v>21467.98</v>
      </c>
    </row>
    <row r="14" ht="15" customHeight="1" spans="1:16">
      <c r="A14" s="16"/>
      <c r="B14" s="34" t="s">
        <v>170</v>
      </c>
      <c r="C14" s="33">
        <v>5</v>
      </c>
      <c r="D14" s="8">
        <v>1.26</v>
      </c>
      <c r="E14" s="33">
        <v>7</v>
      </c>
      <c r="F14" s="8">
        <v>1.764</v>
      </c>
      <c r="G14" s="10"/>
      <c r="H14" s="30"/>
      <c r="I14" s="48">
        <v>699.51</v>
      </c>
      <c r="J14" s="48">
        <v>2936.33</v>
      </c>
      <c r="K14" s="48">
        <f ca="1" t="shared" ref="K14:P14" si="0">IFERROR(K13-J13,"")</f>
        <v>4297.71</v>
      </c>
      <c r="L14" s="48">
        <f ca="1" t="shared" si="0"/>
        <v>0</v>
      </c>
      <c r="M14" s="48">
        <f ca="1" t="shared" si="0"/>
        <v>0</v>
      </c>
      <c r="N14" s="48">
        <f ca="1" t="shared" si="0"/>
        <v>0</v>
      </c>
      <c r="O14" s="48">
        <f ca="1" t="shared" si="0"/>
        <v>0</v>
      </c>
      <c r="P14" s="48">
        <f ca="1" t="shared" si="0"/>
        <v>0</v>
      </c>
    </row>
    <row r="15" ht="15" customHeight="1" spans="1:16">
      <c r="A15" s="16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30"/>
      <c r="I15" s="97">
        <v>44849</v>
      </c>
      <c r="J15" s="97">
        <v>44880</v>
      </c>
      <c r="K15" s="97">
        <v>44910</v>
      </c>
      <c r="L15" s="97">
        <v>44941</v>
      </c>
      <c r="M15" s="97">
        <v>44972</v>
      </c>
      <c r="N15" s="97">
        <v>45000</v>
      </c>
      <c r="O15" s="97">
        <v>45031</v>
      </c>
      <c r="P15" s="97">
        <v>45061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30"/>
      <c r="I16" s="35">
        <f ca="1">IF($A$3&gt;I15,INDIRECT(TEXT(I15,"yyyy.m.d")&amp;"!$E$7"),$E$7)</f>
        <v>21467.98</v>
      </c>
      <c r="J16" s="35">
        <f ca="1">IF($A$3&gt;J15,INDIRECT(TEXT(J15,"yyyy.m.d")&amp;"!$E$7"),$E$7)</f>
        <v>21467.98</v>
      </c>
      <c r="K16" s="35">
        <f ca="1">IF($A$3&gt;K15,INDIRECT(TEXT(K15,"yyyy.m.d")&amp;"!$E$7"),$E$7)</f>
        <v>21467.98</v>
      </c>
      <c r="L16" s="35">
        <f ca="1">IF($A$3&gt;L15,INDIRECT(TEXT(L15,"yyyy.m.d")&amp;"!$E$7"),$E$7)</f>
        <v>21467.98</v>
      </c>
      <c r="M16" s="35">
        <f ca="1">IF($A$3&gt;M15,INDIRECT(TEXT(M15,"yyyy.m.d")&amp;"!$E$7"),$E$7)</f>
        <v>21467.98</v>
      </c>
      <c r="N16" s="35">
        <f ca="1">IF($A$3&gt;N15,INDIRECT(TEXT(N15,"yyyy.m.d")&amp;"!$E$7"),$E$7)</f>
        <v>21467.98</v>
      </c>
      <c r="O16" s="35">
        <f ca="1">IF($A$3&gt;O15,INDIRECT(TEXT(O15,"yyyy.m.d")&amp;"!$E$7"),$E$7)</f>
        <v>21467.98</v>
      </c>
      <c r="P16" s="35">
        <f ca="1">IF($A$3&gt;P15,INDIRECT(TEXT(P15,"yyyy.m.d")&amp;"!$E$7"),$E$7)</f>
        <v>21467.98</v>
      </c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>
        <f ca="1">IFERROR(I16-P13,"")</f>
        <v>0</v>
      </c>
      <c r="J17" s="48">
        <f ca="1" t="shared" ref="J17:P17" si="1">IFERROR(J16-I16,"")</f>
        <v>0</v>
      </c>
      <c r="K17" s="48">
        <f ca="1" t="shared" si="1"/>
        <v>0</v>
      </c>
      <c r="L17" s="48">
        <f ca="1" t="shared" si="1"/>
        <v>0</v>
      </c>
      <c r="M17" s="48">
        <f ca="1" t="shared" si="1"/>
        <v>0</v>
      </c>
      <c r="N17" s="48">
        <f ca="1" t="shared" si="1"/>
        <v>0</v>
      </c>
      <c r="O17" s="48">
        <f ca="1" t="shared" si="1"/>
        <v>0</v>
      </c>
      <c r="P17" s="48">
        <f ca="1" t="shared" si="1"/>
        <v>0</v>
      </c>
    </row>
    <row r="18" ht="15" customHeight="1" spans="1:17">
      <c r="A18" s="16"/>
      <c r="B18" s="8" t="s">
        <v>134</v>
      </c>
      <c r="C18" s="8">
        <f>ROUND(D11+D12+D15+D16+D17+D13+D14,2)</f>
        <v>17.35</v>
      </c>
      <c r="D18" s="8"/>
      <c r="E18" s="8">
        <f>ROUND(F11+F12+F15+F16+F17+F13+F14,2)</f>
        <v>110.1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127.45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173</v>
      </c>
      <c r="N20" s="94">
        <f>D38-81</f>
        <v>121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393</v>
      </c>
      <c r="N21" s="94">
        <f>F38-44</f>
        <v>124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55</v>
      </c>
      <c r="N23" s="94">
        <f>D39-65</f>
        <v>100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335</v>
      </c>
      <c r="N24" s="94">
        <f>F39-7</f>
        <v>148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11815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3020.7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9385.55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544</v>
      </c>
      <c r="D30" s="49" t="s">
        <v>75</v>
      </c>
      <c r="E30" s="38">
        <f>C39+D39</f>
        <v>350</v>
      </c>
      <c r="F30" s="39"/>
      <c r="G30" s="38"/>
    </row>
    <row r="31" spans="1:7">
      <c r="A31" s="37"/>
      <c r="B31" s="49" t="s">
        <v>76</v>
      </c>
      <c r="C31" s="38">
        <f>E38+F38</f>
        <v>862</v>
      </c>
      <c r="D31" s="49" t="s">
        <v>77</v>
      </c>
      <c r="E31" s="38">
        <f>E39+F39</f>
        <v>748</v>
      </c>
      <c r="F31" s="39"/>
      <c r="G31" s="38"/>
    </row>
    <row r="32" spans="1:7">
      <c r="A32" s="37"/>
      <c r="B32" s="49" t="s">
        <v>78</v>
      </c>
      <c r="C32" s="38">
        <f>C33-C30-C31</f>
        <v>4374</v>
      </c>
      <c r="D32" s="49" t="s">
        <v>79</v>
      </c>
      <c r="E32" s="38">
        <f>E33-E30-E31</f>
        <v>4682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44648</v>
      </c>
      <c r="B36" s="54">
        <v>185.18</v>
      </c>
      <c r="C36" s="55" t="s">
        <v>405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44649</v>
      </c>
      <c r="B37" s="54">
        <v>209.43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44650</v>
      </c>
      <c r="B38" s="54">
        <v>272.16</v>
      </c>
      <c r="C38" s="58">
        <v>342</v>
      </c>
      <c r="D38" s="58">
        <v>202</v>
      </c>
      <c r="E38" s="58">
        <v>694</v>
      </c>
      <c r="F38" s="58">
        <v>168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44651</v>
      </c>
      <c r="B39" s="54">
        <v>236.95</v>
      </c>
      <c r="C39" s="60">
        <v>185</v>
      </c>
      <c r="D39" s="60">
        <v>165</v>
      </c>
      <c r="E39" s="60">
        <v>593</v>
      </c>
      <c r="F39" s="60">
        <v>155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44652</v>
      </c>
      <c r="B40" s="62">
        <v>255.84</v>
      </c>
      <c r="C40" s="63" t="s">
        <v>182</v>
      </c>
      <c r="D40" s="64">
        <f>C38+D38+E38+F38</f>
        <v>1406</v>
      </c>
      <c r="E40" s="65" t="s">
        <v>69</v>
      </c>
      <c r="F40" s="66">
        <f>C39+D39+E39+F39</f>
        <v>1098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44653</v>
      </c>
      <c r="B41" s="54">
        <v>195.44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截止2022年04月06日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44654</v>
      </c>
      <c r="B42" s="54">
        <v>224.04</v>
      </c>
      <c r="C42" s="72" t="s">
        <v>288</v>
      </c>
      <c r="D42" s="72" t="s">
        <v>412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44655</v>
      </c>
      <c r="B43" s="54">
        <v>232.13</v>
      </c>
      <c r="C43" s="74" t="s">
        <v>230</v>
      </c>
      <c r="D43" s="74">
        <v>6130.99</v>
      </c>
      <c r="E43" s="74">
        <v>0</v>
      </c>
      <c r="F43" s="74">
        <f t="shared" ref="F43:F45" si="2">D43+E43</f>
        <v>6130.99</v>
      </c>
      <c r="G43" s="73"/>
      <c r="H43" s="40" t="s">
        <v>61</v>
      </c>
      <c r="I43" s="111">
        <f>ROUND(D40/J43,4)</f>
        <v>0.2378</v>
      </c>
      <c r="J43" s="35">
        <v>5913</v>
      </c>
      <c r="K43" s="36" t="s">
        <v>318</v>
      </c>
      <c r="L43" s="56">
        <f>L44+155</f>
        <v>449</v>
      </c>
      <c r="M43" s="56">
        <f>M44+171</f>
        <v>326</v>
      </c>
      <c r="N43" s="56">
        <f>N44+1460</f>
        <v>13275</v>
      </c>
      <c r="O43" s="56">
        <f>O44+441.6</f>
        <v>3462.3</v>
      </c>
      <c r="P43" s="56">
        <f>P44+0</f>
        <v>6130.99</v>
      </c>
      <c r="U43" s="4"/>
    </row>
    <row r="44" ht="15.6" spans="1:21">
      <c r="A44" s="53">
        <v>44656</v>
      </c>
      <c r="B44" s="54">
        <v>125.95</v>
      </c>
      <c r="C44" s="74" t="s">
        <v>229</v>
      </c>
      <c r="D44" s="74">
        <v>3127.9</v>
      </c>
      <c r="E44" s="74">
        <v>1924.84</v>
      </c>
      <c r="F44" s="74">
        <f t="shared" si="2"/>
        <v>5052.74</v>
      </c>
      <c r="G44" s="73"/>
      <c r="H44" s="40" t="s">
        <v>62</v>
      </c>
      <c r="I44" s="111">
        <f>ROUND(F40/J44,4)</f>
        <v>0.1857</v>
      </c>
      <c r="J44" s="35">
        <v>5913</v>
      </c>
      <c r="K44" s="36" t="s">
        <v>319</v>
      </c>
      <c r="L44" s="56">
        <f>SUM(M20:N20)</f>
        <v>294</v>
      </c>
      <c r="M44" s="56">
        <f>SUM(M23:N23)</f>
        <v>155</v>
      </c>
      <c r="N44" s="56">
        <f>M25</f>
        <v>11815</v>
      </c>
      <c r="O44" s="56">
        <f>M26</f>
        <v>3020.7</v>
      </c>
      <c r="P44" s="56">
        <f>M27</f>
        <v>6130.99</v>
      </c>
      <c r="U44" s="4"/>
    </row>
    <row r="45" ht="15.6" spans="1:21">
      <c r="A45" s="53">
        <v>44657</v>
      </c>
      <c r="B45" s="54">
        <v>127.45</v>
      </c>
      <c r="C45" s="74" t="s">
        <v>228</v>
      </c>
      <c r="D45" s="74">
        <v>6760</v>
      </c>
      <c r="E45" s="74">
        <v>11160</v>
      </c>
      <c r="F45" s="74">
        <f t="shared" si="2"/>
        <v>17920</v>
      </c>
      <c r="G45" s="75"/>
      <c r="H45" s="40" t="s">
        <v>228</v>
      </c>
      <c r="I45" s="111">
        <f>ROUND(F45/J45,4)</f>
        <v>0.1326</v>
      </c>
      <c r="J45" s="35">
        <v>135185</v>
      </c>
      <c r="K45" s="36" t="s">
        <v>320</v>
      </c>
      <c r="L45" s="56">
        <f>D40</f>
        <v>1406</v>
      </c>
      <c r="M45" s="56">
        <f>F40</f>
        <v>1098</v>
      </c>
      <c r="N45" s="56">
        <f>F45</f>
        <v>17920</v>
      </c>
      <c r="O45" s="56">
        <f>F44</f>
        <v>5052.74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0.0753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 ca="1">D40-INDIRECT(YEAR(TODAY()+ROUND(DAY(DATE(YEAR(TODAY()),MONTH(TODAY())+1,0))/2,0))&amp;"."&amp;MONTH(TODAY()+ROUND(DAY(DATE(YEAR(TODAY()),MONTH(TODAY())+1,0))/2,0))-1&amp;".15"&amp;"!d40")</f>
        <v>381</v>
      </c>
      <c r="M47" s="56">
        <f ca="1">F40-INDIRECT(YEAR(TODAY()+ROUND(DAY(DATE(YEAR(TODAY()),MONTH(TODAY())+1,0))/2,0))&amp;"."&amp;MONTH(TODAY()+ROUND(DAY(DATE(YEAR(TODAY()),MONTH(TODAY())+1,0))/2,0))-1&amp;".15"&amp;"!f40")</f>
        <v>278</v>
      </c>
      <c r="N47" s="56">
        <f ca="1">F45-INDIRECT(YEAR(TODAY()+ROUND(DAY(DATE(YEAR(TODAY()),MONTH(TODAY())+1,0))/2,0))&amp;"."&amp;MONTH(TODAY()+ROUND(DAY(DATE(YEAR(TODAY()),MONTH(TODAY())+1,0))/2,0))-1&amp;".15"&amp;"!f45")</f>
        <v>4660</v>
      </c>
      <c r="O47" s="56">
        <f ca="1">F44-INDIRECT(YEAR(TODAY()+ROUND(DAY(DATE(YEAR(TODAY()),MONTH(TODAY())+1,0))/2,0))&amp;"."&amp;MONTH(TODAY()+ROUND(DAY(DATE(YEAR(TODAY()),MONTH(TODAY())+1,0))/2,0))-1&amp;".15"&amp;"!f44")</f>
        <v>553.99</v>
      </c>
      <c r="P47" s="56">
        <f ca="1">F43-INDIRECT(YEAR(TODAY()+ROUND(DAY(DATE(YEAR(TODAY()),MONTH(TODAY())+1,0))/2,0))&amp;"."&amp;MONTH(TODAY()+ROUND(DAY(DATE(YEAR(TODAY()),MONTH(TODAY())+1,0))/2,0))-1&amp;".15"&amp;"!f43")</f>
        <v>0</v>
      </c>
    </row>
    <row r="48" spans="1:16">
      <c r="A48" s="79">
        <f>SUM(C11,E11,C12,E12)</f>
        <v>13</v>
      </c>
      <c r="B48" s="79">
        <f>SUM(C13,C14,E13,E14)</f>
        <v>22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127.45</v>
      </c>
      <c r="G48" s="76"/>
      <c r="H48" s="40" t="s">
        <v>231</v>
      </c>
      <c r="I48" s="111">
        <f>ROUND(E7/J48,4)</f>
        <v>0.2378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 ca="1">L47</f>
        <v>381</v>
      </c>
      <c r="B49" s="79">
        <f ca="1">M47</f>
        <v>278</v>
      </c>
      <c r="C49" s="79">
        <f ca="1">N47</f>
        <v>4660</v>
      </c>
      <c r="D49" s="79">
        <f ca="1">O47</f>
        <v>553.99</v>
      </c>
      <c r="E49" s="79">
        <f ca="1">P47</f>
        <v>0</v>
      </c>
      <c r="F49" s="80">
        <f ca="1">E7-INDIRECT(TEXT(P53,"yyyy.m.d")&amp;"!E7")</f>
        <v>4297.71</v>
      </c>
      <c r="G49" s="76"/>
      <c r="H49" s="81" t="s">
        <v>406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449</v>
      </c>
      <c r="B50" s="79">
        <f>M43</f>
        <v>326</v>
      </c>
      <c r="C50" s="79">
        <f>N43</f>
        <v>13275</v>
      </c>
      <c r="D50" s="79">
        <f>O43</f>
        <v>3462.3</v>
      </c>
      <c r="E50" s="79">
        <f>P43</f>
        <v>6130.99</v>
      </c>
      <c r="F50" s="80">
        <f>K7</f>
        <v>11302.6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06日自年初1月1日起完成产值9375.22万元，自开工累计完成产值21467.98万元，自开工占总产值90284.4万元的23.78%，100章临建完成6250.78万元，400章桥梁完成15217.2万元。已完成梁片预制1406片，占设计量的23.78%；梁片安装1098片，占设计量的18.57%；湿接缝17920米，占设计量的13.26%；防撞护栏5052.74米，占设计量的7.53%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6">
      <c r="A52" s="85" t="s">
        <v>386</v>
      </c>
      <c r="B52" s="85"/>
      <c r="C52" s="85"/>
      <c r="D52" s="85"/>
      <c r="E52" s="85"/>
      <c r="F52" s="85"/>
      <c r="H52" s="86" t="s">
        <v>352</v>
      </c>
      <c r="I52" s="86"/>
      <c r="J52" s="86"/>
      <c r="K52" s="86"/>
      <c r="L52" s="86"/>
      <c r="M52" s="86"/>
      <c r="N52" s="86"/>
      <c r="O52" s="86" t="s">
        <v>407</v>
      </c>
      <c r="P52" s="86"/>
    </row>
    <row r="53" spans="8:16">
      <c r="H53" s="87" t="s">
        <v>353</v>
      </c>
      <c r="I53" s="113"/>
      <c r="J53" s="113"/>
      <c r="K53" s="114"/>
      <c r="L53" s="115" t="s">
        <v>354</v>
      </c>
      <c r="M53" s="115" t="s">
        <v>354</v>
      </c>
      <c r="N53" s="115" t="s">
        <v>354</v>
      </c>
      <c r="O53" s="116" t="s">
        <v>408</v>
      </c>
      <c r="P53" s="117" t="str">
        <f>YEAR(P55+ROUND(DAY(DATE(YEAR(P55),MONTH(P55)+1,0))/2,0))&amp;"/"&amp;MONTH(P55+ROUND(DAY(DATE(YEAR(P55),MONTH(P55)+1,0))/2,0))-1&amp;"/15"</f>
        <v>2022/3/15</v>
      </c>
    </row>
    <row r="54" spans="8:16">
      <c r="H54" s="88" t="s">
        <v>355</v>
      </c>
      <c r="I54" s="88" t="s">
        <v>356</v>
      </c>
      <c r="J54" s="88" t="s">
        <v>357</v>
      </c>
      <c r="K54" s="88"/>
      <c r="L54" s="88" t="s">
        <v>358</v>
      </c>
      <c r="M54" s="88" t="s">
        <v>359</v>
      </c>
      <c r="N54" s="88" t="s">
        <v>360</v>
      </c>
      <c r="O54" s="116"/>
      <c r="P54" s="117"/>
    </row>
    <row r="55" spans="8:16">
      <c r="H55" s="89">
        <v>1</v>
      </c>
      <c r="I55" s="89">
        <v>100</v>
      </c>
      <c r="J55" s="118" t="s">
        <v>361</v>
      </c>
      <c r="K55" s="118"/>
      <c r="L55" s="119">
        <v>72272958</v>
      </c>
      <c r="M55" s="119">
        <f t="shared" ref="M55:M60" si="3">L55/10000</f>
        <v>7227.2958</v>
      </c>
      <c r="N55" s="119">
        <f t="shared" ref="N55:N60" si="4">ROUND(M55/10000,2)</f>
        <v>0.72</v>
      </c>
      <c r="O55" s="120" t="s">
        <v>409</v>
      </c>
      <c r="P55" s="121">
        <f>A3</f>
        <v>44657</v>
      </c>
    </row>
    <row r="56" spans="8:16">
      <c r="H56" s="89">
        <v>2</v>
      </c>
      <c r="I56" s="89">
        <v>400</v>
      </c>
      <c r="J56" s="118" t="s">
        <v>362</v>
      </c>
      <c r="K56" s="118"/>
      <c r="L56" s="119">
        <v>808224659</v>
      </c>
      <c r="M56" s="119">
        <f t="shared" si="3"/>
        <v>80822.4659</v>
      </c>
      <c r="N56" s="119">
        <f t="shared" si="4"/>
        <v>8.08</v>
      </c>
      <c r="O56" s="122"/>
      <c r="P56" s="123"/>
    </row>
    <row r="57" spans="8:16">
      <c r="H57" s="89">
        <v>3</v>
      </c>
      <c r="I57" s="89">
        <v>400</v>
      </c>
      <c r="J57" s="118" t="s">
        <v>363</v>
      </c>
      <c r="K57" s="118"/>
      <c r="L57" s="119">
        <v>8817290</v>
      </c>
      <c r="M57" s="119">
        <f t="shared" si="3"/>
        <v>881.729</v>
      </c>
      <c r="N57" s="119">
        <f t="shared" si="4"/>
        <v>0.09</v>
      </c>
      <c r="O57" s="120" t="s">
        <v>410</v>
      </c>
      <c r="P57" s="121">
        <f>DATE(YEAR(P53),MONTH(P53)+1,15)</f>
        <v>44666</v>
      </c>
    </row>
    <row r="58" spans="8:16">
      <c r="H58" s="89">
        <v>4</v>
      </c>
      <c r="I58" s="118" t="s">
        <v>364</v>
      </c>
      <c r="J58" s="118"/>
      <c r="K58" s="118"/>
      <c r="L58" s="119">
        <v>889314907</v>
      </c>
      <c r="M58" s="119">
        <f t="shared" si="3"/>
        <v>88931.4907</v>
      </c>
      <c r="N58" s="119">
        <f t="shared" si="4"/>
        <v>8.89</v>
      </c>
      <c r="O58" s="122"/>
      <c r="P58" s="123"/>
    </row>
    <row r="59" spans="8:16">
      <c r="H59" s="89">
        <v>5</v>
      </c>
      <c r="I59" s="118" t="s">
        <v>365</v>
      </c>
      <c r="J59" s="118"/>
      <c r="K59" s="118"/>
      <c r="L59" s="119">
        <v>1380000</v>
      </c>
      <c r="M59" s="119">
        <f t="shared" si="3"/>
        <v>138</v>
      </c>
      <c r="N59" s="119">
        <f t="shared" si="4"/>
        <v>0.01</v>
      </c>
      <c r="O59" s="124"/>
      <c r="P59" s="117"/>
    </row>
    <row r="60" spans="8:16">
      <c r="H60" s="89">
        <v>6</v>
      </c>
      <c r="I60" s="118" t="s">
        <v>366</v>
      </c>
      <c r="J60" s="118"/>
      <c r="K60" s="118"/>
      <c r="L60" s="119">
        <v>887934907</v>
      </c>
      <c r="M60" s="119">
        <f t="shared" si="3"/>
        <v>88793.4907</v>
      </c>
      <c r="N60" s="119">
        <f t="shared" si="4"/>
        <v>8.88</v>
      </c>
      <c r="O60" s="124"/>
      <c r="P60" s="117"/>
    </row>
    <row r="61" spans="8:16">
      <c r="H61" s="89">
        <v>7</v>
      </c>
      <c r="I61" s="118" t="s">
        <v>367</v>
      </c>
      <c r="J61" s="118"/>
      <c r="K61" s="118"/>
      <c r="L61" s="119"/>
      <c r="M61" s="119"/>
      <c r="N61" s="119"/>
      <c r="O61" s="124"/>
      <c r="P61" s="117"/>
    </row>
    <row r="62" spans="8:16">
      <c r="H62" s="89">
        <v>8</v>
      </c>
      <c r="I62" s="118" t="s">
        <v>368</v>
      </c>
      <c r="J62" s="118"/>
      <c r="K62" s="118"/>
      <c r="L62" s="119">
        <v>13529094</v>
      </c>
      <c r="M62" s="119">
        <f>L62/10000</f>
        <v>1352.9094</v>
      </c>
      <c r="N62" s="119">
        <f>ROUND(M62/10000,2)</f>
        <v>0.14</v>
      </c>
      <c r="O62" s="124"/>
      <c r="P62" s="117"/>
    </row>
    <row r="63" spans="8:16">
      <c r="H63" s="89">
        <v>9</v>
      </c>
      <c r="I63" s="118" t="s">
        <v>369</v>
      </c>
      <c r="J63" s="118"/>
      <c r="K63" s="118"/>
      <c r="L63" s="119">
        <v>902844001</v>
      </c>
      <c r="M63" s="119">
        <f>L63/10000</f>
        <v>90284.4001</v>
      </c>
      <c r="N63" s="119">
        <f>ROUND(M63/10000,2)</f>
        <v>9.03</v>
      </c>
      <c r="O63" s="124"/>
      <c r="P63" s="117"/>
    </row>
  </sheetData>
  <mergeCells count="74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H52:N52"/>
    <mergeCell ref="O52:P52"/>
    <mergeCell ref="A53:F53"/>
    <mergeCell ref="H53:K53"/>
    <mergeCell ref="J54:K54"/>
    <mergeCell ref="J55:K55"/>
    <mergeCell ref="J56:K56"/>
    <mergeCell ref="J57:K57"/>
    <mergeCell ref="I58:K58"/>
    <mergeCell ref="I59:K59"/>
    <mergeCell ref="I60:K60"/>
    <mergeCell ref="I61:K61"/>
    <mergeCell ref="I62:K62"/>
    <mergeCell ref="I63:K63"/>
    <mergeCell ref="A3:A7"/>
    <mergeCell ref="A9:A10"/>
    <mergeCell ref="A11:A19"/>
    <mergeCell ref="B9:B10"/>
    <mergeCell ref="E3:E5"/>
    <mergeCell ref="F3:F7"/>
    <mergeCell ref="H6:H7"/>
    <mergeCell ref="H9:H17"/>
    <mergeCell ref="O53:O54"/>
    <mergeCell ref="O55:O56"/>
    <mergeCell ref="O57:O58"/>
    <mergeCell ref="P53:P54"/>
    <mergeCell ref="P55:P56"/>
    <mergeCell ref="P57:P58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26" workbookViewId="0">
      <selection activeCell="R56" sqref="R5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44658</v>
      </c>
      <c r="B3" s="12" t="s">
        <v>7</v>
      </c>
      <c r="C3" s="12">
        <v>0</v>
      </c>
      <c r="D3" s="12">
        <f>ROUND(D11+D12+D15+D16+D17+D13+D14,2)</f>
        <v>1.62</v>
      </c>
      <c r="E3" s="13">
        <f>ROUND(C5+D5,2)</f>
        <v>128.33</v>
      </c>
      <c r="F3" s="14" t="s">
        <v>414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126.71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128.33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9253.55</v>
      </c>
      <c r="E6" s="8">
        <f>ROUND(C6+D6,2)</f>
        <v>9503.55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15345.53</v>
      </c>
      <c r="E7" s="8">
        <f>ROUND(C7+D7,2)</f>
        <v>21596.31</v>
      </c>
      <c r="F7" s="17"/>
      <c r="G7" s="18"/>
      <c r="H7" s="22"/>
      <c r="I7" s="48">
        <f>210+C6</f>
        <v>460</v>
      </c>
      <c r="J7" s="48">
        <f>D6+1717.38</f>
        <v>10970.93</v>
      </c>
      <c r="K7" s="48">
        <f>J7+I7</f>
        <v>11430.93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405</v>
      </c>
      <c r="D9" s="28"/>
      <c r="E9" s="28" t="s">
        <v>133</v>
      </c>
      <c r="F9" s="28"/>
      <c r="G9" s="29"/>
      <c r="H9" s="30" t="s">
        <v>200</v>
      </c>
      <c r="I9" s="93">
        <v>44362</v>
      </c>
      <c r="J9" s="93">
        <v>44392</v>
      </c>
      <c r="K9" s="93">
        <v>44423</v>
      </c>
      <c r="L9" s="93">
        <v>44454</v>
      </c>
      <c r="M9" s="93">
        <v>44484</v>
      </c>
      <c r="N9" s="93">
        <v>44515</v>
      </c>
      <c r="O9" s="93">
        <v>44545</v>
      </c>
      <c r="P9" s="93">
        <v>44576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44658</v>
      </c>
      <c r="B11" s="32" t="s">
        <v>172</v>
      </c>
      <c r="C11" s="33">
        <v>0</v>
      </c>
      <c r="D11" s="8">
        <v>0</v>
      </c>
      <c r="E11" s="33">
        <v>5</v>
      </c>
      <c r="F11" s="8">
        <v>38.37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0</v>
      </c>
      <c r="D12" s="8">
        <v>0</v>
      </c>
      <c r="E12" s="33">
        <v>3</v>
      </c>
      <c r="F12" s="8">
        <v>45.7</v>
      </c>
      <c r="G12" s="10"/>
      <c r="H12" s="30"/>
      <c r="I12" s="93">
        <v>44607</v>
      </c>
      <c r="J12" s="93">
        <v>44635</v>
      </c>
      <c r="K12" s="93">
        <v>44666</v>
      </c>
      <c r="L12" s="93">
        <v>44696</v>
      </c>
      <c r="M12" s="93">
        <v>44727</v>
      </c>
      <c r="N12" s="93">
        <v>44757</v>
      </c>
      <c r="O12" s="93">
        <v>44788</v>
      </c>
      <c r="P12" s="93">
        <v>44819</v>
      </c>
    </row>
    <row r="13" ht="15" customHeight="1" spans="1:16">
      <c r="A13" s="16"/>
      <c r="B13" s="34" t="s">
        <v>169</v>
      </c>
      <c r="C13" s="33">
        <v>10</v>
      </c>
      <c r="D13" s="8">
        <v>1.62</v>
      </c>
      <c r="E13" s="33">
        <v>8</v>
      </c>
      <c r="F13" s="8">
        <v>1.296</v>
      </c>
      <c r="G13" s="10"/>
      <c r="H13" s="30"/>
      <c r="I13" s="35">
        <v>14233.94</v>
      </c>
      <c r="J13" s="35">
        <f ca="1">IF($A$3&gt;J12,INDIRECT(TEXT(J12,"yyyy.m.d")&amp;"!$E$7"),$E$7)</f>
        <v>17170.27</v>
      </c>
      <c r="K13" s="35">
        <f ca="1">IF($A$3&gt;K12,INDIRECT(TEXT(K12,"yyyy.m.d")&amp;"!$E$7"),$E$7)</f>
        <v>21596.31</v>
      </c>
      <c r="L13" s="35">
        <f ca="1">IF($A$3&gt;L12,INDIRECT(TEXT(L12,"yyyy.m.d")&amp;"!$E$7"),$E$7)</f>
        <v>21596.31</v>
      </c>
      <c r="M13" s="35">
        <f ca="1">IF($A$3&gt;M12,INDIRECT(TEXT(M12,"yyyy.m.d")&amp;"!$E$7"),$E$7)</f>
        <v>21596.31</v>
      </c>
      <c r="N13" s="35">
        <f ca="1">IF($A$3&gt;N12,INDIRECT(TEXT(N12,"yyyy.m.d")&amp;"!$E$7"),$E$7)</f>
        <v>21596.31</v>
      </c>
      <c r="O13" s="35">
        <f ca="1">IF($A$3&gt;O12,INDIRECT(TEXT(O12,"yyyy.m.d")&amp;"!$E$7"),$E$7)</f>
        <v>21596.31</v>
      </c>
      <c r="P13" s="35">
        <f ca="1">IF($A$3&gt;P12,INDIRECT(TEXT(P12,"yyyy.m.d")&amp;"!$E$7"),$E$7)</f>
        <v>21596.31</v>
      </c>
    </row>
    <row r="14" ht="15" customHeight="1" spans="1:16">
      <c r="A14" s="16"/>
      <c r="B14" s="34" t="s">
        <v>170</v>
      </c>
      <c r="C14" s="33">
        <v>0</v>
      </c>
      <c r="D14" s="8">
        <v>0</v>
      </c>
      <c r="E14" s="33">
        <v>5</v>
      </c>
      <c r="F14" s="8">
        <v>1.26</v>
      </c>
      <c r="G14" s="10"/>
      <c r="H14" s="30"/>
      <c r="I14" s="48">
        <v>699.51</v>
      </c>
      <c r="J14" s="48">
        <v>2936.33</v>
      </c>
      <c r="K14" s="48">
        <f ca="1" t="shared" ref="K14:P14" si="0">IFERROR(K13-J13,"")</f>
        <v>4426.04</v>
      </c>
      <c r="L14" s="48">
        <f ca="1" t="shared" si="0"/>
        <v>0</v>
      </c>
      <c r="M14" s="48">
        <f ca="1" t="shared" si="0"/>
        <v>0</v>
      </c>
      <c r="N14" s="48">
        <f ca="1" t="shared" si="0"/>
        <v>0</v>
      </c>
      <c r="O14" s="48">
        <f ca="1" t="shared" si="0"/>
        <v>0</v>
      </c>
      <c r="P14" s="48">
        <f ca="1" t="shared" si="0"/>
        <v>0</v>
      </c>
    </row>
    <row r="15" ht="15" customHeight="1" spans="1:16">
      <c r="A15" s="16"/>
      <c r="B15" s="34" t="s">
        <v>112</v>
      </c>
      <c r="C15" s="33">
        <v>0</v>
      </c>
      <c r="D15" s="8">
        <v>0</v>
      </c>
      <c r="E15" s="33">
        <v>460</v>
      </c>
      <c r="F15" s="8">
        <v>18.74</v>
      </c>
      <c r="G15" s="10"/>
      <c r="H15" s="30"/>
      <c r="I15" s="97">
        <v>44849</v>
      </c>
      <c r="J15" s="97">
        <v>44880</v>
      </c>
      <c r="K15" s="97">
        <v>44910</v>
      </c>
      <c r="L15" s="97">
        <v>44941</v>
      </c>
      <c r="M15" s="97">
        <v>44972</v>
      </c>
      <c r="N15" s="97">
        <v>45000</v>
      </c>
      <c r="O15" s="97">
        <v>45031</v>
      </c>
      <c r="P15" s="97">
        <v>45061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207.42</v>
      </c>
      <c r="F16" s="8">
        <v>21.34</v>
      </c>
      <c r="G16" s="10"/>
      <c r="H16" s="30"/>
      <c r="I16" s="35">
        <f ca="1">IF($A$3&gt;I15,INDIRECT(TEXT(I15,"yyyy.m.d")&amp;"!$E$7"),$E$7)</f>
        <v>21596.31</v>
      </c>
      <c r="J16" s="35">
        <f ca="1">IF($A$3&gt;J15,INDIRECT(TEXT(J15,"yyyy.m.d")&amp;"!$E$7"),$E$7)</f>
        <v>21596.31</v>
      </c>
      <c r="K16" s="35">
        <f ca="1">IF($A$3&gt;K15,INDIRECT(TEXT(K15,"yyyy.m.d")&amp;"!$E$7"),$E$7)</f>
        <v>21596.31</v>
      </c>
      <c r="L16" s="35">
        <f ca="1">IF($A$3&gt;L15,INDIRECT(TEXT(L15,"yyyy.m.d")&amp;"!$E$7"),$E$7)</f>
        <v>21596.31</v>
      </c>
      <c r="M16" s="35">
        <f ca="1">IF($A$3&gt;M15,INDIRECT(TEXT(M15,"yyyy.m.d")&amp;"!$E$7"),$E$7)</f>
        <v>21596.31</v>
      </c>
      <c r="N16" s="35">
        <f ca="1">IF($A$3&gt;N15,INDIRECT(TEXT(N15,"yyyy.m.d")&amp;"!$E$7"),$E$7)</f>
        <v>21596.31</v>
      </c>
      <c r="O16" s="35">
        <f ca="1">IF($A$3&gt;O15,INDIRECT(TEXT(O15,"yyyy.m.d")&amp;"!$E$7"),$E$7)</f>
        <v>21596.31</v>
      </c>
      <c r="P16" s="35">
        <f ca="1">IF($A$3&gt;P15,INDIRECT(TEXT(P15,"yyyy.m.d")&amp;"!$E$7"),$E$7)</f>
        <v>21596.31</v>
      </c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>
        <f ca="1">IFERROR(I16-P13,"")</f>
        <v>0</v>
      </c>
      <c r="J17" s="48">
        <f ca="1" t="shared" ref="J17:P17" si="1">IFERROR(J16-I16,"")</f>
        <v>0</v>
      </c>
      <c r="K17" s="48">
        <f ca="1" t="shared" si="1"/>
        <v>0</v>
      </c>
      <c r="L17" s="48">
        <f ca="1" t="shared" si="1"/>
        <v>0</v>
      </c>
      <c r="M17" s="48">
        <f ca="1" t="shared" si="1"/>
        <v>0</v>
      </c>
      <c r="N17" s="48">
        <f ca="1" t="shared" si="1"/>
        <v>0</v>
      </c>
      <c r="O17" s="48">
        <f ca="1" t="shared" si="1"/>
        <v>0</v>
      </c>
      <c r="P17" s="48">
        <f ca="1" t="shared" si="1"/>
        <v>0</v>
      </c>
    </row>
    <row r="18" ht="15" customHeight="1" spans="1:17">
      <c r="A18" s="16"/>
      <c r="B18" s="8" t="s">
        <v>134</v>
      </c>
      <c r="C18" s="8">
        <f>ROUND(D11+D12+D15+D16+D17+D13+D14,2)</f>
        <v>1.62</v>
      </c>
      <c r="D18" s="8"/>
      <c r="E18" s="8">
        <f>ROUND(F11+F12+F15+F16+F17+F13+F14,2)</f>
        <v>126.71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128.33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173</v>
      </c>
      <c r="N20" s="94">
        <f>D38-81</f>
        <v>121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398</v>
      </c>
      <c r="N21" s="94">
        <f>F38-44</f>
        <v>127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65</v>
      </c>
      <c r="N23" s="94">
        <f>D39-65</f>
        <v>100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343</v>
      </c>
      <c r="N24" s="94">
        <f>F39-7</f>
        <v>153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12275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3228.12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9513.88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544</v>
      </c>
      <c r="D30" s="49" t="s">
        <v>75</v>
      </c>
      <c r="E30" s="38">
        <f>C39+D39</f>
        <v>360</v>
      </c>
      <c r="F30" s="39"/>
      <c r="G30" s="38"/>
    </row>
    <row r="31" spans="1:7">
      <c r="A31" s="37"/>
      <c r="B31" s="49" t="s">
        <v>76</v>
      </c>
      <c r="C31" s="38">
        <f>E38+F38</f>
        <v>870</v>
      </c>
      <c r="D31" s="49" t="s">
        <v>77</v>
      </c>
      <c r="E31" s="38">
        <f>E39+F39</f>
        <v>761</v>
      </c>
      <c r="F31" s="39"/>
      <c r="G31" s="38"/>
    </row>
    <row r="32" spans="1:7">
      <c r="A32" s="37"/>
      <c r="B32" s="49" t="s">
        <v>78</v>
      </c>
      <c r="C32" s="38">
        <f>C33-C30-C31</f>
        <v>4366</v>
      </c>
      <c r="D32" s="49" t="s">
        <v>79</v>
      </c>
      <c r="E32" s="38">
        <f>E33-E30-E31</f>
        <v>4659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44649</v>
      </c>
      <c r="B36" s="54">
        <v>209.43</v>
      </c>
      <c r="C36" s="55" t="s">
        <v>405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44650</v>
      </c>
      <c r="B37" s="54">
        <v>272.16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44651</v>
      </c>
      <c r="B38" s="54">
        <v>236.95</v>
      </c>
      <c r="C38" s="58">
        <v>342</v>
      </c>
      <c r="D38" s="58">
        <v>202</v>
      </c>
      <c r="E38" s="58">
        <v>699</v>
      </c>
      <c r="F38" s="58">
        <v>171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44652</v>
      </c>
      <c r="B39" s="54">
        <v>255.84</v>
      </c>
      <c r="C39" s="60">
        <v>195</v>
      </c>
      <c r="D39" s="60">
        <v>165</v>
      </c>
      <c r="E39" s="60">
        <v>601</v>
      </c>
      <c r="F39" s="60">
        <v>160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44653</v>
      </c>
      <c r="B40" s="62">
        <v>195.44</v>
      </c>
      <c r="C40" s="63" t="s">
        <v>182</v>
      </c>
      <c r="D40" s="64">
        <f>C38+D38+E38+F38</f>
        <v>1414</v>
      </c>
      <c r="E40" s="65" t="s">
        <v>69</v>
      </c>
      <c r="F40" s="66">
        <f>C39+D39+E39+F39</f>
        <v>1121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44654</v>
      </c>
      <c r="B41" s="54">
        <v>224.04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截止2022年04月07日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44655</v>
      </c>
      <c r="B42" s="54">
        <v>232.13</v>
      </c>
      <c r="C42" s="72" t="s">
        <v>288</v>
      </c>
      <c r="D42" s="72" t="s">
        <v>412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44656</v>
      </c>
      <c r="B43" s="54">
        <v>125.95</v>
      </c>
      <c r="C43" s="74" t="s">
        <v>230</v>
      </c>
      <c r="D43" s="74">
        <v>6130.99</v>
      </c>
      <c r="E43" s="74">
        <v>0</v>
      </c>
      <c r="F43" s="74">
        <f t="shared" ref="F43:F45" si="2">D43+E43</f>
        <v>6130.99</v>
      </c>
      <c r="G43" s="73"/>
      <c r="H43" s="40" t="s">
        <v>61</v>
      </c>
      <c r="I43" s="111">
        <f>ROUND(D40/J43,4)</f>
        <v>0.2391</v>
      </c>
      <c r="J43" s="35">
        <v>5913</v>
      </c>
      <c r="K43" s="36" t="s">
        <v>318</v>
      </c>
      <c r="L43" s="56">
        <f>L44+155</f>
        <v>449</v>
      </c>
      <c r="M43" s="56">
        <f>M44+171</f>
        <v>336</v>
      </c>
      <c r="N43" s="56">
        <f>N44+1460</f>
        <v>13735</v>
      </c>
      <c r="O43" s="56">
        <f>O44+441.6</f>
        <v>3669.72</v>
      </c>
      <c r="P43" s="56">
        <f>P44+0</f>
        <v>6130.99</v>
      </c>
      <c r="U43" s="4"/>
    </row>
    <row r="44" ht="15.6" spans="1:21">
      <c r="A44" s="53">
        <v>44657</v>
      </c>
      <c r="B44" s="54">
        <v>127.45</v>
      </c>
      <c r="C44" s="74" t="s">
        <v>229</v>
      </c>
      <c r="D44" s="74">
        <v>3127.9</v>
      </c>
      <c r="E44" s="74">
        <v>2132.26</v>
      </c>
      <c r="F44" s="74">
        <f t="shared" si="2"/>
        <v>5260.16</v>
      </c>
      <c r="G44" s="73"/>
      <c r="H44" s="40" t="s">
        <v>62</v>
      </c>
      <c r="I44" s="111">
        <f>ROUND(F40/J44,4)</f>
        <v>0.1896</v>
      </c>
      <c r="J44" s="35">
        <v>5913</v>
      </c>
      <c r="K44" s="36" t="s">
        <v>319</v>
      </c>
      <c r="L44" s="56">
        <f>SUM(M20:N20)</f>
        <v>294</v>
      </c>
      <c r="M44" s="56">
        <f>SUM(M23:N23)</f>
        <v>165</v>
      </c>
      <c r="N44" s="56">
        <f>M25</f>
        <v>12275</v>
      </c>
      <c r="O44" s="56">
        <f>M26</f>
        <v>3228.12</v>
      </c>
      <c r="P44" s="56">
        <f>M27</f>
        <v>6130.99</v>
      </c>
      <c r="U44" s="4"/>
    </row>
    <row r="45" ht="15.6" spans="1:21">
      <c r="A45" s="53">
        <v>44658</v>
      </c>
      <c r="B45" s="54">
        <v>128.33</v>
      </c>
      <c r="C45" s="74" t="s">
        <v>228</v>
      </c>
      <c r="D45" s="74">
        <v>6760</v>
      </c>
      <c r="E45" s="74">
        <v>11620</v>
      </c>
      <c r="F45" s="74">
        <f t="shared" si="2"/>
        <v>18380</v>
      </c>
      <c r="G45" s="75"/>
      <c r="H45" s="40" t="s">
        <v>228</v>
      </c>
      <c r="I45" s="111">
        <f>ROUND(F45/J45,4)</f>
        <v>0.136</v>
      </c>
      <c r="J45" s="35">
        <v>135185</v>
      </c>
      <c r="K45" s="36" t="s">
        <v>320</v>
      </c>
      <c r="L45" s="56">
        <f>D40</f>
        <v>1414</v>
      </c>
      <c r="M45" s="56">
        <f>F40</f>
        <v>1121</v>
      </c>
      <c r="N45" s="56">
        <f>F45</f>
        <v>18380</v>
      </c>
      <c r="O45" s="56">
        <f>F44</f>
        <v>5260.16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0.0784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 ca="1">D40-INDIRECT(YEAR(TODAY()+ROUND(DAY(DATE(YEAR(TODAY()),MONTH(TODAY())+1,0))/2,0))&amp;"."&amp;MONTH(TODAY()+ROUND(DAY(DATE(YEAR(TODAY()),MONTH(TODAY())+1,0))/2,0))-1&amp;".15"&amp;"!d40")</f>
        <v>389</v>
      </c>
      <c r="M47" s="56">
        <f ca="1">F40-INDIRECT(YEAR(TODAY()+ROUND(DAY(DATE(YEAR(TODAY()),MONTH(TODAY())+1,0))/2,0))&amp;"."&amp;MONTH(TODAY()+ROUND(DAY(DATE(YEAR(TODAY()),MONTH(TODAY())+1,0))/2,0))-1&amp;".15"&amp;"!f40")</f>
        <v>301</v>
      </c>
      <c r="N47" s="56">
        <f ca="1">F45-INDIRECT(YEAR(TODAY()+ROUND(DAY(DATE(YEAR(TODAY()),MONTH(TODAY())+1,0))/2,0))&amp;"."&amp;MONTH(TODAY()+ROUND(DAY(DATE(YEAR(TODAY()),MONTH(TODAY())+1,0))/2,0))-1&amp;".15"&amp;"!f45")</f>
        <v>5120</v>
      </c>
      <c r="O47" s="56">
        <f ca="1">F44-INDIRECT(YEAR(TODAY()+ROUND(DAY(DATE(YEAR(TODAY()),MONTH(TODAY())+1,0))/2,0))&amp;"."&amp;MONTH(TODAY()+ROUND(DAY(DATE(YEAR(TODAY()),MONTH(TODAY())+1,0))/2,0))-1&amp;".15"&amp;"!f44")</f>
        <v>761.41</v>
      </c>
      <c r="P47" s="56">
        <f ca="1">F43-INDIRECT(YEAR(TODAY()+ROUND(DAY(DATE(YEAR(TODAY()),MONTH(TODAY())+1,0))/2,0))&amp;"."&amp;MONTH(TODAY()+ROUND(DAY(DATE(YEAR(TODAY()),MONTH(TODAY())+1,0))/2,0))-1&amp;".15"&amp;"!f43")</f>
        <v>0</v>
      </c>
    </row>
    <row r="48" spans="1:16">
      <c r="A48" s="79">
        <f>SUM(C11,E11,C12,E12)</f>
        <v>8</v>
      </c>
      <c r="B48" s="79">
        <f>SUM(C13,C14,E13,E14)</f>
        <v>23</v>
      </c>
      <c r="C48" s="79">
        <f>C15+E15</f>
        <v>460</v>
      </c>
      <c r="D48" s="79">
        <f>C16+E16</f>
        <v>207.42</v>
      </c>
      <c r="E48" s="79">
        <f>C17+E17</f>
        <v>0</v>
      </c>
      <c r="F48" s="80">
        <f>E3</f>
        <v>128.33</v>
      </c>
      <c r="G48" s="76"/>
      <c r="H48" s="40" t="s">
        <v>231</v>
      </c>
      <c r="I48" s="111">
        <f>ROUND(E7/J48,4)</f>
        <v>0.2392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 ca="1">L47</f>
        <v>389</v>
      </c>
      <c r="B49" s="79">
        <f ca="1">M47</f>
        <v>301</v>
      </c>
      <c r="C49" s="79">
        <f ca="1">N47</f>
        <v>5120</v>
      </c>
      <c r="D49" s="79">
        <f ca="1">O47</f>
        <v>761.41</v>
      </c>
      <c r="E49" s="79">
        <f ca="1">P47</f>
        <v>0</v>
      </c>
      <c r="F49" s="80">
        <f ca="1">E7-INDIRECT(TEXT(P53,"yyyy.m.d")&amp;"!E7")</f>
        <v>4426.04</v>
      </c>
      <c r="G49" s="76"/>
      <c r="H49" s="81" t="s">
        <v>406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449</v>
      </c>
      <c r="B50" s="79">
        <f>M43</f>
        <v>336</v>
      </c>
      <c r="C50" s="79">
        <f>N43</f>
        <v>13735</v>
      </c>
      <c r="D50" s="79">
        <f>O43</f>
        <v>3669.72</v>
      </c>
      <c r="E50" s="79">
        <f>P43</f>
        <v>6130.99</v>
      </c>
      <c r="F50" s="80">
        <f>K7</f>
        <v>11430.93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07日自年初1月1日起完成产值9503.55万元，自开工累计完成产值21596.31万元，自开工占总产值90284.4万元的23.92%，100章临建完成6250.78万元，400章桥梁完成15345.53万元。已完成梁片预制1414片，占设计量的23.91%；梁片安装1121片，占设计量的18.96%；湿接缝18380米，占设计量的13.6%；防撞护栏5260.16米，占设计量的7.84%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6">
      <c r="A52" s="85" t="s">
        <v>386</v>
      </c>
      <c r="B52" s="85"/>
      <c r="C52" s="85"/>
      <c r="D52" s="85"/>
      <c r="E52" s="85"/>
      <c r="F52" s="85"/>
      <c r="H52" s="86" t="s">
        <v>352</v>
      </c>
      <c r="I52" s="86"/>
      <c r="J52" s="86"/>
      <c r="K52" s="86"/>
      <c r="L52" s="86"/>
      <c r="M52" s="86"/>
      <c r="N52" s="86"/>
      <c r="O52" s="86" t="s">
        <v>407</v>
      </c>
      <c r="P52" s="86"/>
    </row>
    <row r="53" spans="8:16">
      <c r="H53" s="87" t="s">
        <v>353</v>
      </c>
      <c r="I53" s="113"/>
      <c r="J53" s="113"/>
      <c r="K53" s="114"/>
      <c r="L53" s="115" t="s">
        <v>354</v>
      </c>
      <c r="M53" s="115" t="s">
        <v>354</v>
      </c>
      <c r="N53" s="115" t="s">
        <v>354</v>
      </c>
      <c r="O53" s="116" t="s">
        <v>408</v>
      </c>
      <c r="P53" s="117" t="str">
        <f>YEAR(P57+ROUND(DAY(DATE(YEAR(P57),MONTH(P57)+1,0))/2,0))&amp;"/"&amp;MONTH(P57+ROUND(DAY(DATE(YEAR(P57),MONTH(P57)+1,0))/2,0))-1&amp;"/15"</f>
        <v>2022/3/15</v>
      </c>
    </row>
    <row r="54" spans="8:16">
      <c r="H54" s="88" t="s">
        <v>355</v>
      </c>
      <c r="I54" s="88" t="s">
        <v>356</v>
      </c>
      <c r="J54" s="88" t="s">
        <v>357</v>
      </c>
      <c r="K54" s="88"/>
      <c r="L54" s="88" t="s">
        <v>358</v>
      </c>
      <c r="M54" s="88" t="s">
        <v>359</v>
      </c>
      <c r="N54" s="88" t="s">
        <v>360</v>
      </c>
      <c r="O54" s="116"/>
      <c r="P54" s="117"/>
    </row>
    <row r="55" spans="8:16">
      <c r="H55" s="89">
        <v>1</v>
      </c>
      <c r="I55" s="89">
        <v>100</v>
      </c>
      <c r="J55" s="118" t="s">
        <v>361</v>
      </c>
      <c r="K55" s="118"/>
      <c r="L55" s="119">
        <v>72272958</v>
      </c>
      <c r="M55" s="119">
        <f t="shared" ref="M55:M60" si="3">L55/10000</f>
        <v>7227.2958</v>
      </c>
      <c r="N55" s="119">
        <f t="shared" ref="N55:N60" si="4">ROUND(M55/10000,2)</f>
        <v>0.72</v>
      </c>
      <c r="O55" s="120" t="s">
        <v>415</v>
      </c>
      <c r="P55" s="121">
        <f>P53+1</f>
        <v>44636</v>
      </c>
    </row>
    <row r="56" spans="8:16">
      <c r="H56" s="89">
        <v>2</v>
      </c>
      <c r="I56" s="89">
        <v>400</v>
      </c>
      <c r="J56" s="118" t="s">
        <v>362</v>
      </c>
      <c r="K56" s="118"/>
      <c r="L56" s="119">
        <v>808224659</v>
      </c>
      <c r="M56" s="119">
        <f t="shared" si="3"/>
        <v>80822.4659</v>
      </c>
      <c r="N56" s="119">
        <f t="shared" si="4"/>
        <v>8.08</v>
      </c>
      <c r="O56" s="122"/>
      <c r="P56" s="123"/>
    </row>
    <row r="57" spans="8:16">
      <c r="H57" s="89">
        <v>3</v>
      </c>
      <c r="I57" s="89">
        <v>400</v>
      </c>
      <c r="J57" s="118" t="s">
        <v>363</v>
      </c>
      <c r="K57" s="118"/>
      <c r="L57" s="119">
        <v>8817290</v>
      </c>
      <c r="M57" s="119">
        <f t="shared" si="3"/>
        <v>881.729</v>
      </c>
      <c r="N57" s="119">
        <f t="shared" si="4"/>
        <v>0.09</v>
      </c>
      <c r="O57" s="120" t="s">
        <v>409</v>
      </c>
      <c r="P57" s="121">
        <f>A3</f>
        <v>44658</v>
      </c>
    </row>
    <row r="58" spans="8:16">
      <c r="H58" s="89">
        <v>4</v>
      </c>
      <c r="I58" s="118" t="s">
        <v>364</v>
      </c>
      <c r="J58" s="118"/>
      <c r="K58" s="118"/>
      <c r="L58" s="119">
        <v>889314907</v>
      </c>
      <c r="M58" s="119">
        <f t="shared" si="3"/>
        <v>88931.4907</v>
      </c>
      <c r="N58" s="119">
        <f t="shared" si="4"/>
        <v>8.89</v>
      </c>
      <c r="O58" s="122"/>
      <c r="P58" s="123"/>
    </row>
    <row r="59" spans="8:16">
      <c r="H59" s="89">
        <v>5</v>
      </c>
      <c r="I59" s="118" t="s">
        <v>365</v>
      </c>
      <c r="J59" s="118"/>
      <c r="K59" s="118"/>
      <c r="L59" s="119">
        <v>1380000</v>
      </c>
      <c r="M59" s="119">
        <f t="shared" si="3"/>
        <v>138</v>
      </c>
      <c r="N59" s="119">
        <f t="shared" si="4"/>
        <v>0.01</v>
      </c>
      <c r="O59" s="120" t="s">
        <v>410</v>
      </c>
      <c r="P59" s="121">
        <f>DATE(YEAR(P53),MONTH(P53)+1,15)</f>
        <v>44666</v>
      </c>
    </row>
    <row r="60" spans="8:16">
      <c r="H60" s="89">
        <v>6</v>
      </c>
      <c r="I60" s="118" t="s">
        <v>366</v>
      </c>
      <c r="J60" s="118"/>
      <c r="K60" s="118"/>
      <c r="L60" s="119">
        <v>887934907</v>
      </c>
      <c r="M60" s="119">
        <f t="shared" si="3"/>
        <v>88793.4907</v>
      </c>
      <c r="N60" s="119">
        <f t="shared" si="4"/>
        <v>8.88</v>
      </c>
      <c r="O60" s="122"/>
      <c r="P60" s="123"/>
    </row>
    <row r="61" spans="8:16">
      <c r="H61" s="89">
        <v>7</v>
      </c>
      <c r="I61" s="118" t="s">
        <v>367</v>
      </c>
      <c r="J61" s="118"/>
      <c r="K61" s="118"/>
      <c r="L61" s="119"/>
      <c r="M61" s="119"/>
      <c r="N61" s="119"/>
      <c r="O61" s="124"/>
      <c r="P61" s="117"/>
    </row>
    <row r="62" spans="8:16">
      <c r="H62" s="89">
        <v>8</v>
      </c>
      <c r="I62" s="118" t="s">
        <v>368</v>
      </c>
      <c r="J62" s="118"/>
      <c r="K62" s="118"/>
      <c r="L62" s="119">
        <v>13529094</v>
      </c>
      <c r="M62" s="119">
        <f>L62/10000</f>
        <v>1352.9094</v>
      </c>
      <c r="N62" s="119">
        <f>ROUND(M62/10000,2)</f>
        <v>0.14</v>
      </c>
      <c r="O62" s="124"/>
      <c r="P62" s="117"/>
    </row>
    <row r="63" spans="8:16">
      <c r="H63" s="89">
        <v>9</v>
      </c>
      <c r="I63" s="118" t="s">
        <v>369</v>
      </c>
      <c r="J63" s="118"/>
      <c r="K63" s="118"/>
      <c r="L63" s="119">
        <v>902844001</v>
      </c>
      <c r="M63" s="119">
        <f>L63/10000</f>
        <v>90284.4001</v>
      </c>
      <c r="N63" s="119">
        <f>ROUND(M63/10000,2)</f>
        <v>9.03</v>
      </c>
      <c r="O63" s="124"/>
      <c r="P63" s="117"/>
    </row>
  </sheetData>
  <mergeCells count="76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H52:N52"/>
    <mergeCell ref="O52:P52"/>
    <mergeCell ref="A53:F53"/>
    <mergeCell ref="H53:K53"/>
    <mergeCell ref="J54:K54"/>
    <mergeCell ref="J55:K55"/>
    <mergeCell ref="J56:K56"/>
    <mergeCell ref="J57:K57"/>
    <mergeCell ref="I58:K58"/>
    <mergeCell ref="I59:K59"/>
    <mergeCell ref="I60:K60"/>
    <mergeCell ref="I61:K61"/>
    <mergeCell ref="I62:K62"/>
    <mergeCell ref="I63:K63"/>
    <mergeCell ref="A3:A7"/>
    <mergeCell ref="A9:A10"/>
    <mergeCell ref="A11:A19"/>
    <mergeCell ref="B9:B10"/>
    <mergeCell ref="E3:E5"/>
    <mergeCell ref="F3:F7"/>
    <mergeCell ref="H6:H7"/>
    <mergeCell ref="H9:H17"/>
    <mergeCell ref="O53:O54"/>
    <mergeCell ref="O55:O56"/>
    <mergeCell ref="O57:O58"/>
    <mergeCell ref="O59:O60"/>
    <mergeCell ref="P53:P54"/>
    <mergeCell ref="P55:P56"/>
    <mergeCell ref="P57:P58"/>
    <mergeCell ref="P59:P60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44480</v>
      </c>
      <c r="B3" s="157" t="s">
        <v>7</v>
      </c>
      <c r="C3" s="157">
        <v>1</v>
      </c>
      <c r="D3" s="157">
        <f>D11+F11</f>
        <v>7.82</v>
      </c>
      <c r="E3" s="250">
        <f>C5+D5</f>
        <v>25.1</v>
      </c>
      <c r="F3" s="243" t="s">
        <v>42</v>
      </c>
    </row>
    <row r="4" ht="15" customHeight="1" spans="1:6">
      <c r="A4" s="157"/>
      <c r="B4" s="157" t="s">
        <v>9</v>
      </c>
      <c r="C4" s="157">
        <v>1</v>
      </c>
      <c r="D4" s="157">
        <f>D12+F12</f>
        <v>15.28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2</v>
      </c>
      <c r="D5" s="157">
        <f>SUM(D3:D4)</f>
        <v>23.1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5461.78</v>
      </c>
      <c r="D6" s="258">
        <v>415.3</v>
      </c>
      <c r="E6" s="239">
        <f>C6+D6</f>
        <v>5877.08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5461.78</v>
      </c>
      <c r="D7" s="258">
        <v>415.3</v>
      </c>
      <c r="E7" s="239">
        <f>C7+D7</f>
        <v>5877.08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44480</v>
      </c>
      <c r="B11" s="157" t="s">
        <v>7</v>
      </c>
      <c r="C11" s="247">
        <v>1</v>
      </c>
      <c r="D11" s="248">
        <v>7.82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2</v>
      </c>
      <c r="D12" s="248">
        <v>15.28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3</v>
      </c>
      <c r="D13" s="248">
        <f>ROUND(D11+D12,2)</f>
        <v>23.1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23.1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44471</v>
      </c>
      <c r="B31" s="235">
        <v>17.46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44472</v>
      </c>
      <c r="B32" s="235">
        <v>31.74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44473</v>
      </c>
      <c r="B33" s="235">
        <v>2</v>
      </c>
      <c r="C33" s="35">
        <v>26</v>
      </c>
      <c r="D33" s="35">
        <v>6</v>
      </c>
      <c r="E33" s="35">
        <v>16</v>
      </c>
      <c r="F33" s="35">
        <v>0</v>
      </c>
    </row>
    <row r="34" ht="15.6" spans="1:6">
      <c r="A34" s="53">
        <v>44474</v>
      </c>
      <c r="B34" s="235">
        <v>33.56</v>
      </c>
      <c r="C34" s="35"/>
      <c r="D34" s="35"/>
      <c r="E34" s="35">
        <v>0</v>
      </c>
      <c r="F34" s="35">
        <v>38482</v>
      </c>
    </row>
    <row r="35" ht="15.6" spans="1:6">
      <c r="A35" s="53">
        <v>44475</v>
      </c>
      <c r="B35" s="235">
        <v>23.1</v>
      </c>
      <c r="C35" s="35"/>
      <c r="D35" s="35"/>
      <c r="E35" s="35"/>
      <c r="F35" s="35"/>
    </row>
    <row r="36" ht="15.6" spans="1:6">
      <c r="A36" s="53">
        <v>44476</v>
      </c>
      <c r="B36" s="235">
        <v>7.64</v>
      </c>
      <c r="C36" s="35"/>
      <c r="D36" s="35"/>
      <c r="E36" s="35"/>
      <c r="F36" s="35"/>
    </row>
    <row r="37" ht="15.6" spans="1:6">
      <c r="A37" s="53">
        <v>44477</v>
      </c>
      <c r="B37" s="235">
        <v>1.65</v>
      </c>
      <c r="C37" s="35"/>
      <c r="D37" s="35"/>
      <c r="E37" s="35"/>
      <c r="F37" s="35"/>
    </row>
    <row r="38" ht="15.6" spans="1:6">
      <c r="A38" s="53">
        <v>44478</v>
      </c>
      <c r="B38" s="235">
        <v>15.46</v>
      </c>
      <c r="C38" s="35"/>
      <c r="D38" s="35"/>
      <c r="E38" s="35"/>
      <c r="F38" s="35"/>
    </row>
    <row r="39" ht="15.6" spans="1:6">
      <c r="A39" s="53">
        <v>44479</v>
      </c>
      <c r="B39" s="235">
        <v>9.82</v>
      </c>
      <c r="C39" s="35"/>
      <c r="D39" s="35"/>
      <c r="E39" s="35"/>
      <c r="F39" s="35"/>
    </row>
    <row r="40" ht="15.6" spans="1:6">
      <c r="A40" s="53">
        <v>44480</v>
      </c>
      <c r="B40" s="235">
        <v>25.1</v>
      </c>
      <c r="C40" s="104">
        <f>C33+D33+E33+F33</f>
        <v>48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7" workbookViewId="0">
      <selection activeCell="R56" sqref="R5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44659</v>
      </c>
      <c r="B3" s="12" t="s">
        <v>7</v>
      </c>
      <c r="C3" s="12">
        <v>0</v>
      </c>
      <c r="D3" s="12">
        <f>ROUND(D11+D12+D15+D16+D17+D13+D14,2)</f>
        <v>2.43</v>
      </c>
      <c r="E3" s="13">
        <f>ROUND(C5+D5,2)</f>
        <v>134.24</v>
      </c>
      <c r="F3" s="14" t="s">
        <v>416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131.81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134.24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9387.79</v>
      </c>
      <c r="E6" s="8">
        <f>ROUND(C6+D6,2)</f>
        <v>9637.79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15479.77</v>
      </c>
      <c r="E7" s="8">
        <f>ROUND(C7+D7,2)</f>
        <v>21730.55</v>
      </c>
      <c r="F7" s="17"/>
      <c r="G7" s="18"/>
      <c r="H7" s="22"/>
      <c r="I7" s="48">
        <f>210+C6</f>
        <v>460</v>
      </c>
      <c r="J7" s="48">
        <f>D6+1717.38</f>
        <v>11105.17</v>
      </c>
      <c r="K7" s="48">
        <f>J7+I7</f>
        <v>11565.17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405</v>
      </c>
      <c r="D9" s="28"/>
      <c r="E9" s="28" t="s">
        <v>133</v>
      </c>
      <c r="F9" s="28"/>
      <c r="G9" s="29"/>
      <c r="H9" s="30" t="s">
        <v>200</v>
      </c>
      <c r="I9" s="93">
        <v>44362</v>
      </c>
      <c r="J9" s="93">
        <v>44392</v>
      </c>
      <c r="K9" s="93">
        <v>44423</v>
      </c>
      <c r="L9" s="93">
        <v>44454</v>
      </c>
      <c r="M9" s="93">
        <v>44484</v>
      </c>
      <c r="N9" s="93">
        <v>44515</v>
      </c>
      <c r="O9" s="93">
        <v>44545</v>
      </c>
      <c r="P9" s="93">
        <v>44576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44659</v>
      </c>
      <c r="B11" s="32" t="s">
        <v>172</v>
      </c>
      <c r="C11" s="33">
        <v>0</v>
      </c>
      <c r="D11" s="8">
        <v>0</v>
      </c>
      <c r="E11" s="33">
        <v>11</v>
      </c>
      <c r="F11" s="8">
        <v>84.56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0</v>
      </c>
      <c r="D12" s="8">
        <v>0</v>
      </c>
      <c r="E12" s="33">
        <v>3</v>
      </c>
      <c r="F12" s="8">
        <v>45.7</v>
      </c>
      <c r="G12" s="10"/>
      <c r="H12" s="30"/>
      <c r="I12" s="93">
        <v>44607</v>
      </c>
      <c r="J12" s="93">
        <v>44635</v>
      </c>
      <c r="K12" s="93">
        <v>44666</v>
      </c>
      <c r="L12" s="93">
        <v>44696</v>
      </c>
      <c r="M12" s="93">
        <v>44727</v>
      </c>
      <c r="N12" s="93">
        <v>44757</v>
      </c>
      <c r="O12" s="93">
        <v>44788</v>
      </c>
      <c r="P12" s="93">
        <v>44819</v>
      </c>
    </row>
    <row r="13" ht="15" customHeight="1" spans="1:16">
      <c r="A13" s="16"/>
      <c r="B13" s="34" t="s">
        <v>169</v>
      </c>
      <c r="C13" s="33">
        <v>15</v>
      </c>
      <c r="D13" s="8">
        <v>2.43</v>
      </c>
      <c r="E13" s="33">
        <v>8</v>
      </c>
      <c r="F13" s="8">
        <v>1.296</v>
      </c>
      <c r="G13" s="10"/>
      <c r="H13" s="30"/>
      <c r="I13" s="35">
        <v>14233.94</v>
      </c>
      <c r="J13" s="35">
        <f ca="1">IF($A$3&gt;J12,INDIRECT(TEXT(J12,"yyyy.m.d")&amp;"!$E$7"),$E$7)</f>
        <v>17170.27</v>
      </c>
      <c r="K13" s="35">
        <f ca="1">IF($A$3&gt;K12,INDIRECT(TEXT(K12,"yyyy.m.d")&amp;"!$E$7"),$E$7)</f>
        <v>21730.55</v>
      </c>
      <c r="L13" s="35">
        <f ca="1">IF($A$3&gt;L12,INDIRECT(TEXT(L12,"yyyy.m.d")&amp;"!$E$7"),$E$7)</f>
        <v>21730.55</v>
      </c>
      <c r="M13" s="35">
        <f ca="1">IF($A$3&gt;M12,INDIRECT(TEXT(M12,"yyyy.m.d")&amp;"!$E$7"),$E$7)</f>
        <v>21730.55</v>
      </c>
      <c r="N13" s="35">
        <f ca="1">IF($A$3&gt;N12,INDIRECT(TEXT(N12,"yyyy.m.d")&amp;"!$E$7"),$E$7)</f>
        <v>21730.55</v>
      </c>
      <c r="O13" s="35">
        <f ca="1">IF($A$3&gt;O12,INDIRECT(TEXT(O12,"yyyy.m.d")&amp;"!$E$7"),$E$7)</f>
        <v>21730.55</v>
      </c>
      <c r="P13" s="35">
        <f ca="1">IF($A$3&gt;P12,INDIRECT(TEXT(P12,"yyyy.m.d")&amp;"!$E$7"),$E$7)</f>
        <v>21730.55</v>
      </c>
    </row>
    <row r="14" ht="15" customHeight="1" spans="1:16">
      <c r="A14" s="16"/>
      <c r="B14" s="34" t="s">
        <v>170</v>
      </c>
      <c r="C14" s="33">
        <v>0</v>
      </c>
      <c r="D14" s="8">
        <v>0</v>
      </c>
      <c r="E14" s="33">
        <v>1</v>
      </c>
      <c r="F14" s="8">
        <v>0.252</v>
      </c>
      <c r="G14" s="10"/>
      <c r="H14" s="30"/>
      <c r="I14" s="48">
        <v>699.51</v>
      </c>
      <c r="J14" s="48">
        <v>2936.33</v>
      </c>
      <c r="K14" s="48">
        <f ca="1" t="shared" ref="K14:P14" si="0">IFERROR(K13-J13,"")</f>
        <v>4560.28</v>
      </c>
      <c r="L14" s="48">
        <f ca="1" t="shared" si="0"/>
        <v>0</v>
      </c>
      <c r="M14" s="48">
        <f ca="1" t="shared" si="0"/>
        <v>0</v>
      </c>
      <c r="N14" s="48">
        <f ca="1" t="shared" si="0"/>
        <v>0</v>
      </c>
      <c r="O14" s="48">
        <f ca="1" t="shared" si="0"/>
        <v>0</v>
      </c>
      <c r="P14" s="48">
        <f ca="1" t="shared" si="0"/>
        <v>0</v>
      </c>
    </row>
    <row r="15" ht="15" customHeight="1" spans="1:16">
      <c r="A15" s="16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30"/>
      <c r="I15" s="97">
        <v>44849</v>
      </c>
      <c r="J15" s="97">
        <v>44880</v>
      </c>
      <c r="K15" s="97">
        <v>44910</v>
      </c>
      <c r="L15" s="97">
        <v>44941</v>
      </c>
      <c r="M15" s="97">
        <v>44972</v>
      </c>
      <c r="N15" s="97">
        <v>45000</v>
      </c>
      <c r="O15" s="97">
        <v>45031</v>
      </c>
      <c r="P15" s="97">
        <v>45061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30"/>
      <c r="I16" s="35">
        <f ca="1">IF($A$3&gt;I15,INDIRECT(TEXT(I15,"yyyy.m.d")&amp;"!$E$7"),$E$7)</f>
        <v>21730.55</v>
      </c>
      <c r="J16" s="35">
        <f ca="1">IF($A$3&gt;J15,INDIRECT(TEXT(J15,"yyyy.m.d")&amp;"!$E$7"),$E$7)</f>
        <v>21730.55</v>
      </c>
      <c r="K16" s="35">
        <f ca="1">IF($A$3&gt;K15,INDIRECT(TEXT(K15,"yyyy.m.d")&amp;"!$E$7"),$E$7)</f>
        <v>21730.55</v>
      </c>
      <c r="L16" s="35">
        <f ca="1">IF($A$3&gt;L15,INDIRECT(TEXT(L15,"yyyy.m.d")&amp;"!$E$7"),$E$7)</f>
        <v>21730.55</v>
      </c>
      <c r="M16" s="35">
        <f ca="1">IF($A$3&gt;M15,INDIRECT(TEXT(M15,"yyyy.m.d")&amp;"!$E$7"),$E$7)</f>
        <v>21730.55</v>
      </c>
      <c r="N16" s="35">
        <f ca="1">IF($A$3&gt;N15,INDIRECT(TEXT(N15,"yyyy.m.d")&amp;"!$E$7"),$E$7)</f>
        <v>21730.55</v>
      </c>
      <c r="O16" s="35">
        <f ca="1">IF($A$3&gt;O15,INDIRECT(TEXT(O15,"yyyy.m.d")&amp;"!$E$7"),$E$7)</f>
        <v>21730.55</v>
      </c>
      <c r="P16" s="35">
        <f ca="1">IF($A$3&gt;P15,INDIRECT(TEXT(P15,"yyyy.m.d")&amp;"!$E$7"),$E$7)</f>
        <v>21730.55</v>
      </c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>
        <f ca="1">IFERROR(I16-P13,"")</f>
        <v>0</v>
      </c>
      <c r="J17" s="48">
        <f ca="1" t="shared" ref="J17:P17" si="1">IFERROR(J16-I16,"")</f>
        <v>0</v>
      </c>
      <c r="K17" s="48">
        <f ca="1" t="shared" si="1"/>
        <v>0</v>
      </c>
      <c r="L17" s="48">
        <f ca="1" t="shared" si="1"/>
        <v>0</v>
      </c>
      <c r="M17" s="48">
        <f ca="1" t="shared" si="1"/>
        <v>0</v>
      </c>
      <c r="N17" s="48">
        <f ca="1" t="shared" si="1"/>
        <v>0</v>
      </c>
      <c r="O17" s="48">
        <f ca="1" t="shared" si="1"/>
        <v>0</v>
      </c>
      <c r="P17" s="48">
        <f ca="1" t="shared" si="1"/>
        <v>0</v>
      </c>
    </row>
    <row r="18" ht="15" customHeight="1" spans="1:17">
      <c r="A18" s="16"/>
      <c r="B18" s="8" t="s">
        <v>134</v>
      </c>
      <c r="C18" s="8">
        <f>ROUND(D11+D12+D15+D16+D17+D13+D14,2)</f>
        <v>2.43</v>
      </c>
      <c r="D18" s="8"/>
      <c r="E18" s="8">
        <f>ROUND(F11+F12+F15+F16+F17+F13+F14,2)</f>
        <v>131.81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134.24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173</v>
      </c>
      <c r="N20" s="94">
        <f>D38-81</f>
        <v>121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409</v>
      </c>
      <c r="N21" s="94">
        <f>F38-44</f>
        <v>130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80</v>
      </c>
      <c r="N23" s="94">
        <f>D39-65</f>
        <v>100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351</v>
      </c>
      <c r="N24" s="94">
        <f>F39-7</f>
        <v>154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12275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3228.12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9648.12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544</v>
      </c>
      <c r="D30" s="49" t="s">
        <v>75</v>
      </c>
      <c r="E30" s="38">
        <f>C39+D39</f>
        <v>375</v>
      </c>
      <c r="F30" s="39"/>
      <c r="G30" s="38"/>
    </row>
    <row r="31" spans="1:7">
      <c r="A31" s="37"/>
      <c r="B31" s="49" t="s">
        <v>76</v>
      </c>
      <c r="C31" s="38">
        <f>E38+F38</f>
        <v>884</v>
      </c>
      <c r="D31" s="49" t="s">
        <v>77</v>
      </c>
      <c r="E31" s="38">
        <f>E39+F39</f>
        <v>770</v>
      </c>
      <c r="F31" s="39"/>
      <c r="G31" s="38"/>
    </row>
    <row r="32" spans="1:7">
      <c r="A32" s="37"/>
      <c r="B32" s="49" t="s">
        <v>78</v>
      </c>
      <c r="C32" s="38">
        <f>C33-C30-C31</f>
        <v>4352</v>
      </c>
      <c r="D32" s="49" t="s">
        <v>79</v>
      </c>
      <c r="E32" s="38">
        <f>E33-E30-E31</f>
        <v>4635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44650</v>
      </c>
      <c r="B36" s="54">
        <v>272.16</v>
      </c>
      <c r="C36" s="55" t="s">
        <v>405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44651</v>
      </c>
      <c r="B37" s="54">
        <v>236.95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44652</v>
      </c>
      <c r="B38" s="54">
        <v>255.84</v>
      </c>
      <c r="C38" s="58">
        <v>342</v>
      </c>
      <c r="D38" s="58">
        <v>202</v>
      </c>
      <c r="E38" s="58">
        <v>710</v>
      </c>
      <c r="F38" s="58">
        <v>174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44653</v>
      </c>
      <c r="B39" s="54">
        <v>195.44</v>
      </c>
      <c r="C39" s="60">
        <v>210</v>
      </c>
      <c r="D39" s="60">
        <v>165</v>
      </c>
      <c r="E39" s="60">
        <v>609</v>
      </c>
      <c r="F39" s="60">
        <v>161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44654</v>
      </c>
      <c r="B40" s="62">
        <v>224.04</v>
      </c>
      <c r="C40" s="63" t="s">
        <v>182</v>
      </c>
      <c r="D40" s="64">
        <f>C38+D38+E38+F38</f>
        <v>1428</v>
      </c>
      <c r="E40" s="65" t="s">
        <v>69</v>
      </c>
      <c r="F40" s="66">
        <f>C39+D39+E39+F39</f>
        <v>1145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44655</v>
      </c>
      <c r="B41" s="54">
        <v>232.13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截止2022年04月08日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44656</v>
      </c>
      <c r="B42" s="54">
        <v>125.95</v>
      </c>
      <c r="C42" s="72" t="s">
        <v>288</v>
      </c>
      <c r="D42" s="72" t="s">
        <v>412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44657</v>
      </c>
      <c r="B43" s="54">
        <v>127.45</v>
      </c>
      <c r="C43" s="74" t="s">
        <v>230</v>
      </c>
      <c r="D43" s="74">
        <v>6130.99</v>
      </c>
      <c r="E43" s="74">
        <v>0</v>
      </c>
      <c r="F43" s="74">
        <f t="shared" ref="F43:F45" si="2">D43+E43</f>
        <v>6130.99</v>
      </c>
      <c r="G43" s="73"/>
      <c r="H43" s="40" t="s">
        <v>61</v>
      </c>
      <c r="I43" s="111">
        <f>ROUND(D40/J43,4)</f>
        <v>0.2415</v>
      </c>
      <c r="J43" s="35">
        <v>5913</v>
      </c>
      <c r="K43" s="36" t="s">
        <v>318</v>
      </c>
      <c r="L43" s="56">
        <f>L44+155</f>
        <v>449</v>
      </c>
      <c r="M43" s="56">
        <f>M44+171</f>
        <v>351</v>
      </c>
      <c r="N43" s="56">
        <f>N44+1460</f>
        <v>13735</v>
      </c>
      <c r="O43" s="56">
        <f>O44+441.6</f>
        <v>3669.72</v>
      </c>
      <c r="P43" s="56">
        <f>P44+0</f>
        <v>6130.99</v>
      </c>
      <c r="U43" s="4"/>
    </row>
    <row r="44" ht="15.6" spans="1:21">
      <c r="A44" s="53">
        <v>44658</v>
      </c>
      <c r="B44" s="54">
        <v>128.33</v>
      </c>
      <c r="C44" s="74" t="s">
        <v>229</v>
      </c>
      <c r="D44" s="74">
        <v>3127.9</v>
      </c>
      <c r="E44" s="74">
        <v>2132.26</v>
      </c>
      <c r="F44" s="74">
        <f t="shared" si="2"/>
        <v>5260.16</v>
      </c>
      <c r="G44" s="73"/>
      <c r="H44" s="40" t="s">
        <v>62</v>
      </c>
      <c r="I44" s="111">
        <f>ROUND(F40/J44,4)</f>
        <v>0.1936</v>
      </c>
      <c r="J44" s="35">
        <v>5913</v>
      </c>
      <c r="K44" s="36" t="s">
        <v>319</v>
      </c>
      <c r="L44" s="56">
        <f>SUM(M20:N20)</f>
        <v>294</v>
      </c>
      <c r="M44" s="56">
        <f>SUM(M23:N23)</f>
        <v>180</v>
      </c>
      <c r="N44" s="56">
        <f>M25</f>
        <v>12275</v>
      </c>
      <c r="O44" s="56">
        <f>M26</f>
        <v>3228.12</v>
      </c>
      <c r="P44" s="56">
        <f>M27</f>
        <v>6130.99</v>
      </c>
      <c r="U44" s="4"/>
    </row>
    <row r="45" ht="15.6" spans="1:21">
      <c r="A45" s="53">
        <v>44659</v>
      </c>
      <c r="B45" s="54">
        <v>134.24</v>
      </c>
      <c r="C45" s="74" t="s">
        <v>228</v>
      </c>
      <c r="D45" s="74">
        <v>6760</v>
      </c>
      <c r="E45" s="74">
        <v>11620</v>
      </c>
      <c r="F45" s="74">
        <f t="shared" si="2"/>
        <v>18380</v>
      </c>
      <c r="G45" s="75"/>
      <c r="H45" s="40" t="s">
        <v>228</v>
      </c>
      <c r="I45" s="111">
        <f>ROUND(F45/J45,4)</f>
        <v>0.136</v>
      </c>
      <c r="J45" s="35">
        <v>135185</v>
      </c>
      <c r="K45" s="36" t="s">
        <v>320</v>
      </c>
      <c r="L45" s="56">
        <f>D40</f>
        <v>1428</v>
      </c>
      <c r="M45" s="56">
        <f>F40</f>
        <v>1145</v>
      </c>
      <c r="N45" s="56">
        <f>F45</f>
        <v>18380</v>
      </c>
      <c r="O45" s="56">
        <f>F44</f>
        <v>5260.16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0.0784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 ca="1">D40-INDIRECT(YEAR(TODAY()+ROUND(DAY(DATE(YEAR(TODAY()),MONTH(TODAY())+1,0))/2,0))&amp;"."&amp;MONTH(TODAY()+ROUND(DAY(DATE(YEAR(TODAY()),MONTH(TODAY())+1,0))/2,0))-1&amp;".15"&amp;"!d40")</f>
        <v>403</v>
      </c>
      <c r="M47" s="56">
        <f ca="1">F40-INDIRECT(YEAR(TODAY()+ROUND(DAY(DATE(YEAR(TODAY()),MONTH(TODAY())+1,0))/2,0))&amp;"."&amp;MONTH(TODAY()+ROUND(DAY(DATE(YEAR(TODAY()),MONTH(TODAY())+1,0))/2,0))-1&amp;".15"&amp;"!f40")</f>
        <v>325</v>
      </c>
      <c r="N47" s="56">
        <f ca="1">F45-INDIRECT(YEAR(TODAY()+ROUND(DAY(DATE(YEAR(TODAY()),MONTH(TODAY())+1,0))/2,0))&amp;"."&amp;MONTH(TODAY()+ROUND(DAY(DATE(YEAR(TODAY()),MONTH(TODAY())+1,0))/2,0))-1&amp;".15"&amp;"!f45")</f>
        <v>5120</v>
      </c>
      <c r="O47" s="56">
        <f ca="1">F44-INDIRECT(YEAR(TODAY()+ROUND(DAY(DATE(YEAR(TODAY()),MONTH(TODAY())+1,0))/2,0))&amp;"."&amp;MONTH(TODAY()+ROUND(DAY(DATE(YEAR(TODAY()),MONTH(TODAY())+1,0))/2,0))-1&amp;".15"&amp;"!f44")</f>
        <v>761.41</v>
      </c>
      <c r="P47" s="56">
        <f ca="1">F43-INDIRECT(YEAR(TODAY()+ROUND(DAY(DATE(YEAR(TODAY()),MONTH(TODAY())+1,0))/2,0))&amp;"."&amp;MONTH(TODAY()+ROUND(DAY(DATE(YEAR(TODAY()),MONTH(TODAY())+1,0))/2,0))-1&amp;".15"&amp;"!f43")</f>
        <v>0</v>
      </c>
    </row>
    <row r="48" spans="1:16">
      <c r="A48" s="79">
        <f>SUM(C11,E11,C12,E12)</f>
        <v>14</v>
      </c>
      <c r="B48" s="79">
        <f>SUM(C13,C14,E13,E14)</f>
        <v>24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134.24</v>
      </c>
      <c r="G48" s="76"/>
      <c r="H48" s="40" t="s">
        <v>231</v>
      </c>
      <c r="I48" s="111">
        <f>ROUND(E7/J48,4)</f>
        <v>0.2407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 ca="1">L47</f>
        <v>403</v>
      </c>
      <c r="B49" s="79">
        <f ca="1">M47</f>
        <v>325</v>
      </c>
      <c r="C49" s="79">
        <f ca="1">N47</f>
        <v>5120</v>
      </c>
      <c r="D49" s="79">
        <f ca="1">O47</f>
        <v>761.41</v>
      </c>
      <c r="E49" s="79">
        <f ca="1">P47</f>
        <v>0</v>
      </c>
      <c r="F49" s="80">
        <f ca="1">E7-INDIRECT(TEXT(P53,"yyyy.m.d")&amp;"!E7")</f>
        <v>4560.28</v>
      </c>
      <c r="G49" s="76"/>
      <c r="H49" s="81" t="s">
        <v>406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449</v>
      </c>
      <c r="B50" s="79">
        <f>M43</f>
        <v>351</v>
      </c>
      <c r="C50" s="79">
        <f>N43</f>
        <v>13735</v>
      </c>
      <c r="D50" s="79">
        <f>O43</f>
        <v>3669.72</v>
      </c>
      <c r="E50" s="79">
        <f>P43</f>
        <v>6130.99</v>
      </c>
      <c r="F50" s="80">
        <f>K7</f>
        <v>11565.17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08日自年初1月1日起完成产值9637.79万元，自开工累计完成产值21730.55万元，自开工占总产值90284.4万元的24.07%，100章临建完成6250.78万元，400章桥梁完成15479.77万元。已完成梁片预制1428片，占设计量的24.15%；梁片安装1145片，占设计量的19.36%；湿接缝18380米，占设计量的13.6%；防撞护栏5260.16米，占设计量的7.84%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6">
      <c r="A52" s="85" t="s">
        <v>386</v>
      </c>
      <c r="B52" s="85"/>
      <c r="C52" s="85"/>
      <c r="D52" s="85"/>
      <c r="E52" s="85"/>
      <c r="F52" s="85"/>
      <c r="H52" s="86" t="s">
        <v>352</v>
      </c>
      <c r="I52" s="86"/>
      <c r="J52" s="86"/>
      <c r="K52" s="86"/>
      <c r="L52" s="86"/>
      <c r="M52" s="86"/>
      <c r="N52" s="86"/>
      <c r="O52" s="86" t="s">
        <v>407</v>
      </c>
      <c r="P52" s="86"/>
    </row>
    <row r="53" spans="8:16">
      <c r="H53" s="87" t="s">
        <v>353</v>
      </c>
      <c r="I53" s="113"/>
      <c r="J53" s="113"/>
      <c r="K53" s="114"/>
      <c r="L53" s="115" t="s">
        <v>354</v>
      </c>
      <c r="M53" s="115" t="s">
        <v>354</v>
      </c>
      <c r="N53" s="115" t="s">
        <v>354</v>
      </c>
      <c r="O53" s="116" t="s">
        <v>408</v>
      </c>
      <c r="P53" s="117" t="str">
        <f>YEAR(P57+ROUND(DAY(DATE(YEAR(P57),MONTH(P57)+1,0))/2,0))&amp;"/"&amp;MONTH(P57+ROUND(DAY(DATE(YEAR(P57),MONTH(P57)+1,0))/2,0))-1&amp;"/15"</f>
        <v>2022/3/15</v>
      </c>
    </row>
    <row r="54" spans="8:16">
      <c r="H54" s="88" t="s">
        <v>355</v>
      </c>
      <c r="I54" s="88" t="s">
        <v>356</v>
      </c>
      <c r="J54" s="88" t="s">
        <v>357</v>
      </c>
      <c r="K54" s="88"/>
      <c r="L54" s="88" t="s">
        <v>358</v>
      </c>
      <c r="M54" s="88" t="s">
        <v>359</v>
      </c>
      <c r="N54" s="88" t="s">
        <v>360</v>
      </c>
      <c r="O54" s="116"/>
      <c r="P54" s="117"/>
    </row>
    <row r="55" spans="8:16">
      <c r="H55" s="89">
        <v>1</v>
      </c>
      <c r="I55" s="89">
        <v>100</v>
      </c>
      <c r="J55" s="118" t="s">
        <v>361</v>
      </c>
      <c r="K55" s="118"/>
      <c r="L55" s="119">
        <v>72272958</v>
      </c>
      <c r="M55" s="119">
        <f t="shared" ref="M55:M60" si="3">L55/10000</f>
        <v>7227.2958</v>
      </c>
      <c r="N55" s="119">
        <f t="shared" ref="N55:N60" si="4">ROUND(M55/10000,2)</f>
        <v>0.72</v>
      </c>
      <c r="O55" s="120" t="s">
        <v>415</v>
      </c>
      <c r="P55" s="121">
        <f>P53+1</f>
        <v>44636</v>
      </c>
    </row>
    <row r="56" spans="8:16">
      <c r="H56" s="89">
        <v>2</v>
      </c>
      <c r="I56" s="89">
        <v>400</v>
      </c>
      <c r="J56" s="118" t="s">
        <v>362</v>
      </c>
      <c r="K56" s="118"/>
      <c r="L56" s="119">
        <v>808224659</v>
      </c>
      <c r="M56" s="119">
        <f t="shared" si="3"/>
        <v>80822.4659</v>
      </c>
      <c r="N56" s="119">
        <f t="shared" si="4"/>
        <v>8.08</v>
      </c>
      <c r="O56" s="122"/>
      <c r="P56" s="123"/>
    </row>
    <row r="57" spans="8:16">
      <c r="H57" s="89">
        <v>3</v>
      </c>
      <c r="I57" s="89">
        <v>400</v>
      </c>
      <c r="J57" s="118" t="s">
        <v>363</v>
      </c>
      <c r="K57" s="118"/>
      <c r="L57" s="119">
        <v>8817290</v>
      </c>
      <c r="M57" s="119">
        <f t="shared" si="3"/>
        <v>881.729</v>
      </c>
      <c r="N57" s="119">
        <f t="shared" si="4"/>
        <v>0.09</v>
      </c>
      <c r="O57" s="120" t="s">
        <v>409</v>
      </c>
      <c r="P57" s="121">
        <f>A3</f>
        <v>44659</v>
      </c>
    </row>
    <row r="58" spans="8:16">
      <c r="H58" s="89">
        <v>4</v>
      </c>
      <c r="I58" s="118" t="s">
        <v>364</v>
      </c>
      <c r="J58" s="118"/>
      <c r="K58" s="118"/>
      <c r="L58" s="119">
        <v>889314907</v>
      </c>
      <c r="M58" s="119">
        <f t="shared" si="3"/>
        <v>88931.4907</v>
      </c>
      <c r="N58" s="119">
        <f t="shared" si="4"/>
        <v>8.89</v>
      </c>
      <c r="O58" s="122"/>
      <c r="P58" s="123"/>
    </row>
    <row r="59" spans="8:16">
      <c r="H59" s="89">
        <v>5</v>
      </c>
      <c r="I59" s="118" t="s">
        <v>365</v>
      </c>
      <c r="J59" s="118"/>
      <c r="K59" s="118"/>
      <c r="L59" s="119">
        <v>1380000</v>
      </c>
      <c r="M59" s="119">
        <f t="shared" si="3"/>
        <v>138</v>
      </c>
      <c r="N59" s="119">
        <f t="shared" si="4"/>
        <v>0.01</v>
      </c>
      <c r="O59" s="120" t="s">
        <v>410</v>
      </c>
      <c r="P59" s="121">
        <f>DATE(YEAR(P53),MONTH(P53)+1,15)</f>
        <v>44666</v>
      </c>
    </row>
    <row r="60" spans="8:16">
      <c r="H60" s="89">
        <v>6</v>
      </c>
      <c r="I60" s="118" t="s">
        <v>366</v>
      </c>
      <c r="J60" s="118"/>
      <c r="K60" s="118"/>
      <c r="L60" s="119">
        <v>887934907</v>
      </c>
      <c r="M60" s="119">
        <f t="shared" si="3"/>
        <v>88793.4907</v>
      </c>
      <c r="N60" s="119">
        <f t="shared" si="4"/>
        <v>8.88</v>
      </c>
      <c r="O60" s="122"/>
      <c r="P60" s="123"/>
    </row>
    <row r="61" spans="8:16">
      <c r="H61" s="89">
        <v>7</v>
      </c>
      <c r="I61" s="118" t="s">
        <v>367</v>
      </c>
      <c r="J61" s="118"/>
      <c r="K61" s="118"/>
      <c r="L61" s="119"/>
      <c r="M61" s="119"/>
      <c r="N61" s="119"/>
      <c r="O61" s="124"/>
      <c r="P61" s="117"/>
    </row>
    <row r="62" spans="8:16">
      <c r="H62" s="89">
        <v>8</v>
      </c>
      <c r="I62" s="118" t="s">
        <v>368</v>
      </c>
      <c r="J62" s="118"/>
      <c r="K62" s="118"/>
      <c r="L62" s="119">
        <v>13529094</v>
      </c>
      <c r="M62" s="119">
        <f>L62/10000</f>
        <v>1352.9094</v>
      </c>
      <c r="N62" s="119">
        <f>ROUND(M62/10000,2)</f>
        <v>0.14</v>
      </c>
      <c r="O62" s="124"/>
      <c r="P62" s="117"/>
    </row>
    <row r="63" spans="8:16">
      <c r="H63" s="89">
        <v>9</v>
      </c>
      <c r="I63" s="118" t="s">
        <v>369</v>
      </c>
      <c r="J63" s="118"/>
      <c r="K63" s="118"/>
      <c r="L63" s="119">
        <v>902844001</v>
      </c>
      <c r="M63" s="119">
        <f>L63/10000</f>
        <v>90284.4001</v>
      </c>
      <c r="N63" s="119">
        <f>ROUND(M63/10000,2)</f>
        <v>9.03</v>
      </c>
      <c r="O63" s="124"/>
      <c r="P63" s="117"/>
    </row>
  </sheetData>
  <mergeCells count="76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H52:N52"/>
    <mergeCell ref="O52:P52"/>
    <mergeCell ref="A53:F53"/>
    <mergeCell ref="H53:K53"/>
    <mergeCell ref="J54:K54"/>
    <mergeCell ref="J55:K55"/>
    <mergeCell ref="J56:K56"/>
    <mergeCell ref="J57:K57"/>
    <mergeCell ref="I58:K58"/>
    <mergeCell ref="I59:K59"/>
    <mergeCell ref="I60:K60"/>
    <mergeCell ref="I61:K61"/>
    <mergeCell ref="I62:K62"/>
    <mergeCell ref="I63:K63"/>
    <mergeCell ref="A3:A7"/>
    <mergeCell ref="A9:A10"/>
    <mergeCell ref="A11:A19"/>
    <mergeCell ref="B9:B10"/>
    <mergeCell ref="E3:E5"/>
    <mergeCell ref="F3:F7"/>
    <mergeCell ref="H6:H7"/>
    <mergeCell ref="H9:H17"/>
    <mergeCell ref="O53:O54"/>
    <mergeCell ref="O55:O56"/>
    <mergeCell ref="O57:O58"/>
    <mergeCell ref="O59:O60"/>
    <mergeCell ref="P53:P54"/>
    <mergeCell ref="P55:P56"/>
    <mergeCell ref="P57:P58"/>
    <mergeCell ref="P59:P60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R56" sqref="R5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44660</v>
      </c>
      <c r="B3" s="12" t="s">
        <v>7</v>
      </c>
      <c r="C3" s="12">
        <v>0</v>
      </c>
      <c r="D3" s="12">
        <f>ROUND(D11+D12+D15+D16+D17+D13+D14,2)</f>
        <v>8.96</v>
      </c>
      <c r="E3" s="13">
        <f>ROUND(C5+D5,2)</f>
        <v>130.5</v>
      </c>
      <c r="F3" s="14" t="s">
        <v>417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121.54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130.5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9518.29</v>
      </c>
      <c r="E6" s="8">
        <f>ROUND(C6+D6,2)</f>
        <v>9768.29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15610.27</v>
      </c>
      <c r="E7" s="8">
        <f>ROUND(C7+D7,2)</f>
        <v>21861.05</v>
      </c>
      <c r="F7" s="17"/>
      <c r="G7" s="18"/>
      <c r="H7" s="22"/>
      <c r="I7" s="48">
        <f>210+C6</f>
        <v>460</v>
      </c>
      <c r="J7" s="48">
        <f>D6+1717.38</f>
        <v>11235.67</v>
      </c>
      <c r="K7" s="48">
        <f>J7+I7</f>
        <v>11695.67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405</v>
      </c>
      <c r="D9" s="28"/>
      <c r="E9" s="28" t="s">
        <v>133</v>
      </c>
      <c r="F9" s="28"/>
      <c r="G9" s="29"/>
      <c r="H9" s="30" t="s">
        <v>200</v>
      </c>
      <c r="I9" s="93">
        <v>44362</v>
      </c>
      <c r="J9" s="93">
        <v>44392</v>
      </c>
      <c r="K9" s="93">
        <v>44423</v>
      </c>
      <c r="L9" s="93">
        <v>44454</v>
      </c>
      <c r="M9" s="93">
        <v>44484</v>
      </c>
      <c r="N9" s="93">
        <v>44515</v>
      </c>
      <c r="O9" s="93">
        <v>44545</v>
      </c>
      <c r="P9" s="93">
        <v>44576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44660</v>
      </c>
      <c r="B11" s="32" t="s">
        <v>172</v>
      </c>
      <c r="C11" s="33">
        <v>0</v>
      </c>
      <c r="D11" s="8">
        <v>0</v>
      </c>
      <c r="E11" s="33">
        <v>5</v>
      </c>
      <c r="F11" s="8">
        <v>38.19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0</v>
      </c>
      <c r="D12" s="8">
        <v>0</v>
      </c>
      <c r="E12" s="33">
        <v>2</v>
      </c>
      <c r="F12" s="8">
        <v>30.47</v>
      </c>
      <c r="G12" s="10"/>
      <c r="H12" s="30"/>
      <c r="I12" s="93">
        <v>44607</v>
      </c>
      <c r="J12" s="93">
        <v>44635</v>
      </c>
      <c r="K12" s="93">
        <v>44666</v>
      </c>
      <c r="L12" s="93">
        <v>44696</v>
      </c>
      <c r="M12" s="93">
        <v>44727</v>
      </c>
      <c r="N12" s="93">
        <v>44757</v>
      </c>
      <c r="O12" s="93">
        <v>44788</v>
      </c>
      <c r="P12" s="93">
        <v>44819</v>
      </c>
    </row>
    <row r="13" ht="15" customHeight="1" spans="1:16">
      <c r="A13" s="16"/>
      <c r="B13" s="34" t="s">
        <v>169</v>
      </c>
      <c r="C13" s="33">
        <v>15</v>
      </c>
      <c r="D13" s="8">
        <v>2.43</v>
      </c>
      <c r="E13" s="33">
        <v>10</v>
      </c>
      <c r="F13" s="8">
        <v>1.62</v>
      </c>
      <c r="G13" s="10"/>
      <c r="H13" s="30"/>
      <c r="I13" s="35">
        <v>14233.94</v>
      </c>
      <c r="J13" s="35">
        <f ca="1">IF($A$3&gt;J12,INDIRECT(TEXT(J12,"yyyy.m.d")&amp;"!$E$7"),$E$7)</f>
        <v>17170.27</v>
      </c>
      <c r="K13" s="35">
        <f ca="1">IF($A$3&gt;K12,INDIRECT(TEXT(K12,"yyyy.m.d")&amp;"!$E$7"),$E$7)</f>
        <v>21861.05</v>
      </c>
      <c r="L13" s="35">
        <f ca="1">IF($A$3&gt;L12,INDIRECT(TEXT(L12,"yyyy.m.d")&amp;"!$E$7"),$E$7)</f>
        <v>21861.05</v>
      </c>
      <c r="M13" s="35">
        <f ca="1">IF($A$3&gt;M12,INDIRECT(TEXT(M12,"yyyy.m.d")&amp;"!$E$7"),$E$7)</f>
        <v>21861.05</v>
      </c>
      <c r="N13" s="35">
        <f ca="1">IF($A$3&gt;N12,INDIRECT(TEXT(N12,"yyyy.m.d")&amp;"!$E$7"),$E$7)</f>
        <v>21861.05</v>
      </c>
      <c r="O13" s="35">
        <f ca="1">IF($A$3&gt;O12,INDIRECT(TEXT(O12,"yyyy.m.d")&amp;"!$E$7"),$E$7)</f>
        <v>21861.05</v>
      </c>
      <c r="P13" s="35">
        <f ca="1">IF($A$3&gt;P12,INDIRECT(TEXT(P12,"yyyy.m.d")&amp;"!$E$7"),$E$7)</f>
        <v>21861.05</v>
      </c>
    </row>
    <row r="14" ht="15" customHeight="1" spans="1:16">
      <c r="A14" s="16"/>
      <c r="B14" s="34" t="s">
        <v>170</v>
      </c>
      <c r="C14" s="33">
        <v>0</v>
      </c>
      <c r="D14" s="8">
        <v>0</v>
      </c>
      <c r="E14" s="33">
        <v>4</v>
      </c>
      <c r="F14" s="8">
        <v>1.008</v>
      </c>
      <c r="G14" s="10"/>
      <c r="H14" s="30"/>
      <c r="I14" s="48">
        <v>699.51</v>
      </c>
      <c r="J14" s="48">
        <v>2936.33</v>
      </c>
      <c r="K14" s="48">
        <f ca="1" t="shared" ref="K14:P14" si="0">IFERROR(K13-J13,"")</f>
        <v>4690.78</v>
      </c>
      <c r="L14" s="48">
        <f ca="1" t="shared" si="0"/>
        <v>0</v>
      </c>
      <c r="M14" s="48">
        <f ca="1" t="shared" si="0"/>
        <v>0</v>
      </c>
      <c r="N14" s="48">
        <f ca="1" t="shared" si="0"/>
        <v>0</v>
      </c>
      <c r="O14" s="48">
        <f ca="1" t="shared" si="0"/>
        <v>0</v>
      </c>
      <c r="P14" s="48">
        <f ca="1" t="shared" si="0"/>
        <v>0</v>
      </c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>
        <v>780</v>
      </c>
      <c r="F15" s="8">
        <v>31.79</v>
      </c>
      <c r="G15" s="10"/>
      <c r="H15" s="30"/>
      <c r="I15" s="97">
        <v>44849</v>
      </c>
      <c r="J15" s="97">
        <v>44880</v>
      </c>
      <c r="K15" s="97">
        <v>44910</v>
      </c>
      <c r="L15" s="97">
        <v>44941</v>
      </c>
      <c r="M15" s="97">
        <v>44972</v>
      </c>
      <c r="N15" s="97">
        <v>45000</v>
      </c>
      <c r="O15" s="97">
        <v>45031</v>
      </c>
      <c r="P15" s="97">
        <v>45061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173.05</v>
      </c>
      <c r="F16" s="8">
        <v>18.46</v>
      </c>
      <c r="G16" s="10"/>
      <c r="H16" s="30"/>
      <c r="I16" s="35">
        <f ca="1">IF($A$3&gt;I15,INDIRECT(TEXT(I15,"yyyy.m.d")&amp;"!$E$7"),$E$7)</f>
        <v>21861.05</v>
      </c>
      <c r="J16" s="35">
        <f ca="1">IF($A$3&gt;J15,INDIRECT(TEXT(J15,"yyyy.m.d")&amp;"!$E$7"),$E$7)</f>
        <v>21861.05</v>
      </c>
      <c r="K16" s="35">
        <f ca="1">IF($A$3&gt;K15,INDIRECT(TEXT(K15,"yyyy.m.d")&amp;"!$E$7"),$E$7)</f>
        <v>21861.05</v>
      </c>
      <c r="L16" s="35">
        <f ca="1">IF($A$3&gt;L15,INDIRECT(TEXT(L15,"yyyy.m.d")&amp;"!$E$7"),$E$7)</f>
        <v>21861.05</v>
      </c>
      <c r="M16" s="35">
        <f ca="1">IF($A$3&gt;M15,INDIRECT(TEXT(M15,"yyyy.m.d")&amp;"!$E$7"),$E$7)</f>
        <v>21861.05</v>
      </c>
      <c r="N16" s="35">
        <f ca="1">IF($A$3&gt;N15,INDIRECT(TEXT(N15,"yyyy.m.d")&amp;"!$E$7"),$E$7)</f>
        <v>21861.05</v>
      </c>
      <c r="O16" s="35">
        <f ca="1">IF($A$3&gt;O15,INDIRECT(TEXT(O15,"yyyy.m.d")&amp;"!$E$7"),$E$7)</f>
        <v>21861.05</v>
      </c>
      <c r="P16" s="35">
        <f ca="1">IF($A$3&gt;P15,INDIRECT(TEXT(P15,"yyyy.m.d")&amp;"!$E$7"),$E$7)</f>
        <v>21861.05</v>
      </c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>
        <f ca="1">IFERROR(I16-P13,"")</f>
        <v>0</v>
      </c>
      <c r="J17" s="48">
        <f ca="1" t="shared" ref="J17:P17" si="1">IFERROR(J16-I16,"")</f>
        <v>0</v>
      </c>
      <c r="K17" s="48">
        <f ca="1" t="shared" si="1"/>
        <v>0</v>
      </c>
      <c r="L17" s="48">
        <f ca="1" t="shared" si="1"/>
        <v>0</v>
      </c>
      <c r="M17" s="48">
        <f ca="1" t="shared" si="1"/>
        <v>0</v>
      </c>
      <c r="N17" s="48">
        <f ca="1" t="shared" si="1"/>
        <v>0</v>
      </c>
      <c r="O17" s="48">
        <f ca="1" t="shared" si="1"/>
        <v>0</v>
      </c>
      <c r="P17" s="48">
        <f ca="1" t="shared" si="1"/>
        <v>0</v>
      </c>
    </row>
    <row r="18" ht="15" customHeight="1" spans="1:17">
      <c r="A18" s="16"/>
      <c r="B18" s="8" t="s">
        <v>134</v>
      </c>
      <c r="C18" s="8">
        <f>ROUND(D11+D12+D15+D16+D17+D13+D14,2)</f>
        <v>8.96</v>
      </c>
      <c r="D18" s="8"/>
      <c r="E18" s="8">
        <f>ROUND(F11+F12+F15+F16+F17+F13+F14,2)</f>
        <v>121.54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130.5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173</v>
      </c>
      <c r="N20" s="94">
        <f>D38-81</f>
        <v>121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E38-301</f>
        <v>414</v>
      </c>
      <c r="N21" s="94">
        <f>F38-44</f>
        <v>132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95</v>
      </c>
      <c r="N23" s="94">
        <f>D39-65</f>
        <v>100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361</v>
      </c>
      <c r="N24" s="94">
        <f>F39-7</f>
        <v>158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13215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</f>
        <v>3401.17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9778.62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544</v>
      </c>
      <c r="D30" s="49" t="s">
        <v>75</v>
      </c>
      <c r="E30" s="38">
        <f>C39+D39</f>
        <v>390</v>
      </c>
      <c r="F30" s="39"/>
      <c r="G30" s="38"/>
    </row>
    <row r="31" spans="1:7">
      <c r="A31" s="37"/>
      <c r="B31" s="49" t="s">
        <v>76</v>
      </c>
      <c r="C31" s="38">
        <f>E38+F38</f>
        <v>891</v>
      </c>
      <c r="D31" s="49" t="s">
        <v>77</v>
      </c>
      <c r="E31" s="38">
        <f>E39+F39</f>
        <v>784</v>
      </c>
      <c r="F31" s="39"/>
      <c r="G31" s="38"/>
    </row>
    <row r="32" spans="1:7">
      <c r="A32" s="37"/>
      <c r="B32" s="49" t="s">
        <v>78</v>
      </c>
      <c r="C32" s="38">
        <f>C33-C30-C31</f>
        <v>4345</v>
      </c>
      <c r="D32" s="49" t="s">
        <v>79</v>
      </c>
      <c r="E32" s="38">
        <f>E33-E30-E31</f>
        <v>4606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44651</v>
      </c>
      <c r="B36" s="54">
        <v>236.95</v>
      </c>
      <c r="C36" s="55" t="s">
        <v>405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44652</v>
      </c>
      <c r="B37" s="54">
        <v>255.84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44653</v>
      </c>
      <c r="B38" s="54">
        <v>195.44</v>
      </c>
      <c r="C38" s="58">
        <v>342</v>
      </c>
      <c r="D38" s="58">
        <v>202</v>
      </c>
      <c r="E38" s="58">
        <v>715</v>
      </c>
      <c r="F38" s="58">
        <v>176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44654</v>
      </c>
      <c r="B39" s="54">
        <v>224.04</v>
      </c>
      <c r="C39" s="60">
        <v>225</v>
      </c>
      <c r="D39" s="60">
        <v>165</v>
      </c>
      <c r="E39" s="60">
        <v>619</v>
      </c>
      <c r="F39" s="60">
        <v>165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44655</v>
      </c>
      <c r="B40" s="62">
        <v>232.13</v>
      </c>
      <c r="C40" s="63" t="s">
        <v>182</v>
      </c>
      <c r="D40" s="64">
        <f>C38+D38+E38+F38</f>
        <v>1435</v>
      </c>
      <c r="E40" s="65" t="s">
        <v>69</v>
      </c>
      <c r="F40" s="66">
        <f>C39+D39+E39+F39</f>
        <v>1174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44656</v>
      </c>
      <c r="B41" s="54">
        <v>125.95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截止2022年04月09日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44657</v>
      </c>
      <c r="B42" s="54">
        <v>127.45</v>
      </c>
      <c r="C42" s="72" t="s">
        <v>288</v>
      </c>
      <c r="D42" s="72" t="s">
        <v>412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44658</v>
      </c>
      <c r="B43" s="54">
        <v>128.33</v>
      </c>
      <c r="C43" s="74" t="s">
        <v>230</v>
      </c>
      <c r="D43" s="74">
        <v>6130.99</v>
      </c>
      <c r="E43" s="74">
        <v>0</v>
      </c>
      <c r="F43" s="74">
        <f t="shared" ref="F43:F45" si="2">D43+E43</f>
        <v>6130.99</v>
      </c>
      <c r="G43" s="73"/>
      <c r="H43" s="40" t="s">
        <v>61</v>
      </c>
      <c r="I43" s="111">
        <f>ROUND(D40/J43,4)</f>
        <v>0.2427</v>
      </c>
      <c r="J43" s="35">
        <v>5913</v>
      </c>
      <c r="K43" s="36" t="s">
        <v>318</v>
      </c>
      <c r="L43" s="56">
        <f>L44+155</f>
        <v>449</v>
      </c>
      <c r="M43" s="56">
        <f>M44+171</f>
        <v>366</v>
      </c>
      <c r="N43" s="56">
        <f>N44+1460</f>
        <v>14675</v>
      </c>
      <c r="O43" s="56">
        <f>O44+441.6</f>
        <v>3842.77</v>
      </c>
      <c r="P43" s="56">
        <f>P44+0</f>
        <v>6130.99</v>
      </c>
      <c r="U43" s="4"/>
    </row>
    <row r="44" ht="15.6" spans="1:21">
      <c r="A44" s="53">
        <v>44659</v>
      </c>
      <c r="B44" s="54">
        <v>134.24</v>
      </c>
      <c r="C44" s="74" t="s">
        <v>229</v>
      </c>
      <c r="D44" s="74">
        <v>3127.9</v>
      </c>
      <c r="E44" s="74">
        <v>2305.31</v>
      </c>
      <c r="F44" s="74">
        <f t="shared" si="2"/>
        <v>5433.21</v>
      </c>
      <c r="G44" s="73"/>
      <c r="H44" s="40" t="s">
        <v>62</v>
      </c>
      <c r="I44" s="111">
        <f>ROUND(F40/J44,4)</f>
        <v>0.1985</v>
      </c>
      <c r="J44" s="35">
        <v>5913</v>
      </c>
      <c r="K44" s="36" t="s">
        <v>319</v>
      </c>
      <c r="L44" s="56">
        <f>SUM(M20:N20)</f>
        <v>294</v>
      </c>
      <c r="M44" s="56">
        <f>SUM(M23:N23)</f>
        <v>195</v>
      </c>
      <c r="N44" s="56">
        <f>M25</f>
        <v>13215</v>
      </c>
      <c r="O44" s="56">
        <f>M26</f>
        <v>3401.17</v>
      </c>
      <c r="P44" s="56">
        <f>M27</f>
        <v>6130.99</v>
      </c>
      <c r="U44" s="4"/>
    </row>
    <row r="45" ht="15.6" spans="1:21">
      <c r="A45" s="53">
        <v>44660</v>
      </c>
      <c r="B45" s="54">
        <v>130.5</v>
      </c>
      <c r="C45" s="74" t="s">
        <v>228</v>
      </c>
      <c r="D45" s="74">
        <v>6920</v>
      </c>
      <c r="E45" s="74">
        <v>12400</v>
      </c>
      <c r="F45" s="74">
        <f t="shared" si="2"/>
        <v>19320</v>
      </c>
      <c r="G45" s="75"/>
      <c r="H45" s="40" t="s">
        <v>228</v>
      </c>
      <c r="I45" s="111">
        <f>ROUND(F45/J45,4)</f>
        <v>0.1429</v>
      </c>
      <c r="J45" s="35">
        <v>135185</v>
      </c>
      <c r="K45" s="36" t="s">
        <v>320</v>
      </c>
      <c r="L45" s="56">
        <f>D40</f>
        <v>1435</v>
      </c>
      <c r="M45" s="56">
        <f>F40</f>
        <v>1174</v>
      </c>
      <c r="N45" s="56">
        <f>F45</f>
        <v>19320</v>
      </c>
      <c r="O45" s="56">
        <f>F44</f>
        <v>5433.21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0.081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 ca="1">D40-INDIRECT(YEAR(TODAY()+ROUND(DAY(DATE(YEAR(TODAY()),MONTH(TODAY())+1,0))/2,0))&amp;"."&amp;MONTH(TODAY()+ROUND(DAY(DATE(YEAR(TODAY()),MONTH(TODAY())+1,0))/2,0))-1&amp;".15"&amp;"!d40")</f>
        <v>410</v>
      </c>
      <c r="M47" s="56">
        <f ca="1">F40-INDIRECT(YEAR(TODAY()+ROUND(DAY(DATE(YEAR(TODAY()),MONTH(TODAY())+1,0))/2,0))&amp;"."&amp;MONTH(TODAY()+ROUND(DAY(DATE(YEAR(TODAY()),MONTH(TODAY())+1,0))/2,0))-1&amp;".15"&amp;"!f40")</f>
        <v>354</v>
      </c>
      <c r="N47" s="56">
        <f ca="1">F45-INDIRECT(YEAR(TODAY()+ROUND(DAY(DATE(YEAR(TODAY()),MONTH(TODAY())+1,0))/2,0))&amp;"."&amp;MONTH(TODAY()+ROUND(DAY(DATE(YEAR(TODAY()),MONTH(TODAY())+1,0))/2,0))-1&amp;".15"&amp;"!f45")</f>
        <v>6060</v>
      </c>
      <c r="O47" s="56">
        <f ca="1">F44-INDIRECT(YEAR(TODAY()+ROUND(DAY(DATE(YEAR(TODAY()),MONTH(TODAY())+1,0))/2,0))&amp;"."&amp;MONTH(TODAY()+ROUND(DAY(DATE(YEAR(TODAY()),MONTH(TODAY())+1,0))/2,0))-1&amp;".15"&amp;"!f44")</f>
        <v>934.46</v>
      </c>
      <c r="P47" s="56">
        <f ca="1">F43-INDIRECT(YEAR(TODAY()+ROUND(DAY(DATE(YEAR(TODAY()),MONTH(TODAY())+1,0))/2,0))&amp;"."&amp;MONTH(TODAY()+ROUND(DAY(DATE(YEAR(TODAY()),MONTH(TODAY())+1,0))/2,0))-1&amp;".15"&amp;"!f43")</f>
        <v>0</v>
      </c>
    </row>
    <row r="48" spans="1:16">
      <c r="A48" s="79">
        <f>SUM(C11,E11,C12,E12)</f>
        <v>7</v>
      </c>
      <c r="B48" s="79">
        <f>SUM(C13,C14,E13,E14)</f>
        <v>29</v>
      </c>
      <c r="C48" s="79">
        <f>C15+E15</f>
        <v>940</v>
      </c>
      <c r="D48" s="79">
        <f>C16+E16</f>
        <v>173.05</v>
      </c>
      <c r="E48" s="79">
        <f>C17+E17</f>
        <v>0</v>
      </c>
      <c r="F48" s="80">
        <f>E3</f>
        <v>130.5</v>
      </c>
      <c r="G48" s="76"/>
      <c r="H48" s="40" t="s">
        <v>231</v>
      </c>
      <c r="I48" s="111">
        <f>ROUND(E7/J48,4)</f>
        <v>0.2421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 ca="1">L47</f>
        <v>410</v>
      </c>
      <c r="B49" s="79">
        <f ca="1">M47</f>
        <v>354</v>
      </c>
      <c r="C49" s="79">
        <f ca="1">N47</f>
        <v>6060</v>
      </c>
      <c r="D49" s="79">
        <f ca="1">O47</f>
        <v>934.46</v>
      </c>
      <c r="E49" s="79">
        <f ca="1">P47</f>
        <v>0</v>
      </c>
      <c r="F49" s="80">
        <f ca="1">E7-INDIRECT(TEXT(P53,"yyyy.m.d")&amp;"!E7")</f>
        <v>4690.78</v>
      </c>
      <c r="G49" s="76"/>
      <c r="H49" s="81" t="s">
        <v>406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449</v>
      </c>
      <c r="B50" s="79">
        <f>M43</f>
        <v>366</v>
      </c>
      <c r="C50" s="79">
        <f>N43</f>
        <v>14675</v>
      </c>
      <c r="D50" s="79">
        <f>O43</f>
        <v>3842.77</v>
      </c>
      <c r="E50" s="79">
        <f>P43</f>
        <v>6130.99</v>
      </c>
      <c r="F50" s="80">
        <f>K7</f>
        <v>11695.67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09日自年初1月1日起完成产值9768.29万元，自开工累计完成产值21861.05万元，自开工占总产值90284.4万元的24.21%，100章临建完成6250.78万元，400章桥梁完成15610.27万元。已完成梁片预制1435片，占设计量的24.27%；梁片安装1174片，占设计量的19.85%；湿接缝19320米，占设计量的14.29%；防撞护栏5433.21米，占设计量的8.1%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6">
      <c r="A52" s="85" t="s">
        <v>386</v>
      </c>
      <c r="B52" s="85"/>
      <c r="C52" s="85"/>
      <c r="D52" s="85"/>
      <c r="E52" s="85"/>
      <c r="F52" s="85"/>
      <c r="H52" s="86" t="s">
        <v>352</v>
      </c>
      <c r="I52" s="86"/>
      <c r="J52" s="86"/>
      <c r="K52" s="86"/>
      <c r="L52" s="86"/>
      <c r="M52" s="86"/>
      <c r="N52" s="86"/>
      <c r="O52" s="86" t="s">
        <v>407</v>
      </c>
      <c r="P52" s="86"/>
    </row>
    <row r="53" spans="8:16">
      <c r="H53" s="87" t="s">
        <v>353</v>
      </c>
      <c r="I53" s="113"/>
      <c r="J53" s="113"/>
      <c r="K53" s="114"/>
      <c r="L53" s="115" t="s">
        <v>354</v>
      </c>
      <c r="M53" s="115" t="s">
        <v>354</v>
      </c>
      <c r="N53" s="115" t="s">
        <v>354</v>
      </c>
      <c r="O53" s="116" t="s">
        <v>408</v>
      </c>
      <c r="P53" s="117" t="str">
        <f>YEAR(P57+ROUND(DAY(DATE(YEAR(P57),MONTH(P57)+1,0))/2,0))&amp;"/"&amp;MONTH(P57+ROUND(DAY(DATE(YEAR(P57),MONTH(P57)+1,0))/2,0))-1&amp;"/15"</f>
        <v>2022/3/15</v>
      </c>
    </row>
    <row r="54" spans="8:16">
      <c r="H54" s="88" t="s">
        <v>355</v>
      </c>
      <c r="I54" s="88" t="s">
        <v>356</v>
      </c>
      <c r="J54" s="88" t="s">
        <v>357</v>
      </c>
      <c r="K54" s="88"/>
      <c r="L54" s="88" t="s">
        <v>358</v>
      </c>
      <c r="M54" s="88" t="s">
        <v>359</v>
      </c>
      <c r="N54" s="88" t="s">
        <v>360</v>
      </c>
      <c r="O54" s="116"/>
      <c r="P54" s="117"/>
    </row>
    <row r="55" spans="8:16">
      <c r="H55" s="89">
        <v>1</v>
      </c>
      <c r="I55" s="89">
        <v>100</v>
      </c>
      <c r="J55" s="118" t="s">
        <v>361</v>
      </c>
      <c r="K55" s="118"/>
      <c r="L55" s="119">
        <v>72272958</v>
      </c>
      <c r="M55" s="119">
        <f t="shared" ref="M55:M60" si="3">L55/10000</f>
        <v>7227.2958</v>
      </c>
      <c r="N55" s="119">
        <f t="shared" ref="N55:N60" si="4">ROUND(M55/10000,2)</f>
        <v>0.72</v>
      </c>
      <c r="O55" s="120" t="s">
        <v>415</v>
      </c>
      <c r="P55" s="121">
        <f>P53+1</f>
        <v>44636</v>
      </c>
    </row>
    <row r="56" spans="8:16">
      <c r="H56" s="89">
        <v>2</v>
      </c>
      <c r="I56" s="89">
        <v>400</v>
      </c>
      <c r="J56" s="118" t="s">
        <v>362</v>
      </c>
      <c r="K56" s="118"/>
      <c r="L56" s="119">
        <v>808224659</v>
      </c>
      <c r="M56" s="119">
        <f t="shared" si="3"/>
        <v>80822.4659</v>
      </c>
      <c r="N56" s="119">
        <f t="shared" si="4"/>
        <v>8.08</v>
      </c>
      <c r="O56" s="122"/>
      <c r="P56" s="123"/>
    </row>
    <row r="57" spans="8:16">
      <c r="H57" s="89">
        <v>3</v>
      </c>
      <c r="I57" s="89">
        <v>400</v>
      </c>
      <c r="J57" s="118" t="s">
        <v>363</v>
      </c>
      <c r="K57" s="118"/>
      <c r="L57" s="119">
        <v>8817290</v>
      </c>
      <c r="M57" s="119">
        <f t="shared" si="3"/>
        <v>881.729</v>
      </c>
      <c r="N57" s="119">
        <f t="shared" si="4"/>
        <v>0.09</v>
      </c>
      <c r="O57" s="120" t="s">
        <v>409</v>
      </c>
      <c r="P57" s="121">
        <f>A3</f>
        <v>44660</v>
      </c>
    </row>
    <row r="58" spans="8:16">
      <c r="H58" s="89">
        <v>4</v>
      </c>
      <c r="I58" s="118" t="s">
        <v>364</v>
      </c>
      <c r="J58" s="118"/>
      <c r="K58" s="118"/>
      <c r="L58" s="119">
        <v>889314907</v>
      </c>
      <c r="M58" s="119">
        <f t="shared" si="3"/>
        <v>88931.4907</v>
      </c>
      <c r="N58" s="119">
        <f t="shared" si="4"/>
        <v>8.89</v>
      </c>
      <c r="O58" s="122"/>
      <c r="P58" s="123"/>
    </row>
    <row r="59" spans="8:16">
      <c r="H59" s="89">
        <v>5</v>
      </c>
      <c r="I59" s="118" t="s">
        <v>365</v>
      </c>
      <c r="J59" s="118"/>
      <c r="K59" s="118"/>
      <c r="L59" s="119">
        <v>1380000</v>
      </c>
      <c r="M59" s="119">
        <f t="shared" si="3"/>
        <v>138</v>
      </c>
      <c r="N59" s="119">
        <f t="shared" si="4"/>
        <v>0.01</v>
      </c>
      <c r="O59" s="120" t="s">
        <v>410</v>
      </c>
      <c r="P59" s="121">
        <f>DATE(YEAR(P53),MONTH(P53)+1,15)</f>
        <v>44666</v>
      </c>
    </row>
    <row r="60" spans="8:16">
      <c r="H60" s="89">
        <v>6</v>
      </c>
      <c r="I60" s="118" t="s">
        <v>366</v>
      </c>
      <c r="J60" s="118"/>
      <c r="K60" s="118"/>
      <c r="L60" s="119">
        <v>887934907</v>
      </c>
      <c r="M60" s="119">
        <f t="shared" si="3"/>
        <v>88793.4907</v>
      </c>
      <c r="N60" s="119">
        <f t="shared" si="4"/>
        <v>8.88</v>
      </c>
      <c r="O60" s="122"/>
      <c r="P60" s="123"/>
    </row>
    <row r="61" spans="8:16">
      <c r="H61" s="89">
        <v>7</v>
      </c>
      <c r="I61" s="118" t="s">
        <v>367</v>
      </c>
      <c r="J61" s="118"/>
      <c r="K61" s="118"/>
      <c r="L61" s="119"/>
      <c r="M61" s="119"/>
      <c r="N61" s="119"/>
      <c r="O61" s="124"/>
      <c r="P61" s="117"/>
    </row>
    <row r="62" spans="8:16">
      <c r="H62" s="89">
        <v>8</v>
      </c>
      <c r="I62" s="118" t="s">
        <v>368</v>
      </c>
      <c r="J62" s="118"/>
      <c r="K62" s="118"/>
      <c r="L62" s="119">
        <v>13529094</v>
      </c>
      <c r="M62" s="119">
        <f>L62/10000</f>
        <v>1352.9094</v>
      </c>
      <c r="N62" s="119">
        <f>ROUND(M62/10000,2)</f>
        <v>0.14</v>
      </c>
      <c r="O62" s="124"/>
      <c r="P62" s="117"/>
    </row>
    <row r="63" spans="8:16">
      <c r="H63" s="89">
        <v>9</v>
      </c>
      <c r="I63" s="118" t="s">
        <v>369</v>
      </c>
      <c r="J63" s="118"/>
      <c r="K63" s="118"/>
      <c r="L63" s="119">
        <v>902844001</v>
      </c>
      <c r="M63" s="119">
        <f>L63/10000</f>
        <v>90284.4001</v>
      </c>
      <c r="N63" s="119">
        <f>ROUND(M63/10000,2)</f>
        <v>9.03</v>
      </c>
      <c r="O63" s="124"/>
      <c r="P63" s="117"/>
    </row>
  </sheetData>
  <mergeCells count="76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H52:N52"/>
    <mergeCell ref="O52:P52"/>
    <mergeCell ref="A53:F53"/>
    <mergeCell ref="H53:K53"/>
    <mergeCell ref="J54:K54"/>
    <mergeCell ref="J55:K55"/>
    <mergeCell ref="J56:K56"/>
    <mergeCell ref="J57:K57"/>
    <mergeCell ref="I58:K58"/>
    <mergeCell ref="I59:K59"/>
    <mergeCell ref="I60:K60"/>
    <mergeCell ref="I61:K61"/>
    <mergeCell ref="I62:K62"/>
    <mergeCell ref="I63:K63"/>
    <mergeCell ref="A3:A7"/>
    <mergeCell ref="A9:A10"/>
    <mergeCell ref="A11:A19"/>
    <mergeCell ref="B9:B10"/>
    <mergeCell ref="E3:E5"/>
    <mergeCell ref="F3:F7"/>
    <mergeCell ref="H6:H7"/>
    <mergeCell ref="H9:H17"/>
    <mergeCell ref="O53:O54"/>
    <mergeCell ref="O55:O56"/>
    <mergeCell ref="O57:O58"/>
    <mergeCell ref="O59:O60"/>
    <mergeCell ref="P53:P54"/>
    <mergeCell ref="P55:P56"/>
    <mergeCell ref="P57:P58"/>
    <mergeCell ref="P59:P60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O7" sqref="O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44661</v>
      </c>
      <c r="B3" s="12" t="s">
        <v>7</v>
      </c>
      <c r="C3" s="12">
        <v>0</v>
      </c>
      <c r="D3" s="12">
        <f>ROUND(D11+D12+D15+D16+D17+D13+D14,2)</f>
        <v>48.22</v>
      </c>
      <c r="E3" s="13">
        <f>ROUND(C5+D5,2)</f>
        <v>196.22</v>
      </c>
      <c r="F3" s="14" t="s">
        <v>418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148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196.22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9714.51</v>
      </c>
      <c r="E6" s="8">
        <f>ROUND(C6+D6,2)</f>
        <v>9964.51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15806.49</v>
      </c>
      <c r="E7" s="8">
        <f>ROUND(C7+D7,2)</f>
        <v>22057.27</v>
      </c>
      <c r="F7" s="17"/>
      <c r="G7" s="18"/>
      <c r="H7" s="22"/>
      <c r="I7" s="48">
        <f>210+C6</f>
        <v>460</v>
      </c>
      <c r="J7" s="48">
        <f>D6+1717.38</f>
        <v>11431.89</v>
      </c>
      <c r="K7" s="48">
        <f>J7+I7</f>
        <v>11891.89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405</v>
      </c>
      <c r="D9" s="28"/>
      <c r="E9" s="28" t="s">
        <v>133</v>
      </c>
      <c r="F9" s="28"/>
      <c r="G9" s="29"/>
      <c r="H9" s="30" t="s">
        <v>200</v>
      </c>
      <c r="I9" s="93">
        <v>44362</v>
      </c>
      <c r="J9" s="93">
        <v>44392</v>
      </c>
      <c r="K9" s="93">
        <v>44423</v>
      </c>
      <c r="L9" s="93">
        <v>44454</v>
      </c>
      <c r="M9" s="93">
        <v>44484</v>
      </c>
      <c r="N9" s="93">
        <v>44515</v>
      </c>
      <c r="O9" s="93">
        <v>44545</v>
      </c>
      <c r="P9" s="93">
        <v>44576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44661</v>
      </c>
      <c r="B11" s="32" t="s">
        <v>172</v>
      </c>
      <c r="C11" s="33">
        <v>4</v>
      </c>
      <c r="D11" s="8">
        <v>30.92</v>
      </c>
      <c r="E11" s="33">
        <v>9</v>
      </c>
      <c r="F11" s="8">
        <v>69.45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1</v>
      </c>
      <c r="D12" s="8">
        <v>15.23</v>
      </c>
      <c r="E12" s="33">
        <v>3</v>
      </c>
      <c r="F12" s="8">
        <v>45.75</v>
      </c>
      <c r="G12" s="10"/>
      <c r="H12" s="30"/>
      <c r="I12" s="93">
        <v>44607</v>
      </c>
      <c r="J12" s="93">
        <v>44635</v>
      </c>
      <c r="K12" s="93">
        <v>44666</v>
      </c>
      <c r="L12" s="93">
        <v>44696</v>
      </c>
      <c r="M12" s="93">
        <v>44727</v>
      </c>
      <c r="N12" s="93">
        <v>44757</v>
      </c>
      <c r="O12" s="93">
        <v>44788</v>
      </c>
      <c r="P12" s="93">
        <v>44819</v>
      </c>
    </row>
    <row r="13" ht="15" customHeight="1" spans="1:16">
      <c r="A13" s="16"/>
      <c r="B13" s="34" t="s">
        <v>169</v>
      </c>
      <c r="C13" s="33">
        <v>5</v>
      </c>
      <c r="D13" s="8">
        <v>0.81</v>
      </c>
      <c r="E13" s="33">
        <v>7</v>
      </c>
      <c r="F13" s="8">
        <v>1.134</v>
      </c>
      <c r="G13" s="10"/>
      <c r="H13" s="30"/>
      <c r="I13" s="35">
        <v>14233.94</v>
      </c>
      <c r="J13" s="35">
        <f ca="1">IF($A$3&gt;J12,INDIRECT(TEXT(J12,"yyyy.m.d")&amp;"!$E$7"),$E$7)</f>
        <v>17170.27</v>
      </c>
      <c r="K13" s="35">
        <f ca="1">IF($A$3&gt;K12,INDIRECT(TEXT(K12,"yyyy.m.d")&amp;"!$E$7"),$E$7)</f>
        <v>22057.27</v>
      </c>
      <c r="L13" s="35">
        <f ca="1">IF($A$3&gt;L12,INDIRECT(TEXT(L12,"yyyy.m.d")&amp;"!$E$7"),$E$7)</f>
        <v>22057.27</v>
      </c>
      <c r="M13" s="35">
        <f ca="1">IF($A$3&gt;M12,INDIRECT(TEXT(M12,"yyyy.m.d")&amp;"!$E$7"),$E$7)</f>
        <v>22057.27</v>
      </c>
      <c r="N13" s="35">
        <f ca="1">IF($A$3&gt;N12,INDIRECT(TEXT(N12,"yyyy.m.d")&amp;"!$E$7"),$E$7)</f>
        <v>22057.27</v>
      </c>
      <c r="O13" s="35">
        <f ca="1">IF($A$3&gt;O12,INDIRECT(TEXT(O12,"yyyy.m.d")&amp;"!$E$7"),$E$7)</f>
        <v>22057.27</v>
      </c>
      <c r="P13" s="35">
        <f ca="1">IF($A$3&gt;P12,INDIRECT(TEXT(P12,"yyyy.m.d")&amp;"!$E$7"),$E$7)</f>
        <v>22057.27</v>
      </c>
    </row>
    <row r="14" ht="15" customHeight="1" spans="1:16">
      <c r="A14" s="16"/>
      <c r="B14" s="34" t="s">
        <v>170</v>
      </c>
      <c r="C14" s="33">
        <v>5</v>
      </c>
      <c r="D14" s="8">
        <v>1.26</v>
      </c>
      <c r="E14" s="33">
        <v>5</v>
      </c>
      <c r="F14" s="8">
        <v>1.26</v>
      </c>
      <c r="G14" s="10"/>
      <c r="H14" s="30"/>
      <c r="I14" s="48">
        <v>699.51</v>
      </c>
      <c r="J14" s="48">
        <v>2936.33</v>
      </c>
      <c r="K14" s="48">
        <f ca="1" t="shared" ref="K14:P14" si="0">IFERROR(K13-J13,"")</f>
        <v>4887</v>
      </c>
      <c r="L14" s="48">
        <f ca="1" t="shared" si="0"/>
        <v>0</v>
      </c>
      <c r="M14" s="48">
        <f ca="1" t="shared" si="0"/>
        <v>0</v>
      </c>
      <c r="N14" s="48">
        <f ca="1" t="shared" si="0"/>
        <v>0</v>
      </c>
      <c r="O14" s="48">
        <f ca="1" t="shared" si="0"/>
        <v>0</v>
      </c>
      <c r="P14" s="48">
        <f ca="1" t="shared" si="0"/>
        <v>0</v>
      </c>
    </row>
    <row r="15" ht="15" customHeight="1" spans="1:16">
      <c r="A15" s="16"/>
      <c r="B15" s="34" t="s">
        <v>112</v>
      </c>
      <c r="C15" s="33">
        <v>0</v>
      </c>
      <c r="D15" s="8">
        <v>0</v>
      </c>
      <c r="E15" s="33">
        <v>480</v>
      </c>
      <c r="F15" s="8">
        <v>19.82</v>
      </c>
      <c r="G15" s="10"/>
      <c r="H15" s="30"/>
      <c r="I15" s="97">
        <v>44849</v>
      </c>
      <c r="J15" s="97">
        <v>44880</v>
      </c>
      <c r="K15" s="97">
        <v>44910</v>
      </c>
      <c r="L15" s="97">
        <v>44941</v>
      </c>
      <c r="M15" s="97">
        <v>44972</v>
      </c>
      <c r="N15" s="97">
        <v>45000</v>
      </c>
      <c r="O15" s="97">
        <v>45031</v>
      </c>
      <c r="P15" s="97">
        <v>45061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99.4</v>
      </c>
      <c r="F16" s="8">
        <v>10.59</v>
      </c>
      <c r="G16" s="10"/>
      <c r="H16" s="30"/>
      <c r="I16" s="35">
        <f ca="1">IF($A$3&gt;I15,INDIRECT(TEXT(I15,"yyyy.m.d")&amp;"!$E$7"),$E$7)</f>
        <v>22057.27</v>
      </c>
      <c r="J16" s="35">
        <f ca="1">IF($A$3&gt;J15,INDIRECT(TEXT(J15,"yyyy.m.d")&amp;"!$E$7"),$E$7)</f>
        <v>22057.27</v>
      </c>
      <c r="K16" s="35">
        <f ca="1">IF($A$3&gt;K15,INDIRECT(TEXT(K15,"yyyy.m.d")&amp;"!$E$7"),$E$7)</f>
        <v>22057.27</v>
      </c>
      <c r="L16" s="35">
        <f ca="1">IF($A$3&gt;L15,INDIRECT(TEXT(L15,"yyyy.m.d")&amp;"!$E$7"),$E$7)</f>
        <v>22057.27</v>
      </c>
      <c r="M16" s="35">
        <f ca="1">IF($A$3&gt;M15,INDIRECT(TEXT(M15,"yyyy.m.d")&amp;"!$E$7"),$E$7)</f>
        <v>22057.27</v>
      </c>
      <c r="N16" s="35">
        <f ca="1">IF($A$3&gt;N15,INDIRECT(TEXT(N15,"yyyy.m.d")&amp;"!$E$7"),$E$7)</f>
        <v>22057.27</v>
      </c>
      <c r="O16" s="35">
        <f ca="1">IF($A$3&gt;O15,INDIRECT(TEXT(O15,"yyyy.m.d")&amp;"!$E$7"),$E$7)</f>
        <v>22057.27</v>
      </c>
      <c r="P16" s="35">
        <f ca="1">IF($A$3&gt;P15,INDIRECT(TEXT(P15,"yyyy.m.d")&amp;"!$E$7"),$E$7)</f>
        <v>22057.27</v>
      </c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>
        <f ca="1">IFERROR(I16-P13,"")</f>
        <v>0</v>
      </c>
      <c r="J17" s="48">
        <f ca="1" t="shared" ref="J17:P17" si="1">IFERROR(J16-I16,"")</f>
        <v>0</v>
      </c>
      <c r="K17" s="48">
        <f ca="1" t="shared" si="1"/>
        <v>0</v>
      </c>
      <c r="L17" s="48">
        <f ca="1" t="shared" si="1"/>
        <v>0</v>
      </c>
      <c r="M17" s="48">
        <f ca="1" t="shared" si="1"/>
        <v>0</v>
      </c>
      <c r="N17" s="48">
        <f ca="1" t="shared" si="1"/>
        <v>0</v>
      </c>
      <c r="O17" s="48">
        <f ca="1" t="shared" si="1"/>
        <v>0</v>
      </c>
      <c r="P17" s="48">
        <f ca="1" t="shared" si="1"/>
        <v>0</v>
      </c>
    </row>
    <row r="18" ht="15" customHeight="1" spans="1:17">
      <c r="A18" s="16"/>
      <c r="B18" s="8" t="s">
        <v>134</v>
      </c>
      <c r="C18" s="8">
        <f>ROUND(D11+D12+D15+D16+D17+D13+D14,2)</f>
        <v>48.22</v>
      </c>
      <c r="D18" s="8"/>
      <c r="E18" s="8">
        <f>ROUND(F11+F12+F15+F16+F17+F13+F14,2)</f>
        <v>148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196.22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177</v>
      </c>
      <c r="N20" s="94">
        <f>D38-81</f>
        <v>122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E38-302</f>
        <v>422</v>
      </c>
      <c r="N21" s="94">
        <f>F38-45</f>
        <v>134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100</v>
      </c>
      <c r="N23" s="94">
        <f>D39-65</f>
        <v>105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368</v>
      </c>
      <c r="N24" s="94">
        <f>F39-7</f>
        <v>163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13695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F44-2032.04+428.62</f>
        <v>3929.19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9974.84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549</v>
      </c>
      <c r="D30" s="49" t="s">
        <v>75</v>
      </c>
      <c r="E30" s="38">
        <f>C39+D39</f>
        <v>400</v>
      </c>
      <c r="F30" s="39"/>
      <c r="G30" s="38"/>
    </row>
    <row r="31" spans="1:7">
      <c r="A31" s="37"/>
      <c r="B31" s="49" t="s">
        <v>76</v>
      </c>
      <c r="C31" s="38">
        <f>E38+F38</f>
        <v>903</v>
      </c>
      <c r="D31" s="49" t="s">
        <v>77</v>
      </c>
      <c r="E31" s="38">
        <f>E39+F39</f>
        <v>796</v>
      </c>
      <c r="F31" s="39"/>
      <c r="G31" s="38"/>
    </row>
    <row r="32" spans="1:7">
      <c r="A32" s="37"/>
      <c r="B32" s="49" t="s">
        <v>78</v>
      </c>
      <c r="C32" s="38">
        <f>C33-C30-C31</f>
        <v>4328</v>
      </c>
      <c r="D32" s="49" t="s">
        <v>79</v>
      </c>
      <c r="E32" s="38">
        <f>E33-E30-E31</f>
        <v>4584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44652</v>
      </c>
      <c r="B36" s="54">
        <v>255.84</v>
      </c>
      <c r="C36" s="55" t="s">
        <v>405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44653</v>
      </c>
      <c r="B37" s="54">
        <v>195.44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44654</v>
      </c>
      <c r="B38" s="54">
        <v>224.04</v>
      </c>
      <c r="C38" s="58">
        <v>346</v>
      </c>
      <c r="D38" s="58">
        <v>203</v>
      </c>
      <c r="E38" s="58">
        <v>724</v>
      </c>
      <c r="F38" s="58">
        <v>179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44655</v>
      </c>
      <c r="B39" s="54">
        <v>232.13</v>
      </c>
      <c r="C39" s="60">
        <v>230</v>
      </c>
      <c r="D39" s="60">
        <v>170</v>
      </c>
      <c r="E39" s="60">
        <v>626</v>
      </c>
      <c r="F39" s="60">
        <v>170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44656</v>
      </c>
      <c r="B40" s="62">
        <v>125.95</v>
      </c>
      <c r="C40" s="63" t="s">
        <v>182</v>
      </c>
      <c r="D40" s="64">
        <f>C38+D38+E38+F38</f>
        <v>1452</v>
      </c>
      <c r="E40" s="65" t="s">
        <v>69</v>
      </c>
      <c r="F40" s="66">
        <f>C39+D39+E39+F39</f>
        <v>1196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44657</v>
      </c>
      <c r="B41" s="54">
        <v>127.45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截止2022年04月10日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44658</v>
      </c>
      <c r="B42" s="54">
        <v>128.33</v>
      </c>
      <c r="C42" s="72" t="s">
        <v>288</v>
      </c>
      <c r="D42" s="72" t="s">
        <v>412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44659</v>
      </c>
      <c r="B43" s="54">
        <v>134.24</v>
      </c>
      <c r="C43" s="74" t="s">
        <v>230</v>
      </c>
      <c r="D43" s="74">
        <v>6130.99</v>
      </c>
      <c r="E43" s="74">
        <v>0</v>
      </c>
      <c r="F43" s="74">
        <f t="shared" ref="F43:F45" si="2">D43+E43</f>
        <v>6130.99</v>
      </c>
      <c r="G43" s="73"/>
      <c r="H43" s="40" t="s">
        <v>61</v>
      </c>
      <c r="I43" s="111">
        <f>ROUND(D40/J43,4)</f>
        <v>0.2456</v>
      </c>
      <c r="J43" s="35">
        <v>5913</v>
      </c>
      <c r="K43" s="36" t="s">
        <v>318</v>
      </c>
      <c r="L43" s="56">
        <f>L44+155+2</f>
        <v>1012</v>
      </c>
      <c r="M43" s="56">
        <f>M44+171</f>
        <v>907</v>
      </c>
      <c r="N43" s="56">
        <f>N44+1460</f>
        <v>15155</v>
      </c>
      <c r="O43" s="56">
        <f>O44+441.6-41.6</f>
        <v>4329.19</v>
      </c>
      <c r="P43" s="56">
        <f>P44+0</f>
        <v>6130.99</v>
      </c>
      <c r="U43" s="4"/>
    </row>
    <row r="44" ht="15.6" spans="1:21">
      <c r="A44" s="53">
        <v>44660</v>
      </c>
      <c r="B44" s="54">
        <v>130.5</v>
      </c>
      <c r="C44" s="74" t="s">
        <v>229</v>
      </c>
      <c r="D44" s="74">
        <v>3127.9</v>
      </c>
      <c r="E44" s="74">
        <v>2404.71</v>
      </c>
      <c r="F44" s="74">
        <f t="shared" si="2"/>
        <v>5532.61</v>
      </c>
      <c r="G44" s="73"/>
      <c r="H44" s="40" t="s">
        <v>62</v>
      </c>
      <c r="I44" s="111">
        <f>ROUND(F40/J44,4)</f>
        <v>0.2023</v>
      </c>
      <c r="J44" s="35">
        <v>5913</v>
      </c>
      <c r="K44" s="36" t="s">
        <v>319</v>
      </c>
      <c r="L44" s="56">
        <f>M20+N20+M21+N21</f>
        <v>855</v>
      </c>
      <c r="M44" s="56">
        <f>M23+N23+M24+N24</f>
        <v>736</v>
      </c>
      <c r="N44" s="56">
        <f>M25</f>
        <v>13695</v>
      </c>
      <c r="O44" s="56">
        <f>M26</f>
        <v>3929.19</v>
      </c>
      <c r="P44" s="56">
        <f>M27</f>
        <v>6130.99</v>
      </c>
      <c r="U44" s="4"/>
    </row>
    <row r="45" ht="15.6" spans="1:21">
      <c r="A45" s="53">
        <v>44661</v>
      </c>
      <c r="B45" s="54">
        <v>196.22</v>
      </c>
      <c r="C45" s="74" t="s">
        <v>228</v>
      </c>
      <c r="D45" s="74">
        <v>6920</v>
      </c>
      <c r="E45" s="74">
        <v>12880</v>
      </c>
      <c r="F45" s="74">
        <f t="shared" si="2"/>
        <v>19800</v>
      </c>
      <c r="G45" s="75"/>
      <c r="H45" s="40" t="s">
        <v>228</v>
      </c>
      <c r="I45" s="111">
        <f>ROUND(F45/J45,4)</f>
        <v>0.1465</v>
      </c>
      <c r="J45" s="35">
        <v>135185</v>
      </c>
      <c r="K45" s="36" t="s">
        <v>320</v>
      </c>
      <c r="L45" s="56">
        <f>D40</f>
        <v>1452</v>
      </c>
      <c r="M45" s="56">
        <f>F40</f>
        <v>1196</v>
      </c>
      <c r="N45" s="56">
        <f>F45</f>
        <v>19800</v>
      </c>
      <c r="O45" s="56">
        <f>F44</f>
        <v>5532.61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0.0825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 ca="1">D40-INDIRECT(YEAR(TODAY()+ROUND(DAY(DATE(YEAR(TODAY()),MONTH(TODAY())+1,0))/2,0))&amp;"."&amp;MONTH(TODAY()+ROUND(DAY(DATE(YEAR(TODAY()),MONTH(TODAY())+1,0))/2,0))-1&amp;".15"&amp;"!d40")</f>
        <v>427</v>
      </c>
      <c r="M47" s="56">
        <f ca="1">F40-INDIRECT(YEAR(TODAY()+ROUND(DAY(DATE(YEAR(TODAY()),MONTH(TODAY())+1,0))/2,0))&amp;"."&amp;MONTH(TODAY()+ROUND(DAY(DATE(YEAR(TODAY()),MONTH(TODAY())+1,0))/2,0))-1&amp;".15"&amp;"!f40")</f>
        <v>376</v>
      </c>
      <c r="N47" s="56">
        <f ca="1">F45-INDIRECT(YEAR(TODAY()+ROUND(DAY(DATE(YEAR(TODAY()),MONTH(TODAY())+1,0))/2,0))&amp;"."&amp;MONTH(TODAY()+ROUND(DAY(DATE(YEAR(TODAY()),MONTH(TODAY())+1,0))/2,0))-1&amp;".15"&amp;"!f45")</f>
        <v>6540</v>
      </c>
      <c r="O47" s="56">
        <f ca="1">F44-INDIRECT(YEAR(TODAY()+ROUND(DAY(DATE(YEAR(TODAY()),MONTH(TODAY())+1,0))/2,0))&amp;"."&amp;MONTH(TODAY()+ROUND(DAY(DATE(YEAR(TODAY()),MONTH(TODAY())+1,0))/2,0))-1&amp;".15"&amp;"!f44")</f>
        <v>1033.86</v>
      </c>
      <c r="P47" s="56">
        <f ca="1">F43-INDIRECT(YEAR(TODAY()+ROUND(DAY(DATE(YEAR(TODAY()),MONTH(TODAY())+1,0))/2,0))&amp;"."&amp;MONTH(TODAY()+ROUND(DAY(DATE(YEAR(TODAY()),MONTH(TODAY())+1,0))/2,0))-1&amp;".15"&amp;"!f43")</f>
        <v>0</v>
      </c>
    </row>
    <row r="48" spans="1:16">
      <c r="A48" s="79">
        <f>SUM(C11,E11,C12,E12)</f>
        <v>17</v>
      </c>
      <c r="B48" s="79">
        <f>SUM(C13,C14,E13,E14)</f>
        <v>22</v>
      </c>
      <c r="C48" s="79">
        <f>C15+E15</f>
        <v>480</v>
      </c>
      <c r="D48" s="79">
        <f>C16+E16</f>
        <v>99.4</v>
      </c>
      <c r="E48" s="79">
        <f>C17+E17</f>
        <v>0</v>
      </c>
      <c r="F48" s="80">
        <f>E3</f>
        <v>196.22</v>
      </c>
      <c r="G48" s="76"/>
      <c r="H48" s="40" t="s">
        <v>231</v>
      </c>
      <c r="I48" s="111">
        <f>ROUND(E7/J48,4)</f>
        <v>0.2443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 ca="1">L47</f>
        <v>427</v>
      </c>
      <c r="B49" s="79">
        <f ca="1">M47</f>
        <v>376</v>
      </c>
      <c r="C49" s="79">
        <f ca="1">N47</f>
        <v>6540</v>
      </c>
      <c r="D49" s="79">
        <f ca="1">O47</f>
        <v>1033.86</v>
      </c>
      <c r="E49" s="79">
        <f ca="1">P47</f>
        <v>0</v>
      </c>
      <c r="F49" s="80">
        <f ca="1">E7-INDIRECT(TEXT(P53,"yyyy.m.d")&amp;"!E7")</f>
        <v>4887</v>
      </c>
      <c r="G49" s="76"/>
      <c r="H49" s="81" t="s">
        <v>406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1012</v>
      </c>
      <c r="B50" s="79">
        <f>M43</f>
        <v>907</v>
      </c>
      <c r="C50" s="79">
        <f>N43</f>
        <v>15155</v>
      </c>
      <c r="D50" s="79">
        <f>O43</f>
        <v>4329.19</v>
      </c>
      <c r="E50" s="79">
        <f>P43</f>
        <v>6130.99</v>
      </c>
      <c r="F50" s="80">
        <f>K7</f>
        <v>11891.89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10日自年初1月1日起完成产值9964.51万元，自开工累计完成产值22057.27万元，自开工占总产值90284.4万元的24.43%，100章临建完成6250.78万元，400章桥梁完成15806.49万元。已完成梁片预制1452片，占设计量的24.56%；梁片安装1196片，占设计量的20.23%；湿接缝19800米，占设计量的14.65%；防撞护栏5532.61米，占设计量的8.25%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6">
      <c r="A52" s="85" t="s">
        <v>386</v>
      </c>
      <c r="B52" s="85"/>
      <c r="C52" s="85"/>
      <c r="D52" s="85"/>
      <c r="E52" s="85"/>
      <c r="F52" s="85"/>
      <c r="H52" s="86" t="s">
        <v>352</v>
      </c>
      <c r="I52" s="86"/>
      <c r="J52" s="86"/>
      <c r="K52" s="86"/>
      <c r="L52" s="86"/>
      <c r="M52" s="86"/>
      <c r="N52" s="86"/>
      <c r="O52" s="86" t="s">
        <v>407</v>
      </c>
      <c r="P52" s="86"/>
    </row>
    <row r="53" spans="8:16">
      <c r="H53" s="87" t="s">
        <v>353</v>
      </c>
      <c r="I53" s="113"/>
      <c r="J53" s="113"/>
      <c r="K53" s="114"/>
      <c r="L53" s="115" t="s">
        <v>354</v>
      </c>
      <c r="M53" s="115" t="s">
        <v>354</v>
      </c>
      <c r="N53" s="115" t="s">
        <v>354</v>
      </c>
      <c r="O53" s="116" t="s">
        <v>408</v>
      </c>
      <c r="P53" s="117" t="str">
        <f>YEAR(P57+ROUND(DAY(DATE(YEAR(P57),MONTH(P57)+1,0))/2,0))&amp;"/"&amp;MONTH(P57+ROUND(DAY(DATE(YEAR(P57),MONTH(P57)+1,0))/2,0))-1&amp;"/15"</f>
        <v>2022/3/15</v>
      </c>
    </row>
    <row r="54" spans="8:16">
      <c r="H54" s="88" t="s">
        <v>355</v>
      </c>
      <c r="I54" s="88" t="s">
        <v>356</v>
      </c>
      <c r="J54" s="88" t="s">
        <v>357</v>
      </c>
      <c r="K54" s="88"/>
      <c r="L54" s="88" t="s">
        <v>358</v>
      </c>
      <c r="M54" s="88" t="s">
        <v>359</v>
      </c>
      <c r="N54" s="88" t="s">
        <v>360</v>
      </c>
      <c r="O54" s="116"/>
      <c r="P54" s="117"/>
    </row>
    <row r="55" spans="8:16">
      <c r="H55" s="89">
        <v>1</v>
      </c>
      <c r="I55" s="89">
        <v>100</v>
      </c>
      <c r="J55" s="118" t="s">
        <v>361</v>
      </c>
      <c r="K55" s="118"/>
      <c r="L55" s="119">
        <v>72272958</v>
      </c>
      <c r="M55" s="119">
        <f t="shared" ref="M55:M60" si="3">L55/10000</f>
        <v>7227.2958</v>
      </c>
      <c r="N55" s="119">
        <f t="shared" ref="N55:N60" si="4">ROUND(M55/10000,2)</f>
        <v>0.72</v>
      </c>
      <c r="O55" s="120" t="s">
        <v>415</v>
      </c>
      <c r="P55" s="121">
        <f>P53+1</f>
        <v>44636</v>
      </c>
    </row>
    <row r="56" spans="8:16">
      <c r="H56" s="89">
        <v>2</v>
      </c>
      <c r="I56" s="89">
        <v>400</v>
      </c>
      <c r="J56" s="118" t="s">
        <v>362</v>
      </c>
      <c r="K56" s="118"/>
      <c r="L56" s="119">
        <v>808224659</v>
      </c>
      <c r="M56" s="119">
        <f t="shared" si="3"/>
        <v>80822.4659</v>
      </c>
      <c r="N56" s="119">
        <f t="shared" si="4"/>
        <v>8.08</v>
      </c>
      <c r="O56" s="122"/>
      <c r="P56" s="123"/>
    </row>
    <row r="57" spans="8:16">
      <c r="H57" s="89">
        <v>3</v>
      </c>
      <c r="I57" s="89">
        <v>400</v>
      </c>
      <c r="J57" s="118" t="s">
        <v>363</v>
      </c>
      <c r="K57" s="118"/>
      <c r="L57" s="119">
        <v>8817290</v>
      </c>
      <c r="M57" s="119">
        <f t="shared" si="3"/>
        <v>881.729</v>
      </c>
      <c r="N57" s="119">
        <f t="shared" si="4"/>
        <v>0.09</v>
      </c>
      <c r="O57" s="120" t="s">
        <v>409</v>
      </c>
      <c r="P57" s="121">
        <f>A3</f>
        <v>44661</v>
      </c>
    </row>
    <row r="58" spans="8:16">
      <c r="H58" s="89">
        <v>4</v>
      </c>
      <c r="I58" s="118" t="s">
        <v>364</v>
      </c>
      <c r="J58" s="118"/>
      <c r="K58" s="118"/>
      <c r="L58" s="119">
        <v>889314907</v>
      </c>
      <c r="M58" s="119">
        <f t="shared" si="3"/>
        <v>88931.4907</v>
      </c>
      <c r="N58" s="119">
        <f t="shared" si="4"/>
        <v>8.89</v>
      </c>
      <c r="O58" s="122"/>
      <c r="P58" s="123"/>
    </row>
    <row r="59" spans="8:16">
      <c r="H59" s="89">
        <v>5</v>
      </c>
      <c r="I59" s="118" t="s">
        <v>365</v>
      </c>
      <c r="J59" s="118"/>
      <c r="K59" s="118"/>
      <c r="L59" s="119">
        <v>1380000</v>
      </c>
      <c r="M59" s="119">
        <f t="shared" si="3"/>
        <v>138</v>
      </c>
      <c r="N59" s="119">
        <f t="shared" si="4"/>
        <v>0.01</v>
      </c>
      <c r="O59" s="120" t="s">
        <v>410</v>
      </c>
      <c r="P59" s="121">
        <f>DATE(YEAR(P53),MONTH(P53)+1,15)</f>
        <v>44666</v>
      </c>
    </row>
    <row r="60" spans="8:16">
      <c r="H60" s="89">
        <v>6</v>
      </c>
      <c r="I60" s="118" t="s">
        <v>366</v>
      </c>
      <c r="J60" s="118"/>
      <c r="K60" s="118"/>
      <c r="L60" s="119">
        <v>887934907</v>
      </c>
      <c r="M60" s="119">
        <f t="shared" si="3"/>
        <v>88793.4907</v>
      </c>
      <c r="N60" s="119">
        <f t="shared" si="4"/>
        <v>8.88</v>
      </c>
      <c r="O60" s="122"/>
      <c r="P60" s="123"/>
    </row>
    <row r="61" spans="8:16">
      <c r="H61" s="89">
        <v>7</v>
      </c>
      <c r="I61" s="118" t="s">
        <v>367</v>
      </c>
      <c r="J61" s="118"/>
      <c r="K61" s="118"/>
      <c r="L61" s="119"/>
      <c r="M61" s="119"/>
      <c r="N61" s="119"/>
      <c r="O61" s="124"/>
      <c r="P61" s="117"/>
    </row>
    <row r="62" spans="8:16">
      <c r="H62" s="89">
        <v>8</v>
      </c>
      <c r="I62" s="118" t="s">
        <v>368</v>
      </c>
      <c r="J62" s="118"/>
      <c r="K62" s="118"/>
      <c r="L62" s="119">
        <v>13529094</v>
      </c>
      <c r="M62" s="119">
        <f>L62/10000</f>
        <v>1352.9094</v>
      </c>
      <c r="N62" s="119">
        <f>ROUND(M62/10000,2)</f>
        <v>0.14</v>
      </c>
      <c r="O62" s="124"/>
      <c r="P62" s="117"/>
    </row>
    <row r="63" spans="8:16">
      <c r="H63" s="89">
        <v>9</v>
      </c>
      <c r="I63" s="118" t="s">
        <v>369</v>
      </c>
      <c r="J63" s="118"/>
      <c r="K63" s="118"/>
      <c r="L63" s="119">
        <v>902844001</v>
      </c>
      <c r="M63" s="119">
        <f>L63/10000</f>
        <v>90284.4001</v>
      </c>
      <c r="N63" s="119">
        <f>ROUND(M63/10000,2)</f>
        <v>9.03</v>
      </c>
      <c r="O63" s="124"/>
      <c r="P63" s="117"/>
    </row>
  </sheetData>
  <mergeCells count="76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H52:N52"/>
    <mergeCell ref="O52:P52"/>
    <mergeCell ref="A53:F53"/>
    <mergeCell ref="H53:K53"/>
    <mergeCell ref="J54:K54"/>
    <mergeCell ref="J55:K55"/>
    <mergeCell ref="J56:K56"/>
    <mergeCell ref="J57:K57"/>
    <mergeCell ref="I58:K58"/>
    <mergeCell ref="I59:K59"/>
    <mergeCell ref="I60:K60"/>
    <mergeCell ref="I61:K61"/>
    <mergeCell ref="I62:K62"/>
    <mergeCell ref="I63:K63"/>
    <mergeCell ref="A3:A7"/>
    <mergeCell ref="A9:A10"/>
    <mergeCell ref="A11:A19"/>
    <mergeCell ref="B9:B10"/>
    <mergeCell ref="E3:E5"/>
    <mergeCell ref="F3:F7"/>
    <mergeCell ref="H6:H7"/>
    <mergeCell ref="H9:H17"/>
    <mergeCell ref="O53:O54"/>
    <mergeCell ref="O55:O56"/>
    <mergeCell ref="O57:O58"/>
    <mergeCell ref="O59:O60"/>
    <mergeCell ref="P53:P54"/>
    <mergeCell ref="P55:P56"/>
    <mergeCell ref="P57:P58"/>
    <mergeCell ref="P59:P60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workbookViewId="0">
      <selection activeCell="O7" sqref="O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44662</v>
      </c>
      <c r="B3" s="12" t="s">
        <v>7</v>
      </c>
      <c r="C3" s="12">
        <v>0</v>
      </c>
      <c r="D3" s="12">
        <f>ROUND(D11+D12+D15+D16+D17+D13+D14,2)</f>
        <v>72.24</v>
      </c>
      <c r="E3" s="13">
        <f>ROUND(C5+D5,2)</f>
        <v>180.1</v>
      </c>
      <c r="F3" s="14" t="s">
        <v>419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107.86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180.1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9894.61</v>
      </c>
      <c r="E6" s="8">
        <f>ROUND(C6+D6,2)</f>
        <v>10144.61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15986.59</v>
      </c>
      <c r="E7" s="8">
        <f>ROUND(C7+D7,2)</f>
        <v>22237.37</v>
      </c>
      <c r="F7" s="17"/>
      <c r="G7" s="18"/>
      <c r="H7" s="22"/>
      <c r="I7" s="48">
        <f>210+C6</f>
        <v>460</v>
      </c>
      <c r="J7" s="48">
        <f>D6+1717.38</f>
        <v>11611.99</v>
      </c>
      <c r="K7" s="48">
        <f>J7+I7</f>
        <v>12071.99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405</v>
      </c>
      <c r="D9" s="28"/>
      <c r="E9" s="28" t="s">
        <v>133</v>
      </c>
      <c r="F9" s="28"/>
      <c r="G9" s="29"/>
      <c r="H9" s="30" t="s">
        <v>200</v>
      </c>
      <c r="I9" s="93">
        <v>44362</v>
      </c>
      <c r="J9" s="93">
        <v>44392</v>
      </c>
      <c r="K9" s="93">
        <v>44423</v>
      </c>
      <c r="L9" s="93">
        <v>44454</v>
      </c>
      <c r="M9" s="93">
        <v>44484</v>
      </c>
      <c r="N9" s="93">
        <v>44515</v>
      </c>
      <c r="O9" s="93">
        <v>44545</v>
      </c>
      <c r="P9" s="93">
        <v>44576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44662</v>
      </c>
      <c r="B11" s="32" t="s">
        <v>172</v>
      </c>
      <c r="C11" s="33">
        <v>4</v>
      </c>
      <c r="D11" s="8">
        <v>30.92</v>
      </c>
      <c r="E11" s="33">
        <v>3</v>
      </c>
      <c r="F11" s="8">
        <v>23.1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3</v>
      </c>
      <c r="F12" s="8">
        <v>45.84</v>
      </c>
      <c r="G12" s="10"/>
      <c r="H12" s="30"/>
      <c r="I12" s="93">
        <v>44607</v>
      </c>
      <c r="J12" s="93">
        <v>44635</v>
      </c>
      <c r="K12" s="93">
        <v>44666</v>
      </c>
      <c r="L12" s="93">
        <v>44696</v>
      </c>
      <c r="M12" s="93">
        <v>44727</v>
      </c>
      <c r="N12" s="93">
        <v>44757</v>
      </c>
      <c r="O12" s="93">
        <v>44788</v>
      </c>
      <c r="P12" s="93">
        <v>44819</v>
      </c>
    </row>
    <row r="13" ht="15" customHeight="1" spans="1:16">
      <c r="A13" s="16"/>
      <c r="B13" s="34" t="s">
        <v>169</v>
      </c>
      <c r="C13" s="33">
        <v>8</v>
      </c>
      <c r="D13" s="8">
        <v>1.296</v>
      </c>
      <c r="E13" s="33">
        <v>15</v>
      </c>
      <c r="F13" s="8">
        <v>2.43</v>
      </c>
      <c r="G13" s="10"/>
      <c r="H13" s="30"/>
      <c r="I13" s="35">
        <v>14233.94</v>
      </c>
      <c r="J13" s="35">
        <f ca="1">IF($A$3&gt;J12,INDIRECT(TEXT(J12,"yyyy.m.d")&amp;"!$E$7"),$E$7)</f>
        <v>17170.27</v>
      </c>
      <c r="K13" s="35">
        <f ca="1">IF($A$3&gt;K12,INDIRECT(TEXT(K12,"yyyy.m.d")&amp;"!$E$7"),$E$7)</f>
        <v>22237.37</v>
      </c>
      <c r="L13" s="35">
        <f ca="1">IF($A$3&gt;L12,INDIRECT(TEXT(L12,"yyyy.m.d")&amp;"!$E$7"),$E$7)</f>
        <v>22237.37</v>
      </c>
      <c r="M13" s="35">
        <f ca="1">IF($A$3&gt;M12,INDIRECT(TEXT(M12,"yyyy.m.d")&amp;"!$E$7"),$E$7)</f>
        <v>22237.37</v>
      </c>
      <c r="N13" s="35">
        <f ca="1">IF($A$3&gt;N12,INDIRECT(TEXT(N12,"yyyy.m.d")&amp;"!$E$7"),$E$7)</f>
        <v>22237.37</v>
      </c>
      <c r="O13" s="35">
        <f ca="1">IF($A$3&gt;O12,INDIRECT(TEXT(O12,"yyyy.m.d")&amp;"!$E$7"),$E$7)</f>
        <v>22237.37</v>
      </c>
      <c r="P13" s="35">
        <f ca="1">IF($A$3&gt;P12,INDIRECT(TEXT(P12,"yyyy.m.d")&amp;"!$E$7"),$E$7)</f>
        <v>22237.37</v>
      </c>
    </row>
    <row r="14" ht="15" customHeight="1" spans="1:16">
      <c r="A14" s="16"/>
      <c r="B14" s="34" t="s">
        <v>170</v>
      </c>
      <c r="C14" s="33">
        <v>12</v>
      </c>
      <c r="D14" s="8">
        <v>3.024</v>
      </c>
      <c r="E14" s="33">
        <v>3</v>
      </c>
      <c r="F14" s="8">
        <v>0.756</v>
      </c>
      <c r="G14" s="10"/>
      <c r="H14" s="30"/>
      <c r="I14" s="48">
        <v>699.51</v>
      </c>
      <c r="J14" s="48">
        <v>2936.33</v>
      </c>
      <c r="K14" s="48">
        <f ca="1" t="shared" ref="K14:P14" si="0">IFERROR(K13-J13,"")</f>
        <v>5067.1</v>
      </c>
      <c r="L14" s="48">
        <f ca="1" t="shared" si="0"/>
        <v>0</v>
      </c>
      <c r="M14" s="48">
        <f ca="1" t="shared" si="0"/>
        <v>0</v>
      </c>
      <c r="N14" s="48">
        <f ca="1" t="shared" si="0"/>
        <v>0</v>
      </c>
      <c r="O14" s="48">
        <f ca="1" t="shared" si="0"/>
        <v>0</v>
      </c>
      <c r="P14" s="48">
        <f ca="1" t="shared" si="0"/>
        <v>0</v>
      </c>
    </row>
    <row r="15" ht="15" customHeight="1" spans="1:16">
      <c r="A15" s="16"/>
      <c r="B15" s="34" t="s">
        <v>112</v>
      </c>
      <c r="C15" s="33">
        <v>160</v>
      </c>
      <c r="D15" s="8">
        <v>6.53</v>
      </c>
      <c r="E15" s="33">
        <v>300</v>
      </c>
      <c r="F15" s="8">
        <v>12.21</v>
      </c>
      <c r="G15" s="10"/>
      <c r="H15" s="30"/>
      <c r="I15" s="97">
        <v>44849</v>
      </c>
      <c r="J15" s="97">
        <v>44880</v>
      </c>
      <c r="K15" s="97">
        <v>44910</v>
      </c>
      <c r="L15" s="97">
        <v>44941</v>
      </c>
      <c r="M15" s="97">
        <v>44972</v>
      </c>
      <c r="N15" s="97">
        <v>45000</v>
      </c>
      <c r="O15" s="97">
        <v>45031</v>
      </c>
      <c r="P15" s="97">
        <v>45061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222.15</v>
      </c>
      <c r="F16" s="8">
        <v>23.52</v>
      </c>
      <c r="G16" s="10"/>
      <c r="H16" s="30"/>
      <c r="I16" s="35">
        <f ca="1">IF($A$3&gt;I15,INDIRECT(TEXT(I15,"yyyy.m.d")&amp;"!$E$7"),$E$7)</f>
        <v>22237.37</v>
      </c>
      <c r="J16" s="35">
        <f ca="1">IF($A$3&gt;J15,INDIRECT(TEXT(J15,"yyyy.m.d")&amp;"!$E$7"),$E$7)</f>
        <v>22237.37</v>
      </c>
      <c r="K16" s="35">
        <f ca="1">IF($A$3&gt;K15,INDIRECT(TEXT(K15,"yyyy.m.d")&amp;"!$E$7"),$E$7)</f>
        <v>22237.37</v>
      </c>
      <c r="L16" s="35">
        <f ca="1">IF($A$3&gt;L15,INDIRECT(TEXT(L15,"yyyy.m.d")&amp;"!$E$7"),$E$7)</f>
        <v>22237.37</v>
      </c>
      <c r="M16" s="35">
        <f ca="1">IF($A$3&gt;M15,INDIRECT(TEXT(M15,"yyyy.m.d")&amp;"!$E$7"),$E$7)</f>
        <v>22237.37</v>
      </c>
      <c r="N16" s="35">
        <f ca="1">IF($A$3&gt;N15,INDIRECT(TEXT(N15,"yyyy.m.d")&amp;"!$E$7"),$E$7)</f>
        <v>22237.37</v>
      </c>
      <c r="O16" s="35">
        <f ca="1">IF($A$3&gt;O15,INDIRECT(TEXT(O15,"yyyy.m.d")&amp;"!$E$7"),$E$7)</f>
        <v>22237.37</v>
      </c>
      <c r="P16" s="35">
        <f ca="1">IF($A$3&gt;P15,INDIRECT(TEXT(P15,"yyyy.m.d")&amp;"!$E$7"),$E$7)</f>
        <v>22237.37</v>
      </c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>
        <f ca="1">IFERROR(I16-P13,"")</f>
        <v>0</v>
      </c>
      <c r="J17" s="48">
        <f ca="1" t="shared" ref="J17:P17" si="1">IFERROR(J16-I16,"")</f>
        <v>0</v>
      </c>
      <c r="K17" s="48">
        <f ca="1" t="shared" si="1"/>
        <v>0</v>
      </c>
      <c r="L17" s="48">
        <f ca="1" t="shared" si="1"/>
        <v>0</v>
      </c>
      <c r="M17" s="48">
        <f ca="1" t="shared" si="1"/>
        <v>0</v>
      </c>
      <c r="N17" s="48">
        <f ca="1" t="shared" si="1"/>
        <v>0</v>
      </c>
      <c r="O17" s="48">
        <f ca="1" t="shared" si="1"/>
        <v>0</v>
      </c>
      <c r="P17" s="48">
        <f ca="1" t="shared" si="1"/>
        <v>0</v>
      </c>
    </row>
    <row r="18" ht="15" customHeight="1" spans="1:17">
      <c r="A18" s="16"/>
      <c r="B18" s="8" t="s">
        <v>134</v>
      </c>
      <c r="C18" s="8">
        <f>ROUND(D11+D12+D15+D16+D17+D13+D14,2)</f>
        <v>72.24</v>
      </c>
      <c r="D18" s="8"/>
      <c r="E18" s="8">
        <f>ROUND(F11+F12+F15+F16+F17+F13+F14,2)</f>
        <v>107.86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180.1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181</v>
      </c>
      <c r="N20" s="94">
        <f>D38-81</f>
        <v>124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E38-302</f>
        <v>425</v>
      </c>
      <c r="N21" s="94">
        <f>F38-45</f>
        <v>137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108</v>
      </c>
      <c r="N23" s="94">
        <f>D39-65</f>
        <v>117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383</v>
      </c>
      <c r="N24" s="94">
        <f>F39-7</f>
        <v>166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14155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F44-2032.04+428.62</f>
        <v>4151.34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10154.94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555</v>
      </c>
      <c r="D30" s="49" t="s">
        <v>75</v>
      </c>
      <c r="E30" s="38">
        <f>C39+D39</f>
        <v>420</v>
      </c>
      <c r="F30" s="39"/>
      <c r="G30" s="38"/>
    </row>
    <row r="31" spans="1:7">
      <c r="A31" s="37"/>
      <c r="B31" s="49" t="s">
        <v>76</v>
      </c>
      <c r="C31" s="38">
        <f>E38+F38</f>
        <v>909</v>
      </c>
      <c r="D31" s="49" t="s">
        <v>77</v>
      </c>
      <c r="E31" s="38">
        <f>E39+F39</f>
        <v>814</v>
      </c>
      <c r="F31" s="39"/>
      <c r="G31" s="38"/>
    </row>
    <row r="32" spans="1:7">
      <c r="A32" s="37"/>
      <c r="B32" s="49" t="s">
        <v>78</v>
      </c>
      <c r="C32" s="38">
        <f>C33-C30-C31</f>
        <v>4316</v>
      </c>
      <c r="D32" s="49" t="s">
        <v>79</v>
      </c>
      <c r="E32" s="38">
        <f>E33-E30-E31</f>
        <v>4546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44653</v>
      </c>
      <c r="B36" s="54">
        <v>195.44</v>
      </c>
      <c r="C36" s="55" t="s">
        <v>405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44654</v>
      </c>
      <c r="B37" s="54">
        <v>224.04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44655</v>
      </c>
      <c r="B38" s="54">
        <v>232.13</v>
      </c>
      <c r="C38" s="58">
        <v>350</v>
      </c>
      <c r="D38" s="58">
        <v>205</v>
      </c>
      <c r="E38" s="58">
        <v>727</v>
      </c>
      <c r="F38" s="58">
        <v>182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44656</v>
      </c>
      <c r="B39" s="54">
        <v>125.95</v>
      </c>
      <c r="C39" s="60">
        <v>238</v>
      </c>
      <c r="D39" s="60">
        <v>182</v>
      </c>
      <c r="E39" s="60">
        <v>641</v>
      </c>
      <c r="F39" s="60">
        <v>173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44657</v>
      </c>
      <c r="B40" s="62">
        <v>127.45</v>
      </c>
      <c r="C40" s="63" t="s">
        <v>182</v>
      </c>
      <c r="D40" s="64">
        <f>C38+D38+E38+F38</f>
        <v>1464</v>
      </c>
      <c r="E40" s="65" t="s">
        <v>69</v>
      </c>
      <c r="F40" s="66">
        <f>C39+D39+E39+F39</f>
        <v>1234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44658</v>
      </c>
      <c r="B41" s="54">
        <v>128.33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截止2022年04月11日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44659</v>
      </c>
      <c r="B42" s="54">
        <v>134.24</v>
      </c>
      <c r="C42" s="72" t="s">
        <v>288</v>
      </c>
      <c r="D42" s="72" t="s">
        <v>412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44660</v>
      </c>
      <c r="B43" s="54">
        <v>130.5</v>
      </c>
      <c r="C43" s="74" t="s">
        <v>230</v>
      </c>
      <c r="D43" s="74">
        <v>6130.99</v>
      </c>
      <c r="E43" s="74">
        <v>0</v>
      </c>
      <c r="F43" s="74">
        <f t="shared" ref="F43:F45" si="2">D43+E43</f>
        <v>6130.99</v>
      </c>
      <c r="G43" s="73"/>
      <c r="H43" s="40" t="s">
        <v>61</v>
      </c>
      <c r="I43" s="111">
        <f>ROUND(D40/J43,4)</f>
        <v>0.2476</v>
      </c>
      <c r="J43" s="35">
        <v>5913</v>
      </c>
      <c r="K43" s="36" t="s">
        <v>318</v>
      </c>
      <c r="L43" s="56">
        <f>L44+155+2</f>
        <v>1024</v>
      </c>
      <c r="M43" s="56">
        <f>M44+171</f>
        <v>945</v>
      </c>
      <c r="N43" s="56">
        <f>N44+1460</f>
        <v>15615</v>
      </c>
      <c r="O43" s="56">
        <f>O44+441.6-41.6</f>
        <v>4551.34</v>
      </c>
      <c r="P43" s="56">
        <f>P44+0</f>
        <v>6130.99</v>
      </c>
      <c r="U43" s="4"/>
    </row>
    <row r="44" ht="15.6" spans="1:21">
      <c r="A44" s="53">
        <v>44661</v>
      </c>
      <c r="B44" s="54">
        <v>196.22</v>
      </c>
      <c r="C44" s="74" t="s">
        <v>229</v>
      </c>
      <c r="D44" s="74">
        <v>3127.9</v>
      </c>
      <c r="E44" s="74">
        <v>2626.86</v>
      </c>
      <c r="F44" s="74">
        <f t="shared" si="2"/>
        <v>5754.76</v>
      </c>
      <c r="G44" s="73"/>
      <c r="H44" s="40" t="s">
        <v>62</v>
      </c>
      <c r="I44" s="111">
        <f>ROUND(F40/J44,4)</f>
        <v>0.2087</v>
      </c>
      <c r="J44" s="35">
        <v>5913</v>
      </c>
      <c r="K44" s="36" t="s">
        <v>319</v>
      </c>
      <c r="L44" s="56">
        <f>M20+N20+M21+N21</f>
        <v>867</v>
      </c>
      <c r="M44" s="56">
        <f>M23+N23+M24+N24</f>
        <v>774</v>
      </c>
      <c r="N44" s="56">
        <f>M25</f>
        <v>14155</v>
      </c>
      <c r="O44" s="56">
        <f>M26</f>
        <v>4151.34</v>
      </c>
      <c r="P44" s="56">
        <f>M27</f>
        <v>6130.99</v>
      </c>
      <c r="U44" s="4"/>
    </row>
    <row r="45" ht="15.6" spans="1:21">
      <c r="A45" s="53">
        <v>44662</v>
      </c>
      <c r="B45" s="54">
        <v>180.1</v>
      </c>
      <c r="C45" s="74" t="s">
        <v>228</v>
      </c>
      <c r="D45" s="74">
        <v>7080</v>
      </c>
      <c r="E45" s="74">
        <v>13180</v>
      </c>
      <c r="F45" s="74">
        <f t="shared" si="2"/>
        <v>20260</v>
      </c>
      <c r="G45" s="75"/>
      <c r="H45" s="40" t="s">
        <v>228</v>
      </c>
      <c r="I45" s="111">
        <f>ROUND(F45/J45,4)</f>
        <v>0.1499</v>
      </c>
      <c r="J45" s="35">
        <v>135185</v>
      </c>
      <c r="K45" s="36" t="s">
        <v>320</v>
      </c>
      <c r="L45" s="56">
        <f>D40</f>
        <v>1464</v>
      </c>
      <c r="M45" s="56">
        <f>F40</f>
        <v>1234</v>
      </c>
      <c r="N45" s="56">
        <f>F45</f>
        <v>20260</v>
      </c>
      <c r="O45" s="56">
        <f>F44</f>
        <v>5754.76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0.0858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 ca="1">D40-INDIRECT(YEAR(TODAY()+ROUND(DAY(DATE(YEAR(TODAY()),MONTH(TODAY())+1,0))/2,0))&amp;"."&amp;MONTH(TODAY()+ROUND(DAY(DATE(YEAR(TODAY()),MONTH(TODAY())+1,0))/2,0))-1&amp;".15"&amp;"!d40")</f>
        <v>439</v>
      </c>
      <c r="M47" s="56">
        <f ca="1">F40-INDIRECT(YEAR(TODAY()+ROUND(DAY(DATE(YEAR(TODAY()),MONTH(TODAY())+1,0))/2,0))&amp;"."&amp;MONTH(TODAY()+ROUND(DAY(DATE(YEAR(TODAY()),MONTH(TODAY())+1,0))/2,0))-1&amp;".15"&amp;"!f40")</f>
        <v>414</v>
      </c>
      <c r="N47" s="56">
        <f ca="1">F45-INDIRECT(YEAR(TODAY()+ROUND(DAY(DATE(YEAR(TODAY()),MONTH(TODAY())+1,0))/2,0))&amp;"."&amp;MONTH(TODAY()+ROUND(DAY(DATE(YEAR(TODAY()),MONTH(TODAY())+1,0))/2,0))-1&amp;".15"&amp;"!f45")</f>
        <v>7000</v>
      </c>
      <c r="O47" s="56">
        <f ca="1">F44-INDIRECT(YEAR(TODAY()+ROUND(DAY(DATE(YEAR(TODAY()),MONTH(TODAY())+1,0))/2,0))&amp;"."&amp;MONTH(TODAY()+ROUND(DAY(DATE(YEAR(TODAY()),MONTH(TODAY())+1,0))/2,0))-1&amp;".15"&amp;"!f44")</f>
        <v>1256.01</v>
      </c>
      <c r="P47" s="56">
        <f ca="1">F43-INDIRECT(YEAR(TODAY()+ROUND(DAY(DATE(YEAR(TODAY()),MONTH(TODAY())+1,0))/2,0))&amp;"."&amp;MONTH(TODAY()+ROUND(DAY(DATE(YEAR(TODAY()),MONTH(TODAY())+1,0))/2,0))-1&amp;".15"&amp;"!f43")</f>
        <v>0</v>
      </c>
    </row>
    <row r="48" spans="1:16">
      <c r="A48" s="79">
        <f>SUM(C11,E11,C12,E12)</f>
        <v>12</v>
      </c>
      <c r="B48" s="79">
        <f>SUM(C13,C14,E13,E14)</f>
        <v>38</v>
      </c>
      <c r="C48" s="79">
        <f>C15+E15</f>
        <v>460</v>
      </c>
      <c r="D48" s="79">
        <f>C16+E16</f>
        <v>222.15</v>
      </c>
      <c r="E48" s="79">
        <f>C17+E17</f>
        <v>0</v>
      </c>
      <c r="F48" s="80">
        <f>E3</f>
        <v>180.1</v>
      </c>
      <c r="G48" s="76"/>
      <c r="H48" s="40" t="s">
        <v>231</v>
      </c>
      <c r="I48" s="111">
        <f>ROUND(E7/J48,4)</f>
        <v>0.2463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 ca="1">L47</f>
        <v>439</v>
      </c>
      <c r="B49" s="79">
        <f ca="1">M47</f>
        <v>414</v>
      </c>
      <c r="C49" s="79">
        <f ca="1">N47</f>
        <v>7000</v>
      </c>
      <c r="D49" s="79">
        <f ca="1">O47</f>
        <v>1256.01</v>
      </c>
      <c r="E49" s="79">
        <f ca="1">P47</f>
        <v>0</v>
      </c>
      <c r="F49" s="80">
        <f ca="1">E7-INDIRECT(TEXT(P53,"yyyy.m.d")&amp;"!E7")</f>
        <v>5067.1</v>
      </c>
      <c r="G49" s="76"/>
      <c r="H49" s="81" t="s">
        <v>406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1024</v>
      </c>
      <c r="B50" s="79">
        <f>M43</f>
        <v>945</v>
      </c>
      <c r="C50" s="79">
        <f>N43</f>
        <v>15615</v>
      </c>
      <c r="D50" s="79">
        <f>O43</f>
        <v>4551.34</v>
      </c>
      <c r="E50" s="79">
        <f>P43</f>
        <v>6130.99</v>
      </c>
      <c r="F50" s="80">
        <f>K7</f>
        <v>12071.99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11日自年初1月1日起完成产值10144.61万元，自开工累计完成产值22237.37万元，自开工占总产值90284.4万元的24.63%，100章临建完成6250.78万元，400章桥梁完成15986.59万元。已完成梁片预制1464片，占设计量的24.76%；梁片安装1234片，占设计量的20.87%；湿接缝20260米，占设计量的14.99%；防撞护栏5754.76米，占设计量的8.58%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6">
      <c r="A52" s="85" t="s">
        <v>386</v>
      </c>
      <c r="B52" s="85"/>
      <c r="C52" s="85"/>
      <c r="D52" s="85"/>
      <c r="E52" s="85"/>
      <c r="F52" s="85"/>
      <c r="H52" s="86" t="s">
        <v>352</v>
      </c>
      <c r="I52" s="86"/>
      <c r="J52" s="86"/>
      <c r="K52" s="86"/>
      <c r="L52" s="86"/>
      <c r="M52" s="86"/>
      <c r="N52" s="86"/>
      <c r="O52" s="86" t="s">
        <v>407</v>
      </c>
      <c r="P52" s="86"/>
    </row>
    <row r="53" spans="8:16">
      <c r="H53" s="87" t="s">
        <v>353</v>
      </c>
      <c r="I53" s="113"/>
      <c r="J53" s="113"/>
      <c r="K53" s="114"/>
      <c r="L53" s="115" t="s">
        <v>354</v>
      </c>
      <c r="M53" s="115" t="s">
        <v>354</v>
      </c>
      <c r="N53" s="115" t="s">
        <v>354</v>
      </c>
      <c r="O53" s="116" t="s">
        <v>408</v>
      </c>
      <c r="P53" s="117" t="str">
        <f>YEAR(P57+ROUND(DAY(DATE(YEAR(P57),MONTH(P57)+1,0))/2,0))&amp;"/"&amp;MONTH(P57+ROUND(DAY(DATE(YEAR(P57),MONTH(P57)+1,0))/2,0))-1&amp;"/15"</f>
        <v>2022/3/15</v>
      </c>
    </row>
    <row r="54" spans="8:16">
      <c r="H54" s="88" t="s">
        <v>355</v>
      </c>
      <c r="I54" s="88" t="s">
        <v>356</v>
      </c>
      <c r="J54" s="88" t="s">
        <v>357</v>
      </c>
      <c r="K54" s="88"/>
      <c r="L54" s="88" t="s">
        <v>358</v>
      </c>
      <c r="M54" s="88" t="s">
        <v>359</v>
      </c>
      <c r="N54" s="88" t="s">
        <v>360</v>
      </c>
      <c r="O54" s="116"/>
      <c r="P54" s="117"/>
    </row>
    <row r="55" spans="8:16">
      <c r="H55" s="89">
        <v>1</v>
      </c>
      <c r="I55" s="89">
        <v>100</v>
      </c>
      <c r="J55" s="118" t="s">
        <v>361</v>
      </c>
      <c r="K55" s="118"/>
      <c r="L55" s="119">
        <v>72272958</v>
      </c>
      <c r="M55" s="119">
        <f t="shared" ref="M55:M60" si="3">L55/10000</f>
        <v>7227.2958</v>
      </c>
      <c r="N55" s="119">
        <f t="shared" ref="N55:N60" si="4">ROUND(M55/10000,2)</f>
        <v>0.72</v>
      </c>
      <c r="O55" s="120" t="s">
        <v>415</v>
      </c>
      <c r="P55" s="121">
        <f>P53+1</f>
        <v>44636</v>
      </c>
    </row>
    <row r="56" spans="8:16">
      <c r="H56" s="89">
        <v>2</v>
      </c>
      <c r="I56" s="89">
        <v>400</v>
      </c>
      <c r="J56" s="118" t="s">
        <v>362</v>
      </c>
      <c r="K56" s="118"/>
      <c r="L56" s="119">
        <v>808224659</v>
      </c>
      <c r="M56" s="119">
        <f t="shared" si="3"/>
        <v>80822.4659</v>
      </c>
      <c r="N56" s="119">
        <f t="shared" si="4"/>
        <v>8.08</v>
      </c>
      <c r="O56" s="122"/>
      <c r="P56" s="123"/>
    </row>
    <row r="57" spans="8:16">
      <c r="H57" s="89">
        <v>3</v>
      </c>
      <c r="I57" s="89">
        <v>400</v>
      </c>
      <c r="J57" s="118" t="s">
        <v>363</v>
      </c>
      <c r="K57" s="118"/>
      <c r="L57" s="119">
        <v>8817290</v>
      </c>
      <c r="M57" s="119">
        <f t="shared" si="3"/>
        <v>881.729</v>
      </c>
      <c r="N57" s="119">
        <f t="shared" si="4"/>
        <v>0.09</v>
      </c>
      <c r="O57" s="120" t="s">
        <v>409</v>
      </c>
      <c r="P57" s="121">
        <f>A3</f>
        <v>44662</v>
      </c>
    </row>
    <row r="58" spans="8:16">
      <c r="H58" s="89">
        <v>4</v>
      </c>
      <c r="I58" s="118" t="s">
        <v>364</v>
      </c>
      <c r="J58" s="118"/>
      <c r="K58" s="118"/>
      <c r="L58" s="119">
        <v>889314907</v>
      </c>
      <c r="M58" s="119">
        <f t="shared" si="3"/>
        <v>88931.4907</v>
      </c>
      <c r="N58" s="119">
        <f t="shared" si="4"/>
        <v>8.89</v>
      </c>
      <c r="O58" s="122"/>
      <c r="P58" s="123"/>
    </row>
    <row r="59" spans="8:16">
      <c r="H59" s="89">
        <v>5</v>
      </c>
      <c r="I59" s="118" t="s">
        <v>365</v>
      </c>
      <c r="J59" s="118"/>
      <c r="K59" s="118"/>
      <c r="L59" s="119">
        <v>1380000</v>
      </c>
      <c r="M59" s="119">
        <f t="shared" si="3"/>
        <v>138</v>
      </c>
      <c r="N59" s="119">
        <f t="shared" si="4"/>
        <v>0.01</v>
      </c>
      <c r="O59" s="120" t="s">
        <v>410</v>
      </c>
      <c r="P59" s="121">
        <f>DATE(YEAR(P53),MONTH(P53)+1,15)</f>
        <v>44666</v>
      </c>
    </row>
    <row r="60" spans="8:16">
      <c r="H60" s="89">
        <v>6</v>
      </c>
      <c r="I60" s="118" t="s">
        <v>366</v>
      </c>
      <c r="J60" s="118"/>
      <c r="K60" s="118"/>
      <c r="L60" s="119">
        <v>887934907</v>
      </c>
      <c r="M60" s="119">
        <f t="shared" si="3"/>
        <v>88793.4907</v>
      </c>
      <c r="N60" s="119">
        <f t="shared" si="4"/>
        <v>8.88</v>
      </c>
      <c r="O60" s="122"/>
      <c r="P60" s="123"/>
    </row>
    <row r="61" spans="8:16">
      <c r="H61" s="89">
        <v>7</v>
      </c>
      <c r="I61" s="118" t="s">
        <v>367</v>
      </c>
      <c r="J61" s="118"/>
      <c r="K61" s="118"/>
      <c r="L61" s="119"/>
      <c r="M61" s="119"/>
      <c r="N61" s="119"/>
      <c r="O61" s="124"/>
      <c r="P61" s="117"/>
    </row>
    <row r="62" spans="8:16">
      <c r="H62" s="89">
        <v>8</v>
      </c>
      <c r="I62" s="118" t="s">
        <v>368</v>
      </c>
      <c r="J62" s="118"/>
      <c r="K62" s="118"/>
      <c r="L62" s="119">
        <v>13529094</v>
      </c>
      <c r="M62" s="119">
        <f>L62/10000</f>
        <v>1352.9094</v>
      </c>
      <c r="N62" s="119">
        <f>ROUND(M62/10000,2)</f>
        <v>0.14</v>
      </c>
      <c r="O62" s="124"/>
      <c r="P62" s="117"/>
    </row>
    <row r="63" spans="8:16">
      <c r="H63" s="89">
        <v>9</v>
      </c>
      <c r="I63" s="118" t="s">
        <v>369</v>
      </c>
      <c r="J63" s="118"/>
      <c r="K63" s="118"/>
      <c r="L63" s="119">
        <v>902844001</v>
      </c>
      <c r="M63" s="119">
        <f>L63/10000</f>
        <v>90284.4001</v>
      </c>
      <c r="N63" s="119">
        <f>ROUND(M63/10000,2)</f>
        <v>9.03</v>
      </c>
      <c r="O63" s="124"/>
      <c r="P63" s="117"/>
    </row>
  </sheetData>
  <mergeCells count="76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H52:N52"/>
    <mergeCell ref="O52:P52"/>
    <mergeCell ref="A53:F53"/>
    <mergeCell ref="H53:K53"/>
    <mergeCell ref="J54:K54"/>
    <mergeCell ref="J55:K55"/>
    <mergeCell ref="J56:K56"/>
    <mergeCell ref="J57:K57"/>
    <mergeCell ref="I58:K58"/>
    <mergeCell ref="I59:K59"/>
    <mergeCell ref="I60:K60"/>
    <mergeCell ref="I61:K61"/>
    <mergeCell ref="I62:K62"/>
    <mergeCell ref="I63:K63"/>
    <mergeCell ref="A3:A7"/>
    <mergeCell ref="A9:A10"/>
    <mergeCell ref="A11:A19"/>
    <mergeCell ref="B9:B10"/>
    <mergeCell ref="E3:E5"/>
    <mergeCell ref="F3:F7"/>
    <mergeCell ref="H6:H7"/>
    <mergeCell ref="H9:H17"/>
    <mergeCell ref="O53:O54"/>
    <mergeCell ref="O55:O56"/>
    <mergeCell ref="O57:O58"/>
    <mergeCell ref="O59:O60"/>
    <mergeCell ref="P53:P54"/>
    <mergeCell ref="P55:P56"/>
    <mergeCell ref="P57:P58"/>
    <mergeCell ref="P59:P60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view="pageBreakPreview" zoomScale="70" zoomScaleNormal="70" topLeftCell="A38" workbookViewId="0">
      <selection activeCell="S56" sqref="S5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44663</v>
      </c>
      <c r="B3" s="12" t="s">
        <v>7</v>
      </c>
      <c r="C3" s="12">
        <v>0</v>
      </c>
      <c r="D3" s="12">
        <f>ROUND(D11+D12+D15+D16+D17+D13+D14,2)</f>
        <v>56.04</v>
      </c>
      <c r="E3" s="13">
        <f>ROUND(C5+D5,2)</f>
        <v>117.48</v>
      </c>
      <c r="F3" s="14" t="s">
        <v>420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61.44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117.48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10012.09</v>
      </c>
      <c r="E6" s="8">
        <f>ROUND(C6+D6,2)</f>
        <v>10262.09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16104.07</v>
      </c>
      <c r="E7" s="8">
        <f>ROUND(C7+D7,2)</f>
        <v>22354.85</v>
      </c>
      <c r="F7" s="17"/>
      <c r="G7" s="18"/>
      <c r="H7" s="22"/>
      <c r="I7" s="48">
        <f>210+C6</f>
        <v>460</v>
      </c>
      <c r="J7" s="48">
        <f>D6+1717.38</f>
        <v>11729.47</v>
      </c>
      <c r="K7" s="48">
        <f>J7+I7</f>
        <v>12189.47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405</v>
      </c>
      <c r="D9" s="28"/>
      <c r="E9" s="28" t="s">
        <v>133</v>
      </c>
      <c r="F9" s="28"/>
      <c r="G9" s="29"/>
      <c r="H9" s="30" t="s">
        <v>200</v>
      </c>
      <c r="I9" s="93">
        <v>44362</v>
      </c>
      <c r="J9" s="93">
        <v>44392</v>
      </c>
      <c r="K9" s="93">
        <v>44423</v>
      </c>
      <c r="L9" s="93">
        <v>44454</v>
      </c>
      <c r="M9" s="93">
        <v>44484</v>
      </c>
      <c r="N9" s="93">
        <v>44515</v>
      </c>
      <c r="O9" s="93">
        <v>44545</v>
      </c>
      <c r="P9" s="93">
        <v>44576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44663</v>
      </c>
      <c r="B11" s="32" t="s">
        <v>172</v>
      </c>
      <c r="C11" s="33">
        <v>3</v>
      </c>
      <c r="D11" s="8">
        <v>23.28</v>
      </c>
      <c r="E11" s="33">
        <v>4</v>
      </c>
      <c r="F11" s="8">
        <v>30.87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2</v>
      </c>
      <c r="F12" s="8">
        <v>30.57</v>
      </c>
      <c r="G12" s="10"/>
      <c r="H12" s="30"/>
      <c r="I12" s="93">
        <v>44607</v>
      </c>
      <c r="J12" s="93">
        <v>44635</v>
      </c>
      <c r="K12" s="93">
        <v>44666</v>
      </c>
      <c r="L12" s="93">
        <v>44696</v>
      </c>
      <c r="M12" s="93">
        <v>44727</v>
      </c>
      <c r="N12" s="93">
        <v>44757</v>
      </c>
      <c r="O12" s="93">
        <v>44788</v>
      </c>
      <c r="P12" s="93">
        <v>44819</v>
      </c>
    </row>
    <row r="13" ht="15" customHeight="1" spans="1:16">
      <c r="A13" s="16"/>
      <c r="B13" s="34" t="s">
        <v>169</v>
      </c>
      <c r="C13" s="33">
        <v>11</v>
      </c>
      <c r="D13" s="8">
        <v>1.782</v>
      </c>
      <c r="E13" s="33">
        <v>0</v>
      </c>
      <c r="F13" s="8">
        <v>0</v>
      </c>
      <c r="G13" s="10"/>
      <c r="H13" s="30"/>
      <c r="I13" s="35">
        <v>14233.94</v>
      </c>
      <c r="J13" s="35">
        <f ca="1">IF($A$3&gt;J12,INDIRECT(TEXT(J12,"yyyy.m.d")&amp;"!$E$7"),$E$7)</f>
        <v>17170.27</v>
      </c>
      <c r="K13" s="35">
        <f ca="1">IF($A$3&gt;K12,INDIRECT(TEXT(K12,"yyyy.m.d")&amp;"!$E$7"),$E$7)</f>
        <v>22354.85</v>
      </c>
      <c r="L13" s="35">
        <f ca="1">IF($A$3&gt;L12,INDIRECT(TEXT(L12,"yyyy.m.d")&amp;"!$E$7"),$E$7)</f>
        <v>22354.85</v>
      </c>
      <c r="M13" s="35">
        <f ca="1">IF($A$3&gt;M12,INDIRECT(TEXT(M12,"yyyy.m.d")&amp;"!$E$7"),$E$7)</f>
        <v>22354.85</v>
      </c>
      <c r="N13" s="35">
        <f ca="1">IF($A$3&gt;N12,INDIRECT(TEXT(N12,"yyyy.m.d")&amp;"!$E$7"),$E$7)</f>
        <v>22354.85</v>
      </c>
      <c r="O13" s="35">
        <f ca="1">IF($A$3&gt;O12,INDIRECT(TEXT(O12,"yyyy.m.d")&amp;"!$E$7"),$E$7)</f>
        <v>22354.85</v>
      </c>
      <c r="P13" s="35">
        <f ca="1">IF($A$3&gt;P12,INDIRECT(TEXT(P12,"yyyy.m.d")&amp;"!$E$7"),$E$7)</f>
        <v>22354.85</v>
      </c>
    </row>
    <row r="14" ht="15" customHeight="1" spans="1:16">
      <c r="A14" s="16"/>
      <c r="B14" s="34" t="s">
        <v>170</v>
      </c>
      <c r="C14" s="33">
        <v>2</v>
      </c>
      <c r="D14" s="8">
        <v>0.504</v>
      </c>
      <c r="E14" s="33">
        <v>0</v>
      </c>
      <c r="F14" s="8">
        <v>0</v>
      </c>
      <c r="G14" s="10"/>
      <c r="H14" s="30"/>
      <c r="I14" s="48">
        <v>699.51</v>
      </c>
      <c r="J14" s="48">
        <v>2936.33</v>
      </c>
      <c r="K14" s="48">
        <f ca="1" t="shared" ref="K14:P14" si="0">IFERROR(K13-J13,"")</f>
        <v>5184.58</v>
      </c>
      <c r="L14" s="48">
        <f ca="1" t="shared" si="0"/>
        <v>0</v>
      </c>
      <c r="M14" s="48">
        <f ca="1" t="shared" si="0"/>
        <v>0</v>
      </c>
      <c r="N14" s="48">
        <f ca="1" t="shared" si="0"/>
        <v>0</v>
      </c>
      <c r="O14" s="48">
        <f ca="1" t="shared" si="0"/>
        <v>0</v>
      </c>
      <c r="P14" s="48">
        <f ca="1" t="shared" si="0"/>
        <v>0</v>
      </c>
    </row>
    <row r="15" ht="15" customHeight="1" spans="1:16">
      <c r="A15" s="16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G15" s="10"/>
      <c r="H15" s="30"/>
      <c r="I15" s="97">
        <v>44849</v>
      </c>
      <c r="J15" s="97">
        <v>44880</v>
      </c>
      <c r="K15" s="97">
        <v>44910</v>
      </c>
      <c r="L15" s="97">
        <v>44941</v>
      </c>
      <c r="M15" s="97">
        <v>44972</v>
      </c>
      <c r="N15" s="97">
        <v>45000</v>
      </c>
      <c r="O15" s="97">
        <v>45031</v>
      </c>
      <c r="P15" s="97">
        <v>45061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G16" s="10"/>
      <c r="H16" s="30"/>
      <c r="I16" s="35">
        <f ca="1">IF($A$3&gt;I15,INDIRECT(TEXT(I15,"yyyy.m.d")&amp;"!$E$7"),$E$7)</f>
        <v>22354.85</v>
      </c>
      <c r="J16" s="35">
        <f ca="1">IF($A$3&gt;J15,INDIRECT(TEXT(J15,"yyyy.m.d")&amp;"!$E$7"),$E$7)</f>
        <v>22354.85</v>
      </c>
      <c r="K16" s="35">
        <f ca="1">IF($A$3&gt;K15,INDIRECT(TEXT(K15,"yyyy.m.d")&amp;"!$E$7"),$E$7)</f>
        <v>22354.85</v>
      </c>
      <c r="L16" s="35">
        <f ca="1">IF($A$3&gt;L15,INDIRECT(TEXT(L15,"yyyy.m.d")&amp;"!$E$7"),$E$7)</f>
        <v>22354.85</v>
      </c>
      <c r="M16" s="35">
        <f ca="1">IF($A$3&gt;M15,INDIRECT(TEXT(M15,"yyyy.m.d")&amp;"!$E$7"),$E$7)</f>
        <v>22354.85</v>
      </c>
      <c r="N16" s="35">
        <f ca="1">IF($A$3&gt;N15,INDIRECT(TEXT(N15,"yyyy.m.d")&amp;"!$E$7"),$E$7)</f>
        <v>22354.85</v>
      </c>
      <c r="O16" s="35">
        <f ca="1">IF($A$3&gt;O15,INDIRECT(TEXT(O15,"yyyy.m.d")&amp;"!$E$7"),$E$7)</f>
        <v>22354.85</v>
      </c>
      <c r="P16" s="35">
        <f ca="1">IF($A$3&gt;P15,INDIRECT(TEXT(P15,"yyyy.m.d")&amp;"!$E$7"),$E$7)</f>
        <v>22354.85</v>
      </c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>
        <f ca="1">IFERROR(I16-P13,"")</f>
        <v>0</v>
      </c>
      <c r="J17" s="48">
        <f ca="1" t="shared" ref="J17:P17" si="1">IFERROR(J16-I16,"")</f>
        <v>0</v>
      </c>
      <c r="K17" s="48">
        <f ca="1" t="shared" si="1"/>
        <v>0</v>
      </c>
      <c r="L17" s="48">
        <f ca="1" t="shared" si="1"/>
        <v>0</v>
      </c>
      <c r="M17" s="48">
        <f ca="1" t="shared" si="1"/>
        <v>0</v>
      </c>
      <c r="N17" s="48">
        <f ca="1" t="shared" si="1"/>
        <v>0</v>
      </c>
      <c r="O17" s="48">
        <f ca="1" t="shared" si="1"/>
        <v>0</v>
      </c>
      <c r="P17" s="48">
        <f ca="1" t="shared" si="1"/>
        <v>0</v>
      </c>
    </row>
    <row r="18" ht="15" customHeight="1" spans="1:17">
      <c r="A18" s="16"/>
      <c r="B18" s="8" t="s">
        <v>134</v>
      </c>
      <c r="C18" s="8">
        <f>ROUND(D11+D12+D15+D16+D17+D13+D14,2)</f>
        <v>56.04</v>
      </c>
      <c r="D18" s="8"/>
      <c r="E18" s="8">
        <f>ROUND(F11+F12+F15+F16+F17+F13+F14,2)</f>
        <v>61.44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117.48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184</v>
      </c>
      <c r="N20" s="94">
        <f>D38-81</f>
        <v>126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E38-302</f>
        <v>429</v>
      </c>
      <c r="N21" s="94">
        <f>F38-45</f>
        <v>139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119</v>
      </c>
      <c r="N23" s="94">
        <f>D39-65</f>
        <v>119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383</v>
      </c>
      <c r="N24" s="94">
        <f>F39-7</f>
        <v>166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14155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F44-2032.04+428.62</f>
        <v>4151.34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10272.42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560</v>
      </c>
      <c r="D30" s="49" t="s">
        <v>75</v>
      </c>
      <c r="E30" s="38">
        <f>C39+D39</f>
        <v>433</v>
      </c>
      <c r="F30" s="39"/>
      <c r="G30" s="38"/>
    </row>
    <row r="31" spans="1:7">
      <c r="A31" s="37"/>
      <c r="B31" s="49" t="s">
        <v>76</v>
      </c>
      <c r="C31" s="38">
        <f>E38+F38</f>
        <v>915</v>
      </c>
      <c r="D31" s="49" t="s">
        <v>77</v>
      </c>
      <c r="E31" s="38">
        <f>E39+F39</f>
        <v>814</v>
      </c>
      <c r="F31" s="39"/>
      <c r="G31" s="38"/>
    </row>
    <row r="32" spans="1:7">
      <c r="A32" s="37"/>
      <c r="B32" s="49" t="s">
        <v>78</v>
      </c>
      <c r="C32" s="38">
        <f>C33-C30-C31</f>
        <v>4305</v>
      </c>
      <c r="D32" s="49" t="s">
        <v>79</v>
      </c>
      <c r="E32" s="38">
        <f>E33-E30-E31</f>
        <v>4533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44654</v>
      </c>
      <c r="B36" s="54">
        <v>224.04</v>
      </c>
      <c r="C36" s="55" t="s">
        <v>405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44655</v>
      </c>
      <c r="B37" s="54">
        <v>232.13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44656</v>
      </c>
      <c r="B38" s="54">
        <v>125.95</v>
      </c>
      <c r="C38" s="58">
        <v>353</v>
      </c>
      <c r="D38" s="58">
        <v>207</v>
      </c>
      <c r="E38" s="58">
        <v>731</v>
      </c>
      <c r="F38" s="58">
        <v>184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44657</v>
      </c>
      <c r="B39" s="54">
        <v>127.45</v>
      </c>
      <c r="C39" s="60">
        <v>249</v>
      </c>
      <c r="D39" s="60">
        <v>184</v>
      </c>
      <c r="E39" s="60">
        <v>641</v>
      </c>
      <c r="F39" s="60">
        <v>173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44658</v>
      </c>
      <c r="B40" s="62">
        <v>128.33</v>
      </c>
      <c r="C40" s="63" t="s">
        <v>182</v>
      </c>
      <c r="D40" s="64">
        <f>C38+D38+E38+F38</f>
        <v>1475</v>
      </c>
      <c r="E40" s="65" t="s">
        <v>69</v>
      </c>
      <c r="F40" s="66">
        <f>C39+D39+E39+F39</f>
        <v>1247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44659</v>
      </c>
      <c r="B41" s="54">
        <v>134.24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截止2022年04月12日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44660</v>
      </c>
      <c r="B42" s="54">
        <v>130.5</v>
      </c>
      <c r="C42" s="72" t="s">
        <v>288</v>
      </c>
      <c r="D42" s="72" t="s">
        <v>412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44661</v>
      </c>
      <c r="B43" s="54">
        <v>196.22</v>
      </c>
      <c r="C43" s="74" t="s">
        <v>230</v>
      </c>
      <c r="D43" s="74">
        <v>6130.99</v>
      </c>
      <c r="E43" s="74">
        <v>0</v>
      </c>
      <c r="F43" s="74">
        <f t="shared" ref="F43:F45" si="2">D43+E43</f>
        <v>6130.99</v>
      </c>
      <c r="G43" s="73"/>
      <c r="H43" s="40" t="s">
        <v>61</v>
      </c>
      <c r="I43" s="111">
        <f>ROUND(D40/J43,4)</f>
        <v>0.2495</v>
      </c>
      <c r="J43" s="35">
        <v>5913</v>
      </c>
      <c r="K43" s="36" t="s">
        <v>318</v>
      </c>
      <c r="L43" s="56">
        <f>L44+155+2</f>
        <v>1035</v>
      </c>
      <c r="M43" s="56">
        <f>M44+171</f>
        <v>958</v>
      </c>
      <c r="N43" s="56">
        <f>N44+1460</f>
        <v>15615</v>
      </c>
      <c r="O43" s="56">
        <f>O44+441.6-41.6</f>
        <v>4551.34</v>
      </c>
      <c r="P43" s="56">
        <f>P44+0</f>
        <v>6130.99</v>
      </c>
      <c r="U43" s="4"/>
    </row>
    <row r="44" ht="15.6" spans="1:21">
      <c r="A44" s="53">
        <v>44662</v>
      </c>
      <c r="B44" s="54">
        <v>180.1</v>
      </c>
      <c r="C44" s="74" t="s">
        <v>229</v>
      </c>
      <c r="D44" s="74">
        <v>3127.9</v>
      </c>
      <c r="E44" s="74">
        <v>2626.86</v>
      </c>
      <c r="F44" s="74">
        <f t="shared" si="2"/>
        <v>5754.76</v>
      </c>
      <c r="G44" s="73"/>
      <c r="H44" s="40" t="s">
        <v>62</v>
      </c>
      <c r="I44" s="111">
        <f>ROUND(F40/J44,4)</f>
        <v>0.2109</v>
      </c>
      <c r="J44" s="35">
        <v>5913</v>
      </c>
      <c r="K44" s="36" t="s">
        <v>319</v>
      </c>
      <c r="L44" s="56">
        <f>M20+N20+M21+N21</f>
        <v>878</v>
      </c>
      <c r="M44" s="56">
        <f>M23+N23+M24+N24</f>
        <v>787</v>
      </c>
      <c r="N44" s="56">
        <f>M25</f>
        <v>14155</v>
      </c>
      <c r="O44" s="56">
        <f>M26</f>
        <v>4151.34</v>
      </c>
      <c r="P44" s="56">
        <f>M27</f>
        <v>6130.99</v>
      </c>
      <c r="U44" s="4"/>
    </row>
    <row r="45" ht="15.6" spans="1:21">
      <c r="A45" s="53">
        <v>44663</v>
      </c>
      <c r="B45" s="54">
        <v>117.48</v>
      </c>
      <c r="C45" s="74" t="s">
        <v>228</v>
      </c>
      <c r="D45" s="74">
        <v>7080</v>
      </c>
      <c r="E45" s="74">
        <v>13180</v>
      </c>
      <c r="F45" s="74">
        <f t="shared" si="2"/>
        <v>20260</v>
      </c>
      <c r="G45" s="75"/>
      <c r="H45" s="40" t="s">
        <v>228</v>
      </c>
      <c r="I45" s="111">
        <f>ROUND(F45/J45,4)</f>
        <v>0.1499</v>
      </c>
      <c r="J45" s="35">
        <v>135185</v>
      </c>
      <c r="K45" s="36" t="s">
        <v>320</v>
      </c>
      <c r="L45" s="56">
        <f>D40</f>
        <v>1475</v>
      </c>
      <c r="M45" s="56">
        <f>F40</f>
        <v>1247</v>
      </c>
      <c r="N45" s="56">
        <f>F45</f>
        <v>20260</v>
      </c>
      <c r="O45" s="56">
        <f>F44</f>
        <v>5754.76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0.0858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 ca="1">D40-INDIRECT(YEAR(TODAY()+ROUND(DAY(DATE(YEAR(TODAY()),MONTH(TODAY())+1,0))/2,0))&amp;"."&amp;MONTH(TODAY()+ROUND(DAY(DATE(YEAR(TODAY()),MONTH(TODAY())+1,0))/2,0))-1&amp;".15"&amp;"!d40")</f>
        <v>450</v>
      </c>
      <c r="M47" s="56">
        <f ca="1">F40-INDIRECT(YEAR(TODAY()+ROUND(DAY(DATE(YEAR(TODAY()),MONTH(TODAY())+1,0))/2,0))&amp;"."&amp;MONTH(TODAY()+ROUND(DAY(DATE(YEAR(TODAY()),MONTH(TODAY())+1,0))/2,0))-1&amp;".15"&amp;"!f40")</f>
        <v>427</v>
      </c>
      <c r="N47" s="56">
        <f ca="1">F45-INDIRECT(YEAR(TODAY()+ROUND(DAY(DATE(YEAR(TODAY()),MONTH(TODAY())+1,0))/2,0))&amp;"."&amp;MONTH(TODAY()+ROUND(DAY(DATE(YEAR(TODAY()),MONTH(TODAY())+1,0))/2,0))-1&amp;".15"&amp;"!f45")</f>
        <v>7000</v>
      </c>
      <c r="O47" s="56">
        <f ca="1">F44-INDIRECT(YEAR(TODAY()+ROUND(DAY(DATE(YEAR(TODAY()),MONTH(TODAY())+1,0))/2,0))&amp;"."&amp;MONTH(TODAY()+ROUND(DAY(DATE(YEAR(TODAY()),MONTH(TODAY())+1,0))/2,0))-1&amp;".15"&amp;"!f44")</f>
        <v>1256.01</v>
      </c>
      <c r="P47" s="56">
        <f ca="1">F43-INDIRECT(YEAR(TODAY()+ROUND(DAY(DATE(YEAR(TODAY()),MONTH(TODAY())+1,0))/2,0))&amp;"."&amp;MONTH(TODAY()+ROUND(DAY(DATE(YEAR(TODAY()),MONTH(TODAY())+1,0))/2,0))-1&amp;".15"&amp;"!f43")</f>
        <v>0</v>
      </c>
    </row>
    <row r="48" spans="1:16">
      <c r="A48" s="79">
        <f>SUM(C11,E11,C12,E12)</f>
        <v>11</v>
      </c>
      <c r="B48" s="79">
        <f>SUM(C13,C14,E13,E14)</f>
        <v>13</v>
      </c>
      <c r="C48" s="79">
        <f>C15+E15</f>
        <v>0</v>
      </c>
      <c r="D48" s="79">
        <f>C16+E16</f>
        <v>0</v>
      </c>
      <c r="E48" s="79">
        <f>C17+E17</f>
        <v>0</v>
      </c>
      <c r="F48" s="80">
        <f>E3</f>
        <v>117.48</v>
      </c>
      <c r="G48" s="76"/>
      <c r="H48" s="40" t="s">
        <v>231</v>
      </c>
      <c r="I48" s="111">
        <f>ROUND(E7/J48,4)</f>
        <v>0.2476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 ca="1">L47</f>
        <v>450</v>
      </c>
      <c r="B49" s="79">
        <f ca="1">M47</f>
        <v>427</v>
      </c>
      <c r="C49" s="79">
        <f ca="1">N47</f>
        <v>7000</v>
      </c>
      <c r="D49" s="79">
        <f ca="1">O47</f>
        <v>1256.01</v>
      </c>
      <c r="E49" s="79">
        <f ca="1">P47</f>
        <v>0</v>
      </c>
      <c r="F49" s="80">
        <f ca="1">E7-INDIRECT(TEXT(P53,"yyyy.m.d")&amp;"!E7")</f>
        <v>5184.58</v>
      </c>
      <c r="G49" s="76"/>
      <c r="H49" s="81" t="s">
        <v>406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1035</v>
      </c>
      <c r="B50" s="79">
        <f>M43</f>
        <v>958</v>
      </c>
      <c r="C50" s="79">
        <f>N43</f>
        <v>15615</v>
      </c>
      <c r="D50" s="79">
        <f>O43</f>
        <v>4551.34</v>
      </c>
      <c r="E50" s="79">
        <f>P43</f>
        <v>6130.99</v>
      </c>
      <c r="F50" s="80">
        <f>K7</f>
        <v>12189.47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12日自年初1月1日起完成产值10262.09万元，自开工累计完成产值22354.85万元，自开工占总产值90284.4万元的24.76%，100章临建完成6250.78万元，400章桥梁完成16104.07万元。已完成梁片预制1475片，占设计量的24.95%；梁片安装1247片，占设计量的21.09%；湿接缝20260米，占设计量的14.99%；防撞护栏5754.76米，占设计量的8.58%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6">
      <c r="A52" s="85" t="s">
        <v>386</v>
      </c>
      <c r="B52" s="85"/>
      <c r="C52" s="85"/>
      <c r="D52" s="85"/>
      <c r="E52" s="85"/>
      <c r="F52" s="85"/>
      <c r="H52" s="86" t="s">
        <v>352</v>
      </c>
      <c r="I52" s="86"/>
      <c r="J52" s="86"/>
      <c r="K52" s="86"/>
      <c r="L52" s="86"/>
      <c r="M52" s="86"/>
      <c r="N52" s="86"/>
      <c r="O52" s="86" t="s">
        <v>407</v>
      </c>
      <c r="P52" s="86"/>
    </row>
    <row r="53" spans="8:16">
      <c r="H53" s="87" t="s">
        <v>353</v>
      </c>
      <c r="I53" s="113"/>
      <c r="J53" s="113"/>
      <c r="K53" s="114"/>
      <c r="L53" s="115" t="s">
        <v>354</v>
      </c>
      <c r="M53" s="115" t="s">
        <v>354</v>
      </c>
      <c r="N53" s="115" t="s">
        <v>354</v>
      </c>
      <c r="O53" s="116" t="s">
        <v>408</v>
      </c>
      <c r="P53" s="117" t="str">
        <f>YEAR(P57+ROUND(DAY(DATE(YEAR(P57),MONTH(P57)+1,0))/2,0))&amp;"/"&amp;MONTH(P57+ROUND(DAY(DATE(YEAR(P57),MONTH(P57)+1,0))/2,0))-1&amp;"/15"</f>
        <v>2022/3/15</v>
      </c>
    </row>
    <row r="54" spans="8:16">
      <c r="H54" s="88" t="s">
        <v>355</v>
      </c>
      <c r="I54" s="88" t="s">
        <v>356</v>
      </c>
      <c r="J54" s="88" t="s">
        <v>357</v>
      </c>
      <c r="K54" s="88"/>
      <c r="L54" s="88" t="s">
        <v>358</v>
      </c>
      <c r="M54" s="88" t="s">
        <v>359</v>
      </c>
      <c r="N54" s="88" t="s">
        <v>360</v>
      </c>
      <c r="O54" s="116"/>
      <c r="P54" s="117"/>
    </row>
    <row r="55" spans="8:16">
      <c r="H55" s="89">
        <v>1</v>
      </c>
      <c r="I55" s="89">
        <v>100</v>
      </c>
      <c r="J55" s="118" t="s">
        <v>361</v>
      </c>
      <c r="K55" s="118"/>
      <c r="L55" s="119">
        <v>72272958</v>
      </c>
      <c r="M55" s="119">
        <f t="shared" ref="M55:M60" si="3">L55/10000</f>
        <v>7227.2958</v>
      </c>
      <c r="N55" s="119">
        <f t="shared" ref="N55:N60" si="4">ROUND(M55/10000,2)</f>
        <v>0.72</v>
      </c>
      <c r="O55" s="120" t="s">
        <v>415</v>
      </c>
      <c r="P55" s="121">
        <f>P53+1</f>
        <v>44636</v>
      </c>
    </row>
    <row r="56" spans="8:16">
      <c r="H56" s="89">
        <v>2</v>
      </c>
      <c r="I56" s="89">
        <v>400</v>
      </c>
      <c r="J56" s="118" t="s">
        <v>362</v>
      </c>
      <c r="K56" s="118"/>
      <c r="L56" s="119">
        <v>808224659</v>
      </c>
      <c r="M56" s="119">
        <f t="shared" si="3"/>
        <v>80822.4659</v>
      </c>
      <c r="N56" s="119">
        <f t="shared" si="4"/>
        <v>8.08</v>
      </c>
      <c r="O56" s="122"/>
      <c r="P56" s="123"/>
    </row>
    <row r="57" spans="8:16">
      <c r="H57" s="89">
        <v>3</v>
      </c>
      <c r="I57" s="89">
        <v>400</v>
      </c>
      <c r="J57" s="118" t="s">
        <v>363</v>
      </c>
      <c r="K57" s="118"/>
      <c r="L57" s="119">
        <v>8817290</v>
      </c>
      <c r="M57" s="119">
        <f t="shared" si="3"/>
        <v>881.729</v>
      </c>
      <c r="N57" s="119">
        <f t="shared" si="4"/>
        <v>0.09</v>
      </c>
      <c r="O57" s="120" t="s">
        <v>409</v>
      </c>
      <c r="P57" s="121">
        <f>A3</f>
        <v>44663</v>
      </c>
    </row>
    <row r="58" spans="8:16">
      <c r="H58" s="89">
        <v>4</v>
      </c>
      <c r="I58" s="118" t="s">
        <v>364</v>
      </c>
      <c r="J58" s="118"/>
      <c r="K58" s="118"/>
      <c r="L58" s="119">
        <v>889314907</v>
      </c>
      <c r="M58" s="119">
        <f t="shared" si="3"/>
        <v>88931.4907</v>
      </c>
      <c r="N58" s="119">
        <f t="shared" si="4"/>
        <v>8.89</v>
      </c>
      <c r="O58" s="122"/>
      <c r="P58" s="123"/>
    </row>
    <row r="59" spans="8:16">
      <c r="H59" s="89">
        <v>5</v>
      </c>
      <c r="I59" s="118" t="s">
        <v>365</v>
      </c>
      <c r="J59" s="118"/>
      <c r="K59" s="118"/>
      <c r="L59" s="119">
        <v>1380000</v>
      </c>
      <c r="M59" s="119">
        <f t="shared" si="3"/>
        <v>138</v>
      </c>
      <c r="N59" s="119">
        <f t="shared" si="4"/>
        <v>0.01</v>
      </c>
      <c r="O59" s="120" t="s">
        <v>410</v>
      </c>
      <c r="P59" s="121">
        <f>DATE(YEAR(P53),MONTH(P53)+1,15)</f>
        <v>44666</v>
      </c>
    </row>
    <row r="60" spans="8:16">
      <c r="H60" s="89">
        <v>6</v>
      </c>
      <c r="I60" s="118" t="s">
        <v>366</v>
      </c>
      <c r="J60" s="118"/>
      <c r="K60" s="118"/>
      <c r="L60" s="119">
        <v>887934907</v>
      </c>
      <c r="M60" s="119">
        <f t="shared" si="3"/>
        <v>88793.4907</v>
      </c>
      <c r="N60" s="119">
        <f t="shared" si="4"/>
        <v>8.88</v>
      </c>
      <c r="O60" s="122"/>
      <c r="P60" s="123"/>
    </row>
    <row r="61" spans="8:16">
      <c r="H61" s="89">
        <v>7</v>
      </c>
      <c r="I61" s="118" t="s">
        <v>367</v>
      </c>
      <c r="J61" s="118"/>
      <c r="K61" s="118"/>
      <c r="L61" s="119"/>
      <c r="M61" s="119"/>
      <c r="N61" s="119"/>
      <c r="O61" s="124"/>
      <c r="P61" s="117"/>
    </row>
    <row r="62" spans="8:16">
      <c r="H62" s="89">
        <v>8</v>
      </c>
      <c r="I62" s="118" t="s">
        <v>368</v>
      </c>
      <c r="J62" s="118"/>
      <c r="K62" s="118"/>
      <c r="L62" s="119">
        <v>13529094</v>
      </c>
      <c r="M62" s="119">
        <f>L62/10000</f>
        <v>1352.9094</v>
      </c>
      <c r="N62" s="119">
        <f>ROUND(M62/10000,2)</f>
        <v>0.14</v>
      </c>
      <c r="O62" s="124"/>
      <c r="P62" s="117"/>
    </row>
    <row r="63" spans="8:16">
      <c r="H63" s="89">
        <v>9</v>
      </c>
      <c r="I63" s="118" t="s">
        <v>369</v>
      </c>
      <c r="J63" s="118"/>
      <c r="K63" s="118"/>
      <c r="L63" s="119">
        <v>902844001</v>
      </c>
      <c r="M63" s="119">
        <f>L63/10000</f>
        <v>90284.4001</v>
      </c>
      <c r="N63" s="119">
        <f>ROUND(M63/10000,2)</f>
        <v>9.03</v>
      </c>
      <c r="O63" s="124"/>
      <c r="P63" s="117"/>
    </row>
  </sheetData>
  <mergeCells count="76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H52:N52"/>
    <mergeCell ref="O52:P52"/>
    <mergeCell ref="A53:F53"/>
    <mergeCell ref="H53:K53"/>
    <mergeCell ref="J54:K54"/>
    <mergeCell ref="J55:K55"/>
    <mergeCell ref="J56:K56"/>
    <mergeCell ref="J57:K57"/>
    <mergeCell ref="I58:K58"/>
    <mergeCell ref="I59:K59"/>
    <mergeCell ref="I60:K60"/>
    <mergeCell ref="I61:K61"/>
    <mergeCell ref="I62:K62"/>
    <mergeCell ref="I63:K63"/>
    <mergeCell ref="A3:A7"/>
    <mergeCell ref="A9:A10"/>
    <mergeCell ref="A11:A19"/>
    <mergeCell ref="B9:B10"/>
    <mergeCell ref="E3:E5"/>
    <mergeCell ref="F3:F7"/>
    <mergeCell ref="H6:H7"/>
    <mergeCell ref="H9:H17"/>
    <mergeCell ref="O53:O54"/>
    <mergeCell ref="O55:O56"/>
    <mergeCell ref="O57:O58"/>
    <mergeCell ref="O59:O60"/>
    <mergeCell ref="P53:P54"/>
    <mergeCell ref="P55:P56"/>
    <mergeCell ref="P57:P58"/>
    <mergeCell ref="P59:P60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showZeros="0" tabSelected="1" view="pageBreakPreview" zoomScale="70" zoomScaleNormal="70" topLeftCell="A38" workbookViewId="0">
      <selection activeCell="S56" sqref="S5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17" width="12.7777777777778" style="3" customWidth="1"/>
    <col min="18" max="19" width="12.7777777777778" style="4" customWidth="1"/>
    <col min="20" max="25" width="12.7777777777778" style="3" customWidth="1"/>
    <col min="26" max="16384" width="8.88888888888889" style="3"/>
  </cols>
  <sheetData>
    <row r="1" s="1" customFormat="1" ht="40.05" customHeight="1" spans="1:19">
      <c r="A1" s="5" t="s">
        <v>187</v>
      </c>
      <c r="B1" s="6"/>
      <c r="C1" s="6"/>
      <c r="D1" s="6"/>
      <c r="E1" s="6"/>
      <c r="F1" s="6"/>
      <c r="G1" s="7"/>
      <c r="H1" s="3"/>
      <c r="I1" s="3"/>
      <c r="J1" s="4"/>
      <c r="K1" s="4"/>
      <c r="L1" s="4"/>
      <c r="M1" s="4"/>
      <c r="N1" s="4"/>
      <c r="O1" s="4"/>
      <c r="P1" s="4"/>
      <c r="Q1" s="4"/>
      <c r="R1" s="3"/>
      <c r="S1" s="3"/>
    </row>
    <row r="2" ht="19.95" customHeight="1" spans="1:19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G2" s="10"/>
      <c r="J2"/>
      <c r="K2"/>
      <c r="L2"/>
      <c r="M2"/>
      <c r="N2"/>
      <c r="O2"/>
      <c r="P2"/>
      <c r="Q2"/>
      <c r="R2" s="3"/>
      <c r="S2" s="3"/>
    </row>
    <row r="3" ht="15" customHeight="1" spans="1:19">
      <c r="A3" s="11">
        <v>44664</v>
      </c>
      <c r="B3" s="12" t="s">
        <v>7</v>
      </c>
      <c r="C3" s="12">
        <v>0</v>
      </c>
      <c r="D3" s="12">
        <f>ROUND(D11+D12+D15+D16+D17+D13+D14,2)</f>
        <v>64.18</v>
      </c>
      <c r="E3" s="13">
        <f>ROUND(C5+D5,2)</f>
        <v>199.08</v>
      </c>
      <c r="F3" s="14" t="s">
        <v>421</v>
      </c>
      <c r="G3" s="15"/>
      <c r="J3"/>
      <c r="K3"/>
      <c r="L3"/>
      <c r="M3"/>
      <c r="N3"/>
      <c r="O3"/>
      <c r="P3"/>
      <c r="Q3"/>
      <c r="R3" s="3"/>
      <c r="S3" s="3"/>
    </row>
    <row r="4" ht="15" customHeight="1" spans="1:12">
      <c r="A4" s="16"/>
      <c r="B4" s="12" t="s">
        <v>9</v>
      </c>
      <c r="C4" s="12">
        <v>0</v>
      </c>
      <c r="D4" s="12">
        <f>ROUND(F11+F12+F15+F16+F17+F13+F14,2)</f>
        <v>134.9</v>
      </c>
      <c r="E4" s="13"/>
      <c r="F4" s="17"/>
      <c r="G4" s="18"/>
      <c r="J4"/>
      <c r="K4"/>
      <c r="L4"/>
    </row>
    <row r="5" ht="15" customHeight="1" spans="1:17">
      <c r="A5" s="16"/>
      <c r="B5" s="8" t="s">
        <v>10</v>
      </c>
      <c r="C5" s="12">
        <f>SUM(C3:C4)</f>
        <v>0</v>
      </c>
      <c r="D5" s="12">
        <f>SUM(D3:D4)</f>
        <v>199.08</v>
      </c>
      <c r="E5" s="13"/>
      <c r="F5" s="17"/>
      <c r="G5" s="18"/>
      <c r="Q5" s="125"/>
    </row>
    <row r="6" ht="70.05" customHeight="1" spans="1:16">
      <c r="A6" s="16"/>
      <c r="B6" s="19" t="s">
        <v>298</v>
      </c>
      <c r="C6" s="20">
        <v>250</v>
      </c>
      <c r="D6" s="20">
        <v>10211.17</v>
      </c>
      <c r="E6" s="8">
        <f>ROUND(C6+D6,2)</f>
        <v>10461.17</v>
      </c>
      <c r="F6" s="17"/>
      <c r="G6" s="18"/>
      <c r="H6" s="21" t="s">
        <v>305</v>
      </c>
      <c r="I6" s="90" t="s">
        <v>334</v>
      </c>
      <c r="J6" s="90" t="s">
        <v>335</v>
      </c>
      <c r="K6" s="30" t="s">
        <v>237</v>
      </c>
      <c r="L6" s="91"/>
      <c r="M6" s="91"/>
      <c r="N6" s="91"/>
      <c r="O6" s="30" t="s">
        <v>238</v>
      </c>
      <c r="P6" s="30" t="s">
        <v>239</v>
      </c>
    </row>
    <row r="7" ht="70.05" customHeight="1" spans="1:16">
      <c r="A7" s="16"/>
      <c r="B7" s="19" t="s">
        <v>299</v>
      </c>
      <c r="C7" s="20">
        <v>6250.78</v>
      </c>
      <c r="D7" s="20">
        <v>16303.15</v>
      </c>
      <c r="E7" s="8">
        <f>ROUND(C7+D7,2)</f>
        <v>22553.93</v>
      </c>
      <c r="F7" s="17"/>
      <c r="G7" s="18"/>
      <c r="H7" s="22"/>
      <c r="I7" s="48">
        <f>210+C6</f>
        <v>460</v>
      </c>
      <c r="J7" s="48">
        <f>D6+1717.38</f>
        <v>11928.55</v>
      </c>
      <c r="K7" s="48">
        <f>J7+I7</f>
        <v>12388.55</v>
      </c>
      <c r="M7" s="40"/>
      <c r="N7" s="40"/>
      <c r="O7" s="92">
        <v>12082.43</v>
      </c>
      <c r="P7" s="92">
        <v>10165.33</v>
      </c>
    </row>
    <row r="8" ht="30" customHeight="1" spans="1:17">
      <c r="A8" s="6" t="s">
        <v>13</v>
      </c>
      <c r="B8" s="23"/>
      <c r="C8" s="6"/>
      <c r="D8" s="6"/>
      <c r="E8" s="6"/>
      <c r="F8" s="6"/>
      <c r="G8" s="7"/>
      <c r="H8" s="24" t="s">
        <v>308</v>
      </c>
      <c r="I8" s="24"/>
      <c r="J8" s="24"/>
      <c r="K8" s="24"/>
      <c r="L8" s="24"/>
      <c r="M8" s="24"/>
      <c r="N8" s="24"/>
      <c r="O8" s="24"/>
      <c r="P8" s="24"/>
      <c r="Q8"/>
    </row>
    <row r="9" ht="15" customHeight="1" spans="1:16">
      <c r="A9" s="25" t="s">
        <v>1</v>
      </c>
      <c r="B9" s="26" t="s">
        <v>184</v>
      </c>
      <c r="C9" s="27" t="s">
        <v>405</v>
      </c>
      <c r="D9" s="28"/>
      <c r="E9" s="28" t="s">
        <v>133</v>
      </c>
      <c r="F9" s="28"/>
      <c r="G9" s="29"/>
      <c r="H9" s="30" t="s">
        <v>200</v>
      </c>
      <c r="I9" s="93">
        <v>44362</v>
      </c>
      <c r="J9" s="93">
        <v>44392</v>
      </c>
      <c r="K9" s="93">
        <v>44423</v>
      </c>
      <c r="L9" s="93">
        <v>44454</v>
      </c>
      <c r="M9" s="93">
        <v>44484</v>
      </c>
      <c r="N9" s="93">
        <v>44515</v>
      </c>
      <c r="O9" s="93">
        <v>44545</v>
      </c>
      <c r="P9" s="93">
        <v>44576</v>
      </c>
    </row>
    <row r="10" ht="15" customHeight="1" spans="1:16">
      <c r="A10" s="25"/>
      <c r="B10" s="31"/>
      <c r="C10" s="27" t="s">
        <v>16</v>
      </c>
      <c r="D10" s="28" t="s">
        <v>17</v>
      </c>
      <c r="E10" s="28" t="s">
        <v>16</v>
      </c>
      <c r="F10" s="28" t="s">
        <v>17</v>
      </c>
      <c r="G10" s="29"/>
      <c r="H10" s="30"/>
      <c r="I10" s="94">
        <v>603</v>
      </c>
      <c r="J10" s="35">
        <v>879</v>
      </c>
      <c r="K10" s="35">
        <v>991.1</v>
      </c>
      <c r="L10" s="35">
        <v>5312.5</v>
      </c>
      <c r="M10" s="35">
        <v>6008.42</v>
      </c>
      <c r="N10" s="35">
        <v>7167.14</v>
      </c>
      <c r="O10" s="95">
        <v>10165.33</v>
      </c>
      <c r="P10" s="95">
        <v>13534.43</v>
      </c>
    </row>
    <row r="11" ht="15" customHeight="1" spans="1:16">
      <c r="A11" s="11">
        <v>44664</v>
      </c>
      <c r="B11" s="32" t="s">
        <v>172</v>
      </c>
      <c r="C11" s="33">
        <v>4</v>
      </c>
      <c r="D11" s="8">
        <v>30.92</v>
      </c>
      <c r="E11" s="33">
        <v>5</v>
      </c>
      <c r="F11" s="8">
        <v>38.46</v>
      </c>
      <c r="G11" s="10"/>
      <c r="H11" s="30"/>
      <c r="I11" s="48">
        <v>603</v>
      </c>
      <c r="J11" s="48">
        <v>276</v>
      </c>
      <c r="K11" s="48">
        <v>112.1</v>
      </c>
      <c r="L11" s="48">
        <v>4321.4</v>
      </c>
      <c r="M11" s="48">
        <v>695.92</v>
      </c>
      <c r="N11" s="48">
        <v>1158.72</v>
      </c>
      <c r="O11" s="48">
        <v>2998.19</v>
      </c>
      <c r="P11" s="96">
        <v>3369.11</v>
      </c>
    </row>
    <row r="12" ht="15" customHeight="1" spans="1:16">
      <c r="A12" s="16"/>
      <c r="B12" s="32" t="s">
        <v>173</v>
      </c>
      <c r="C12" s="33">
        <v>2</v>
      </c>
      <c r="D12" s="8">
        <v>30.47</v>
      </c>
      <c r="E12" s="33">
        <v>3</v>
      </c>
      <c r="F12" s="8">
        <v>45.86</v>
      </c>
      <c r="G12" s="10"/>
      <c r="H12" s="30"/>
      <c r="I12" s="93">
        <v>44607</v>
      </c>
      <c r="J12" s="93">
        <v>44635</v>
      </c>
      <c r="K12" s="93">
        <v>44666</v>
      </c>
      <c r="L12" s="93">
        <v>44696</v>
      </c>
      <c r="M12" s="93">
        <v>44727</v>
      </c>
      <c r="N12" s="93">
        <v>44757</v>
      </c>
      <c r="O12" s="93">
        <v>44788</v>
      </c>
      <c r="P12" s="93">
        <v>44819</v>
      </c>
    </row>
    <row r="13" ht="15" customHeight="1" spans="1:16">
      <c r="A13" s="16"/>
      <c r="B13" s="34" t="s">
        <v>169</v>
      </c>
      <c r="C13" s="33">
        <v>11</v>
      </c>
      <c r="D13" s="8">
        <v>1.782</v>
      </c>
      <c r="E13" s="33">
        <v>10</v>
      </c>
      <c r="F13" s="8">
        <v>1.62</v>
      </c>
      <c r="G13" s="10"/>
      <c r="H13" s="30"/>
      <c r="I13" s="35">
        <v>14233.94</v>
      </c>
      <c r="J13" s="35">
        <f ca="1">IF($A$3&gt;J12,INDIRECT(TEXT(J12,"yyyy.m.d")&amp;"!$E$7"),$E$7)</f>
        <v>17170.27</v>
      </c>
      <c r="K13" s="35">
        <f ca="1">IF($A$3&gt;K12,INDIRECT(TEXT(K12,"yyyy.m.d")&amp;"!$E$7"),$E$7)</f>
        <v>22553.93</v>
      </c>
      <c r="L13" s="35">
        <f ca="1">IF($A$3&gt;L12,INDIRECT(TEXT(L12,"yyyy.m.d")&amp;"!$E$7"),$E$7)</f>
        <v>22553.93</v>
      </c>
      <c r="M13" s="35">
        <f ca="1">IF($A$3&gt;M12,INDIRECT(TEXT(M12,"yyyy.m.d")&amp;"!$E$7"),$E$7)</f>
        <v>22553.93</v>
      </c>
      <c r="N13" s="35">
        <f ca="1">IF($A$3&gt;N12,INDIRECT(TEXT(N12,"yyyy.m.d")&amp;"!$E$7"),$E$7)</f>
        <v>22553.93</v>
      </c>
      <c r="O13" s="35">
        <f ca="1">IF($A$3&gt;O12,INDIRECT(TEXT(O12,"yyyy.m.d")&amp;"!$E$7"),$E$7)</f>
        <v>22553.93</v>
      </c>
      <c r="P13" s="35">
        <f ca="1">IF($A$3&gt;P12,INDIRECT(TEXT(P12,"yyyy.m.d")&amp;"!$E$7"),$E$7)</f>
        <v>22553.93</v>
      </c>
    </row>
    <row r="14" ht="15" customHeight="1" spans="1:16">
      <c r="A14" s="16"/>
      <c r="B14" s="34" t="s">
        <v>170</v>
      </c>
      <c r="C14" s="33">
        <v>4</v>
      </c>
      <c r="D14" s="8">
        <v>1.008</v>
      </c>
      <c r="E14" s="33">
        <v>5</v>
      </c>
      <c r="F14" s="8">
        <v>1.26</v>
      </c>
      <c r="G14" s="10"/>
      <c r="H14" s="30"/>
      <c r="I14" s="48">
        <v>699.51</v>
      </c>
      <c r="J14" s="48">
        <v>2936.33</v>
      </c>
      <c r="K14" s="48">
        <f ca="1" t="shared" ref="K14:P14" si="0">IFERROR(K13-J13,"")</f>
        <v>5383.66</v>
      </c>
      <c r="L14" s="48">
        <f ca="1" t="shared" si="0"/>
        <v>0</v>
      </c>
      <c r="M14" s="48">
        <f ca="1" t="shared" si="0"/>
        <v>0</v>
      </c>
      <c r="N14" s="48">
        <f ca="1" t="shared" si="0"/>
        <v>0</v>
      </c>
      <c r="O14" s="48">
        <f ca="1" t="shared" si="0"/>
        <v>0</v>
      </c>
      <c r="P14" s="48">
        <f ca="1" t="shared" si="0"/>
        <v>0</v>
      </c>
    </row>
    <row r="15" ht="15" customHeight="1" spans="1:16">
      <c r="A15" s="16"/>
      <c r="B15" s="34" t="s">
        <v>112</v>
      </c>
      <c r="C15" s="33">
        <v>0</v>
      </c>
      <c r="D15" s="8">
        <v>0</v>
      </c>
      <c r="E15" s="33">
        <v>580</v>
      </c>
      <c r="F15" s="8">
        <v>23.89</v>
      </c>
      <c r="G15" s="10"/>
      <c r="H15" s="30"/>
      <c r="I15" s="97">
        <v>44849</v>
      </c>
      <c r="J15" s="97">
        <v>44880</v>
      </c>
      <c r="K15" s="97">
        <v>44910</v>
      </c>
      <c r="L15" s="97">
        <v>44941</v>
      </c>
      <c r="M15" s="97">
        <v>44972</v>
      </c>
      <c r="N15" s="97">
        <v>45000</v>
      </c>
      <c r="O15" s="97">
        <v>45031</v>
      </c>
      <c r="P15" s="97">
        <v>45061</v>
      </c>
    </row>
    <row r="16" ht="15" customHeight="1" spans="1:16">
      <c r="A16" s="16"/>
      <c r="B16" s="34" t="s">
        <v>113</v>
      </c>
      <c r="C16" s="33">
        <v>0</v>
      </c>
      <c r="D16" s="8">
        <v>0</v>
      </c>
      <c r="E16" s="33">
        <v>227.06</v>
      </c>
      <c r="F16" s="8">
        <v>23.81</v>
      </c>
      <c r="G16" s="10"/>
      <c r="H16" s="30"/>
      <c r="I16" s="35">
        <f ca="1">IF($A$3&gt;I15,INDIRECT(TEXT(I15,"yyyy.m.d")&amp;"!$E$7"),$E$7)</f>
        <v>22553.93</v>
      </c>
      <c r="J16" s="35">
        <f ca="1">IF($A$3&gt;J15,INDIRECT(TEXT(J15,"yyyy.m.d")&amp;"!$E$7"),$E$7)</f>
        <v>22553.93</v>
      </c>
      <c r="K16" s="35">
        <f ca="1">IF($A$3&gt;K15,INDIRECT(TEXT(K15,"yyyy.m.d")&amp;"!$E$7"),$E$7)</f>
        <v>22553.93</v>
      </c>
      <c r="L16" s="35">
        <f ca="1">IF($A$3&gt;L15,INDIRECT(TEXT(L15,"yyyy.m.d")&amp;"!$E$7"),$E$7)</f>
        <v>22553.93</v>
      </c>
      <c r="M16" s="35">
        <f ca="1">IF($A$3&gt;M15,INDIRECT(TEXT(M15,"yyyy.m.d")&amp;"!$E$7"),$E$7)</f>
        <v>22553.93</v>
      </c>
      <c r="N16" s="35">
        <f ca="1">IF($A$3&gt;N15,INDIRECT(TEXT(N15,"yyyy.m.d")&amp;"!$E$7"),$E$7)</f>
        <v>22553.93</v>
      </c>
      <c r="O16" s="35">
        <f ca="1">IF($A$3&gt;O15,INDIRECT(TEXT(O15,"yyyy.m.d")&amp;"!$E$7"),$E$7)</f>
        <v>22553.93</v>
      </c>
      <c r="P16" s="35">
        <f ca="1">IF($A$3&gt;P15,INDIRECT(TEXT(P15,"yyyy.m.d")&amp;"!$E$7"),$E$7)</f>
        <v>22553.93</v>
      </c>
    </row>
    <row r="17" ht="15" customHeight="1" spans="1:16">
      <c r="A17" s="16"/>
      <c r="B17" s="34" t="s">
        <v>114</v>
      </c>
      <c r="C17" s="33">
        <v>0</v>
      </c>
      <c r="D17" s="8">
        <v>0</v>
      </c>
      <c r="E17" s="33">
        <v>0</v>
      </c>
      <c r="F17" s="8">
        <v>0</v>
      </c>
      <c r="G17" s="10"/>
      <c r="H17" s="30"/>
      <c r="I17" s="48">
        <f ca="1">IFERROR(I16-P13,"")</f>
        <v>0</v>
      </c>
      <c r="J17" s="48">
        <f ca="1" t="shared" ref="J17:P17" si="1">IFERROR(J16-I16,"")</f>
        <v>0</v>
      </c>
      <c r="K17" s="48">
        <f ca="1" t="shared" si="1"/>
        <v>0</v>
      </c>
      <c r="L17" s="48">
        <f ca="1" t="shared" si="1"/>
        <v>0</v>
      </c>
      <c r="M17" s="48">
        <f ca="1" t="shared" si="1"/>
        <v>0</v>
      </c>
      <c r="N17" s="48">
        <f ca="1" t="shared" si="1"/>
        <v>0</v>
      </c>
      <c r="O17" s="48">
        <f ca="1" t="shared" si="1"/>
        <v>0</v>
      </c>
      <c r="P17" s="48">
        <f ca="1" t="shared" si="1"/>
        <v>0</v>
      </c>
    </row>
    <row r="18" ht="15" customHeight="1" spans="1:17">
      <c r="A18" s="16"/>
      <c r="B18" s="8" t="s">
        <v>134</v>
      </c>
      <c r="C18" s="8">
        <f>ROUND(D11+D12+D15+D16+D17+D13+D14,2)</f>
        <v>64.18</v>
      </c>
      <c r="D18" s="8"/>
      <c r="E18" s="8">
        <f>ROUND(F11+F12+F15+F16+F17+F13+F14,2)</f>
        <v>134.9</v>
      </c>
      <c r="F18" s="8"/>
      <c r="G18" s="10"/>
      <c r="H18" s="35"/>
      <c r="I18" s="52" t="s">
        <v>309</v>
      </c>
      <c r="J18" s="52"/>
      <c r="K18" s="98" t="s">
        <v>309</v>
      </c>
      <c r="L18" s="99"/>
      <c r="M18" s="52" t="s">
        <v>310</v>
      </c>
      <c r="N18" s="52"/>
      <c r="O18" s="52" t="s">
        <v>311</v>
      </c>
      <c r="P18" s="100"/>
      <c r="Q18"/>
    </row>
    <row r="19" ht="15" customHeight="1" spans="1:19">
      <c r="A19" s="16"/>
      <c r="B19" s="8" t="s">
        <v>5</v>
      </c>
      <c r="C19" s="6">
        <f>C18+E18</f>
        <v>199.08</v>
      </c>
      <c r="D19" s="6"/>
      <c r="E19" s="6"/>
      <c r="F19" s="6"/>
      <c r="G19" s="7"/>
      <c r="H19" s="36" t="s">
        <v>246</v>
      </c>
      <c r="I19" s="36" t="s">
        <v>14</v>
      </c>
      <c r="J19" s="36" t="s">
        <v>15</v>
      </c>
      <c r="K19" s="36" t="s">
        <v>14</v>
      </c>
      <c r="L19" s="36" t="s">
        <v>15</v>
      </c>
      <c r="M19" s="36" t="s">
        <v>14</v>
      </c>
      <c r="N19" s="36" t="s">
        <v>15</v>
      </c>
      <c r="O19" s="36" t="s">
        <v>14</v>
      </c>
      <c r="P19" s="36" t="s">
        <v>15</v>
      </c>
      <c r="Q19" s="4"/>
      <c r="R19" s="3"/>
      <c r="S19" s="3"/>
    </row>
    <row r="20" spans="1:19">
      <c r="A20" s="37"/>
      <c r="B20" s="38"/>
      <c r="C20" s="38"/>
      <c r="D20" s="38"/>
      <c r="E20" s="38"/>
      <c r="F20" s="39"/>
      <c r="G20" s="38"/>
      <c r="H20" s="40" t="s">
        <v>32</v>
      </c>
      <c r="I20" s="94">
        <f>142+4*15</f>
        <v>202</v>
      </c>
      <c r="J20" s="94">
        <f>52+9</f>
        <v>61</v>
      </c>
      <c r="K20" s="101">
        <v>169</v>
      </c>
      <c r="L20" s="101">
        <v>81</v>
      </c>
      <c r="M20" s="94">
        <f>C38-169</f>
        <v>188</v>
      </c>
      <c r="N20" s="94">
        <f>D38-81</f>
        <v>128</v>
      </c>
      <c r="O20" s="94">
        <v>0</v>
      </c>
      <c r="P20" s="94">
        <v>0</v>
      </c>
      <c r="Q20" s="4"/>
      <c r="R20" s="3"/>
      <c r="S20" s="3"/>
    </row>
    <row r="21" spans="1:19">
      <c r="A21" s="37"/>
      <c r="B21" s="38"/>
      <c r="C21" s="38"/>
      <c r="D21" s="38"/>
      <c r="E21" s="38"/>
      <c r="F21" s="39"/>
      <c r="G21" s="38"/>
      <c r="H21" s="40" t="s">
        <v>33</v>
      </c>
      <c r="I21" s="94">
        <f>222+15*10-24</f>
        <v>348</v>
      </c>
      <c r="J21" s="94">
        <v>24</v>
      </c>
      <c r="K21" s="101">
        <v>302</v>
      </c>
      <c r="L21" s="101">
        <v>45</v>
      </c>
      <c r="M21" s="94">
        <f>E38-302</f>
        <v>434</v>
      </c>
      <c r="N21" s="94">
        <f>F38-45</f>
        <v>142</v>
      </c>
      <c r="O21" s="94">
        <v>0</v>
      </c>
      <c r="P21" s="94">
        <v>0</v>
      </c>
      <c r="Q21" s="4"/>
      <c r="R21" s="3"/>
      <c r="S21" s="3"/>
    </row>
    <row r="22" spans="1:19">
      <c r="A22" s="37"/>
      <c r="B22" s="38"/>
      <c r="C22" s="41"/>
      <c r="D22" s="41"/>
      <c r="E22" s="41"/>
      <c r="F22" s="42"/>
      <c r="G22" s="41"/>
      <c r="H22" s="36" t="s">
        <v>136</v>
      </c>
      <c r="I22" s="36" t="s">
        <v>14</v>
      </c>
      <c r="J22" s="36" t="s">
        <v>15</v>
      </c>
      <c r="K22" s="36" t="s">
        <v>14</v>
      </c>
      <c r="L22" s="36" t="s">
        <v>15</v>
      </c>
      <c r="M22" s="36" t="s">
        <v>14</v>
      </c>
      <c r="N22" s="36" t="s">
        <v>15</v>
      </c>
      <c r="O22" s="36" t="s">
        <v>14</v>
      </c>
      <c r="P22" s="36" t="s">
        <v>15</v>
      </c>
      <c r="Q22" s="4"/>
      <c r="R22" s="3"/>
      <c r="S22" s="3"/>
    </row>
    <row r="23" spans="1:19">
      <c r="A23" s="37"/>
      <c r="B23" s="38"/>
      <c r="C23" s="41"/>
      <c r="D23" s="41"/>
      <c r="E23" s="41"/>
      <c r="F23" s="42"/>
      <c r="G23" s="41"/>
      <c r="H23" s="40" t="s">
        <v>32</v>
      </c>
      <c r="I23" s="94">
        <v>130</v>
      </c>
      <c r="J23" s="94">
        <v>70</v>
      </c>
      <c r="K23" s="101">
        <v>130</v>
      </c>
      <c r="L23" s="101">
        <v>65</v>
      </c>
      <c r="M23" s="94">
        <f>C39-130</f>
        <v>130</v>
      </c>
      <c r="N23" s="94">
        <f>D39-65</f>
        <v>123</v>
      </c>
      <c r="O23" s="94">
        <v>0</v>
      </c>
      <c r="P23" s="94">
        <v>0</v>
      </c>
      <c r="Q23" s="4"/>
      <c r="R23" s="3"/>
      <c r="S23" s="3"/>
    </row>
    <row r="24" spans="1:19">
      <c r="A24" s="37"/>
      <c r="B24" s="38"/>
      <c r="C24" s="41"/>
      <c r="D24" s="41"/>
      <c r="E24" s="41"/>
      <c r="F24" s="42"/>
      <c r="G24" s="41"/>
      <c r="H24" s="40" t="s">
        <v>33</v>
      </c>
      <c r="I24" s="94">
        <f>245-6</f>
        <v>239</v>
      </c>
      <c r="J24" s="94">
        <v>0</v>
      </c>
      <c r="K24" s="101">
        <v>258</v>
      </c>
      <c r="L24" s="101">
        <v>7</v>
      </c>
      <c r="M24" s="94">
        <f>E39-258</f>
        <v>393</v>
      </c>
      <c r="N24" s="94">
        <f>F39-7</f>
        <v>171</v>
      </c>
      <c r="O24" s="94">
        <v>0</v>
      </c>
      <c r="P24" s="94">
        <v>0</v>
      </c>
      <c r="Q24" s="4"/>
      <c r="R24" s="3"/>
      <c r="S24" s="3"/>
    </row>
    <row r="25" spans="1:19">
      <c r="A25" s="37"/>
      <c r="B25" s="38"/>
      <c r="C25" s="41"/>
      <c r="D25" s="41"/>
      <c r="E25" s="41"/>
      <c r="F25" s="42"/>
      <c r="G25" s="41"/>
      <c r="H25" s="36" t="s">
        <v>228</v>
      </c>
      <c r="I25" s="94">
        <v>5645</v>
      </c>
      <c r="J25" s="94"/>
      <c r="K25" s="102">
        <v>6105</v>
      </c>
      <c r="L25" s="103"/>
      <c r="M25" s="94">
        <f>F45-6105</f>
        <v>14735</v>
      </c>
      <c r="N25" s="94"/>
      <c r="O25" s="94">
        <v>0</v>
      </c>
      <c r="P25" s="94"/>
      <c r="Q25" s="4"/>
      <c r="R25" s="3"/>
      <c r="S25" s="3"/>
    </row>
    <row r="26" spans="1:19">
      <c r="A26" s="37"/>
      <c r="B26" s="38"/>
      <c r="C26" s="41"/>
      <c r="D26" s="41"/>
      <c r="E26" s="41"/>
      <c r="F26" s="42"/>
      <c r="G26" s="41"/>
      <c r="H26" s="36" t="s">
        <v>229</v>
      </c>
      <c r="I26" s="94">
        <v>2990.44</v>
      </c>
      <c r="J26" s="94"/>
      <c r="K26" s="102">
        <v>2032.04</v>
      </c>
      <c r="L26" s="103"/>
      <c r="M26" s="94">
        <f>F44-2032.04+428.62</f>
        <v>4378.4</v>
      </c>
      <c r="N26" s="94"/>
      <c r="O26" s="94">
        <v>0</v>
      </c>
      <c r="P26" s="94"/>
      <c r="Q26" s="4"/>
      <c r="R26" s="3"/>
      <c r="S26" s="3"/>
    </row>
    <row r="27" spans="1:19">
      <c r="A27" s="43"/>
      <c r="B27" s="44"/>
      <c r="C27" s="45"/>
      <c r="D27" s="45"/>
      <c r="E27" s="45"/>
      <c r="F27" s="46"/>
      <c r="G27" s="41"/>
      <c r="H27" s="36" t="s">
        <v>230</v>
      </c>
      <c r="I27" s="94">
        <v>0</v>
      </c>
      <c r="J27" s="94"/>
      <c r="K27" s="102"/>
      <c r="L27" s="103"/>
      <c r="M27" s="94">
        <f>F43-0</f>
        <v>6130.99</v>
      </c>
      <c r="N27" s="94"/>
      <c r="O27" s="94">
        <v>0</v>
      </c>
      <c r="P27" s="94"/>
      <c r="Q27" s="4"/>
      <c r="R27" s="3"/>
      <c r="S27" s="3"/>
    </row>
    <row r="28" spans="1:19">
      <c r="A28" s="37"/>
      <c r="B28" s="47"/>
      <c r="C28" s="47"/>
      <c r="D28" s="47"/>
      <c r="E28" s="47"/>
      <c r="F28" s="39"/>
      <c r="G28" s="38"/>
      <c r="H28" s="48" t="s">
        <v>5</v>
      </c>
      <c r="I28" s="48">
        <v>12082.43</v>
      </c>
      <c r="J28" s="48"/>
      <c r="K28" s="104">
        <v>12092.8</v>
      </c>
      <c r="L28" s="105"/>
      <c r="M28" s="48">
        <f>E7-O7</f>
        <v>10471.5</v>
      </c>
      <c r="N28" s="48"/>
      <c r="O28" s="48"/>
      <c r="P28" s="48"/>
      <c r="Q28" s="4"/>
      <c r="R28" s="3"/>
      <c r="S28" s="3"/>
    </row>
    <row r="29" spans="1:19">
      <c r="A29" s="37"/>
      <c r="B29" s="38" t="s">
        <v>135</v>
      </c>
      <c r="C29" s="38"/>
      <c r="D29" s="38" t="s">
        <v>136</v>
      </c>
      <c r="E29" s="38"/>
      <c r="F29" s="39"/>
      <c r="G29" s="38"/>
      <c r="H29" s="36" t="s">
        <v>6</v>
      </c>
      <c r="I29" s="40" t="s">
        <v>312</v>
      </c>
      <c r="J29" s="40"/>
      <c r="K29" s="40" t="s">
        <v>349</v>
      </c>
      <c r="L29" s="40"/>
      <c r="M29" s="40" t="s">
        <v>313</v>
      </c>
      <c r="N29" s="40"/>
      <c r="O29" s="40"/>
      <c r="P29" s="40"/>
      <c r="Q29" s="4"/>
      <c r="R29" s="3"/>
      <c r="S29" s="3"/>
    </row>
    <row r="30" spans="1:7">
      <c r="A30" s="37"/>
      <c r="B30" s="49" t="s">
        <v>74</v>
      </c>
      <c r="C30" s="38">
        <f>C38+D38</f>
        <v>566</v>
      </c>
      <c r="D30" s="49" t="s">
        <v>75</v>
      </c>
      <c r="E30" s="38">
        <f>C39+D39</f>
        <v>448</v>
      </c>
      <c r="F30" s="39"/>
      <c r="G30" s="38"/>
    </row>
    <row r="31" spans="1:7">
      <c r="A31" s="37"/>
      <c r="B31" s="49" t="s">
        <v>76</v>
      </c>
      <c r="C31" s="38">
        <f>E38+F38</f>
        <v>923</v>
      </c>
      <c r="D31" s="49" t="s">
        <v>77</v>
      </c>
      <c r="E31" s="38">
        <f>E39+F39</f>
        <v>829</v>
      </c>
      <c r="F31" s="39"/>
      <c r="G31" s="38"/>
    </row>
    <row r="32" spans="1:7">
      <c r="A32" s="37"/>
      <c r="B32" s="49" t="s">
        <v>78</v>
      </c>
      <c r="C32" s="38">
        <f>C33-C30-C31</f>
        <v>4291</v>
      </c>
      <c r="D32" s="49" t="s">
        <v>79</v>
      </c>
      <c r="E32" s="38">
        <f>E33-E30-E31</f>
        <v>4503</v>
      </c>
      <c r="F32" s="39"/>
      <c r="G32" s="38"/>
    </row>
    <row r="33" spans="1:7">
      <c r="A33" s="37"/>
      <c r="B33" s="49" t="s">
        <v>80</v>
      </c>
      <c r="C33" s="38">
        <v>5780</v>
      </c>
      <c r="D33" s="49" t="s">
        <v>81</v>
      </c>
      <c r="E33" s="38">
        <v>5780</v>
      </c>
      <c r="F33" s="39"/>
      <c r="G33" s="38"/>
    </row>
    <row r="34" spans="1:7">
      <c r="A34" s="37"/>
      <c r="B34" s="38"/>
      <c r="C34" s="38"/>
      <c r="D34" s="38"/>
      <c r="E34" s="38"/>
      <c r="F34" s="39"/>
      <c r="G34" s="38"/>
    </row>
    <row r="35" ht="19.95" customHeight="1" spans="1:16">
      <c r="A35" s="50" t="s">
        <v>91</v>
      </c>
      <c r="B35" s="50"/>
      <c r="C35" s="50" t="s">
        <v>376</v>
      </c>
      <c r="D35" s="51"/>
      <c r="E35" s="51"/>
      <c r="F35" s="51"/>
      <c r="G35" s="38"/>
      <c r="H35" s="52" t="s">
        <v>346</v>
      </c>
      <c r="I35" s="52"/>
      <c r="J35" s="52"/>
      <c r="K35" s="52"/>
      <c r="L35" s="52"/>
      <c r="M35" s="52"/>
      <c r="N35" s="52"/>
      <c r="O35" s="52"/>
      <c r="P35" s="52"/>
    </row>
    <row r="36" ht="15.6" spans="1:16">
      <c r="A36" s="53">
        <v>44655</v>
      </c>
      <c r="B36" s="54">
        <v>232.13</v>
      </c>
      <c r="C36" s="55" t="s">
        <v>405</v>
      </c>
      <c r="D36" s="55"/>
      <c r="E36" s="55" t="s">
        <v>33</v>
      </c>
      <c r="F36" s="55"/>
      <c r="G36" s="29"/>
      <c r="H36" s="56" t="s">
        <v>257</v>
      </c>
      <c r="I36" s="56" t="s">
        <v>258</v>
      </c>
      <c r="J36" s="56" t="s">
        <v>259</v>
      </c>
      <c r="K36" s="56" t="s">
        <v>260</v>
      </c>
      <c r="L36" s="56" t="s">
        <v>261</v>
      </c>
      <c r="M36" s="56" t="s">
        <v>262</v>
      </c>
      <c r="N36" s="56" t="s">
        <v>263</v>
      </c>
      <c r="O36" s="56" t="s">
        <v>264</v>
      </c>
      <c r="P36" s="56" t="s">
        <v>350</v>
      </c>
    </row>
    <row r="37" ht="15.6" spans="1:16">
      <c r="A37" s="53">
        <v>44656</v>
      </c>
      <c r="B37" s="54">
        <v>125.95</v>
      </c>
      <c r="C37" s="57" t="s">
        <v>14</v>
      </c>
      <c r="D37" s="57" t="s">
        <v>15</v>
      </c>
      <c r="E37" s="57" t="s">
        <v>14</v>
      </c>
      <c r="F37" s="57" t="s">
        <v>15</v>
      </c>
      <c r="G37" s="7"/>
      <c r="H37" s="35" t="s">
        <v>265</v>
      </c>
      <c r="I37" s="35" t="s">
        <v>266</v>
      </c>
      <c r="J37" s="35" t="s">
        <v>267</v>
      </c>
      <c r="K37" s="35" t="s">
        <v>268</v>
      </c>
      <c r="L37" s="35" t="s">
        <v>269</v>
      </c>
      <c r="M37" s="35" t="s">
        <v>270</v>
      </c>
      <c r="N37" s="35" t="s">
        <v>271</v>
      </c>
      <c r="O37" s="35" t="s">
        <v>272</v>
      </c>
      <c r="P37" s="35" t="s">
        <v>351</v>
      </c>
    </row>
    <row r="38" ht="15.6" spans="1:16">
      <c r="A38" s="53">
        <v>44657</v>
      </c>
      <c r="B38" s="54">
        <v>127.45</v>
      </c>
      <c r="C38" s="58">
        <v>357</v>
      </c>
      <c r="D38" s="58">
        <v>209</v>
      </c>
      <c r="E38" s="58">
        <v>736</v>
      </c>
      <c r="F38" s="58">
        <v>187</v>
      </c>
      <c r="G38" s="59"/>
      <c r="H38" s="56" t="s">
        <v>273</v>
      </c>
      <c r="I38" s="56" t="s">
        <v>274</v>
      </c>
      <c r="J38" s="56" t="s">
        <v>275</v>
      </c>
      <c r="K38" s="56" t="s">
        <v>276</v>
      </c>
      <c r="L38" s="56" t="s">
        <v>277</v>
      </c>
      <c r="M38" s="56" t="s">
        <v>278</v>
      </c>
      <c r="N38" s="56"/>
      <c r="O38" s="56"/>
      <c r="P38" s="56"/>
    </row>
    <row r="39" ht="15.6" spans="1:16">
      <c r="A39" s="53">
        <v>44658</v>
      </c>
      <c r="B39" s="54">
        <v>128.33</v>
      </c>
      <c r="C39" s="60">
        <v>260</v>
      </c>
      <c r="D39" s="60">
        <v>188</v>
      </c>
      <c r="E39" s="60">
        <v>651</v>
      </c>
      <c r="F39" s="60">
        <v>178</v>
      </c>
      <c r="G39" s="61"/>
      <c r="H39" s="35" t="s">
        <v>279</v>
      </c>
      <c r="I39" s="35" t="s">
        <v>280</v>
      </c>
      <c r="J39" s="35" t="s">
        <v>281</v>
      </c>
      <c r="K39" s="35" t="s">
        <v>282</v>
      </c>
      <c r="L39" s="35" t="s">
        <v>283</v>
      </c>
      <c r="M39" s="35" t="s">
        <v>284</v>
      </c>
      <c r="N39" s="35"/>
      <c r="O39" s="35"/>
      <c r="P39" s="35"/>
    </row>
    <row r="40" ht="15.6" spans="1:21">
      <c r="A40" s="53">
        <v>44659</v>
      </c>
      <c r="B40" s="62">
        <v>134.24</v>
      </c>
      <c r="C40" s="63" t="s">
        <v>182</v>
      </c>
      <c r="D40" s="64">
        <f>C38+D38+E38+F38</f>
        <v>1489</v>
      </c>
      <c r="E40" s="65" t="s">
        <v>69</v>
      </c>
      <c r="F40" s="66">
        <f>C39+D39+E39+F39</f>
        <v>1277</v>
      </c>
      <c r="G40" s="61"/>
      <c r="H40" s="67" t="s">
        <v>285</v>
      </c>
      <c r="I40" s="106" t="s">
        <v>381</v>
      </c>
      <c r="J40" s="107"/>
      <c r="K40" s="107"/>
      <c r="L40" s="107"/>
      <c r="M40" s="107"/>
      <c r="N40" s="107"/>
      <c r="O40" s="107"/>
      <c r="P40" s="108"/>
      <c r="U40" s="4"/>
    </row>
    <row r="41" ht="17.4" spans="1:21">
      <c r="A41" s="53">
        <v>44660</v>
      </c>
      <c r="B41" s="54">
        <v>130.5</v>
      </c>
      <c r="C41" s="68" t="s">
        <v>287</v>
      </c>
      <c r="D41" s="69"/>
      <c r="E41" s="69"/>
      <c r="F41" s="70"/>
      <c r="G41" s="10"/>
      <c r="H41" s="71" t="str">
        <f>"截止"&amp;TEXT(A3,"yyyy年mm月dd日")</f>
        <v>截止2022年04月13日</v>
      </c>
      <c r="I41" s="109"/>
      <c r="J41" s="110"/>
      <c r="K41" s="71" t="s">
        <v>314</v>
      </c>
      <c r="L41" s="109"/>
      <c r="M41" s="109"/>
      <c r="N41" s="109"/>
      <c r="O41" s="109"/>
      <c r="P41" s="110"/>
      <c r="U41" s="4"/>
    </row>
    <row r="42" ht="15.6" spans="1:21">
      <c r="A42" s="53">
        <v>44661</v>
      </c>
      <c r="B42" s="54">
        <v>196.22</v>
      </c>
      <c r="C42" s="72" t="s">
        <v>288</v>
      </c>
      <c r="D42" s="72" t="s">
        <v>412</v>
      </c>
      <c r="E42" s="72" t="s">
        <v>290</v>
      </c>
      <c r="F42" s="72" t="s">
        <v>291</v>
      </c>
      <c r="G42" s="73"/>
      <c r="H42" s="40"/>
      <c r="I42" s="40" t="s">
        <v>227</v>
      </c>
      <c r="J42" s="40" t="s">
        <v>226</v>
      </c>
      <c r="K42" s="40" t="s">
        <v>315</v>
      </c>
      <c r="L42" s="40" t="s">
        <v>316</v>
      </c>
      <c r="M42" s="40" t="s">
        <v>317</v>
      </c>
      <c r="N42" s="40" t="s">
        <v>228</v>
      </c>
      <c r="O42" s="40" t="s">
        <v>229</v>
      </c>
      <c r="P42" s="40" t="s">
        <v>230</v>
      </c>
      <c r="U42" s="4"/>
    </row>
    <row r="43" ht="15.6" spans="1:21">
      <c r="A43" s="53">
        <v>44662</v>
      </c>
      <c r="B43" s="54">
        <v>180.1</v>
      </c>
      <c r="C43" s="74" t="s">
        <v>230</v>
      </c>
      <c r="D43" s="74">
        <v>6130.99</v>
      </c>
      <c r="E43" s="74">
        <v>0</v>
      </c>
      <c r="F43" s="74">
        <f t="shared" ref="F43:F45" si="2">D43+E43</f>
        <v>6130.99</v>
      </c>
      <c r="G43" s="73"/>
      <c r="H43" s="40" t="s">
        <v>61</v>
      </c>
      <c r="I43" s="111">
        <f>ROUND(D40/J43,4)</f>
        <v>0.2518</v>
      </c>
      <c r="J43" s="35">
        <v>5913</v>
      </c>
      <c r="K43" s="36" t="s">
        <v>318</v>
      </c>
      <c r="L43" s="56">
        <f>L44+155+2</f>
        <v>1049</v>
      </c>
      <c r="M43" s="56">
        <f>M44+171</f>
        <v>988</v>
      </c>
      <c r="N43" s="56">
        <f>N44+1460</f>
        <v>16195</v>
      </c>
      <c r="O43" s="56">
        <f>O44+441.6-41.6</f>
        <v>4778.4</v>
      </c>
      <c r="P43" s="56">
        <f>P44+0</f>
        <v>6130.99</v>
      </c>
      <c r="U43" s="4"/>
    </row>
    <row r="44" ht="15.6" spans="1:21">
      <c r="A44" s="53">
        <v>44663</v>
      </c>
      <c r="B44" s="54">
        <v>117.48</v>
      </c>
      <c r="C44" s="74" t="s">
        <v>229</v>
      </c>
      <c r="D44" s="74">
        <v>3127.9</v>
      </c>
      <c r="E44" s="74">
        <v>2853.92</v>
      </c>
      <c r="F44" s="74">
        <f t="shared" si="2"/>
        <v>5981.82</v>
      </c>
      <c r="G44" s="73"/>
      <c r="H44" s="40" t="s">
        <v>62</v>
      </c>
      <c r="I44" s="111">
        <f>ROUND(F40/J44,4)</f>
        <v>0.216</v>
      </c>
      <c r="J44" s="35">
        <v>5913</v>
      </c>
      <c r="K44" s="36" t="s">
        <v>319</v>
      </c>
      <c r="L44" s="56">
        <f>M20+N20+M21+N21</f>
        <v>892</v>
      </c>
      <c r="M44" s="56">
        <f>M23+N23+M24+N24</f>
        <v>817</v>
      </c>
      <c r="N44" s="56">
        <f>M25</f>
        <v>14735</v>
      </c>
      <c r="O44" s="56">
        <f>M26</f>
        <v>4378.4</v>
      </c>
      <c r="P44" s="56">
        <f>M27</f>
        <v>6130.99</v>
      </c>
      <c r="U44" s="4"/>
    </row>
    <row r="45" ht="15.6" spans="1:21">
      <c r="A45" s="53">
        <v>44664</v>
      </c>
      <c r="B45" s="54">
        <v>199.08</v>
      </c>
      <c r="C45" s="74" t="s">
        <v>228</v>
      </c>
      <c r="D45" s="74">
        <v>7080</v>
      </c>
      <c r="E45" s="74">
        <v>13760</v>
      </c>
      <c r="F45" s="74">
        <f t="shared" si="2"/>
        <v>20840</v>
      </c>
      <c r="G45" s="75"/>
      <c r="H45" s="40" t="s">
        <v>228</v>
      </c>
      <c r="I45" s="111">
        <f>ROUND(F45/J45,4)</f>
        <v>0.1542</v>
      </c>
      <c r="J45" s="35">
        <v>135185</v>
      </c>
      <c r="K45" s="36" t="s">
        <v>320</v>
      </c>
      <c r="L45" s="56">
        <f>D40</f>
        <v>1489</v>
      </c>
      <c r="M45" s="56">
        <f>F40</f>
        <v>1277</v>
      </c>
      <c r="N45" s="56">
        <f>F45</f>
        <v>20840</v>
      </c>
      <c r="O45" s="56">
        <f>F44</f>
        <v>5981.82</v>
      </c>
      <c r="P45" s="56">
        <f>F43</f>
        <v>6130.99</v>
      </c>
      <c r="U45" s="4"/>
    </row>
    <row r="46" ht="17.4" spans="1:16">
      <c r="A46" s="50" t="s">
        <v>377</v>
      </c>
      <c r="B46" s="50"/>
      <c r="C46" s="50"/>
      <c r="D46" s="50"/>
      <c r="E46" s="50"/>
      <c r="F46" s="50"/>
      <c r="G46" s="76"/>
      <c r="H46" s="40" t="s">
        <v>229</v>
      </c>
      <c r="I46" s="111">
        <f>ROUND(F44/J46,4)</f>
        <v>0.0892</v>
      </c>
      <c r="J46" s="35">
        <v>67098.02</v>
      </c>
      <c r="K46" s="36" t="s">
        <v>341</v>
      </c>
      <c r="L46" s="56">
        <v>440</v>
      </c>
      <c r="M46" s="56">
        <v>289</v>
      </c>
      <c r="N46" s="56">
        <v>4645</v>
      </c>
      <c r="O46" s="56">
        <v>1590.44</v>
      </c>
      <c r="P46" s="56">
        <v>0</v>
      </c>
    </row>
    <row r="47" ht="16.2" spans="1:16">
      <c r="A47" s="77" t="s">
        <v>316</v>
      </c>
      <c r="B47" s="77" t="s">
        <v>317</v>
      </c>
      <c r="C47" s="77" t="s">
        <v>228</v>
      </c>
      <c r="D47" s="77" t="s">
        <v>229</v>
      </c>
      <c r="E47" s="77" t="s">
        <v>230</v>
      </c>
      <c r="F47" s="78" t="s">
        <v>17</v>
      </c>
      <c r="G47" s="76"/>
      <c r="H47" s="40" t="s">
        <v>230</v>
      </c>
      <c r="I47" s="111">
        <f>ROUND(F43/J47,4)</f>
        <v>0.0151</v>
      </c>
      <c r="J47" s="35">
        <v>405202.2</v>
      </c>
      <c r="K47" s="36" t="s">
        <v>402</v>
      </c>
      <c r="L47" s="56">
        <f ca="1">D40-INDIRECT(YEAR(TODAY()+ROUND(DAY(DATE(YEAR(TODAY()),MONTH(TODAY())+1,0))/2,0))&amp;"."&amp;MONTH(TODAY()+ROUND(DAY(DATE(YEAR(TODAY()),MONTH(TODAY())+1,0))/2,0))-1&amp;".15"&amp;"!d40")</f>
        <v>464</v>
      </c>
      <c r="M47" s="56">
        <f ca="1">F40-INDIRECT(YEAR(TODAY()+ROUND(DAY(DATE(YEAR(TODAY()),MONTH(TODAY())+1,0))/2,0))&amp;"."&amp;MONTH(TODAY()+ROUND(DAY(DATE(YEAR(TODAY()),MONTH(TODAY())+1,0))/2,0))-1&amp;".15"&amp;"!f40")</f>
        <v>457</v>
      </c>
      <c r="N47" s="56">
        <f ca="1">F45-INDIRECT(YEAR(TODAY()+ROUND(DAY(DATE(YEAR(TODAY()),MONTH(TODAY())+1,0))/2,0))&amp;"."&amp;MONTH(TODAY()+ROUND(DAY(DATE(YEAR(TODAY()),MONTH(TODAY())+1,0))/2,0))-1&amp;".15"&amp;"!f45")</f>
        <v>7580</v>
      </c>
      <c r="O47" s="56">
        <f ca="1">F44-INDIRECT(YEAR(TODAY()+ROUND(DAY(DATE(YEAR(TODAY()),MONTH(TODAY())+1,0))/2,0))&amp;"."&amp;MONTH(TODAY()+ROUND(DAY(DATE(YEAR(TODAY()),MONTH(TODAY())+1,0))/2,0))-1&amp;".15"&amp;"!f44")</f>
        <v>1483.07</v>
      </c>
      <c r="P47" s="56">
        <f ca="1">F43-INDIRECT(YEAR(TODAY()+ROUND(DAY(DATE(YEAR(TODAY()),MONTH(TODAY())+1,0))/2,0))&amp;"."&amp;MONTH(TODAY()+ROUND(DAY(DATE(YEAR(TODAY()),MONTH(TODAY())+1,0))/2,0))-1&amp;".15"&amp;"!f43")</f>
        <v>0</v>
      </c>
    </row>
    <row r="48" spans="1:16">
      <c r="A48" s="79">
        <f>SUM(C11,E11,C12,E12)</f>
        <v>14</v>
      </c>
      <c r="B48" s="79">
        <f>SUM(C13,C14,E13,E14)</f>
        <v>30</v>
      </c>
      <c r="C48" s="79">
        <f>C15+E15</f>
        <v>580</v>
      </c>
      <c r="D48" s="79">
        <f>C16+E16</f>
        <v>227.06</v>
      </c>
      <c r="E48" s="79">
        <f>C17+E17</f>
        <v>0</v>
      </c>
      <c r="F48" s="80">
        <f>E3</f>
        <v>199.08</v>
      </c>
      <c r="G48" s="76"/>
      <c r="H48" s="40" t="s">
        <v>231</v>
      </c>
      <c r="I48" s="111">
        <f>ROUND(E7/J48,4)</f>
        <v>0.2498</v>
      </c>
      <c r="J48" s="35">
        <v>90284.4</v>
      </c>
      <c r="K48" s="36"/>
      <c r="L48" s="56"/>
      <c r="M48" s="56"/>
      <c r="N48" s="56"/>
      <c r="O48" s="56"/>
      <c r="P48" s="56"/>
    </row>
    <row r="49" spans="1:16">
      <c r="A49" s="79">
        <f ca="1">L47</f>
        <v>464</v>
      </c>
      <c r="B49" s="79">
        <f ca="1">M47</f>
        <v>457</v>
      </c>
      <c r="C49" s="79">
        <f ca="1">N47</f>
        <v>7580</v>
      </c>
      <c r="D49" s="79">
        <f ca="1">O47</f>
        <v>1483.07</v>
      </c>
      <c r="E49" s="79">
        <f ca="1">P47</f>
        <v>0</v>
      </c>
      <c r="F49" s="80">
        <f ca="1">E7-INDIRECT(TEXT(P53,"yyyy.m.d")&amp;"!E7")</f>
        <v>5383.66</v>
      </c>
      <c r="G49" s="76"/>
      <c r="H49" s="81" t="s">
        <v>406</v>
      </c>
      <c r="I49" s="81"/>
      <c r="J49" s="81"/>
      <c r="K49" s="81"/>
      <c r="L49" s="81"/>
      <c r="M49" s="81"/>
      <c r="N49" s="81"/>
      <c r="O49" s="81"/>
      <c r="P49" s="81"/>
    </row>
    <row r="50" s="2" customFormat="1" customHeight="1" spans="1:6">
      <c r="A50" s="79">
        <f>L43</f>
        <v>1049</v>
      </c>
      <c r="B50" s="79">
        <f>M43</f>
        <v>988</v>
      </c>
      <c r="C50" s="79">
        <f>N43</f>
        <v>16195</v>
      </c>
      <c r="D50" s="79">
        <f>O43</f>
        <v>4778.4</v>
      </c>
      <c r="E50" s="79">
        <f>P43</f>
        <v>6130.99</v>
      </c>
      <c r="F50" s="80">
        <f>K7</f>
        <v>12388.55</v>
      </c>
    </row>
    <row r="51" ht="75" customHeight="1" spans="1:9">
      <c r="A51" s="82" t="str">
        <f>"ZCB1-19"&amp;H41&amp;"自年初1月1日起完成产值"&amp;E6&amp;"万元，自开工累计完成产值"&amp;E7&amp;"万元，自开工占总产值"&amp;J48&amp;"万元的"&amp;I48*100&amp;"%，100章临建完成"&amp;C7&amp;"万元，400章桥梁完成"&amp;D7&amp;"万元。已完成梁片预制"&amp;D40&amp;"片，占设计量的"&amp;I43*100&amp;"%；梁片安装"&amp;F40&amp;"片，占设计量的"&amp;I44*100&amp;"%；湿接缝"&amp;F45&amp;"米，占设计量的"&amp;I45*100&amp;"%；防撞护栏"&amp;F44&amp;"米，占设计量的"&amp;I46*100&amp;"%；桥面铺装"&amp;F43&amp;"平米，占设计量的"&amp;I47*100&amp;"%。"</f>
        <v>ZCB1-19截止2022年04月13日自年初1月1日起完成产值10461.17万元，自开工累计完成产值22553.93万元，自开工占总产值90284.4万元的24.98%，100章临建完成6250.78万元，400章桥梁完成16303.15万元。已完成梁片预制1489片，占设计量的25.18%；梁片安装1277片，占设计量的21.6%；湿接缝20840米，占设计量的15.42%；防撞护栏5981.82米，占设计量的8.92%；桥面铺装6130.99平米，占设计量的1.51%。</v>
      </c>
      <c r="B51" s="83"/>
      <c r="C51" s="83"/>
      <c r="D51" s="83"/>
      <c r="E51" s="83"/>
      <c r="F51" s="84"/>
      <c r="I51" s="112"/>
    </row>
    <row r="52" ht="25.05" customHeight="1" spans="1:16">
      <c r="A52" s="85" t="s">
        <v>386</v>
      </c>
      <c r="B52" s="85"/>
      <c r="C52" s="85"/>
      <c r="D52" s="85"/>
      <c r="E52" s="85"/>
      <c r="F52" s="85"/>
      <c r="H52" s="86" t="s">
        <v>352</v>
      </c>
      <c r="I52" s="86"/>
      <c r="J52" s="86"/>
      <c r="K52" s="86"/>
      <c r="L52" s="86"/>
      <c r="M52" s="86"/>
      <c r="N52" s="86"/>
      <c r="O52" s="86" t="s">
        <v>407</v>
      </c>
      <c r="P52" s="86"/>
    </row>
    <row r="53" spans="8:16">
      <c r="H53" s="87" t="s">
        <v>353</v>
      </c>
      <c r="I53" s="113"/>
      <c r="J53" s="113"/>
      <c r="K53" s="114"/>
      <c r="L53" s="115" t="s">
        <v>354</v>
      </c>
      <c r="M53" s="115" t="s">
        <v>354</v>
      </c>
      <c r="N53" s="115" t="s">
        <v>354</v>
      </c>
      <c r="O53" s="116" t="s">
        <v>408</v>
      </c>
      <c r="P53" s="117" t="str">
        <f>YEAR(P57+ROUND(DAY(DATE(YEAR(P57),MONTH(P57)+1,0))/2,0))&amp;"/"&amp;MONTH(P57+ROUND(DAY(DATE(YEAR(P57),MONTH(P57)+1,0))/2,0))-1&amp;"/15"</f>
        <v>2022/3/15</v>
      </c>
    </row>
    <row r="54" spans="8:16">
      <c r="H54" s="88" t="s">
        <v>355</v>
      </c>
      <c r="I54" s="88" t="s">
        <v>356</v>
      </c>
      <c r="J54" s="88" t="s">
        <v>357</v>
      </c>
      <c r="K54" s="88"/>
      <c r="L54" s="88" t="s">
        <v>358</v>
      </c>
      <c r="M54" s="88" t="s">
        <v>359</v>
      </c>
      <c r="N54" s="88" t="s">
        <v>360</v>
      </c>
      <c r="O54" s="116"/>
      <c r="P54" s="117"/>
    </row>
    <row r="55" spans="8:16">
      <c r="H55" s="89">
        <v>1</v>
      </c>
      <c r="I55" s="89">
        <v>100</v>
      </c>
      <c r="J55" s="118" t="s">
        <v>361</v>
      </c>
      <c r="K55" s="118"/>
      <c r="L55" s="119">
        <v>72272958</v>
      </c>
      <c r="M55" s="119">
        <f t="shared" ref="M55:M60" si="3">L55/10000</f>
        <v>7227.2958</v>
      </c>
      <c r="N55" s="119">
        <f t="shared" ref="N55:N60" si="4">ROUND(M55/10000,2)</f>
        <v>0.72</v>
      </c>
      <c r="O55" s="120" t="s">
        <v>415</v>
      </c>
      <c r="P55" s="121">
        <f>P53+1</f>
        <v>44636</v>
      </c>
    </row>
    <row r="56" spans="8:16">
      <c r="H56" s="89">
        <v>2</v>
      </c>
      <c r="I56" s="89">
        <v>400</v>
      </c>
      <c r="J56" s="118" t="s">
        <v>362</v>
      </c>
      <c r="K56" s="118"/>
      <c r="L56" s="119">
        <v>808224659</v>
      </c>
      <c r="M56" s="119">
        <f t="shared" si="3"/>
        <v>80822.4659</v>
      </c>
      <c r="N56" s="119">
        <f t="shared" si="4"/>
        <v>8.08</v>
      </c>
      <c r="O56" s="122"/>
      <c r="P56" s="123"/>
    </row>
    <row r="57" spans="8:16">
      <c r="H57" s="89">
        <v>3</v>
      </c>
      <c r="I57" s="89">
        <v>400</v>
      </c>
      <c r="J57" s="118" t="s">
        <v>363</v>
      </c>
      <c r="K57" s="118"/>
      <c r="L57" s="119">
        <v>8817290</v>
      </c>
      <c r="M57" s="119">
        <f t="shared" si="3"/>
        <v>881.729</v>
      </c>
      <c r="N57" s="119">
        <f t="shared" si="4"/>
        <v>0.09</v>
      </c>
      <c r="O57" s="120" t="s">
        <v>409</v>
      </c>
      <c r="P57" s="121">
        <f>A3</f>
        <v>44664</v>
      </c>
    </row>
    <row r="58" spans="8:16">
      <c r="H58" s="89">
        <v>4</v>
      </c>
      <c r="I58" s="118" t="s">
        <v>364</v>
      </c>
      <c r="J58" s="118"/>
      <c r="K58" s="118"/>
      <c r="L58" s="119">
        <v>889314907</v>
      </c>
      <c r="M58" s="119">
        <f t="shared" si="3"/>
        <v>88931.4907</v>
      </c>
      <c r="N58" s="119">
        <f t="shared" si="4"/>
        <v>8.89</v>
      </c>
      <c r="O58" s="122"/>
      <c r="P58" s="123"/>
    </row>
    <row r="59" spans="8:16">
      <c r="H59" s="89">
        <v>5</v>
      </c>
      <c r="I59" s="118" t="s">
        <v>365</v>
      </c>
      <c r="J59" s="118"/>
      <c r="K59" s="118"/>
      <c r="L59" s="119">
        <v>1380000</v>
      </c>
      <c r="M59" s="119">
        <f t="shared" si="3"/>
        <v>138</v>
      </c>
      <c r="N59" s="119">
        <f t="shared" si="4"/>
        <v>0.01</v>
      </c>
      <c r="O59" s="120" t="s">
        <v>410</v>
      </c>
      <c r="P59" s="121">
        <f>DATE(YEAR(P53),MONTH(P53)+1,15)</f>
        <v>44666</v>
      </c>
    </row>
    <row r="60" spans="8:16">
      <c r="H60" s="89">
        <v>6</v>
      </c>
      <c r="I60" s="118" t="s">
        <v>366</v>
      </c>
      <c r="J60" s="118"/>
      <c r="K60" s="118"/>
      <c r="L60" s="119">
        <v>887934907</v>
      </c>
      <c r="M60" s="119">
        <f t="shared" si="3"/>
        <v>88793.4907</v>
      </c>
      <c r="N60" s="119">
        <f t="shared" si="4"/>
        <v>8.88</v>
      </c>
      <c r="O60" s="122"/>
      <c r="P60" s="123"/>
    </row>
    <row r="61" spans="8:16">
      <c r="H61" s="89">
        <v>7</v>
      </c>
      <c r="I61" s="118" t="s">
        <v>367</v>
      </c>
      <c r="J61" s="118"/>
      <c r="K61" s="118"/>
      <c r="L61" s="119"/>
      <c r="M61" s="119"/>
      <c r="N61" s="119"/>
      <c r="O61" s="124"/>
      <c r="P61" s="117"/>
    </row>
    <row r="62" spans="8:16">
      <c r="H62" s="89">
        <v>8</v>
      </c>
      <c r="I62" s="118" t="s">
        <v>368</v>
      </c>
      <c r="J62" s="118"/>
      <c r="K62" s="118"/>
      <c r="L62" s="119">
        <v>13529094</v>
      </c>
      <c r="M62" s="119">
        <f>L62/10000</f>
        <v>1352.9094</v>
      </c>
      <c r="N62" s="119">
        <f>ROUND(M62/10000,2)</f>
        <v>0.14</v>
      </c>
      <c r="O62" s="124"/>
      <c r="P62" s="117"/>
    </row>
    <row r="63" spans="8:16">
      <c r="H63" s="89">
        <v>9</v>
      </c>
      <c r="I63" s="118" t="s">
        <v>369</v>
      </c>
      <c r="J63" s="118"/>
      <c r="K63" s="118"/>
      <c r="L63" s="119">
        <v>902844001</v>
      </c>
      <c r="M63" s="119">
        <f>L63/10000</f>
        <v>90284.4001</v>
      </c>
      <c r="N63" s="119">
        <f>ROUND(M63/10000,2)</f>
        <v>9.03</v>
      </c>
      <c r="O63" s="124"/>
      <c r="P63" s="117"/>
    </row>
  </sheetData>
  <mergeCells count="76">
    <mergeCell ref="A1:F1"/>
    <mergeCell ref="A8:F8"/>
    <mergeCell ref="H8:P8"/>
    <mergeCell ref="C9:D9"/>
    <mergeCell ref="E9:F9"/>
    <mergeCell ref="C18:D18"/>
    <mergeCell ref="E18:F18"/>
    <mergeCell ref="I18:J18"/>
    <mergeCell ref="K18:L18"/>
    <mergeCell ref="M18:N18"/>
    <mergeCell ref="O18:P18"/>
    <mergeCell ref="C19:F19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B29:C29"/>
    <mergeCell ref="D29:E29"/>
    <mergeCell ref="I29:J29"/>
    <mergeCell ref="K29:L29"/>
    <mergeCell ref="M29:N29"/>
    <mergeCell ref="O29:P29"/>
    <mergeCell ref="A35:B35"/>
    <mergeCell ref="C35:F35"/>
    <mergeCell ref="H35:P35"/>
    <mergeCell ref="C36:D36"/>
    <mergeCell ref="E36:F36"/>
    <mergeCell ref="I40:P40"/>
    <mergeCell ref="C41:F41"/>
    <mergeCell ref="H41:J41"/>
    <mergeCell ref="K41:P41"/>
    <mergeCell ref="A46:F46"/>
    <mergeCell ref="A51:F51"/>
    <mergeCell ref="A52:F52"/>
    <mergeCell ref="H52:N52"/>
    <mergeCell ref="O52:P52"/>
    <mergeCell ref="A53:F53"/>
    <mergeCell ref="H53:K53"/>
    <mergeCell ref="J54:K54"/>
    <mergeCell ref="J55:K55"/>
    <mergeCell ref="J56:K56"/>
    <mergeCell ref="J57:K57"/>
    <mergeCell ref="I58:K58"/>
    <mergeCell ref="I59:K59"/>
    <mergeCell ref="I60:K60"/>
    <mergeCell ref="I61:K61"/>
    <mergeCell ref="I62:K62"/>
    <mergeCell ref="I63:K63"/>
    <mergeCell ref="A3:A7"/>
    <mergeCell ref="A9:A10"/>
    <mergeCell ref="A11:A19"/>
    <mergeCell ref="B9:B10"/>
    <mergeCell ref="E3:E5"/>
    <mergeCell ref="F3:F7"/>
    <mergeCell ref="H6:H7"/>
    <mergeCell ref="H9:H17"/>
    <mergeCell ref="O53:O54"/>
    <mergeCell ref="O55:O56"/>
    <mergeCell ref="O57:O58"/>
    <mergeCell ref="O59:O60"/>
    <mergeCell ref="P53:P54"/>
    <mergeCell ref="P55:P56"/>
    <mergeCell ref="P57:P58"/>
    <mergeCell ref="P59:P60"/>
  </mergeCells>
  <pageMargins left="0.708661417322835" right="0.708661417322835" top="0.748031496062992" bottom="0.748031496062992" header="0.31496062992126" footer="0.31496062992126"/>
  <pageSetup paperSize="9" scale="78" orientation="portrait" verticalDpi="1200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K40"/>
  <sheetViews>
    <sheetView workbookViewId="0">
      <selection activeCell="F3" sqref="F3:F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44481</v>
      </c>
      <c r="B3" s="157" t="s">
        <v>7</v>
      </c>
      <c r="C3" s="157">
        <v>1</v>
      </c>
      <c r="D3" s="157">
        <f>D11+F11</f>
        <v>22.93</v>
      </c>
      <c r="E3" s="250">
        <f>C5+D5</f>
        <v>32.75</v>
      </c>
      <c r="F3" s="243" t="s">
        <v>43</v>
      </c>
    </row>
    <row r="4" ht="15" customHeight="1" spans="1:6">
      <c r="A4" s="157"/>
      <c r="B4" s="157" t="s">
        <v>9</v>
      </c>
      <c r="C4" s="157">
        <v>1</v>
      </c>
      <c r="D4" s="157">
        <f>D12+F12</f>
        <v>7.82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2</v>
      </c>
      <c r="D5" s="157">
        <f>SUM(D3:D4)</f>
        <v>30.75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5463.78</v>
      </c>
      <c r="D6" s="258">
        <v>446.05</v>
      </c>
      <c r="E6" s="239">
        <f>C6+D6</f>
        <v>5909.83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5463.78</v>
      </c>
      <c r="D7" s="258">
        <v>446.05</v>
      </c>
      <c r="E7" s="239">
        <f>C7+D7</f>
        <v>5909.83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44481</v>
      </c>
      <c r="B11" s="157" t="s">
        <v>7</v>
      </c>
      <c r="C11" s="247">
        <v>1</v>
      </c>
      <c r="D11" s="248">
        <v>7.64</v>
      </c>
      <c r="E11" s="247">
        <v>1</v>
      </c>
      <c r="F11" s="248">
        <v>15.29</v>
      </c>
    </row>
    <row r="12" ht="15" customHeight="1" spans="1:6">
      <c r="A12" s="157"/>
      <c r="B12" s="157" t="s">
        <v>9</v>
      </c>
      <c r="C12" s="247">
        <v>1</v>
      </c>
      <c r="D12" s="248">
        <v>7.82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2</v>
      </c>
      <c r="D13" s="248">
        <f>ROUND(D11+D12,2)</f>
        <v>15.46</v>
      </c>
      <c r="E13" s="247">
        <f t="shared" ref="E13" si="0">E11+E12</f>
        <v>1</v>
      </c>
      <c r="F13" s="248">
        <f>ROUND(F11+F12,2)</f>
        <v>15.29</v>
      </c>
    </row>
    <row r="14" ht="30" customHeight="1" spans="1:6">
      <c r="A14" s="157"/>
      <c r="B14" s="239" t="s">
        <v>5</v>
      </c>
      <c r="C14" s="238">
        <f>D13+F13</f>
        <v>30.75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44472</v>
      </c>
      <c r="B31" s="235">
        <v>31.74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44473</v>
      </c>
      <c r="B32" s="235">
        <v>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44474</v>
      </c>
      <c r="B33" s="235">
        <v>33.56</v>
      </c>
      <c r="C33" s="35">
        <v>27</v>
      </c>
      <c r="D33" s="35">
        <v>7</v>
      </c>
      <c r="E33" s="35">
        <v>17</v>
      </c>
      <c r="F33" s="35">
        <v>0</v>
      </c>
    </row>
    <row r="34" ht="15.6" spans="1:6">
      <c r="A34" s="53">
        <v>44475</v>
      </c>
      <c r="B34" s="235">
        <v>23.1</v>
      </c>
      <c r="C34" s="35"/>
      <c r="D34" s="35"/>
      <c r="E34" s="35">
        <v>500</v>
      </c>
      <c r="F34" s="35">
        <v>38982</v>
      </c>
    </row>
    <row r="35" ht="15.6" spans="1:6">
      <c r="A35" s="53">
        <v>44476</v>
      </c>
      <c r="B35" s="235">
        <v>7.64</v>
      </c>
      <c r="C35" s="35"/>
      <c r="D35" s="35"/>
      <c r="E35" s="35"/>
      <c r="F35" s="35"/>
    </row>
    <row r="36" ht="15.6" spans="1:6">
      <c r="A36" s="53">
        <v>44477</v>
      </c>
      <c r="B36" s="235">
        <v>1.65</v>
      </c>
      <c r="C36" s="35"/>
      <c r="D36" s="35"/>
      <c r="E36" s="35"/>
      <c r="F36" s="35"/>
    </row>
    <row r="37" ht="15.6" spans="1:6">
      <c r="A37" s="53">
        <v>44478</v>
      </c>
      <c r="B37" s="235">
        <v>15.46</v>
      </c>
      <c r="C37" s="35"/>
      <c r="D37" s="35"/>
      <c r="E37" s="35"/>
      <c r="F37" s="35"/>
    </row>
    <row r="38" ht="15.6" spans="1:6">
      <c r="A38" s="53">
        <v>44479</v>
      </c>
      <c r="B38" s="235">
        <v>9.82</v>
      </c>
      <c r="C38" s="35"/>
      <c r="D38" s="35"/>
      <c r="E38" s="35"/>
      <c r="F38" s="35"/>
    </row>
    <row r="39" ht="15.6" spans="1:6">
      <c r="A39" s="53">
        <v>44480</v>
      </c>
      <c r="B39" s="235">
        <v>25.1</v>
      </c>
      <c r="C39" s="35"/>
      <c r="D39" s="35"/>
      <c r="E39" s="35"/>
      <c r="F39" s="35"/>
    </row>
    <row r="40" ht="15.6" spans="1:6">
      <c r="A40" s="53">
        <v>44481</v>
      </c>
      <c r="B40" s="235">
        <v>32.75</v>
      </c>
      <c r="C40" s="104">
        <f>C33+D33+E33+F33</f>
        <v>51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7"/>
  <sheetViews>
    <sheetView workbookViewId="0">
      <selection activeCell="E19" sqref="E19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30" customHeight="1" spans="1:6">
      <c r="A1" s="40" t="s">
        <v>0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64" t="s">
        <v>3</v>
      </c>
      <c r="D2" s="264" t="s">
        <v>4</v>
      </c>
      <c r="E2" s="48" t="s">
        <v>5</v>
      </c>
      <c r="F2" s="48" t="s">
        <v>6</v>
      </c>
    </row>
    <row r="3" ht="15" customHeight="1" spans="1:6">
      <c r="A3" s="218">
        <v>44463</v>
      </c>
      <c r="B3" s="35" t="s">
        <v>7</v>
      </c>
      <c r="C3" s="35">
        <v>2</v>
      </c>
      <c r="D3" s="35"/>
      <c r="E3" s="35">
        <f>C5+D5</f>
        <v>2</v>
      </c>
      <c r="F3" s="270" t="s">
        <v>19</v>
      </c>
    </row>
    <row r="4" ht="15" customHeight="1" spans="1:6">
      <c r="A4" s="35"/>
      <c r="B4" s="35" t="s">
        <v>9</v>
      </c>
      <c r="C4" s="35">
        <v>0</v>
      </c>
      <c r="D4" s="35"/>
      <c r="E4" s="35"/>
      <c r="F4" s="271"/>
    </row>
    <row r="5" ht="15" customHeight="1" spans="1:6">
      <c r="A5" s="35"/>
      <c r="B5" s="48" t="s">
        <v>10</v>
      </c>
      <c r="C5" s="35">
        <f>SUM(C3:C4)</f>
        <v>2</v>
      </c>
      <c r="D5" s="35">
        <f>SUM(D3:D4)</f>
        <v>0</v>
      </c>
      <c r="E5" s="35"/>
      <c r="F5" s="271"/>
    </row>
    <row r="6" ht="15" customHeight="1" spans="1:6">
      <c r="A6" s="35"/>
      <c r="B6" s="48" t="s">
        <v>11</v>
      </c>
      <c r="C6" s="35">
        <f>E6-D6</f>
        <v>5432.96</v>
      </c>
      <c r="D6" s="35">
        <v>183.32</v>
      </c>
      <c r="E6" s="35">
        <f>5614.28+2</f>
        <v>5616.28</v>
      </c>
      <c r="F6" s="271"/>
    </row>
    <row r="7" ht="15" customHeight="1" spans="1:6">
      <c r="A7" s="35"/>
      <c r="B7" s="48" t="s">
        <v>12</v>
      </c>
      <c r="C7" s="35">
        <f>E7-D7</f>
        <v>5432.96</v>
      </c>
      <c r="D7" s="35">
        <v>183.32</v>
      </c>
      <c r="E7" s="35">
        <f>5614.28+2</f>
        <v>5616.28</v>
      </c>
      <c r="F7" s="271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69" t="s">
        <v>14</v>
      </c>
      <c r="D9" s="269"/>
      <c r="E9" s="269" t="s">
        <v>15</v>
      </c>
      <c r="F9" s="269"/>
    </row>
    <row r="10" spans="1:6">
      <c r="A10" s="48"/>
      <c r="B10" s="48"/>
      <c r="C10" s="269" t="s">
        <v>16</v>
      </c>
      <c r="D10" s="269" t="s">
        <v>17</v>
      </c>
      <c r="E10" s="269" t="s">
        <v>16</v>
      </c>
      <c r="F10" s="269" t="s">
        <v>17</v>
      </c>
    </row>
    <row r="11" spans="1:6">
      <c r="A11" s="272">
        <v>44463</v>
      </c>
      <c r="B11" s="35" t="s">
        <v>7</v>
      </c>
      <c r="C11" s="56"/>
      <c r="D11" s="224"/>
      <c r="E11" s="56"/>
      <c r="F11" s="224"/>
    </row>
    <row r="12" spans="1:6">
      <c r="A12" s="273"/>
      <c r="B12" s="35" t="s">
        <v>9</v>
      </c>
      <c r="C12" s="56"/>
      <c r="D12" s="224"/>
      <c r="E12" s="56"/>
      <c r="F12" s="224"/>
    </row>
    <row r="13" spans="1:6">
      <c r="A13" s="273"/>
      <c r="B13" s="35" t="s">
        <v>18</v>
      </c>
      <c r="C13" s="56">
        <f>C11+C12</f>
        <v>0</v>
      </c>
      <c r="D13" s="224">
        <f t="shared" ref="D13:F13" si="0">D11+D12</f>
        <v>0</v>
      </c>
      <c r="E13" s="56">
        <f t="shared" si="0"/>
        <v>0</v>
      </c>
      <c r="F13" s="224">
        <f t="shared" si="0"/>
        <v>0</v>
      </c>
    </row>
    <row r="14" spans="1:6">
      <c r="A14" s="274"/>
      <c r="B14" s="48" t="s">
        <v>5</v>
      </c>
      <c r="C14" s="145">
        <f>D13+F13</f>
        <v>0</v>
      </c>
      <c r="D14" s="275"/>
      <c r="E14" s="275"/>
      <c r="F14" s="146"/>
    </row>
    <row r="17" spans="2:2">
      <c r="B17" s="3" t="s">
        <v>20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K40"/>
  <sheetViews>
    <sheetView workbookViewId="0">
      <selection activeCell="J11" sqref="J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44482</v>
      </c>
      <c r="B3" s="157" t="s">
        <v>7</v>
      </c>
      <c r="C3" s="157">
        <v>1</v>
      </c>
      <c r="D3" s="157">
        <f>D11+F11</f>
        <v>23.11</v>
      </c>
      <c r="E3" s="250">
        <f>C5+D5</f>
        <v>32.75</v>
      </c>
      <c r="F3" s="243" t="s">
        <v>44</v>
      </c>
    </row>
    <row r="4" ht="15" customHeight="1" spans="1:6">
      <c r="A4" s="157"/>
      <c r="B4" s="157" t="s">
        <v>9</v>
      </c>
      <c r="C4" s="157">
        <v>1</v>
      </c>
      <c r="D4" s="157">
        <f>D12+F12</f>
        <v>7.64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2</v>
      </c>
      <c r="D5" s="157">
        <f>SUM(D3:D4)</f>
        <v>30.75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5465.78</v>
      </c>
      <c r="D6" s="258">
        <v>476.8</v>
      </c>
      <c r="E6" s="239">
        <f>C6+D6</f>
        <v>5942.58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5465.78</v>
      </c>
      <c r="D7" s="258">
        <v>476.8</v>
      </c>
      <c r="E7" s="239">
        <f>C7+D7</f>
        <v>5942.58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44482</v>
      </c>
      <c r="B11" s="157" t="s">
        <v>7</v>
      </c>
      <c r="C11" s="247">
        <v>1</v>
      </c>
      <c r="D11" s="248">
        <v>7.82</v>
      </c>
      <c r="E11" s="247">
        <v>1</v>
      </c>
      <c r="F11" s="248">
        <v>15.29</v>
      </c>
    </row>
    <row r="12" ht="15" customHeight="1" spans="1:6">
      <c r="A12" s="157"/>
      <c r="B12" s="157" t="s">
        <v>9</v>
      </c>
      <c r="C12" s="247">
        <v>1</v>
      </c>
      <c r="D12" s="248">
        <v>7.64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2</v>
      </c>
      <c r="D13" s="248">
        <f>ROUND(D11+D12,2)</f>
        <v>15.46</v>
      </c>
      <c r="E13" s="247">
        <f t="shared" ref="E13" si="0">E11+E12</f>
        <v>1</v>
      </c>
      <c r="F13" s="248">
        <f>ROUND(F11+F12,2)</f>
        <v>15.29</v>
      </c>
    </row>
    <row r="14" ht="30" customHeight="1" spans="1:6">
      <c r="A14" s="157"/>
      <c r="B14" s="239" t="s">
        <v>5</v>
      </c>
      <c r="C14" s="238">
        <f>D13+F13</f>
        <v>30.75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44473</v>
      </c>
      <c r="B31" s="235">
        <v>2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44474</v>
      </c>
      <c r="B32" s="235">
        <v>33.56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44475</v>
      </c>
      <c r="B33" s="235">
        <v>23.1</v>
      </c>
      <c r="C33" s="35">
        <v>28</v>
      </c>
      <c r="D33" s="35">
        <v>8</v>
      </c>
      <c r="E33" s="35">
        <v>18</v>
      </c>
      <c r="F33" s="35">
        <v>0</v>
      </c>
    </row>
    <row r="34" ht="15.6" spans="1:6">
      <c r="A34" s="53">
        <v>44476</v>
      </c>
      <c r="B34" s="235">
        <v>7.64</v>
      </c>
      <c r="C34" s="35"/>
      <c r="D34" s="35"/>
      <c r="E34" s="35">
        <v>0</v>
      </c>
      <c r="F34" s="35">
        <v>38982</v>
      </c>
    </row>
    <row r="35" ht="15.6" spans="1:6">
      <c r="A35" s="53">
        <v>44477</v>
      </c>
      <c r="B35" s="235">
        <v>1.65</v>
      </c>
      <c r="C35" s="35"/>
      <c r="D35" s="35"/>
      <c r="E35" s="35"/>
      <c r="F35" s="35"/>
    </row>
    <row r="36" ht="15.6" spans="1:6">
      <c r="A36" s="53">
        <v>44478</v>
      </c>
      <c r="B36" s="235">
        <v>15.46</v>
      </c>
      <c r="C36" s="35"/>
      <c r="D36" s="35"/>
      <c r="E36" s="35"/>
      <c r="F36" s="35"/>
    </row>
    <row r="37" ht="15.6" spans="1:6">
      <c r="A37" s="53">
        <v>44479</v>
      </c>
      <c r="B37" s="235">
        <v>9.82</v>
      </c>
      <c r="C37" s="35"/>
      <c r="D37" s="35"/>
      <c r="E37" s="35"/>
      <c r="F37" s="35"/>
    </row>
    <row r="38" ht="15.6" spans="1:6">
      <c r="A38" s="53">
        <v>44480</v>
      </c>
      <c r="B38" s="235">
        <v>25.1</v>
      </c>
      <c r="C38" s="35"/>
      <c r="D38" s="35"/>
      <c r="E38" s="35"/>
      <c r="F38" s="35"/>
    </row>
    <row r="39" ht="15.6" spans="1:6">
      <c r="A39" s="53">
        <v>44481</v>
      </c>
      <c r="B39" s="235">
        <v>32.75</v>
      </c>
      <c r="C39" s="35"/>
      <c r="D39" s="35"/>
      <c r="E39" s="35"/>
      <c r="F39" s="35"/>
    </row>
    <row r="40" ht="15.6" spans="1:6">
      <c r="A40" s="53">
        <v>44482</v>
      </c>
      <c r="B40" s="235">
        <v>32.75</v>
      </c>
      <c r="C40" s="104">
        <f>C33+D33+E33+F33</f>
        <v>54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K40"/>
  <sheetViews>
    <sheetView topLeftCell="A7" workbookViewId="0">
      <selection activeCell="J18" sqref="J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44483</v>
      </c>
      <c r="B3" s="157" t="s">
        <v>7</v>
      </c>
      <c r="C3" s="157">
        <v>1</v>
      </c>
      <c r="D3" s="157">
        <f>D11+F11</f>
        <v>15.46</v>
      </c>
      <c r="E3" s="250">
        <f>C5+D5</f>
        <v>32.92</v>
      </c>
      <c r="F3" s="243" t="s">
        <v>45</v>
      </c>
    </row>
    <row r="4" ht="15" customHeight="1" spans="1:6">
      <c r="A4" s="157"/>
      <c r="B4" s="157" t="s">
        <v>9</v>
      </c>
      <c r="C4" s="157">
        <v>1</v>
      </c>
      <c r="D4" s="157">
        <f>D12+F12</f>
        <v>15.46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2</v>
      </c>
      <c r="D5" s="157">
        <f>SUM(D3:D4)</f>
        <v>30.92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5467.78</v>
      </c>
      <c r="D6" s="258">
        <v>507.72</v>
      </c>
      <c r="E6" s="239">
        <f>C6+D6</f>
        <v>5975.5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5467.78</v>
      </c>
      <c r="D7" s="258">
        <v>507.72</v>
      </c>
      <c r="E7" s="239">
        <f>C7+D7</f>
        <v>5975.5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44483</v>
      </c>
      <c r="B11" s="157" t="s">
        <v>7</v>
      </c>
      <c r="C11" s="247">
        <v>2</v>
      </c>
      <c r="D11" s="248">
        <v>15.46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2</v>
      </c>
      <c r="D12" s="248">
        <v>15.46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4</v>
      </c>
      <c r="D13" s="248">
        <f>ROUND(D11+D12,2)</f>
        <v>30.92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30.92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44474</v>
      </c>
      <c r="B31" s="235">
        <v>33.56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44475</v>
      </c>
      <c r="B32" s="235">
        <v>23.1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44476</v>
      </c>
      <c r="B33" s="235">
        <v>7.64</v>
      </c>
      <c r="C33" s="35">
        <v>30</v>
      </c>
      <c r="D33" s="35">
        <v>8</v>
      </c>
      <c r="E33" s="35">
        <v>20</v>
      </c>
      <c r="F33" s="35">
        <v>0</v>
      </c>
    </row>
    <row r="34" ht="15.6" spans="1:6">
      <c r="A34" s="53">
        <v>44477</v>
      </c>
      <c r="B34" s="235">
        <v>1.65</v>
      </c>
      <c r="C34" s="35"/>
      <c r="D34" s="35"/>
      <c r="E34" s="35">
        <v>500</v>
      </c>
      <c r="F34" s="35">
        <v>39482</v>
      </c>
    </row>
    <row r="35" ht="15.6" spans="1:6">
      <c r="A35" s="53">
        <v>44478</v>
      </c>
      <c r="B35" s="235">
        <v>15.46</v>
      </c>
      <c r="C35" s="35"/>
      <c r="D35" s="35"/>
      <c r="E35" s="35"/>
      <c r="F35" s="35"/>
    </row>
    <row r="36" ht="15.6" spans="1:6">
      <c r="A36" s="53">
        <v>44479</v>
      </c>
      <c r="B36" s="235">
        <v>9.82</v>
      </c>
      <c r="C36" s="35"/>
      <c r="D36" s="35"/>
      <c r="E36" s="35"/>
      <c r="F36" s="35"/>
    </row>
    <row r="37" ht="15.6" spans="1:6">
      <c r="A37" s="53">
        <v>44480</v>
      </c>
      <c r="B37" s="235">
        <v>25.1</v>
      </c>
      <c r="C37" s="35"/>
      <c r="D37" s="35"/>
      <c r="E37" s="35"/>
      <c r="F37" s="35"/>
    </row>
    <row r="38" ht="15.6" spans="1:6">
      <c r="A38" s="53">
        <v>44481</v>
      </c>
      <c r="B38" s="235">
        <v>32.75</v>
      </c>
      <c r="C38" s="35"/>
      <c r="D38" s="35"/>
      <c r="E38" s="35"/>
      <c r="F38" s="35"/>
    </row>
    <row r="39" ht="15.6" spans="1:6">
      <c r="A39" s="53">
        <v>44482</v>
      </c>
      <c r="B39" s="235">
        <v>32.75</v>
      </c>
      <c r="C39" s="35"/>
      <c r="D39" s="35"/>
      <c r="E39" s="35"/>
      <c r="F39" s="35"/>
    </row>
    <row r="40" ht="15.6" spans="1:6">
      <c r="A40" s="53">
        <v>44483</v>
      </c>
      <c r="B40" s="235">
        <v>32.92</v>
      </c>
      <c r="C40" s="104">
        <f>C33+D33+E33+F33</f>
        <v>58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K40"/>
  <sheetViews>
    <sheetView workbookViewId="0">
      <selection activeCell="I8" sqref="I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44484</v>
      </c>
      <c r="B3" s="157" t="s">
        <v>7</v>
      </c>
      <c r="C3" s="157">
        <v>1</v>
      </c>
      <c r="D3" s="157">
        <f>D11+F11</f>
        <v>23.28</v>
      </c>
      <c r="E3" s="250">
        <f>C5+D5</f>
        <v>32.92</v>
      </c>
      <c r="F3" s="243" t="s">
        <v>46</v>
      </c>
    </row>
    <row r="4" ht="15" customHeight="1" spans="1:6">
      <c r="A4" s="157"/>
      <c r="B4" s="157" t="s">
        <v>9</v>
      </c>
      <c r="C4" s="157">
        <v>1</v>
      </c>
      <c r="D4" s="157">
        <f>D12+F12</f>
        <v>7.64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2</v>
      </c>
      <c r="D5" s="157">
        <f>SUM(D3:D4)</f>
        <v>30.92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5469.78</v>
      </c>
      <c r="D6" s="258">
        <v>538.64</v>
      </c>
      <c r="E6" s="239">
        <f>C6+D6</f>
        <v>6008.42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5469.78</v>
      </c>
      <c r="D7" s="258">
        <v>538.64</v>
      </c>
      <c r="E7" s="239">
        <f>C7+D7</f>
        <v>6008.42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44484</v>
      </c>
      <c r="B11" s="157" t="s">
        <v>7</v>
      </c>
      <c r="C11" s="247">
        <v>3</v>
      </c>
      <c r="D11" s="248">
        <v>23.28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1</v>
      </c>
      <c r="D12" s="248">
        <v>7.64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4</v>
      </c>
      <c r="D13" s="248">
        <f>ROUND(D11+D12,2)</f>
        <v>30.92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30.92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44475</v>
      </c>
      <c r="B31" s="235">
        <v>23.1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44476</v>
      </c>
      <c r="B32" s="235">
        <v>7.64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44477</v>
      </c>
      <c r="B33" s="235">
        <v>1.65</v>
      </c>
      <c r="C33" s="35">
        <v>33</v>
      </c>
      <c r="D33" s="35">
        <v>8</v>
      </c>
      <c r="E33" s="35">
        <v>21</v>
      </c>
      <c r="F33" s="35">
        <v>0</v>
      </c>
    </row>
    <row r="34" ht="15.6" spans="1:6">
      <c r="A34" s="53">
        <v>44478</v>
      </c>
      <c r="B34" s="235">
        <v>15.46</v>
      </c>
      <c r="C34" s="35"/>
      <c r="D34" s="35"/>
      <c r="E34" s="35">
        <v>0</v>
      </c>
      <c r="F34" s="35">
        <v>39482</v>
      </c>
    </row>
    <row r="35" ht="15.6" spans="1:6">
      <c r="A35" s="53">
        <v>44479</v>
      </c>
      <c r="B35" s="235">
        <v>9.82</v>
      </c>
      <c r="C35" s="35"/>
      <c r="D35" s="35"/>
      <c r="E35" s="35"/>
      <c r="F35" s="35"/>
    </row>
    <row r="36" ht="15.6" spans="1:6">
      <c r="A36" s="53">
        <v>44480</v>
      </c>
      <c r="B36" s="235">
        <v>25.1</v>
      </c>
      <c r="C36" s="35"/>
      <c r="D36" s="35"/>
      <c r="E36" s="35"/>
      <c r="F36" s="35"/>
    </row>
    <row r="37" ht="15.6" spans="1:6">
      <c r="A37" s="53">
        <v>44481</v>
      </c>
      <c r="B37" s="235">
        <v>32.75</v>
      </c>
      <c r="C37" s="35"/>
      <c r="D37" s="35"/>
      <c r="E37" s="35"/>
      <c r="F37" s="35"/>
    </row>
    <row r="38" ht="15.6" spans="1:6">
      <c r="A38" s="53">
        <v>44482</v>
      </c>
      <c r="B38" s="235">
        <v>32.75</v>
      </c>
      <c r="C38" s="35"/>
      <c r="D38" s="35"/>
      <c r="E38" s="35"/>
      <c r="F38" s="35"/>
    </row>
    <row r="39" ht="15.6" spans="1:6">
      <c r="A39" s="53">
        <v>44483</v>
      </c>
      <c r="B39" s="235">
        <v>32.92</v>
      </c>
      <c r="C39" s="35"/>
      <c r="D39" s="35"/>
      <c r="E39" s="35"/>
      <c r="F39" s="35"/>
    </row>
    <row r="40" ht="15.6" spans="1:6">
      <c r="A40" s="53">
        <v>44484</v>
      </c>
      <c r="B40" s="235">
        <v>32.92</v>
      </c>
      <c r="C40" s="104">
        <f>C33+D33+E33+F33</f>
        <v>62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K40"/>
  <sheetViews>
    <sheetView topLeftCell="A7" workbookViewId="0">
      <selection activeCell="J18" sqref="J1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44485</v>
      </c>
      <c r="B3" s="157" t="s">
        <v>7</v>
      </c>
      <c r="C3" s="157">
        <v>1</v>
      </c>
      <c r="D3" s="157">
        <f>D11+F11</f>
        <v>15.46</v>
      </c>
      <c r="E3" s="250">
        <f>C5+D5</f>
        <v>18.46</v>
      </c>
      <c r="F3" s="243" t="s">
        <v>47</v>
      </c>
    </row>
    <row r="4" ht="15" customHeight="1" spans="1:6">
      <c r="A4" s="157"/>
      <c r="B4" s="157" t="s">
        <v>9</v>
      </c>
      <c r="C4" s="157">
        <v>2</v>
      </c>
      <c r="D4" s="157">
        <f>D12+F12</f>
        <v>0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3</v>
      </c>
      <c r="D5" s="157">
        <f>SUM(D3:D4)</f>
        <v>15.46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5472.78</v>
      </c>
      <c r="D6" s="258">
        <v>554.1</v>
      </c>
      <c r="E6" s="239">
        <f>C6+D6</f>
        <v>6026.88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5472.78</v>
      </c>
      <c r="D7" s="258">
        <v>554.1</v>
      </c>
      <c r="E7" s="239">
        <f>C7+D7</f>
        <v>6026.88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44485</v>
      </c>
      <c r="B11" s="157" t="s">
        <v>7</v>
      </c>
      <c r="C11" s="247">
        <v>2</v>
      </c>
      <c r="D11" s="248">
        <v>15.46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0</v>
      </c>
      <c r="D12" s="248">
        <v>0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2</v>
      </c>
      <c r="D13" s="248">
        <f>ROUND(D11+D12,2)</f>
        <v>15.46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15.46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44476</v>
      </c>
      <c r="B31" s="235">
        <v>7.64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44477</v>
      </c>
      <c r="B32" s="235">
        <v>1.65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44478</v>
      </c>
      <c r="B33" s="235">
        <v>15.46</v>
      </c>
      <c r="C33" s="35">
        <v>35</v>
      </c>
      <c r="D33" s="35">
        <v>8</v>
      </c>
      <c r="E33" s="35">
        <v>21</v>
      </c>
      <c r="F33" s="35">
        <v>0</v>
      </c>
    </row>
    <row r="34" ht="15.6" spans="1:6">
      <c r="A34" s="53">
        <v>44479</v>
      </c>
      <c r="B34" s="235">
        <v>9.82</v>
      </c>
      <c r="C34" s="35"/>
      <c r="D34" s="35"/>
      <c r="E34" s="35">
        <v>0</v>
      </c>
      <c r="F34" s="35">
        <v>39482</v>
      </c>
    </row>
    <row r="35" ht="15.6" spans="1:6">
      <c r="A35" s="53">
        <v>44480</v>
      </c>
      <c r="B35" s="235">
        <v>25.1</v>
      </c>
      <c r="C35" s="35"/>
      <c r="D35" s="35"/>
      <c r="E35" s="35"/>
      <c r="F35" s="35"/>
    </row>
    <row r="36" ht="15.6" spans="1:6">
      <c r="A36" s="53">
        <v>44481</v>
      </c>
      <c r="B36" s="235">
        <v>32.75</v>
      </c>
      <c r="C36" s="35"/>
      <c r="D36" s="35"/>
      <c r="E36" s="35"/>
      <c r="F36" s="35"/>
    </row>
    <row r="37" ht="15.6" spans="1:6">
      <c r="A37" s="53">
        <v>44482</v>
      </c>
      <c r="B37" s="235">
        <v>32.75</v>
      </c>
      <c r="C37" s="35"/>
      <c r="D37" s="35"/>
      <c r="E37" s="35"/>
      <c r="F37" s="35"/>
    </row>
    <row r="38" ht="15.6" spans="1:6">
      <c r="A38" s="53">
        <v>44483</v>
      </c>
      <c r="B38" s="235">
        <v>32.92</v>
      </c>
      <c r="C38" s="35"/>
      <c r="D38" s="35"/>
      <c r="E38" s="35"/>
      <c r="F38" s="35"/>
    </row>
    <row r="39" ht="15.6" spans="1:6">
      <c r="A39" s="53">
        <v>44484</v>
      </c>
      <c r="B39" s="235">
        <v>32.92</v>
      </c>
      <c r="C39" s="35"/>
      <c r="D39" s="35"/>
      <c r="E39" s="35"/>
      <c r="F39" s="35"/>
    </row>
    <row r="40" ht="15.6" spans="1:6">
      <c r="A40" s="53">
        <v>44485</v>
      </c>
      <c r="B40" s="235">
        <v>18.46</v>
      </c>
      <c r="C40" s="104">
        <f>C33+D33+E33+F33</f>
        <v>64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K40"/>
  <sheetViews>
    <sheetView topLeftCell="A4" workbookViewId="0">
      <selection activeCell="I15" sqref="I1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44486</v>
      </c>
      <c r="B3" s="157" t="s">
        <v>7</v>
      </c>
      <c r="C3" s="157">
        <v>0</v>
      </c>
      <c r="D3" s="157">
        <f>D11+F11</f>
        <v>8.798</v>
      </c>
      <c r="E3" s="250">
        <f>C5+D5</f>
        <v>31.898</v>
      </c>
      <c r="F3" s="243" t="s">
        <v>48</v>
      </c>
    </row>
    <row r="4" ht="15" customHeight="1" spans="1:6">
      <c r="A4" s="157"/>
      <c r="B4" s="157" t="s">
        <v>9</v>
      </c>
      <c r="C4" s="157">
        <v>0</v>
      </c>
      <c r="D4" s="157">
        <f>D12+F12</f>
        <v>23.1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0</v>
      </c>
      <c r="D5" s="157">
        <f>SUM(D3:D4)</f>
        <v>31.898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5472.78</v>
      </c>
      <c r="D6" s="258">
        <v>585.998</v>
      </c>
      <c r="E6" s="239">
        <f>C6+D6</f>
        <v>6058.778</v>
      </c>
      <c r="F6" s="244"/>
      <c r="H6"/>
      <c r="I6"/>
      <c r="J6"/>
      <c r="K6"/>
    </row>
    <row r="7" ht="61.2" customHeight="1" spans="1:11">
      <c r="A7" s="157"/>
      <c r="B7" s="239" t="s">
        <v>12</v>
      </c>
      <c r="C7" s="258">
        <v>5472.78</v>
      </c>
      <c r="D7" s="258">
        <v>585.998</v>
      </c>
      <c r="E7" s="239">
        <f>C7+D7</f>
        <v>6058.778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44486</v>
      </c>
      <c r="B11" s="157" t="s">
        <v>7</v>
      </c>
      <c r="C11" s="247">
        <v>1</v>
      </c>
      <c r="D11" s="248">
        <v>8.798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3</v>
      </c>
      <c r="D12" s="248">
        <v>23.1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4</v>
      </c>
      <c r="D13" s="248">
        <f>ROUND(D11+D12,2)</f>
        <v>31.9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31.9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44477</v>
      </c>
      <c r="B31" s="235">
        <v>1.65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44478</v>
      </c>
      <c r="B32" s="235">
        <v>15.46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44479</v>
      </c>
      <c r="B33" s="235">
        <v>9.82</v>
      </c>
      <c r="C33" s="35">
        <v>36</v>
      </c>
      <c r="D33" s="35">
        <v>8</v>
      </c>
      <c r="E33" s="35">
        <v>24</v>
      </c>
      <c r="F33" s="35">
        <v>0</v>
      </c>
    </row>
    <row r="34" ht="15.6" spans="1:6">
      <c r="A34" s="53">
        <v>44480</v>
      </c>
      <c r="B34" s="235">
        <v>25.1</v>
      </c>
      <c r="C34" s="35"/>
      <c r="D34" s="35"/>
      <c r="E34" s="35">
        <v>0</v>
      </c>
      <c r="F34" s="35">
        <v>39482</v>
      </c>
    </row>
    <row r="35" ht="15.6" spans="1:6">
      <c r="A35" s="53">
        <v>44481</v>
      </c>
      <c r="B35" s="235">
        <v>32.75</v>
      </c>
      <c r="C35" s="35"/>
      <c r="D35" s="35"/>
      <c r="E35" s="35"/>
      <c r="F35" s="35"/>
    </row>
    <row r="36" ht="15.6" spans="1:6">
      <c r="A36" s="53">
        <v>44482</v>
      </c>
      <c r="B36" s="235">
        <v>32.75</v>
      </c>
      <c r="C36" s="35"/>
      <c r="D36" s="35"/>
      <c r="E36" s="35"/>
      <c r="F36" s="35"/>
    </row>
    <row r="37" ht="15.6" spans="1:6">
      <c r="A37" s="53">
        <v>44483</v>
      </c>
      <c r="B37" s="235">
        <v>32.92</v>
      </c>
      <c r="C37" s="35"/>
      <c r="D37" s="35"/>
      <c r="E37" s="35"/>
      <c r="F37" s="35"/>
    </row>
    <row r="38" ht="15.6" spans="1:6">
      <c r="A38" s="53">
        <v>44484</v>
      </c>
      <c r="B38" s="235">
        <v>32.92</v>
      </c>
      <c r="C38" s="35"/>
      <c r="D38" s="35"/>
      <c r="E38" s="35"/>
      <c r="F38" s="35"/>
    </row>
    <row r="39" ht="15.6" spans="1:6">
      <c r="A39" s="53">
        <v>44485</v>
      </c>
      <c r="B39" s="235">
        <v>18.46</v>
      </c>
      <c r="C39" s="35"/>
      <c r="D39" s="35"/>
      <c r="E39" s="35"/>
      <c r="F39" s="35"/>
    </row>
    <row r="40" ht="15.6" spans="1:6">
      <c r="A40" s="53">
        <v>44486</v>
      </c>
      <c r="B40" s="235">
        <v>31.898</v>
      </c>
      <c r="C40" s="104">
        <f>C33+D33+E33+F33</f>
        <v>68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K40"/>
  <sheetViews>
    <sheetView workbookViewId="0">
      <selection activeCell="H14" sqref="H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44487</v>
      </c>
      <c r="B3" s="157" t="s">
        <v>7</v>
      </c>
      <c r="C3" s="157">
        <v>0</v>
      </c>
      <c r="D3" s="157">
        <f>D11+F11</f>
        <v>7.82</v>
      </c>
      <c r="E3" s="250">
        <f>C5+D5</f>
        <v>15.46</v>
      </c>
      <c r="F3" s="243" t="s">
        <v>49</v>
      </c>
    </row>
    <row r="4" ht="15" customHeight="1" spans="1:6">
      <c r="A4" s="157"/>
      <c r="B4" s="157" t="s">
        <v>9</v>
      </c>
      <c r="C4" s="157">
        <v>0</v>
      </c>
      <c r="D4" s="157">
        <f>D12+F12</f>
        <v>7.64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0</v>
      </c>
      <c r="D5" s="157">
        <f>SUM(D3:D4)</f>
        <v>15.46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5472.78</v>
      </c>
      <c r="D6" s="258">
        <v>601.458</v>
      </c>
      <c r="E6" s="239">
        <f>C6+D6</f>
        <v>6074.238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5472.78</v>
      </c>
      <c r="D7" s="258">
        <v>601.458</v>
      </c>
      <c r="E7" s="239">
        <f>C7+D7</f>
        <v>6074.238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44487</v>
      </c>
      <c r="B11" s="157" t="s">
        <v>7</v>
      </c>
      <c r="C11" s="247">
        <v>1</v>
      </c>
      <c r="D11" s="248">
        <v>7.82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1</v>
      </c>
      <c r="D12" s="248">
        <v>7.64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2</v>
      </c>
      <c r="D13" s="248">
        <f>ROUND(D11+D12,2)</f>
        <v>15.46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15.46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44478</v>
      </c>
      <c r="B31" s="235">
        <v>15.46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44479</v>
      </c>
      <c r="B32" s="235">
        <v>9.82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44480</v>
      </c>
      <c r="B33" s="235">
        <v>25.1</v>
      </c>
      <c r="C33" s="35">
        <v>37</v>
      </c>
      <c r="D33" s="35">
        <v>8</v>
      </c>
      <c r="E33" s="35">
        <v>25</v>
      </c>
      <c r="F33" s="35">
        <v>0</v>
      </c>
    </row>
    <row r="34" ht="15.6" spans="1:6">
      <c r="A34" s="53">
        <v>44481</v>
      </c>
      <c r="B34" s="235">
        <v>32.75</v>
      </c>
      <c r="C34" s="35"/>
      <c r="D34" s="35"/>
      <c r="E34" s="35">
        <v>0</v>
      </c>
      <c r="F34" s="35">
        <v>39482</v>
      </c>
    </row>
    <row r="35" ht="15.6" spans="1:6">
      <c r="A35" s="53">
        <v>44482</v>
      </c>
      <c r="B35" s="235">
        <v>32.75</v>
      </c>
      <c r="C35" s="35"/>
      <c r="D35" s="35"/>
      <c r="E35" s="35"/>
      <c r="F35" s="35"/>
    </row>
    <row r="36" ht="15.6" spans="1:6">
      <c r="A36" s="53">
        <v>44483</v>
      </c>
      <c r="B36" s="235">
        <v>32.92</v>
      </c>
      <c r="C36" s="35"/>
      <c r="D36" s="35"/>
      <c r="E36" s="35"/>
      <c r="F36" s="35"/>
    </row>
    <row r="37" ht="15.6" spans="1:6">
      <c r="A37" s="53">
        <v>44484</v>
      </c>
      <c r="B37" s="235">
        <v>32.92</v>
      </c>
      <c r="C37" s="35"/>
      <c r="D37" s="35"/>
      <c r="E37" s="35"/>
      <c r="F37" s="35"/>
    </row>
    <row r="38" ht="15.6" spans="1:6">
      <c r="A38" s="53">
        <v>44485</v>
      </c>
      <c r="B38" s="235">
        <v>18.46</v>
      </c>
      <c r="C38" s="35"/>
      <c r="D38" s="35"/>
      <c r="E38" s="35"/>
      <c r="F38" s="35"/>
    </row>
    <row r="39" ht="15.6" spans="1:6">
      <c r="A39" s="53">
        <v>44486</v>
      </c>
      <c r="B39" s="235">
        <v>31.898</v>
      </c>
      <c r="C39" s="35"/>
      <c r="D39" s="35"/>
      <c r="E39" s="35"/>
      <c r="F39" s="35"/>
    </row>
    <row r="40" ht="15.6" spans="1:6">
      <c r="A40" s="53">
        <v>44487</v>
      </c>
      <c r="B40" s="235">
        <v>15.46</v>
      </c>
      <c r="C40" s="104">
        <f>C33+D33+E33+F33</f>
        <v>70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K40"/>
  <sheetViews>
    <sheetView workbookViewId="0">
      <selection activeCell="D6" sqref="D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44488</v>
      </c>
      <c r="B3" s="157" t="s">
        <v>7</v>
      </c>
      <c r="C3" s="157">
        <v>0</v>
      </c>
      <c r="D3" s="157">
        <f>D11+F11</f>
        <v>0</v>
      </c>
      <c r="E3" s="250">
        <f>C5+D5</f>
        <v>7.82</v>
      </c>
      <c r="F3" s="243" t="s">
        <v>50</v>
      </c>
    </row>
    <row r="4" ht="15" customHeight="1" spans="1:6">
      <c r="A4" s="157"/>
      <c r="B4" s="157" t="s">
        <v>9</v>
      </c>
      <c r="C4" s="157">
        <v>0</v>
      </c>
      <c r="D4" s="157">
        <f>D12+F12</f>
        <v>7.82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0</v>
      </c>
      <c r="D5" s="157">
        <f>SUM(D3:D4)</f>
        <v>7.82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5472.78</v>
      </c>
      <c r="D6" s="258">
        <v>609.278</v>
      </c>
      <c r="E6" s="239">
        <f>C6+D6</f>
        <v>6082.058</v>
      </c>
      <c r="F6" s="244"/>
      <c r="H6"/>
      <c r="I6"/>
      <c r="J6"/>
      <c r="K6"/>
    </row>
    <row r="7" ht="37.95" customHeight="1" spans="1:11">
      <c r="A7" s="157"/>
      <c r="B7" s="239" t="s">
        <v>12</v>
      </c>
      <c r="C7" s="258">
        <v>5472.78</v>
      </c>
      <c r="D7" s="258">
        <v>609.278</v>
      </c>
      <c r="E7" s="239">
        <f>C7+D7</f>
        <v>6082.058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44488</v>
      </c>
      <c r="B11" s="157" t="s">
        <v>7</v>
      </c>
      <c r="C11" s="247">
        <v>0</v>
      </c>
      <c r="D11" s="248">
        <v>0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1</v>
      </c>
      <c r="D12" s="248">
        <v>7.82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1</v>
      </c>
      <c r="D13" s="248">
        <f>ROUND(D11+D12,2)</f>
        <v>7.82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7.82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44479</v>
      </c>
      <c r="B31" s="235">
        <v>9.82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44480</v>
      </c>
      <c r="B32" s="235">
        <v>25.1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44481</v>
      </c>
      <c r="B33" s="235">
        <v>32.75</v>
      </c>
      <c r="C33" s="35">
        <v>37</v>
      </c>
      <c r="D33" s="35">
        <v>8</v>
      </c>
      <c r="E33" s="35">
        <v>26</v>
      </c>
      <c r="F33" s="35">
        <v>0</v>
      </c>
    </row>
    <row r="34" ht="15.6" spans="1:6">
      <c r="A34" s="53">
        <v>44482</v>
      </c>
      <c r="B34" s="235">
        <v>32.75</v>
      </c>
      <c r="C34" s="35"/>
      <c r="D34" s="35"/>
      <c r="E34" s="35">
        <v>0</v>
      </c>
      <c r="F34" s="35">
        <v>39482</v>
      </c>
    </row>
    <row r="35" ht="15.6" spans="1:6">
      <c r="A35" s="53">
        <v>44483</v>
      </c>
      <c r="B35" s="235">
        <v>32.92</v>
      </c>
      <c r="C35" s="35"/>
      <c r="D35" s="35"/>
      <c r="E35" s="35"/>
      <c r="F35" s="35"/>
    </row>
    <row r="36" ht="15.6" spans="1:6">
      <c r="A36" s="53">
        <v>44484</v>
      </c>
      <c r="B36" s="235">
        <v>32.92</v>
      </c>
      <c r="C36" s="35"/>
      <c r="D36" s="35"/>
      <c r="E36" s="35"/>
      <c r="F36" s="35"/>
    </row>
    <row r="37" ht="15.6" spans="1:6">
      <c r="A37" s="53">
        <v>44485</v>
      </c>
      <c r="B37" s="235">
        <v>18.46</v>
      </c>
      <c r="C37" s="35"/>
      <c r="D37" s="35"/>
      <c r="E37" s="35"/>
      <c r="F37" s="35"/>
    </row>
    <row r="38" ht="15.6" spans="1:6">
      <c r="A38" s="53">
        <v>44486</v>
      </c>
      <c r="B38" s="235">
        <v>31.898</v>
      </c>
      <c r="C38" s="35"/>
      <c r="D38" s="35"/>
      <c r="E38" s="35"/>
      <c r="F38" s="35"/>
    </row>
    <row r="39" ht="15.6" spans="1:6">
      <c r="A39" s="53">
        <v>44487</v>
      </c>
      <c r="B39" s="235">
        <v>15.46</v>
      </c>
      <c r="C39" s="35"/>
      <c r="D39" s="35"/>
      <c r="E39" s="35"/>
      <c r="F39" s="35"/>
    </row>
    <row r="40" ht="15.6" spans="1:6">
      <c r="A40" s="53">
        <v>44488</v>
      </c>
      <c r="B40" s="235">
        <v>7.82</v>
      </c>
      <c r="C40" s="104">
        <f>C33+D33+E33+F33</f>
        <v>71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K40"/>
  <sheetViews>
    <sheetView workbookViewId="0">
      <selection activeCell="I9" sqref="I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44489</v>
      </c>
      <c r="B3" s="157" t="s">
        <v>7</v>
      </c>
      <c r="C3" s="157">
        <v>0</v>
      </c>
      <c r="D3" s="157">
        <f>D11+F11</f>
        <v>15.084</v>
      </c>
      <c r="E3" s="250">
        <f>C5+D5</f>
        <v>16.061</v>
      </c>
      <c r="F3" s="243" t="s">
        <v>51</v>
      </c>
    </row>
    <row r="4" ht="15" customHeight="1" spans="1:6">
      <c r="A4" s="157"/>
      <c r="B4" s="157" t="s">
        <v>9</v>
      </c>
      <c r="C4" s="157">
        <v>0</v>
      </c>
      <c r="D4" s="157">
        <f>D12+F12</f>
        <v>0.977</v>
      </c>
      <c r="E4" s="250"/>
      <c r="F4" s="244"/>
    </row>
    <row r="5" ht="15" customHeight="1" spans="1:11">
      <c r="A5" s="157"/>
      <c r="B5" s="239" t="s">
        <v>10</v>
      </c>
      <c r="C5" s="157">
        <f>SUM(C3:C4)</f>
        <v>0</v>
      </c>
      <c r="D5" s="157">
        <f>SUM(D3:D4)</f>
        <v>16.061</v>
      </c>
      <c r="E5" s="250"/>
      <c r="F5" s="244"/>
      <c r="H5"/>
      <c r="I5"/>
      <c r="J5"/>
      <c r="K5"/>
    </row>
    <row r="6" ht="37.95" customHeight="1" spans="1:11">
      <c r="A6" s="157"/>
      <c r="B6" s="239" t="s">
        <v>11</v>
      </c>
      <c r="C6" s="258">
        <v>5472.78</v>
      </c>
      <c r="D6" s="258">
        <v>625.342</v>
      </c>
      <c r="E6" s="239">
        <f>C6+D6</f>
        <v>6098.122</v>
      </c>
      <c r="F6" s="244"/>
      <c r="H6"/>
      <c r="I6">
        <v>609.278</v>
      </c>
      <c r="J6">
        <f>D6-I6</f>
        <v>16.064</v>
      </c>
      <c r="K6">
        <f>J6-D13</f>
        <v>15.084</v>
      </c>
    </row>
    <row r="7" ht="37.95" customHeight="1" spans="1:11">
      <c r="A7" s="157"/>
      <c r="B7" s="239" t="s">
        <v>12</v>
      </c>
      <c r="C7" s="258">
        <v>5472.78</v>
      </c>
      <c r="D7" s="258">
        <v>625.342</v>
      </c>
      <c r="E7" s="239">
        <f>C7+D7</f>
        <v>6098.122</v>
      </c>
      <c r="F7" s="244"/>
      <c r="H7"/>
      <c r="I7"/>
      <c r="J7"/>
      <c r="K7"/>
    </row>
    <row r="8" ht="30" customHeight="1" spans="1:9">
      <c r="A8" s="238" t="s">
        <v>13</v>
      </c>
      <c r="B8" s="238"/>
      <c r="C8" s="238"/>
      <c r="D8" s="238"/>
      <c r="E8" s="238"/>
      <c r="F8" s="238"/>
      <c r="I8" s="1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44489</v>
      </c>
      <c r="B11" s="157" t="s">
        <v>7</v>
      </c>
      <c r="C11" s="247">
        <v>0</v>
      </c>
      <c r="D11" s="248">
        <v>0</v>
      </c>
      <c r="E11" s="247">
        <v>1</v>
      </c>
      <c r="F11" s="248">
        <v>15.084</v>
      </c>
    </row>
    <row r="12" ht="15" customHeight="1" spans="1:6">
      <c r="A12" s="157"/>
      <c r="B12" s="157" t="s">
        <v>9</v>
      </c>
      <c r="C12" s="247">
        <v>0</v>
      </c>
      <c r="D12" s="248">
        <v>0.977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0</v>
      </c>
      <c r="D13" s="248">
        <f>ROUND(D11+D12,2)</f>
        <v>0.98</v>
      </c>
      <c r="E13" s="247">
        <f t="shared" ref="E13" si="0">E11+E12</f>
        <v>1</v>
      </c>
      <c r="F13" s="248">
        <f>ROUND(F11+F12,2)</f>
        <v>15.08</v>
      </c>
    </row>
    <row r="14" ht="30" customHeight="1" spans="1:6">
      <c r="A14" s="157"/>
      <c r="B14" s="239" t="s">
        <v>5</v>
      </c>
      <c r="C14" s="238">
        <f>D13+F13</f>
        <v>16.06</v>
      </c>
      <c r="D14" s="238"/>
      <c r="E14" s="238"/>
      <c r="F14" s="238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44480</v>
      </c>
      <c r="B31" s="235">
        <v>25.1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44481</v>
      </c>
      <c r="B32" s="235">
        <v>32.75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44482</v>
      </c>
      <c r="B33" s="235">
        <v>32.75</v>
      </c>
      <c r="C33" s="35">
        <v>37</v>
      </c>
      <c r="D33" s="35">
        <v>9</v>
      </c>
      <c r="E33" s="35">
        <v>26</v>
      </c>
      <c r="F33" s="35">
        <v>0</v>
      </c>
    </row>
    <row r="34" ht="15.6" spans="1:6">
      <c r="A34" s="53">
        <v>44483</v>
      </c>
      <c r="B34" s="235">
        <v>32.92</v>
      </c>
      <c r="C34" s="35"/>
      <c r="D34" s="35"/>
      <c r="E34" s="35">
        <v>0</v>
      </c>
      <c r="F34" s="35">
        <v>39482</v>
      </c>
    </row>
    <row r="35" ht="15.6" spans="1:6">
      <c r="A35" s="53">
        <v>44484</v>
      </c>
      <c r="B35" s="235">
        <v>32.92</v>
      </c>
      <c r="C35" s="35"/>
      <c r="D35" s="35"/>
      <c r="E35" s="35"/>
      <c r="F35" s="35"/>
    </row>
    <row r="36" ht="15.6" spans="1:6">
      <c r="A36" s="53">
        <v>44485</v>
      </c>
      <c r="B36" s="235">
        <v>18.46</v>
      </c>
      <c r="C36" s="35"/>
      <c r="D36" s="35"/>
      <c r="E36" s="35"/>
      <c r="F36" s="35"/>
    </row>
    <row r="37" ht="15.6" spans="1:6">
      <c r="A37" s="53">
        <v>44486</v>
      </c>
      <c r="B37" s="235">
        <v>31.898</v>
      </c>
      <c r="C37" s="35"/>
      <c r="D37" s="35"/>
      <c r="E37" s="35"/>
      <c r="F37" s="35"/>
    </row>
    <row r="38" ht="15.6" spans="1:6">
      <c r="A38" s="53">
        <v>44487</v>
      </c>
      <c r="B38" s="235">
        <v>15.46</v>
      </c>
      <c r="C38" s="35"/>
      <c r="D38" s="35"/>
      <c r="E38" s="35"/>
      <c r="F38" s="35"/>
    </row>
    <row r="39" ht="15.6" spans="1:6">
      <c r="A39" s="53">
        <v>44488</v>
      </c>
      <c r="B39" s="235">
        <v>7.82</v>
      </c>
      <c r="C39" s="35"/>
      <c r="D39" s="35"/>
      <c r="E39" s="35"/>
      <c r="F39" s="35"/>
    </row>
    <row r="40" ht="15.6" spans="1:6">
      <c r="A40" s="53">
        <v>44489</v>
      </c>
      <c r="B40" s="235">
        <v>16.061</v>
      </c>
      <c r="C40" s="104">
        <f>C33+D33+E33+F33</f>
        <v>72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H40"/>
  <sheetViews>
    <sheetView workbookViewId="0">
      <selection activeCell="K7" sqref="K7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44490</v>
      </c>
      <c r="B3" s="157" t="s">
        <v>7</v>
      </c>
      <c r="C3" s="157">
        <v>0</v>
      </c>
      <c r="D3" s="157">
        <f>D11+F11</f>
        <v>0.489</v>
      </c>
      <c r="E3" s="250">
        <f>C5+D5</f>
        <v>23.769</v>
      </c>
      <c r="F3" s="243" t="s">
        <v>52</v>
      </c>
    </row>
    <row r="4" ht="15" customHeight="1" spans="1:6">
      <c r="A4" s="157"/>
      <c r="B4" s="157" t="s">
        <v>9</v>
      </c>
      <c r="C4" s="157">
        <v>0</v>
      </c>
      <c r="D4" s="157">
        <f>D12+F12</f>
        <v>23.28</v>
      </c>
      <c r="E4" s="250"/>
      <c r="F4" s="244"/>
    </row>
    <row r="5" ht="15" customHeight="1" spans="1:8">
      <c r="A5" s="157"/>
      <c r="B5" s="239" t="s">
        <v>10</v>
      </c>
      <c r="C5" s="157">
        <f>SUM(C3:C4)</f>
        <v>0</v>
      </c>
      <c r="D5" s="157">
        <f>SUM(D3:D4)</f>
        <v>23.769</v>
      </c>
      <c r="E5" s="250"/>
      <c r="F5" s="244"/>
      <c r="H5"/>
    </row>
    <row r="6" ht="37.95" customHeight="1" spans="1:8">
      <c r="A6" s="157"/>
      <c r="B6" s="239" t="s">
        <v>11</v>
      </c>
      <c r="C6" s="258">
        <v>5472.78</v>
      </c>
      <c r="D6" s="258">
        <v>649.111</v>
      </c>
      <c r="E6" s="239">
        <f>C6+D6</f>
        <v>6121.891</v>
      </c>
      <c r="F6" s="244"/>
      <c r="H6"/>
    </row>
    <row r="7" ht="37.95" customHeight="1" spans="1:8">
      <c r="A7" s="157"/>
      <c r="B7" s="239" t="s">
        <v>12</v>
      </c>
      <c r="C7" s="258">
        <v>5472.78</v>
      </c>
      <c r="D7" s="258">
        <v>649.111</v>
      </c>
      <c r="E7" s="239">
        <f>C7+D7</f>
        <v>6121.891</v>
      </c>
      <c r="F7" s="244"/>
      <c r="H7"/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44490</v>
      </c>
      <c r="B11" s="157" t="s">
        <v>7</v>
      </c>
      <c r="C11" s="247">
        <v>0</v>
      </c>
      <c r="D11" s="248">
        <v>0.489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3</v>
      </c>
      <c r="D12" s="248">
        <v>23.28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3</v>
      </c>
      <c r="D13" s="248">
        <f>ROUND(D11+D12,2)</f>
        <v>23.77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23.77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44481</v>
      </c>
      <c r="B31" s="235">
        <v>32.75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44482</v>
      </c>
      <c r="B32" s="235">
        <v>32.75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44483</v>
      </c>
      <c r="B33" s="235">
        <v>32.92</v>
      </c>
      <c r="C33" s="35">
        <v>37</v>
      </c>
      <c r="D33" s="35">
        <v>9</v>
      </c>
      <c r="E33" s="35">
        <v>29</v>
      </c>
      <c r="F33" s="35">
        <v>0</v>
      </c>
    </row>
    <row r="34" ht="15.6" spans="1:6">
      <c r="A34" s="53">
        <v>44484</v>
      </c>
      <c r="B34" s="235">
        <v>32.92</v>
      </c>
      <c r="C34" s="35"/>
      <c r="D34" s="35"/>
      <c r="E34" s="35">
        <v>0</v>
      </c>
      <c r="F34" s="35">
        <v>39482</v>
      </c>
    </row>
    <row r="35" ht="15.6" spans="1:6">
      <c r="A35" s="53">
        <v>44485</v>
      </c>
      <c r="B35" s="235">
        <v>18.46</v>
      </c>
      <c r="C35" s="35"/>
      <c r="D35" s="35"/>
      <c r="E35" s="35"/>
      <c r="F35" s="35"/>
    </row>
    <row r="36" ht="15.6" spans="1:6">
      <c r="A36" s="53">
        <v>44486</v>
      </c>
      <c r="B36" s="235">
        <v>31.898</v>
      </c>
      <c r="C36" s="35"/>
      <c r="D36" s="35"/>
      <c r="E36" s="35"/>
      <c r="F36" s="35"/>
    </row>
    <row r="37" ht="15.6" spans="1:6">
      <c r="A37" s="53">
        <v>44487</v>
      </c>
      <c r="B37" s="235">
        <v>15.46</v>
      </c>
      <c r="C37" s="35"/>
      <c r="D37" s="35"/>
      <c r="E37" s="35"/>
      <c r="F37" s="35"/>
    </row>
    <row r="38" ht="15.6" spans="1:6">
      <c r="A38" s="53">
        <v>44488</v>
      </c>
      <c r="B38" s="235">
        <v>7.82</v>
      </c>
      <c r="C38" s="35"/>
      <c r="D38" s="35"/>
      <c r="E38" s="35"/>
      <c r="F38" s="35"/>
    </row>
    <row r="39" ht="15.6" spans="1:6">
      <c r="A39" s="53">
        <v>44489</v>
      </c>
      <c r="B39" s="235">
        <v>16.061</v>
      </c>
      <c r="C39" s="35"/>
      <c r="D39" s="35"/>
      <c r="E39" s="35"/>
      <c r="F39" s="35"/>
    </row>
    <row r="40" ht="15.6" spans="1:6">
      <c r="A40" s="53">
        <v>44490</v>
      </c>
      <c r="B40" s="235">
        <v>23.769</v>
      </c>
      <c r="C40" s="104">
        <f>C33+D33+E33+F33</f>
        <v>75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H40"/>
  <sheetViews>
    <sheetView topLeftCell="A13" workbookViewId="0">
      <selection activeCell="J41" sqref="J41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44491</v>
      </c>
      <c r="B3" s="157" t="s">
        <v>7</v>
      </c>
      <c r="C3" s="157">
        <v>1</v>
      </c>
      <c r="D3" s="157">
        <f>D11+F11</f>
        <v>0.489</v>
      </c>
      <c r="E3" s="257">
        <f>ROUND(C5+D5,2)</f>
        <v>11.13</v>
      </c>
      <c r="F3" s="243" t="s">
        <v>53</v>
      </c>
    </row>
    <row r="4" ht="15" customHeight="1" spans="1:6">
      <c r="A4" s="157"/>
      <c r="B4" s="157" t="s">
        <v>9</v>
      </c>
      <c r="C4" s="157">
        <v>2</v>
      </c>
      <c r="D4" s="157">
        <f>D12+F12</f>
        <v>7.64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3</v>
      </c>
      <c r="D5" s="157">
        <f>SUM(D3:D4)</f>
        <v>8.129</v>
      </c>
      <c r="E5" s="257"/>
      <c r="F5" s="244"/>
      <c r="H5"/>
    </row>
    <row r="6" ht="37.95" customHeight="1" spans="1:8">
      <c r="A6" s="157"/>
      <c r="B6" s="239" t="s">
        <v>11</v>
      </c>
      <c r="C6" s="258">
        <v>5475.78</v>
      </c>
      <c r="D6" s="258">
        <v>657.24</v>
      </c>
      <c r="E6" s="239">
        <f>C6+D6</f>
        <v>6133.02</v>
      </c>
      <c r="F6" s="244"/>
      <c r="H6"/>
    </row>
    <row r="7" ht="37.95" customHeight="1" spans="1:8">
      <c r="A7" s="157"/>
      <c r="B7" s="239" t="s">
        <v>12</v>
      </c>
      <c r="C7" s="258">
        <v>5475.78</v>
      </c>
      <c r="D7" s="258">
        <v>657.24</v>
      </c>
      <c r="E7" s="239">
        <f>C7+D7</f>
        <v>6133.02</v>
      </c>
      <c r="F7" s="244"/>
      <c r="H7"/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44491</v>
      </c>
      <c r="B11" s="157" t="s">
        <v>7</v>
      </c>
      <c r="C11" s="247">
        <v>0</v>
      </c>
      <c r="D11" s="248">
        <v>0.489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1</v>
      </c>
      <c r="D12" s="248">
        <v>7.64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1</v>
      </c>
      <c r="D13" s="248">
        <f>ROUND(D11+D12,2)</f>
        <v>8.13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8.13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44482</v>
      </c>
      <c r="B31" s="235">
        <v>32.75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44483</v>
      </c>
      <c r="B32" s="235">
        <v>32.92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44484</v>
      </c>
      <c r="B33" s="235">
        <v>32.92</v>
      </c>
      <c r="C33" s="35">
        <v>37</v>
      </c>
      <c r="D33" s="35">
        <v>9</v>
      </c>
      <c r="E33" s="35">
        <v>30</v>
      </c>
      <c r="F33" s="35">
        <v>0</v>
      </c>
    </row>
    <row r="34" ht="15.6" spans="1:6">
      <c r="A34" s="53">
        <v>44485</v>
      </c>
      <c r="B34" s="235">
        <v>18.46</v>
      </c>
      <c r="C34" s="35"/>
      <c r="D34" s="35"/>
      <c r="E34" s="35">
        <v>1000</v>
      </c>
      <c r="F34" s="35">
        <v>40482</v>
      </c>
    </row>
    <row r="35" ht="15.6" spans="1:6">
      <c r="A35" s="53">
        <v>44486</v>
      </c>
      <c r="B35" s="235">
        <v>31.898</v>
      </c>
      <c r="C35" s="35"/>
      <c r="D35" s="35"/>
      <c r="E35" s="35"/>
      <c r="F35" s="35"/>
    </row>
    <row r="36" ht="15.6" spans="1:6">
      <c r="A36" s="53">
        <v>44487</v>
      </c>
      <c r="B36" s="235">
        <v>15.46</v>
      </c>
      <c r="C36" s="35"/>
      <c r="D36" s="35"/>
      <c r="E36" s="35"/>
      <c r="F36" s="35"/>
    </row>
    <row r="37" ht="15.6" spans="1:6">
      <c r="A37" s="53">
        <v>44488</v>
      </c>
      <c r="B37" s="235">
        <v>7.82</v>
      </c>
      <c r="C37" s="35"/>
      <c r="D37" s="35"/>
      <c r="E37" s="35"/>
      <c r="F37" s="35"/>
    </row>
    <row r="38" ht="15.6" spans="1:6">
      <c r="A38" s="53">
        <v>44489</v>
      </c>
      <c r="B38" s="235">
        <v>16.061</v>
      </c>
      <c r="C38" s="35"/>
      <c r="D38" s="35"/>
      <c r="E38" s="35"/>
      <c r="F38" s="35"/>
    </row>
    <row r="39" ht="15.6" spans="1:6">
      <c r="A39" s="53">
        <v>44490</v>
      </c>
      <c r="B39" s="235">
        <v>23.769</v>
      </c>
      <c r="C39" s="35"/>
      <c r="D39" s="35"/>
      <c r="E39" s="35"/>
      <c r="F39" s="35"/>
    </row>
    <row r="40" ht="15.6" spans="1:6">
      <c r="A40" s="53">
        <v>44491</v>
      </c>
      <c r="B40" s="235">
        <v>11.129</v>
      </c>
      <c r="C40" s="104">
        <f>C33+D33+E33+F33</f>
        <v>76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7"/>
  <sheetViews>
    <sheetView showZeros="0" workbookViewId="0">
      <selection activeCell="C6" sqref="C6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30" customHeight="1" spans="1:6">
      <c r="A1" s="40" t="s">
        <v>0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64" t="s">
        <v>3</v>
      </c>
      <c r="D2" s="264" t="s">
        <v>4</v>
      </c>
      <c r="E2" s="48" t="s">
        <v>5</v>
      </c>
      <c r="F2" s="48" t="s">
        <v>6</v>
      </c>
    </row>
    <row r="3" ht="15" customHeight="1" spans="1:6">
      <c r="A3" s="218">
        <v>44465</v>
      </c>
      <c r="B3" s="35" t="s">
        <v>7</v>
      </c>
      <c r="C3" s="35">
        <v>1</v>
      </c>
      <c r="D3" s="35">
        <v>0</v>
      </c>
      <c r="E3" s="35">
        <f>C5+D5</f>
        <v>8.82</v>
      </c>
      <c r="F3" s="270" t="s">
        <v>21</v>
      </c>
    </row>
    <row r="4" ht="15" customHeight="1" spans="1:6">
      <c r="A4" s="35"/>
      <c r="B4" s="35" t="s">
        <v>9</v>
      </c>
      <c r="C4" s="35">
        <v>0</v>
      </c>
      <c r="D4" s="35">
        <v>7.82</v>
      </c>
      <c r="E4" s="35"/>
      <c r="F4" s="271"/>
    </row>
    <row r="5" ht="15" customHeight="1" spans="1:6">
      <c r="A5" s="35"/>
      <c r="B5" s="48" t="s">
        <v>10</v>
      </c>
      <c r="C5" s="35">
        <f>SUM(C3:C4)</f>
        <v>1</v>
      </c>
      <c r="D5" s="35">
        <f>SUM(D3:D4)</f>
        <v>7.82</v>
      </c>
      <c r="E5" s="35"/>
      <c r="F5" s="271"/>
    </row>
    <row r="6" ht="15" customHeight="1" spans="1:6">
      <c r="A6" s="35"/>
      <c r="B6" s="48" t="s">
        <v>11</v>
      </c>
      <c r="C6" s="35">
        <f>E6-D6</f>
        <v>5441.78</v>
      </c>
      <c r="D6" s="35">
        <v>183.32</v>
      </c>
      <c r="E6" s="35">
        <f>5614.28+2+8.82</f>
        <v>5625.1</v>
      </c>
      <c r="F6" s="271"/>
    </row>
    <row r="7" ht="30.6" customHeight="1" spans="1:6">
      <c r="A7" s="35"/>
      <c r="B7" s="48" t="s">
        <v>12</v>
      </c>
      <c r="C7" s="35">
        <f>E7-D7</f>
        <v>5441.78</v>
      </c>
      <c r="D7" s="35">
        <v>183.32</v>
      </c>
      <c r="E7" s="35">
        <f>5614.28+2+8.82</f>
        <v>5625.1</v>
      </c>
      <c r="F7" s="271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69" t="s">
        <v>14</v>
      </c>
      <c r="D9" s="269"/>
      <c r="E9" s="269" t="s">
        <v>15</v>
      </c>
      <c r="F9" s="269"/>
    </row>
    <row r="10" spans="1:6">
      <c r="A10" s="48"/>
      <c r="B10" s="48"/>
      <c r="C10" s="269" t="s">
        <v>16</v>
      </c>
      <c r="D10" s="269" t="s">
        <v>17</v>
      </c>
      <c r="E10" s="269" t="s">
        <v>16</v>
      </c>
      <c r="F10" s="269" t="s">
        <v>17</v>
      </c>
    </row>
    <row r="11" spans="1:6">
      <c r="A11" s="272">
        <v>44465</v>
      </c>
      <c r="B11" s="35" t="s">
        <v>7</v>
      </c>
      <c r="C11" s="56"/>
      <c r="D11" s="224"/>
      <c r="E11" s="56"/>
      <c r="F11" s="224"/>
    </row>
    <row r="12" spans="1:6">
      <c r="A12" s="273"/>
      <c r="B12" s="35" t="s">
        <v>9</v>
      </c>
      <c r="C12" s="56">
        <v>1</v>
      </c>
      <c r="D12" s="224">
        <v>7.82</v>
      </c>
      <c r="E12" s="56"/>
      <c r="F12" s="224"/>
    </row>
    <row r="13" spans="1:6">
      <c r="A13" s="273"/>
      <c r="B13" s="35" t="s">
        <v>18</v>
      </c>
      <c r="C13" s="56">
        <f>C11+C12</f>
        <v>1</v>
      </c>
      <c r="D13" s="224">
        <f t="shared" ref="D13:F13" si="0">D11+D12</f>
        <v>7.82</v>
      </c>
      <c r="E13" s="56">
        <f t="shared" si="0"/>
        <v>0</v>
      </c>
      <c r="F13" s="224">
        <f t="shared" si="0"/>
        <v>0</v>
      </c>
    </row>
    <row r="14" spans="1:6">
      <c r="A14" s="274"/>
      <c r="B14" s="48" t="s">
        <v>5</v>
      </c>
      <c r="C14" s="145">
        <f>D13+F13</f>
        <v>7.82</v>
      </c>
      <c r="D14" s="275"/>
      <c r="E14" s="275"/>
      <c r="F14" s="146"/>
    </row>
    <row r="17" spans="2:2">
      <c r="B17" s="3" t="s">
        <v>20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H40"/>
  <sheetViews>
    <sheetView workbookViewId="0">
      <selection activeCell="A1" sqref="A1:F22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44492</v>
      </c>
      <c r="B3" s="157" t="s">
        <v>7</v>
      </c>
      <c r="C3" s="157">
        <v>0</v>
      </c>
      <c r="D3" s="157">
        <f>D11+F11</f>
        <v>7.64</v>
      </c>
      <c r="E3" s="257">
        <f>ROUND(C5+D5,2)</f>
        <v>15.62</v>
      </c>
      <c r="F3" s="243" t="s">
        <v>54</v>
      </c>
    </row>
    <row r="4" ht="15" customHeight="1" spans="1:6">
      <c r="A4" s="157"/>
      <c r="B4" s="157" t="s">
        <v>9</v>
      </c>
      <c r="C4" s="157">
        <v>0</v>
      </c>
      <c r="D4" s="157">
        <f>D12+F12</f>
        <v>7.983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0</v>
      </c>
      <c r="D5" s="157">
        <f>SUM(D3:D4)</f>
        <v>15.623</v>
      </c>
      <c r="E5" s="257"/>
      <c r="F5" s="244"/>
      <c r="H5"/>
    </row>
    <row r="6" ht="37.95" customHeight="1" spans="1:8">
      <c r="A6" s="157"/>
      <c r="B6" s="239" t="s">
        <v>11</v>
      </c>
      <c r="C6" s="258">
        <v>5475.78</v>
      </c>
      <c r="D6" s="258">
        <v>672.863</v>
      </c>
      <c r="E6" s="239">
        <f>C6+D6</f>
        <v>6148.643</v>
      </c>
      <c r="F6" s="244"/>
      <c r="H6"/>
    </row>
    <row r="7" ht="37.95" customHeight="1" spans="1:8">
      <c r="A7" s="157"/>
      <c r="B7" s="239" t="s">
        <v>12</v>
      </c>
      <c r="C7" s="258">
        <v>5475.78</v>
      </c>
      <c r="D7" s="258">
        <v>672.863</v>
      </c>
      <c r="E7" s="239">
        <f>C7+D7</f>
        <v>6148.643</v>
      </c>
      <c r="F7" s="244"/>
      <c r="H7"/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44492</v>
      </c>
      <c r="B11" s="157" t="s">
        <v>7</v>
      </c>
      <c r="C11" s="247">
        <v>1</v>
      </c>
      <c r="D11" s="248">
        <v>7.64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1</v>
      </c>
      <c r="D12" s="248">
        <v>7.983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2</v>
      </c>
      <c r="D13" s="248">
        <f>ROUND(D11+D12,2)</f>
        <v>15.62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15.62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44483</v>
      </c>
      <c r="B31" s="235">
        <v>32.92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44484</v>
      </c>
      <c r="B32" s="235">
        <v>32.92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44485</v>
      </c>
      <c r="B33" s="235">
        <v>18.46</v>
      </c>
      <c r="C33" s="35">
        <v>38</v>
      </c>
      <c r="D33" s="35">
        <v>9</v>
      </c>
      <c r="E33" s="35">
        <v>31</v>
      </c>
      <c r="F33" s="35">
        <v>0</v>
      </c>
    </row>
    <row r="34" ht="15.6" spans="1:6">
      <c r="A34" s="53">
        <v>44486</v>
      </c>
      <c r="B34" s="235">
        <v>31.898</v>
      </c>
      <c r="C34" s="35"/>
      <c r="D34" s="35"/>
      <c r="E34" s="35">
        <v>700</v>
      </c>
      <c r="F34" s="35">
        <v>41182</v>
      </c>
    </row>
    <row r="35" ht="15.6" spans="1:6">
      <c r="A35" s="53">
        <v>44487</v>
      </c>
      <c r="B35" s="235">
        <v>15.46</v>
      </c>
      <c r="C35" s="35"/>
      <c r="D35" s="35"/>
      <c r="E35" s="35"/>
      <c r="F35" s="35"/>
    </row>
    <row r="36" ht="15.6" spans="1:6">
      <c r="A36" s="53">
        <v>44488</v>
      </c>
      <c r="B36" s="235">
        <v>7.82</v>
      </c>
      <c r="C36" s="35"/>
      <c r="D36" s="35"/>
      <c r="E36" s="35"/>
      <c r="F36" s="35"/>
    </row>
    <row r="37" ht="15.6" spans="1:6">
      <c r="A37" s="53">
        <v>44489</v>
      </c>
      <c r="B37" s="235">
        <v>16.061</v>
      </c>
      <c r="C37" s="35"/>
      <c r="D37" s="35"/>
      <c r="E37" s="35"/>
      <c r="F37" s="35"/>
    </row>
    <row r="38" ht="15.6" spans="1:6">
      <c r="A38" s="53">
        <v>44490</v>
      </c>
      <c r="B38" s="235">
        <v>23.769</v>
      </c>
      <c r="C38" s="35"/>
      <c r="D38" s="35"/>
      <c r="E38" s="35"/>
      <c r="F38" s="35"/>
    </row>
    <row r="39" ht="15.6" spans="1:6">
      <c r="A39" s="53">
        <v>44491</v>
      </c>
      <c r="B39" s="235">
        <v>11.129</v>
      </c>
      <c r="C39" s="35"/>
      <c r="D39" s="35"/>
      <c r="E39" s="35"/>
      <c r="F39" s="35"/>
    </row>
    <row r="40" ht="15.6" spans="1:6">
      <c r="A40" s="53">
        <v>44492</v>
      </c>
      <c r="B40" s="235">
        <v>15.62</v>
      </c>
      <c r="C40" s="104">
        <f>C33+D33+E33+F33</f>
        <v>78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H40"/>
  <sheetViews>
    <sheetView topLeftCell="A2" workbookViewId="0">
      <selection activeCell="C30" sqref="C30:F33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44493</v>
      </c>
      <c r="B3" s="157" t="s">
        <v>7</v>
      </c>
      <c r="C3" s="157">
        <v>0</v>
      </c>
      <c r="D3" s="157">
        <f>D11+F11</f>
        <v>24.74</v>
      </c>
      <c r="E3" s="257">
        <f>ROUND(C5+D5,2)</f>
        <v>32.89</v>
      </c>
      <c r="F3" s="243" t="s">
        <v>55</v>
      </c>
    </row>
    <row r="4" ht="15" customHeight="1" spans="1:6">
      <c r="A4" s="157"/>
      <c r="B4" s="157" t="s">
        <v>9</v>
      </c>
      <c r="C4" s="157">
        <v>0</v>
      </c>
      <c r="D4" s="157">
        <f>D12+F12</f>
        <v>8.15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0</v>
      </c>
      <c r="D5" s="157">
        <f>SUM(D3:D4)</f>
        <v>32.89</v>
      </c>
      <c r="E5" s="257"/>
      <c r="F5" s="244"/>
      <c r="H5"/>
    </row>
    <row r="6" ht="37.95" customHeight="1" spans="1:8">
      <c r="A6" s="157"/>
      <c r="B6" s="239" t="s">
        <v>11</v>
      </c>
      <c r="C6" s="258">
        <v>5475.78</v>
      </c>
      <c r="D6" s="258">
        <v>705.75</v>
      </c>
      <c r="E6" s="239">
        <f>C6+D6</f>
        <v>6181.53</v>
      </c>
      <c r="F6" s="244"/>
      <c r="H6"/>
    </row>
    <row r="7" ht="37.95" customHeight="1" spans="1:8">
      <c r="A7" s="157"/>
      <c r="B7" s="239" t="s">
        <v>12</v>
      </c>
      <c r="C7" s="258">
        <v>5475.78</v>
      </c>
      <c r="D7" s="258">
        <v>705.75</v>
      </c>
      <c r="E7" s="239">
        <f>C7+D7</f>
        <v>6181.53</v>
      </c>
      <c r="F7" s="244"/>
      <c r="H7"/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44493</v>
      </c>
      <c r="B11" s="157" t="s">
        <v>7</v>
      </c>
      <c r="C11" s="247">
        <v>3</v>
      </c>
      <c r="D11" s="248">
        <f>24.09+0.65</f>
        <v>24.74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1</v>
      </c>
      <c r="D12" s="248">
        <v>8.15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4</v>
      </c>
      <c r="D13" s="248">
        <f>ROUND(D11+D12,2)</f>
        <v>32.89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32.89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44484</v>
      </c>
      <c r="B31" s="235">
        <v>32.92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44485</v>
      </c>
      <c r="B32" s="235">
        <v>18.46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44486</v>
      </c>
      <c r="B33" s="235">
        <v>31.898</v>
      </c>
      <c r="C33" s="35">
        <v>41</v>
      </c>
      <c r="D33" s="35">
        <v>9</v>
      </c>
      <c r="E33" s="35">
        <v>32</v>
      </c>
      <c r="F33" s="35">
        <v>0</v>
      </c>
    </row>
    <row r="34" ht="15.6" spans="1:6">
      <c r="A34" s="53">
        <v>44487</v>
      </c>
      <c r="B34" s="235">
        <v>15.46</v>
      </c>
      <c r="C34" s="35"/>
      <c r="D34" s="35"/>
      <c r="E34" s="35">
        <v>0</v>
      </c>
      <c r="F34" s="35">
        <v>41182</v>
      </c>
    </row>
    <row r="35" ht="15.6" spans="1:6">
      <c r="A35" s="53">
        <v>44488</v>
      </c>
      <c r="B35" s="235">
        <v>7.82</v>
      </c>
      <c r="C35" s="35"/>
      <c r="D35" s="35"/>
      <c r="E35" s="35"/>
      <c r="F35" s="35"/>
    </row>
    <row r="36" ht="15.6" spans="1:6">
      <c r="A36" s="53">
        <v>44489</v>
      </c>
      <c r="B36" s="235">
        <v>16.061</v>
      </c>
      <c r="C36" s="35"/>
      <c r="D36" s="35"/>
      <c r="E36" s="35"/>
      <c r="F36" s="35"/>
    </row>
    <row r="37" ht="15.6" spans="1:6">
      <c r="A37" s="53">
        <v>44490</v>
      </c>
      <c r="B37" s="235">
        <v>23.769</v>
      </c>
      <c r="C37" s="35"/>
      <c r="D37" s="35"/>
      <c r="E37" s="35"/>
      <c r="F37" s="35"/>
    </row>
    <row r="38" ht="15.6" spans="1:6">
      <c r="A38" s="53">
        <v>44491</v>
      </c>
      <c r="B38" s="235">
        <v>11.129</v>
      </c>
      <c r="C38" s="35"/>
      <c r="D38" s="35"/>
      <c r="E38" s="35"/>
      <c r="F38" s="35"/>
    </row>
    <row r="39" ht="15.6" spans="1:6">
      <c r="A39" s="53">
        <v>44492</v>
      </c>
      <c r="B39" s="235">
        <v>15.62</v>
      </c>
      <c r="C39" s="35"/>
      <c r="D39" s="35"/>
      <c r="E39" s="35"/>
      <c r="F39" s="35"/>
    </row>
    <row r="40" ht="15.6" spans="1:6">
      <c r="A40" s="53">
        <v>44493</v>
      </c>
      <c r="B40" s="235">
        <v>32.57</v>
      </c>
      <c r="C40" s="104">
        <f>C33+D33+E33+F33</f>
        <v>82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H40"/>
  <sheetViews>
    <sheetView workbookViewId="0">
      <selection activeCell="A1" sqref="A1:F22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44494</v>
      </c>
      <c r="B3" s="157" t="s">
        <v>7</v>
      </c>
      <c r="C3" s="157">
        <v>0</v>
      </c>
      <c r="D3" s="157">
        <f>ROUND(D11+F11,2)</f>
        <v>23.61</v>
      </c>
      <c r="E3" s="257">
        <f>ROUND(C5+D5,2)</f>
        <v>31.25</v>
      </c>
      <c r="F3" s="243" t="s">
        <v>56</v>
      </c>
    </row>
    <row r="4" ht="15" customHeight="1" spans="1:6">
      <c r="A4" s="157"/>
      <c r="B4" s="157" t="s">
        <v>9</v>
      </c>
      <c r="C4" s="157">
        <v>0</v>
      </c>
      <c r="D4" s="157">
        <f>D12+F12</f>
        <v>7.64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0</v>
      </c>
      <c r="D5" s="157">
        <f>SUM(D3:D4)</f>
        <v>31.25</v>
      </c>
      <c r="E5" s="257"/>
      <c r="F5" s="244"/>
      <c r="H5"/>
    </row>
    <row r="6" ht="37.95" customHeight="1" spans="1:8">
      <c r="A6" s="157"/>
      <c r="B6" s="239" t="s">
        <v>11</v>
      </c>
      <c r="C6" s="258">
        <v>5475.78</v>
      </c>
      <c r="D6" s="258">
        <v>736.996</v>
      </c>
      <c r="E6" s="239">
        <f>ROUND(C6+D6,2)</f>
        <v>6212.78</v>
      </c>
      <c r="F6" s="244"/>
      <c r="H6"/>
    </row>
    <row r="7" ht="37.95" customHeight="1" spans="1:8">
      <c r="A7" s="157"/>
      <c r="B7" s="239" t="s">
        <v>12</v>
      </c>
      <c r="C7" s="258">
        <v>5475.78</v>
      </c>
      <c r="D7" s="258">
        <v>736.996</v>
      </c>
      <c r="E7" s="239">
        <f>ROUND(C7+D7,2)</f>
        <v>6212.78</v>
      </c>
      <c r="F7" s="244"/>
      <c r="H7"/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44494</v>
      </c>
      <c r="B11" s="157" t="s">
        <v>7</v>
      </c>
      <c r="C11" s="247">
        <v>3</v>
      </c>
      <c r="D11" s="248">
        <v>23.28</v>
      </c>
      <c r="E11" s="247">
        <v>0</v>
      </c>
      <c r="F11" s="248">
        <v>0.326</v>
      </c>
    </row>
    <row r="12" ht="15" customHeight="1" spans="1:6">
      <c r="A12" s="157"/>
      <c r="B12" s="157" t="s">
        <v>9</v>
      </c>
      <c r="C12" s="247">
        <v>1</v>
      </c>
      <c r="D12" s="248">
        <v>7.64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4</v>
      </c>
      <c r="D13" s="248">
        <f>ROUND(D11+D12,2)</f>
        <v>30.92</v>
      </c>
      <c r="E13" s="247">
        <f t="shared" ref="E13" si="0">E11+E12</f>
        <v>0</v>
      </c>
      <c r="F13" s="248">
        <f>ROUND(F11+F12,2)</f>
        <v>0.33</v>
      </c>
    </row>
    <row r="14" ht="30" customHeight="1" spans="1:6">
      <c r="A14" s="157"/>
      <c r="B14" s="239" t="s">
        <v>5</v>
      </c>
      <c r="C14" s="238">
        <f>D13+F13</f>
        <v>31.25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44485</v>
      </c>
      <c r="B31" s="235">
        <v>18.46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44486</v>
      </c>
      <c r="B32" s="235">
        <v>31.898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44487</v>
      </c>
      <c r="B33" s="235">
        <v>15.46</v>
      </c>
      <c r="C33" s="35">
        <v>44</v>
      </c>
      <c r="D33" s="35">
        <v>9</v>
      </c>
      <c r="E33" s="35">
        <v>33</v>
      </c>
      <c r="F33" s="35">
        <v>0</v>
      </c>
    </row>
    <row r="34" ht="15.6" spans="1:6">
      <c r="A34" s="53">
        <v>44488</v>
      </c>
      <c r="B34" s="235">
        <v>7.82</v>
      </c>
      <c r="C34" s="35"/>
      <c r="D34" s="35"/>
      <c r="E34" s="35">
        <v>0</v>
      </c>
      <c r="F34" s="35">
        <v>41182</v>
      </c>
    </row>
    <row r="35" ht="15.6" spans="1:6">
      <c r="A35" s="53">
        <v>44489</v>
      </c>
      <c r="B35" s="235">
        <v>16.061</v>
      </c>
      <c r="C35" s="35"/>
      <c r="D35" s="35"/>
      <c r="E35" s="35"/>
      <c r="F35" s="35"/>
    </row>
    <row r="36" ht="15.6" spans="1:6">
      <c r="A36" s="53">
        <v>44490</v>
      </c>
      <c r="B36" s="235">
        <v>23.769</v>
      </c>
      <c r="C36" s="35"/>
      <c r="D36" s="35"/>
      <c r="E36" s="35"/>
      <c r="F36" s="35"/>
    </row>
    <row r="37" ht="15.6" spans="1:6">
      <c r="A37" s="53">
        <v>44491</v>
      </c>
      <c r="B37" s="235">
        <v>11.129</v>
      </c>
      <c r="C37" s="35"/>
      <c r="D37" s="35"/>
      <c r="E37" s="35"/>
      <c r="F37" s="35"/>
    </row>
    <row r="38" ht="15.6" spans="1:6">
      <c r="A38" s="53">
        <v>44492</v>
      </c>
      <c r="B38" s="235">
        <v>15.62</v>
      </c>
      <c r="C38" s="35"/>
      <c r="D38" s="35"/>
      <c r="E38" s="35"/>
      <c r="F38" s="35"/>
    </row>
    <row r="39" ht="15.6" spans="1:6">
      <c r="A39" s="53">
        <v>44493</v>
      </c>
      <c r="B39" s="235">
        <v>32.57</v>
      </c>
      <c r="C39" s="35"/>
      <c r="D39" s="35"/>
      <c r="E39" s="35"/>
      <c r="F39" s="35"/>
    </row>
    <row r="40" ht="15.6" spans="1:6">
      <c r="A40" s="53">
        <v>44494</v>
      </c>
      <c r="B40" s="235">
        <v>31.25</v>
      </c>
      <c r="C40" s="104">
        <f>C33+D33+E33+F33</f>
        <v>86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H40"/>
  <sheetViews>
    <sheetView topLeftCell="A4" workbookViewId="0">
      <selection activeCell="I14" sqref="I14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44495</v>
      </c>
      <c r="B3" s="157" t="s">
        <v>7</v>
      </c>
      <c r="C3" s="157">
        <v>0</v>
      </c>
      <c r="D3" s="157">
        <f>ROUND(D11+F11,2)</f>
        <v>23.28</v>
      </c>
      <c r="E3" s="257">
        <f>ROUND(C5+D5,2)</f>
        <v>23.28</v>
      </c>
      <c r="F3" s="243" t="s">
        <v>57</v>
      </c>
    </row>
    <row r="4" ht="15" customHeight="1" spans="1:6">
      <c r="A4" s="157"/>
      <c r="B4" s="157" t="s">
        <v>9</v>
      </c>
      <c r="C4" s="157">
        <v>0</v>
      </c>
      <c r="D4" s="157">
        <f>D12+F12</f>
        <v>0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0</v>
      </c>
      <c r="D5" s="157">
        <f>SUM(D3:D4)</f>
        <v>23.28</v>
      </c>
      <c r="E5" s="257"/>
      <c r="F5" s="244"/>
      <c r="H5"/>
    </row>
    <row r="6" ht="37.95" customHeight="1" spans="1:8">
      <c r="A6" s="157"/>
      <c r="B6" s="239" t="s">
        <v>11</v>
      </c>
      <c r="C6" s="258">
        <v>5475.78</v>
      </c>
      <c r="D6" s="258">
        <v>760.276</v>
      </c>
      <c r="E6" s="239">
        <f>ROUND(C6+D6,2)</f>
        <v>6236.06</v>
      </c>
      <c r="F6" s="244"/>
      <c r="H6"/>
    </row>
    <row r="7" ht="37.95" customHeight="1" spans="1:8">
      <c r="A7" s="157"/>
      <c r="B7" s="239" t="s">
        <v>12</v>
      </c>
      <c r="C7" s="258">
        <v>5475.78</v>
      </c>
      <c r="D7" s="258">
        <v>760.276</v>
      </c>
      <c r="E7" s="239">
        <f>ROUND(C7+D7,2)</f>
        <v>6236.06</v>
      </c>
      <c r="F7" s="244"/>
      <c r="H7"/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44495</v>
      </c>
      <c r="B11" s="157" t="s">
        <v>7</v>
      </c>
      <c r="C11" s="247">
        <v>3</v>
      </c>
      <c r="D11" s="248">
        <v>23.28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0</v>
      </c>
      <c r="D12" s="248">
        <v>0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3</v>
      </c>
      <c r="D13" s="248">
        <f>ROUND(D11+D12,2)</f>
        <v>23.28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23.28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44486</v>
      </c>
      <c r="B31" s="235">
        <v>31.898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44487</v>
      </c>
      <c r="B32" s="235">
        <v>15.46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44488</v>
      </c>
      <c r="B33" s="235">
        <v>7.82</v>
      </c>
      <c r="C33" s="35">
        <v>47</v>
      </c>
      <c r="D33" s="35">
        <v>9</v>
      </c>
      <c r="E33" s="35">
        <v>33</v>
      </c>
      <c r="F33" s="35">
        <v>0</v>
      </c>
    </row>
    <row r="34" ht="15.6" spans="1:6">
      <c r="A34" s="53">
        <v>44489</v>
      </c>
      <c r="B34" s="235">
        <v>16.061</v>
      </c>
      <c r="C34" s="35"/>
      <c r="D34" s="35"/>
      <c r="E34" s="35">
        <v>0</v>
      </c>
      <c r="F34" s="35">
        <v>41182</v>
      </c>
    </row>
    <row r="35" ht="15.6" spans="1:6">
      <c r="A35" s="53">
        <v>44490</v>
      </c>
      <c r="B35" s="235">
        <v>23.769</v>
      </c>
      <c r="C35" s="35"/>
      <c r="D35" s="35"/>
      <c r="E35" s="35"/>
      <c r="F35" s="35"/>
    </row>
    <row r="36" ht="15.6" spans="1:6">
      <c r="A36" s="53">
        <v>44491</v>
      </c>
      <c r="B36" s="235">
        <v>11.129</v>
      </c>
      <c r="C36" s="35"/>
      <c r="D36" s="35"/>
      <c r="E36" s="35"/>
      <c r="F36" s="35"/>
    </row>
    <row r="37" ht="15.6" spans="1:6">
      <c r="A37" s="53">
        <v>44492</v>
      </c>
      <c r="B37" s="235">
        <v>15.62</v>
      </c>
      <c r="C37" s="35"/>
      <c r="D37" s="35"/>
      <c r="E37" s="35"/>
      <c r="F37" s="35"/>
    </row>
    <row r="38" ht="15.6" spans="1:6">
      <c r="A38" s="53">
        <v>44493</v>
      </c>
      <c r="B38" s="235">
        <v>32.57</v>
      </c>
      <c r="C38" s="35"/>
      <c r="D38" s="35"/>
      <c r="E38" s="35"/>
      <c r="F38" s="35"/>
    </row>
    <row r="39" ht="15.6" spans="1:6">
      <c r="A39" s="53">
        <v>44494</v>
      </c>
      <c r="B39" s="235">
        <v>31.25</v>
      </c>
      <c r="C39" s="35"/>
      <c r="D39" s="35"/>
      <c r="E39" s="35"/>
      <c r="F39" s="35"/>
    </row>
    <row r="40" ht="15.6" spans="1:6">
      <c r="A40" s="53">
        <v>44495</v>
      </c>
      <c r="B40" s="235">
        <v>23.28</v>
      </c>
      <c r="C40" s="104">
        <f>C33+D33+E33+F33</f>
        <v>89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H42"/>
  <sheetViews>
    <sheetView zoomScaleSheetLayoutView="90" topLeftCell="A25" workbookViewId="0">
      <selection activeCell="F38" sqref="F38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44496</v>
      </c>
      <c r="B3" s="157" t="s">
        <v>7</v>
      </c>
      <c r="C3" s="157">
        <v>0</v>
      </c>
      <c r="D3" s="157">
        <f>ROUND(D11+F11,2)</f>
        <v>31.24</v>
      </c>
      <c r="E3" s="257">
        <f>ROUND(C5+D5,2)</f>
        <v>38.88</v>
      </c>
      <c r="F3" s="243" t="s">
        <v>58</v>
      </c>
    </row>
    <row r="4" ht="15" customHeight="1" spans="1:6">
      <c r="A4" s="157"/>
      <c r="B4" s="157" t="s">
        <v>9</v>
      </c>
      <c r="C4" s="157">
        <v>0</v>
      </c>
      <c r="D4" s="157">
        <f>D12+F12</f>
        <v>7.64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0</v>
      </c>
      <c r="D5" s="157">
        <f>SUM(D3:D4)</f>
        <v>38.88</v>
      </c>
      <c r="E5" s="257"/>
      <c r="F5" s="244"/>
      <c r="H5"/>
    </row>
    <row r="6" ht="37.95" customHeight="1" spans="1:8">
      <c r="A6" s="157"/>
      <c r="B6" s="239" t="s">
        <v>11</v>
      </c>
      <c r="C6" s="258">
        <v>5475.78</v>
      </c>
      <c r="D6" s="258">
        <v>799.156</v>
      </c>
      <c r="E6" s="239">
        <f>ROUND(C6+D6,2)</f>
        <v>6274.94</v>
      </c>
      <c r="F6" s="244"/>
      <c r="H6"/>
    </row>
    <row r="7" ht="37.95" customHeight="1" spans="1:8">
      <c r="A7" s="157"/>
      <c r="B7" s="239" t="s">
        <v>12</v>
      </c>
      <c r="C7" s="258">
        <v>5475.78</v>
      </c>
      <c r="D7" s="258">
        <v>799.156</v>
      </c>
      <c r="E7" s="239">
        <f>ROUND(C7+D7,2)</f>
        <v>6274.94</v>
      </c>
      <c r="F7" s="244"/>
      <c r="H7"/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44496</v>
      </c>
      <c r="B11" s="157" t="s">
        <v>7</v>
      </c>
      <c r="C11" s="247">
        <v>2</v>
      </c>
      <c r="D11" s="248">
        <v>15.46</v>
      </c>
      <c r="E11" s="247">
        <v>1</v>
      </c>
      <c r="F11" s="248">
        <v>15.779</v>
      </c>
    </row>
    <row r="12" ht="15" customHeight="1" spans="1:6">
      <c r="A12" s="157"/>
      <c r="B12" s="157" t="s">
        <v>9</v>
      </c>
      <c r="C12" s="247">
        <v>1</v>
      </c>
      <c r="D12" s="248">
        <v>7.64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3</v>
      </c>
      <c r="D13" s="248">
        <f>ROUND(D11+D12,2)</f>
        <v>23.1</v>
      </c>
      <c r="E13" s="247">
        <f t="shared" ref="E13" si="0">E11+E12</f>
        <v>1</v>
      </c>
      <c r="F13" s="248">
        <f>ROUND(F11+F12,2)</f>
        <v>15.78</v>
      </c>
    </row>
    <row r="14" ht="30" customHeight="1" spans="1:6">
      <c r="A14" s="157"/>
      <c r="B14" s="239" t="s">
        <v>5</v>
      </c>
      <c r="C14" s="238">
        <f>D13+F13</f>
        <v>38.88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44487</v>
      </c>
      <c r="B31" s="235">
        <v>15.46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44488</v>
      </c>
      <c r="B32" s="235">
        <v>7.82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44489</v>
      </c>
      <c r="B33" s="235">
        <v>16.061</v>
      </c>
      <c r="C33" s="35">
        <v>49</v>
      </c>
      <c r="D33" s="35">
        <v>10</v>
      </c>
      <c r="E33" s="35">
        <v>34</v>
      </c>
      <c r="F33" s="35">
        <v>0</v>
      </c>
    </row>
    <row r="34" ht="15.6" spans="1:6">
      <c r="A34" s="53">
        <v>44490</v>
      </c>
      <c r="B34" s="235">
        <v>23.769</v>
      </c>
      <c r="C34" s="35">
        <v>25</v>
      </c>
      <c r="D34" s="35">
        <v>5</v>
      </c>
      <c r="E34" s="35">
        <v>14</v>
      </c>
      <c r="F34" s="35">
        <v>0</v>
      </c>
    </row>
    <row r="35" ht="15.6" spans="1:6">
      <c r="A35" s="53">
        <v>44491</v>
      </c>
      <c r="B35" s="235">
        <v>11.129</v>
      </c>
      <c r="C35" s="35"/>
      <c r="D35" s="35"/>
      <c r="E35" s="35"/>
      <c r="F35" s="35"/>
    </row>
    <row r="36" ht="15.6" spans="1:6">
      <c r="A36" s="53">
        <v>44492</v>
      </c>
      <c r="B36" s="235">
        <v>15.62</v>
      </c>
      <c r="C36" s="35"/>
      <c r="D36" s="35"/>
      <c r="E36" s="35"/>
      <c r="F36" s="35"/>
    </row>
    <row r="37" ht="15.6" spans="1:6">
      <c r="A37" s="53">
        <v>44493</v>
      </c>
      <c r="B37" s="235">
        <v>32.57</v>
      </c>
      <c r="C37" s="35"/>
      <c r="D37" s="35"/>
      <c r="E37" s="35"/>
      <c r="F37" s="35"/>
    </row>
    <row r="38" ht="15.6" spans="1:6">
      <c r="A38" s="53">
        <v>44494</v>
      </c>
      <c r="B38" s="235">
        <v>31.25</v>
      </c>
      <c r="C38" s="35"/>
      <c r="D38" s="35"/>
      <c r="E38" s="35">
        <v>0</v>
      </c>
      <c r="F38" s="35">
        <v>41182</v>
      </c>
    </row>
    <row r="39" ht="15.6" spans="1:6">
      <c r="A39" s="53">
        <v>44495</v>
      </c>
      <c r="B39" s="235">
        <v>23.28</v>
      </c>
      <c r="C39" s="35"/>
      <c r="D39" s="35"/>
      <c r="E39" s="35"/>
      <c r="F39" s="35"/>
    </row>
    <row r="40" ht="15.6" spans="1:6">
      <c r="A40" s="53">
        <v>44496</v>
      </c>
      <c r="B40" s="235">
        <v>38.88</v>
      </c>
      <c r="C40" s="104">
        <f>C33+D33+E33+F33</f>
        <v>93</v>
      </c>
      <c r="D40" s="259"/>
      <c r="E40" s="259"/>
      <c r="F40" s="105"/>
    </row>
    <row r="41" spans="1:2">
      <c r="A41" s="261" t="s">
        <v>60</v>
      </c>
      <c r="B41" s="158" t="s">
        <v>61</v>
      </c>
    </row>
    <row r="42" spans="2:2">
      <c r="B42" s="158" t="s">
        <v>62</v>
      </c>
    </row>
  </sheetData>
  <mergeCells count="17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H42"/>
  <sheetViews>
    <sheetView zoomScaleSheetLayoutView="90" workbookViewId="0">
      <selection activeCell="G46" sqref="G46"/>
    </sheetView>
  </sheetViews>
  <sheetFormatPr defaultColWidth="8.88888888888889" defaultRowHeight="13.8" outlineLevelCol="7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237" t="s">
        <v>22</v>
      </c>
      <c r="B1" s="238"/>
      <c r="C1" s="238"/>
      <c r="D1" s="238"/>
      <c r="E1" s="238"/>
      <c r="F1" s="238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44497</v>
      </c>
      <c r="B3" s="157" t="s">
        <v>7</v>
      </c>
      <c r="C3" s="157">
        <v>0</v>
      </c>
      <c r="D3" s="157">
        <f>ROUND(D11+F11,2)</f>
        <v>8.13</v>
      </c>
      <c r="E3" s="257">
        <f>ROUND(C5+D5,2)</f>
        <v>16.75</v>
      </c>
      <c r="F3" s="243" t="s">
        <v>63</v>
      </c>
    </row>
    <row r="4" ht="15" customHeight="1" spans="1:6">
      <c r="A4" s="157"/>
      <c r="B4" s="157" t="s">
        <v>9</v>
      </c>
      <c r="C4" s="157">
        <v>0</v>
      </c>
      <c r="D4" s="157">
        <f>ROUND(D12+F12,2)</f>
        <v>8.62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0</v>
      </c>
      <c r="D5" s="157">
        <f>SUM(D3:D4)</f>
        <v>16.75</v>
      </c>
      <c r="E5" s="257"/>
      <c r="F5" s="244"/>
      <c r="H5"/>
    </row>
    <row r="6" ht="37.95" customHeight="1" spans="1:8">
      <c r="A6" s="157"/>
      <c r="B6" s="239" t="s">
        <v>11</v>
      </c>
      <c r="C6" s="258">
        <v>5475.78</v>
      </c>
      <c r="D6" s="258">
        <f>814.926+0.978</f>
        <v>815.904</v>
      </c>
      <c r="E6" s="239">
        <f>ROUND(C6+D6,2)</f>
        <v>6291.68</v>
      </c>
      <c r="F6" s="244"/>
      <c r="H6"/>
    </row>
    <row r="7" ht="37.95" customHeight="1" spans="1:8">
      <c r="A7" s="157"/>
      <c r="B7" s="239" t="s">
        <v>12</v>
      </c>
      <c r="C7" s="258">
        <v>5475.78</v>
      </c>
      <c r="D7" s="258">
        <f>814.926+0.978</f>
        <v>815.904</v>
      </c>
      <c r="E7" s="239">
        <f>ROUND(C7+D7,2)</f>
        <v>6291.68</v>
      </c>
      <c r="F7" s="244"/>
      <c r="H7"/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44497</v>
      </c>
      <c r="B11" s="157" t="s">
        <v>7</v>
      </c>
      <c r="C11" s="247">
        <v>1</v>
      </c>
      <c r="D11" s="248">
        <v>8.129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1</v>
      </c>
      <c r="D12" s="248">
        <v>8.618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2</v>
      </c>
      <c r="D13" s="248">
        <f>ROUND(D11+D12,2)</f>
        <v>16.75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16.75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44488</v>
      </c>
      <c r="B31" s="235">
        <v>7.82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44489</v>
      </c>
      <c r="B32" s="235">
        <v>16.061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44490</v>
      </c>
      <c r="B33" s="235">
        <v>23.769</v>
      </c>
      <c r="C33" s="35">
        <v>50</v>
      </c>
      <c r="D33" s="35">
        <v>10</v>
      </c>
      <c r="E33" s="35">
        <v>35</v>
      </c>
      <c r="F33" s="35">
        <v>0</v>
      </c>
    </row>
    <row r="34" ht="15.6" spans="1:6">
      <c r="A34" s="53">
        <v>44491</v>
      </c>
      <c r="B34" s="235">
        <v>11.129</v>
      </c>
      <c r="C34" s="35">
        <v>28</v>
      </c>
      <c r="D34" s="35">
        <v>5</v>
      </c>
      <c r="E34" s="35">
        <v>17</v>
      </c>
      <c r="F34" s="35">
        <v>0</v>
      </c>
    </row>
    <row r="35" ht="15.6" spans="1:6">
      <c r="A35" s="53">
        <v>44492</v>
      </c>
      <c r="B35" s="235">
        <v>15.62</v>
      </c>
      <c r="C35" s="35"/>
      <c r="D35" s="35"/>
      <c r="E35" s="35"/>
      <c r="F35" s="35"/>
    </row>
    <row r="36" ht="15.6" spans="1:6">
      <c r="A36" s="53">
        <v>44493</v>
      </c>
      <c r="B36" s="235">
        <v>32.57</v>
      </c>
      <c r="C36" s="35"/>
      <c r="D36" s="35"/>
      <c r="E36" s="35"/>
      <c r="F36" s="35"/>
    </row>
    <row r="37" ht="15.6" spans="1:6">
      <c r="A37" s="53">
        <v>44494</v>
      </c>
      <c r="B37" s="235">
        <v>31.25</v>
      </c>
      <c r="C37" s="35"/>
      <c r="D37" s="35"/>
      <c r="E37" s="35"/>
      <c r="F37" s="35"/>
    </row>
    <row r="38" ht="15.6" spans="1:6">
      <c r="A38" s="53">
        <v>44495</v>
      </c>
      <c r="B38" s="235">
        <v>23.28</v>
      </c>
      <c r="C38" s="35"/>
      <c r="D38" s="35"/>
      <c r="E38" s="35">
        <v>0</v>
      </c>
      <c r="F38" s="35">
        <v>41182</v>
      </c>
    </row>
    <row r="39" ht="15.6" spans="1:6">
      <c r="A39" s="53">
        <v>44496</v>
      </c>
      <c r="B39" s="235">
        <v>38.88</v>
      </c>
      <c r="C39" s="35"/>
      <c r="D39" s="35"/>
      <c r="E39" s="35"/>
      <c r="F39" s="35"/>
    </row>
    <row r="40" ht="15.6" spans="1:6">
      <c r="A40" s="53">
        <v>44497</v>
      </c>
      <c r="B40" s="235">
        <v>15.77</v>
      </c>
      <c r="C40" s="104">
        <f>C33+D33+E33+F33</f>
        <v>95</v>
      </c>
      <c r="D40" s="259"/>
      <c r="E40" s="259"/>
      <c r="F40" s="105"/>
    </row>
    <row r="41" spans="1:6">
      <c r="A41" s="94" t="s">
        <v>60</v>
      </c>
      <c r="B41" s="94" t="s">
        <v>61</v>
      </c>
      <c r="C41" s="35">
        <v>1</v>
      </c>
      <c r="D41" s="35">
        <v>0</v>
      </c>
      <c r="E41" s="35">
        <v>1</v>
      </c>
      <c r="F41" s="35">
        <v>0</v>
      </c>
    </row>
    <row r="42" spans="1:6">
      <c r="A42" s="35"/>
      <c r="B42" s="94" t="s">
        <v>62</v>
      </c>
      <c r="C42" s="35">
        <v>3</v>
      </c>
      <c r="D42" s="35">
        <v>0</v>
      </c>
      <c r="E42" s="35">
        <v>6</v>
      </c>
      <c r="F42" s="35">
        <v>0</v>
      </c>
    </row>
  </sheetData>
  <mergeCells count="17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L43"/>
  <sheetViews>
    <sheetView zoomScaleSheetLayoutView="90" topLeftCell="A17" workbookViewId="0">
      <selection activeCell="I44" sqref="I4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37" t="s">
        <v>22</v>
      </c>
      <c r="B1" s="238"/>
      <c r="C1" s="238"/>
      <c r="D1" s="238"/>
      <c r="E1" s="238"/>
      <c r="F1" s="238"/>
      <c r="K1" s="2"/>
      <c r="L1" s="2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44498</v>
      </c>
      <c r="B3" s="157" t="s">
        <v>7</v>
      </c>
      <c r="C3" s="157">
        <v>0</v>
      </c>
      <c r="D3" s="157">
        <f>ROUND(D11+F11,2)</f>
        <v>7.8</v>
      </c>
      <c r="E3" s="257">
        <f>ROUND(C5+D5,2)</f>
        <v>15.62</v>
      </c>
      <c r="F3" s="243" t="s">
        <v>64</v>
      </c>
    </row>
    <row r="4" ht="15" customHeight="1" spans="1:6">
      <c r="A4" s="157"/>
      <c r="B4" s="157" t="s">
        <v>9</v>
      </c>
      <c r="C4" s="157">
        <v>0</v>
      </c>
      <c r="D4" s="157">
        <f>ROUND(D12+F12,2)</f>
        <v>7.82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0</v>
      </c>
      <c r="D5" s="157">
        <f>SUM(D3:D4)</f>
        <v>15.62</v>
      </c>
      <c r="E5" s="257"/>
      <c r="F5" s="244"/>
      <c r="H5"/>
    </row>
    <row r="6" ht="37.95" customHeight="1" spans="1:12">
      <c r="A6" s="157"/>
      <c r="B6" s="239" t="s">
        <v>11</v>
      </c>
      <c r="C6" s="258">
        <v>5475.78</v>
      </c>
      <c r="D6" s="258">
        <v>831.524</v>
      </c>
      <c r="E6" s="239">
        <f>ROUND(C6+D6,2)</f>
        <v>6307.3</v>
      </c>
      <c r="F6" s="244"/>
      <c r="H6"/>
      <c r="K6" s="4">
        <v>90284.4</v>
      </c>
      <c r="L6" s="4" t="str">
        <f>"ZCB1-19累计完成产值"&amp;E6&amp;"万元，占总产值90284.4万元的"&amp;K7&amp;"100章临建完成"&amp;C7&amp;"万元，400章桥梁完成"&amp;D7&amp;"万元。"</f>
        <v>ZCB1-19累计完成产值6307.3万元，占总产值90284.4万元的6.99100章临建完成5475.78万元，400章桥梁完成831.524万元。</v>
      </c>
    </row>
    <row r="7" ht="37.95" customHeight="1" spans="1:11">
      <c r="A7" s="157"/>
      <c r="B7" s="239" t="s">
        <v>12</v>
      </c>
      <c r="C7" s="258">
        <v>5475.78</v>
      </c>
      <c r="D7" s="258">
        <v>831.524</v>
      </c>
      <c r="E7" s="239">
        <f>ROUND(C7+D7,2)</f>
        <v>6307.3</v>
      </c>
      <c r="F7" s="244"/>
      <c r="H7"/>
      <c r="K7" s="4">
        <f>ROUND(E6/K6*100,2)</f>
        <v>6.99</v>
      </c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44498</v>
      </c>
      <c r="B11" s="157" t="s">
        <v>7</v>
      </c>
      <c r="C11" s="247">
        <v>1</v>
      </c>
      <c r="D11" s="248">
        <v>7.803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1</v>
      </c>
      <c r="D12" s="248">
        <v>7.82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2</v>
      </c>
      <c r="D13" s="248">
        <f>ROUND(D11+D12,2)</f>
        <v>15.62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15.62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44489</v>
      </c>
      <c r="B31" s="235">
        <v>16.061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44490</v>
      </c>
      <c r="B32" s="235">
        <v>23.769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44491</v>
      </c>
      <c r="B33" s="235">
        <v>11.129</v>
      </c>
      <c r="C33" s="35">
        <v>51</v>
      </c>
      <c r="D33" s="35">
        <v>10</v>
      </c>
      <c r="E33" s="35">
        <v>36</v>
      </c>
      <c r="F33" s="35">
        <v>0</v>
      </c>
    </row>
    <row r="34" ht="15.6" spans="1:6">
      <c r="A34" s="53">
        <v>44492</v>
      </c>
      <c r="B34" s="235">
        <v>15.62</v>
      </c>
      <c r="C34" s="35">
        <v>29</v>
      </c>
      <c r="D34" s="35">
        <v>5</v>
      </c>
      <c r="E34" s="35">
        <v>17</v>
      </c>
      <c r="F34" s="35">
        <v>0</v>
      </c>
    </row>
    <row r="35" ht="15.6" spans="1:6">
      <c r="A35" s="53">
        <v>44493</v>
      </c>
      <c r="B35" s="235">
        <v>32.57</v>
      </c>
      <c r="C35" s="35"/>
      <c r="D35" s="35"/>
      <c r="E35" s="35"/>
      <c r="F35" s="35"/>
    </row>
    <row r="36" ht="15.6" spans="1:6">
      <c r="A36" s="53">
        <v>44494</v>
      </c>
      <c r="B36" s="235">
        <v>31.25</v>
      </c>
      <c r="C36" s="35"/>
      <c r="D36" s="35"/>
      <c r="E36" s="35"/>
      <c r="F36" s="35"/>
    </row>
    <row r="37" ht="15.6" spans="1:6">
      <c r="A37" s="53">
        <v>44495</v>
      </c>
      <c r="B37" s="235">
        <v>23.28</v>
      </c>
      <c r="C37" s="35"/>
      <c r="D37" s="35"/>
      <c r="E37" s="35"/>
      <c r="F37" s="35"/>
    </row>
    <row r="38" ht="15.6" spans="1:6">
      <c r="A38" s="53">
        <v>44496</v>
      </c>
      <c r="B38" s="235">
        <v>38.88</v>
      </c>
      <c r="C38" s="35"/>
      <c r="D38" s="35"/>
      <c r="E38" s="35">
        <v>0</v>
      </c>
      <c r="F38" s="35">
        <v>41182</v>
      </c>
    </row>
    <row r="39" ht="15.6" spans="1:6">
      <c r="A39" s="53">
        <v>44497</v>
      </c>
      <c r="B39" s="235">
        <v>15.77</v>
      </c>
      <c r="C39" s="35"/>
      <c r="D39" s="35"/>
      <c r="E39" s="35"/>
      <c r="F39" s="35"/>
    </row>
    <row r="40" ht="15.6" spans="1:6">
      <c r="A40" s="53">
        <v>44498</v>
      </c>
      <c r="B40" s="235">
        <v>15.62</v>
      </c>
      <c r="C40" s="104">
        <f>C33+D33+E33+F33</f>
        <v>97</v>
      </c>
      <c r="D40" s="259"/>
      <c r="E40" s="259"/>
      <c r="F40" s="105"/>
    </row>
    <row r="41" spans="1:6">
      <c r="A41" s="94" t="s">
        <v>60</v>
      </c>
      <c r="B41" s="94" t="s">
        <v>61</v>
      </c>
      <c r="C41" s="35">
        <v>0</v>
      </c>
      <c r="D41" s="35">
        <v>0</v>
      </c>
      <c r="E41" s="35">
        <v>0</v>
      </c>
      <c r="F41" s="35">
        <v>0</v>
      </c>
    </row>
    <row r="42" spans="1:6">
      <c r="A42" s="35"/>
      <c r="B42" s="94" t="s">
        <v>62</v>
      </c>
      <c r="C42" s="35">
        <v>1</v>
      </c>
      <c r="D42" s="35">
        <v>0</v>
      </c>
      <c r="E42" s="35">
        <v>0</v>
      </c>
      <c r="F42" s="35">
        <v>0</v>
      </c>
    </row>
    <row r="43" spans="1:6">
      <c r="A43" s="260" t="str">
        <f>L6</f>
        <v>ZCB1-19累计完成产值6307.3万元，占总产值90284.4万元的6.99100章临建完成5475.78万元，400章桥梁完成831.524万元。</v>
      </c>
      <c r="B43" s="260"/>
      <c r="C43" s="260"/>
      <c r="D43" s="260"/>
      <c r="E43" s="260"/>
      <c r="F43" s="260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L43"/>
  <sheetViews>
    <sheetView zoomScaleSheetLayoutView="90" topLeftCell="A28" workbookViewId="0">
      <selection activeCell="F38" sqref="F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37" t="s">
        <v>22</v>
      </c>
      <c r="B1" s="238"/>
      <c r="C1" s="238"/>
      <c r="D1" s="238"/>
      <c r="E1" s="238"/>
      <c r="F1" s="238"/>
      <c r="K1" s="2"/>
      <c r="L1" s="2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44499</v>
      </c>
      <c r="B3" s="157" t="s">
        <v>7</v>
      </c>
      <c r="C3" s="157">
        <v>0</v>
      </c>
      <c r="D3" s="157">
        <f>ROUND(D11+F11,2)</f>
        <v>30.91</v>
      </c>
      <c r="E3" s="257">
        <f>ROUND(C5+D5,2)</f>
        <v>38.55</v>
      </c>
      <c r="F3" s="243" t="s">
        <v>65</v>
      </c>
    </row>
    <row r="4" ht="15" customHeight="1" spans="1:6">
      <c r="A4" s="157"/>
      <c r="B4" s="157" t="s">
        <v>9</v>
      </c>
      <c r="C4" s="157">
        <v>0</v>
      </c>
      <c r="D4" s="157">
        <f>ROUND(D12+F12,2)</f>
        <v>7.64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0</v>
      </c>
      <c r="D5" s="157">
        <f>SUM(D3:D4)</f>
        <v>38.55</v>
      </c>
      <c r="E5" s="257"/>
      <c r="F5" s="244"/>
      <c r="H5"/>
    </row>
    <row r="6" ht="37.95" customHeight="1" spans="1:12">
      <c r="A6" s="157"/>
      <c r="B6" s="239" t="s">
        <v>11</v>
      </c>
      <c r="C6" s="258">
        <v>5475.78</v>
      </c>
      <c r="D6" s="258">
        <v>870.074</v>
      </c>
      <c r="E6" s="239">
        <f>ROUND(C6+D6,2)</f>
        <v>6345.85</v>
      </c>
      <c r="F6" s="244"/>
      <c r="H6"/>
      <c r="K6" s="4">
        <v>90284.4</v>
      </c>
      <c r="L6" s="4" t="str">
        <f>"ZCB1-19累计完成产值"&amp;E6&amp;"万元，占总产值90284.4万元的"&amp;K7&amp;"，100章临建完成"&amp;C7&amp;"万元，400章桥梁完成"&amp;D7&amp;"万元。"</f>
        <v>ZCB1-19累计完成产值6345.85万元，占总产值90284.4万元的7.03%，100章临建完成5475.78万元，400章桥梁完成870.074万元。</v>
      </c>
    </row>
    <row r="7" ht="37.95" customHeight="1" spans="1:11">
      <c r="A7" s="157"/>
      <c r="B7" s="239" t="s">
        <v>12</v>
      </c>
      <c r="C7" s="258">
        <v>5475.78</v>
      </c>
      <c r="D7" s="258">
        <v>870.074</v>
      </c>
      <c r="E7" s="239">
        <f>ROUND(C7+D7,2)</f>
        <v>6345.85</v>
      </c>
      <c r="F7" s="244"/>
      <c r="H7"/>
      <c r="K7" s="4" t="str">
        <f>ROUND(E6/K6*100,2)&amp;"%"</f>
        <v>7.03%</v>
      </c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44499</v>
      </c>
      <c r="B11" s="157" t="s">
        <v>7</v>
      </c>
      <c r="C11" s="247">
        <v>2</v>
      </c>
      <c r="D11" s="248">
        <v>15.623</v>
      </c>
      <c r="E11" s="247">
        <v>1</v>
      </c>
      <c r="F11" s="248">
        <v>15.29</v>
      </c>
    </row>
    <row r="12" ht="15" customHeight="1" spans="1:6">
      <c r="A12" s="157"/>
      <c r="B12" s="157" t="s">
        <v>9</v>
      </c>
      <c r="C12" s="247">
        <v>1</v>
      </c>
      <c r="D12" s="248">
        <v>7.64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3</v>
      </c>
      <c r="D13" s="248">
        <f>ROUND(D11+D12,2)</f>
        <v>23.26</v>
      </c>
      <c r="E13" s="247">
        <f t="shared" ref="E13" si="0">E11+E12</f>
        <v>1</v>
      </c>
      <c r="F13" s="248">
        <f>ROUND(F11+F12,2)</f>
        <v>15.29</v>
      </c>
    </row>
    <row r="14" ht="30" customHeight="1" spans="1:6">
      <c r="A14" s="157"/>
      <c r="B14" s="239" t="s">
        <v>5</v>
      </c>
      <c r="C14" s="238">
        <f>D13+F13</f>
        <v>38.55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44490</v>
      </c>
      <c r="B31" s="235">
        <v>23.769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44491</v>
      </c>
      <c r="B32" s="235">
        <v>11.129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44492</v>
      </c>
      <c r="B33" s="235">
        <v>15.62</v>
      </c>
      <c r="C33" s="35">
        <v>53</v>
      </c>
      <c r="D33" s="35">
        <v>11</v>
      </c>
      <c r="E33" s="35">
        <v>37</v>
      </c>
      <c r="F33" s="35">
        <v>0</v>
      </c>
    </row>
    <row r="34" ht="15.6" spans="1:6">
      <c r="A34" s="53">
        <v>44493</v>
      </c>
      <c r="B34" s="235">
        <v>32.57</v>
      </c>
      <c r="C34" s="35">
        <v>30</v>
      </c>
      <c r="D34" s="35">
        <v>5</v>
      </c>
      <c r="E34" s="35">
        <v>17</v>
      </c>
      <c r="F34" s="35">
        <v>0</v>
      </c>
    </row>
    <row r="35" ht="15.6" spans="1:6">
      <c r="A35" s="53">
        <v>44494</v>
      </c>
      <c r="B35" s="235">
        <v>31.25</v>
      </c>
      <c r="C35" s="35"/>
      <c r="D35" s="35"/>
      <c r="E35" s="35"/>
      <c r="F35" s="35"/>
    </row>
    <row r="36" ht="15.6" spans="1:6">
      <c r="A36" s="53">
        <v>44495</v>
      </c>
      <c r="B36" s="235">
        <v>23.28</v>
      </c>
      <c r="C36" s="35"/>
      <c r="D36" s="35"/>
      <c r="E36" s="35"/>
      <c r="F36" s="35"/>
    </row>
    <row r="37" ht="15.6" spans="1:6">
      <c r="A37" s="53">
        <v>44496</v>
      </c>
      <c r="B37" s="235">
        <v>38.88</v>
      </c>
      <c r="C37" s="35"/>
      <c r="D37" s="35"/>
      <c r="E37" s="35"/>
      <c r="F37" s="35"/>
    </row>
    <row r="38" ht="15.6" spans="1:6">
      <c r="A38" s="53">
        <v>44497</v>
      </c>
      <c r="B38" s="235">
        <v>15.77</v>
      </c>
      <c r="C38" s="35"/>
      <c r="D38" s="35"/>
      <c r="E38" s="35">
        <v>0</v>
      </c>
      <c r="F38" s="35">
        <v>41182</v>
      </c>
    </row>
    <row r="39" ht="15.6" spans="1:6">
      <c r="A39" s="53">
        <v>44498</v>
      </c>
      <c r="B39" s="235">
        <v>15.62</v>
      </c>
      <c r="C39" s="35"/>
      <c r="D39" s="35"/>
      <c r="E39" s="35"/>
      <c r="F39" s="35"/>
    </row>
    <row r="40" ht="15.6" spans="1:6">
      <c r="A40" s="53">
        <v>44499</v>
      </c>
      <c r="B40" s="235">
        <v>38.55</v>
      </c>
      <c r="C40" s="104">
        <f>C33+D33+E33+F33</f>
        <v>101</v>
      </c>
      <c r="D40" s="259"/>
      <c r="E40" s="259"/>
      <c r="F40" s="105"/>
    </row>
    <row r="41" spans="1:6">
      <c r="A41" s="94" t="s">
        <v>60</v>
      </c>
      <c r="B41" s="94" t="s">
        <v>61</v>
      </c>
      <c r="C41" s="35">
        <f>C11</f>
        <v>2</v>
      </c>
      <c r="D41" s="35">
        <f>E11</f>
        <v>1</v>
      </c>
      <c r="E41" s="35">
        <f>C12</f>
        <v>1</v>
      </c>
      <c r="F41" s="35">
        <f>E12</f>
        <v>0</v>
      </c>
    </row>
    <row r="42" spans="1:6">
      <c r="A42" s="35"/>
      <c r="B42" s="94" t="s">
        <v>62</v>
      </c>
      <c r="C42" s="35">
        <v>1</v>
      </c>
      <c r="D42" s="35">
        <v>0</v>
      </c>
      <c r="E42" s="35">
        <v>0</v>
      </c>
      <c r="F42" s="35">
        <v>0</v>
      </c>
    </row>
    <row r="43" spans="1:6">
      <c r="A43" s="260" t="str">
        <f>L6</f>
        <v>ZCB1-19累计完成产值6345.85万元，占总产值90284.4万元的7.03%，100章临建完成5475.78万元，400章桥梁完成870.074万元。</v>
      </c>
      <c r="B43" s="260"/>
      <c r="C43" s="260"/>
      <c r="D43" s="260"/>
      <c r="E43" s="260"/>
      <c r="F43" s="260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L43"/>
  <sheetViews>
    <sheetView zoomScaleSheetLayoutView="90" topLeftCell="A7"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37" t="s">
        <v>22</v>
      </c>
      <c r="B1" s="238"/>
      <c r="C1" s="238"/>
      <c r="D1" s="238"/>
      <c r="E1" s="238"/>
      <c r="F1" s="238"/>
      <c r="K1" s="2"/>
      <c r="L1" s="2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44500</v>
      </c>
      <c r="B3" s="157" t="s">
        <v>7</v>
      </c>
      <c r="C3" s="157">
        <v>0</v>
      </c>
      <c r="D3" s="157">
        <f>ROUND(D11+F11,2)</f>
        <v>31.39</v>
      </c>
      <c r="E3" s="257">
        <f>ROUND(C5+D5,2)</f>
        <v>49.49</v>
      </c>
      <c r="F3" s="243" t="s">
        <v>66</v>
      </c>
    </row>
    <row r="4" ht="15" customHeight="1" spans="1:6">
      <c r="A4" s="157"/>
      <c r="B4" s="157" t="s">
        <v>9</v>
      </c>
      <c r="C4" s="157">
        <v>2</v>
      </c>
      <c r="D4" s="157">
        <f>ROUND(D12+F12,2)</f>
        <v>16.1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2</v>
      </c>
      <c r="D5" s="157">
        <f>SUM(D3:D4)</f>
        <v>47.49</v>
      </c>
      <c r="E5" s="257"/>
      <c r="F5" s="244"/>
      <c r="H5"/>
    </row>
    <row r="6" ht="49.95" customHeight="1" spans="1:11">
      <c r="A6" s="157"/>
      <c r="B6" s="239" t="s">
        <v>11</v>
      </c>
      <c r="C6" s="258">
        <v>5477.78</v>
      </c>
      <c r="D6" s="258">
        <v>917.564</v>
      </c>
      <c r="E6" s="239">
        <f>ROUND(C6+D6,2)</f>
        <v>6395.34</v>
      </c>
      <c r="F6" s="244"/>
      <c r="H6"/>
      <c r="K6" s="4">
        <v>90284.4</v>
      </c>
    </row>
    <row r="7" ht="49.95" customHeight="1" spans="1:11">
      <c r="A7" s="157"/>
      <c r="B7" s="239" t="s">
        <v>12</v>
      </c>
      <c r="C7" s="258">
        <v>5477.78</v>
      </c>
      <c r="D7" s="258">
        <v>917.564</v>
      </c>
      <c r="E7" s="239">
        <f>ROUND(C7+D7,2)</f>
        <v>6395.34</v>
      </c>
      <c r="F7" s="244"/>
      <c r="H7"/>
      <c r="K7" s="4" t="str">
        <f>ROUND(E6/K6*100,2)&amp;"%"</f>
        <v>7.08%</v>
      </c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44500</v>
      </c>
      <c r="B11" s="157" t="s">
        <v>7</v>
      </c>
      <c r="C11" s="247">
        <v>0</v>
      </c>
      <c r="D11" s="248">
        <v>0</v>
      </c>
      <c r="E11" s="247">
        <v>2</v>
      </c>
      <c r="F11" s="248">
        <v>31.385</v>
      </c>
    </row>
    <row r="12" ht="15" customHeight="1" spans="1:6">
      <c r="A12" s="157"/>
      <c r="B12" s="157" t="s">
        <v>9</v>
      </c>
      <c r="C12" s="247">
        <v>2</v>
      </c>
      <c r="D12" s="248">
        <f>15.28+0.815</f>
        <v>16.095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2</v>
      </c>
      <c r="D13" s="248">
        <f>ROUND(D11+D12,2)</f>
        <v>16.1</v>
      </c>
      <c r="E13" s="247">
        <f t="shared" ref="E13" si="0">E11+E12</f>
        <v>2</v>
      </c>
      <c r="F13" s="248">
        <f>ROUND(F11+F12,2)</f>
        <v>31.39</v>
      </c>
    </row>
    <row r="14" ht="30" customHeight="1" spans="1:6">
      <c r="A14" s="157"/>
      <c r="B14" s="239" t="s">
        <v>5</v>
      </c>
      <c r="C14" s="238">
        <f>D13+F13</f>
        <v>47.49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44491</v>
      </c>
      <c r="B31" s="235">
        <v>11.129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44492</v>
      </c>
      <c r="B32" s="235">
        <v>15.62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44493</v>
      </c>
      <c r="B33" s="235">
        <v>32.57</v>
      </c>
      <c r="C33" s="35">
        <v>53</v>
      </c>
      <c r="D33" s="35">
        <v>13</v>
      </c>
      <c r="E33" s="35">
        <v>39</v>
      </c>
      <c r="F33" s="35">
        <v>0</v>
      </c>
    </row>
    <row r="34" ht="15.6" spans="1:6">
      <c r="A34" s="53">
        <v>44494</v>
      </c>
      <c r="B34" s="235">
        <v>31.25</v>
      </c>
      <c r="C34" s="35">
        <v>30</v>
      </c>
      <c r="D34" s="35">
        <v>10</v>
      </c>
      <c r="E34" s="35">
        <v>22</v>
      </c>
      <c r="F34" s="35">
        <v>0</v>
      </c>
    </row>
    <row r="35" ht="15.6" spans="1:6">
      <c r="A35" s="53">
        <v>44495</v>
      </c>
      <c r="B35" s="235">
        <v>23.28</v>
      </c>
      <c r="C35" s="35"/>
      <c r="D35" s="35"/>
      <c r="E35" s="35"/>
      <c r="F35" s="35"/>
    </row>
    <row r="36" ht="15.6" spans="1:6">
      <c r="A36" s="53">
        <v>44496</v>
      </c>
      <c r="B36" s="235">
        <v>38.88</v>
      </c>
      <c r="C36" s="35"/>
      <c r="D36" s="35"/>
      <c r="E36" s="35"/>
      <c r="F36" s="35"/>
    </row>
    <row r="37" ht="15.6" spans="1:6">
      <c r="A37" s="53">
        <v>44497</v>
      </c>
      <c r="B37" s="235">
        <v>15.77</v>
      </c>
      <c r="C37" s="35"/>
      <c r="D37" s="35"/>
      <c r="E37" s="35"/>
      <c r="F37" s="35"/>
    </row>
    <row r="38" ht="15.6" spans="1:6">
      <c r="A38" s="53">
        <v>44498</v>
      </c>
      <c r="B38" s="235">
        <v>15.62</v>
      </c>
      <c r="C38" s="104" t="s">
        <v>67</v>
      </c>
      <c r="D38" s="105"/>
      <c r="E38" s="35">
        <v>500</v>
      </c>
      <c r="F38" s="35">
        <f>500+41182</f>
        <v>41682</v>
      </c>
    </row>
    <row r="39" ht="15.6" spans="1:6">
      <c r="A39" s="53">
        <v>44499</v>
      </c>
      <c r="B39" s="235">
        <v>38.55</v>
      </c>
      <c r="C39" s="35"/>
      <c r="D39" s="35"/>
      <c r="E39" s="35"/>
      <c r="F39" s="35"/>
    </row>
    <row r="40" ht="15.6" spans="1:6">
      <c r="A40" s="53">
        <v>44500</v>
      </c>
      <c r="B40" s="235">
        <v>48.67</v>
      </c>
      <c r="C40" s="48" t="s">
        <v>68</v>
      </c>
      <c r="D40" s="48">
        <f>C33+D33+E33+F33</f>
        <v>105</v>
      </c>
      <c r="E40" s="48" t="s">
        <v>69</v>
      </c>
      <c r="F40" s="48">
        <f>C34+D34+E34+F34</f>
        <v>62</v>
      </c>
    </row>
    <row r="41" spans="1:6">
      <c r="A41" s="79" t="s">
        <v>60</v>
      </c>
      <c r="B41" s="79" t="s">
        <v>61</v>
      </c>
      <c r="C41" s="79">
        <f>C11</f>
        <v>0</v>
      </c>
      <c r="D41" s="79">
        <f>E11</f>
        <v>2</v>
      </c>
      <c r="E41" s="79">
        <f>C12</f>
        <v>2</v>
      </c>
      <c r="F41" s="79">
        <f>E12</f>
        <v>0</v>
      </c>
    </row>
    <row r="42" spans="1:6">
      <c r="A42" s="79"/>
      <c r="B42" s="79" t="s">
        <v>62</v>
      </c>
      <c r="C42" s="79">
        <v>0</v>
      </c>
      <c r="D42" s="79">
        <v>5</v>
      </c>
      <c r="E42" s="79">
        <v>5</v>
      </c>
      <c r="F42" s="79">
        <v>0</v>
      </c>
    </row>
    <row r="43" spans="1:6">
      <c r="A43" s="255" t="str">
        <f>"ZCB1-19累计完成产值"&amp;E6&amp;"万元，占总产值90284.4万元的"&amp;K7&amp;"，100章临建完成"&amp;C7&amp;"万元，400章桥梁完成"&amp;D7&amp;"万元。"</f>
        <v>ZCB1-19累计完成产值6395.34万元，占总产值90284.4万元的7.08%，100章临建完成5477.78万元，400章桥梁完成917.564万元。</v>
      </c>
      <c r="B43" s="255"/>
      <c r="C43" s="255"/>
      <c r="D43" s="255"/>
      <c r="E43" s="255"/>
      <c r="F43" s="255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L46"/>
  <sheetViews>
    <sheetView zoomScaleSheetLayoutView="90" topLeftCell="A30" workbookViewId="0">
      <selection activeCell="D49" sqref="D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37" t="s">
        <v>22</v>
      </c>
      <c r="B1" s="238"/>
      <c r="C1" s="238"/>
      <c r="D1" s="238"/>
      <c r="E1" s="238"/>
      <c r="F1" s="238"/>
      <c r="K1" s="2"/>
      <c r="L1" s="2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44501</v>
      </c>
      <c r="B3" s="157" t="s">
        <v>7</v>
      </c>
      <c r="C3" s="157">
        <v>0</v>
      </c>
      <c r="D3" s="157">
        <f>ROUND(D11+F11,2)</f>
        <v>23.1</v>
      </c>
      <c r="E3" s="257">
        <f>ROUND(C5+D5,2)</f>
        <v>31.21</v>
      </c>
      <c r="F3" s="243" t="s">
        <v>70</v>
      </c>
    </row>
    <row r="4" ht="15" customHeight="1" spans="1:6">
      <c r="A4" s="157"/>
      <c r="B4" s="157" t="s">
        <v>9</v>
      </c>
      <c r="C4" s="157">
        <v>0</v>
      </c>
      <c r="D4" s="157">
        <f>ROUND(D12+F12,2)</f>
        <v>8.11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0</v>
      </c>
      <c r="D5" s="157">
        <f>SUM(D3:D4)</f>
        <v>31.21</v>
      </c>
      <c r="E5" s="257"/>
      <c r="F5" s="244"/>
      <c r="H5"/>
    </row>
    <row r="6" ht="49.95" customHeight="1" spans="1:11">
      <c r="A6" s="157"/>
      <c r="B6" s="239" t="s">
        <v>11</v>
      </c>
      <c r="C6" s="258">
        <v>5477.78</v>
      </c>
      <c r="D6" s="258">
        <v>948.774</v>
      </c>
      <c r="E6" s="239">
        <f>ROUND(C6+D6,2)</f>
        <v>6426.55</v>
      </c>
      <c r="F6" s="244"/>
      <c r="H6"/>
      <c r="K6" s="4">
        <v>90284.4</v>
      </c>
    </row>
    <row r="7" ht="49.95" customHeight="1" spans="1:11">
      <c r="A7" s="157"/>
      <c r="B7" s="239" t="s">
        <v>12</v>
      </c>
      <c r="C7" s="258">
        <v>5477.78</v>
      </c>
      <c r="D7" s="258">
        <v>948.774</v>
      </c>
      <c r="E7" s="239">
        <f>ROUND(C7+D7,2)</f>
        <v>6426.55</v>
      </c>
      <c r="F7" s="244"/>
      <c r="H7"/>
      <c r="K7" s="4" t="str">
        <f>ROUND(E6/K6*100,2)&amp;"%"</f>
        <v>7.12%</v>
      </c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44501</v>
      </c>
      <c r="B11" s="157" t="s">
        <v>7</v>
      </c>
      <c r="C11" s="247">
        <v>3</v>
      </c>
      <c r="D11" s="248">
        <v>23.1</v>
      </c>
      <c r="E11" s="247">
        <v>0</v>
      </c>
      <c r="F11" s="248">
        <v>0</v>
      </c>
    </row>
    <row r="12" ht="15" customHeight="1" spans="1:6">
      <c r="A12" s="157"/>
      <c r="B12" s="157" t="s">
        <v>9</v>
      </c>
      <c r="C12" s="247">
        <v>1</v>
      </c>
      <c r="D12" s="248">
        <f>8.146-0.036</f>
        <v>8.11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4</v>
      </c>
      <c r="D13" s="248">
        <f>ROUND(D11+D12,2)</f>
        <v>31.21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31.21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44492</v>
      </c>
      <c r="B31" s="235">
        <v>15.62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44493</v>
      </c>
      <c r="B32" s="235">
        <v>32.57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44494</v>
      </c>
      <c r="B33" s="235">
        <v>31.25</v>
      </c>
      <c r="C33" s="35">
        <v>56</v>
      </c>
      <c r="D33" s="35">
        <v>13</v>
      </c>
      <c r="E33" s="35">
        <v>40</v>
      </c>
      <c r="F33" s="35">
        <v>0</v>
      </c>
    </row>
    <row r="34" ht="15.6" spans="1:6">
      <c r="A34" s="53">
        <v>44495</v>
      </c>
      <c r="B34" s="235">
        <v>23.28</v>
      </c>
      <c r="C34" s="35">
        <v>30</v>
      </c>
      <c r="D34" s="35">
        <v>10</v>
      </c>
      <c r="E34" s="35">
        <v>24</v>
      </c>
      <c r="F34" s="35">
        <v>0</v>
      </c>
    </row>
    <row r="35" ht="15.6" spans="1:6">
      <c r="A35" s="53">
        <v>44496</v>
      </c>
      <c r="B35" s="235">
        <v>38.88</v>
      </c>
      <c r="C35" s="35"/>
      <c r="D35" s="35"/>
      <c r="E35" s="35"/>
      <c r="F35" s="35"/>
    </row>
    <row r="36" ht="15.6" spans="1:6">
      <c r="A36" s="53">
        <v>44497</v>
      </c>
      <c r="B36" s="235">
        <v>15.77</v>
      </c>
      <c r="C36" s="35"/>
      <c r="D36" s="35"/>
      <c r="E36" s="35"/>
      <c r="F36" s="35"/>
    </row>
    <row r="37" ht="15.6" spans="1:6">
      <c r="A37" s="53">
        <v>44498</v>
      </c>
      <c r="B37" s="235">
        <v>15.62</v>
      </c>
      <c r="C37" s="35"/>
      <c r="D37" s="35"/>
      <c r="E37" s="35"/>
      <c r="F37" s="35"/>
    </row>
    <row r="38" ht="15.6" spans="1:6">
      <c r="A38" s="53">
        <v>44499</v>
      </c>
      <c r="B38" s="235">
        <v>38.55</v>
      </c>
      <c r="C38" s="104" t="s">
        <v>67</v>
      </c>
      <c r="D38" s="105"/>
      <c r="E38" s="35">
        <v>0</v>
      </c>
      <c r="F38" s="35">
        <v>41682</v>
      </c>
    </row>
    <row r="39" ht="15.6" spans="1:6">
      <c r="A39" s="53">
        <v>44500</v>
      </c>
      <c r="B39" s="235">
        <v>48.67</v>
      </c>
      <c r="C39" s="35"/>
      <c r="D39" s="35"/>
      <c r="E39" s="35"/>
      <c r="F39" s="35"/>
    </row>
    <row r="40" ht="15.6" spans="1:6">
      <c r="A40" s="53">
        <v>44501</v>
      </c>
      <c r="B40" s="235">
        <v>31.25</v>
      </c>
      <c r="C40" s="48" t="s">
        <v>68</v>
      </c>
      <c r="D40" s="48">
        <f>C33+D33+E33+F33</f>
        <v>109</v>
      </c>
      <c r="E40" s="48" t="s">
        <v>69</v>
      </c>
      <c r="F40" s="48">
        <f>C34+D34+E34+F34</f>
        <v>64</v>
      </c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1</v>
      </c>
      <c r="F41" s="79">
        <f>E12</f>
        <v>0</v>
      </c>
    </row>
    <row r="42" spans="1:6">
      <c r="A42" s="79"/>
      <c r="B42" s="79" t="s">
        <v>62</v>
      </c>
      <c r="C42" s="79">
        <v>0</v>
      </c>
      <c r="D42" s="79">
        <v>0</v>
      </c>
      <c r="E42" s="79">
        <v>2</v>
      </c>
      <c r="F42" s="79">
        <v>0</v>
      </c>
    </row>
    <row r="43" spans="1:6">
      <c r="A43" s="255" t="str">
        <f>"ZCB1-19累计完成产值"&amp;E6&amp;"万元，占总产值90284.4万元的"&amp;K7&amp;"，100章临建完成"&amp;C7&amp;"万元，400章桥梁完成"&amp;D7&amp;"万元。"</f>
        <v>ZCB1-19累计完成产值6426.55万元，占总产值90284.4万元的7.12%，100章临建完成5477.78万元，400章桥梁完成948.774万元。</v>
      </c>
      <c r="B43" s="255"/>
      <c r="C43" s="255"/>
      <c r="D43" s="255"/>
      <c r="E43" s="255"/>
      <c r="F43" s="255"/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17"/>
  <sheetViews>
    <sheetView workbookViewId="0">
      <selection activeCell="F3" sqref="F3:F7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64" t="s">
        <v>3</v>
      </c>
      <c r="D2" s="264" t="s">
        <v>4</v>
      </c>
      <c r="E2" s="48" t="s">
        <v>5</v>
      </c>
      <c r="F2" s="48" t="s">
        <v>6</v>
      </c>
    </row>
    <row r="3" ht="15" customHeight="1" spans="1:6">
      <c r="A3" s="218">
        <v>44466</v>
      </c>
      <c r="B3" s="35" t="s">
        <v>7</v>
      </c>
      <c r="C3" s="35">
        <v>2</v>
      </c>
      <c r="D3" s="35">
        <v>0</v>
      </c>
      <c r="E3" s="35">
        <f>C5+D5</f>
        <v>2</v>
      </c>
      <c r="F3" s="270" t="s">
        <v>23</v>
      </c>
    </row>
    <row r="4" ht="15" customHeight="1" spans="1:6">
      <c r="A4" s="35"/>
      <c r="B4" s="35" t="s">
        <v>9</v>
      </c>
      <c r="C4" s="35">
        <v>0</v>
      </c>
      <c r="D4" s="35"/>
      <c r="E4" s="35"/>
      <c r="F4" s="271"/>
    </row>
    <row r="5" ht="15" customHeight="1" spans="1:6">
      <c r="A5" s="35"/>
      <c r="B5" s="48" t="s">
        <v>10</v>
      </c>
      <c r="C5" s="35">
        <f>SUM(C3:C4)</f>
        <v>2</v>
      </c>
      <c r="D5" s="35">
        <f>SUM(D3:D4)</f>
        <v>0</v>
      </c>
      <c r="E5" s="35"/>
      <c r="F5" s="271"/>
    </row>
    <row r="6" ht="15" customHeight="1" spans="1:6">
      <c r="A6" s="35"/>
      <c r="B6" s="48" t="s">
        <v>11</v>
      </c>
      <c r="C6" s="35">
        <f>E6-D6</f>
        <v>5443.78</v>
      </c>
      <c r="D6" s="35">
        <v>183.32</v>
      </c>
      <c r="E6" s="35">
        <f>5614.28+2+8.82+2</f>
        <v>5627.1</v>
      </c>
      <c r="F6" s="271"/>
    </row>
    <row r="7" ht="30.6" customHeight="1" spans="1:6">
      <c r="A7" s="35"/>
      <c r="B7" s="48" t="s">
        <v>12</v>
      </c>
      <c r="C7" s="35">
        <f>E7-D7</f>
        <v>5443.78</v>
      </c>
      <c r="D7" s="35">
        <v>183.32</v>
      </c>
      <c r="E7" s="35">
        <f>5614.28+2+8.82+2</f>
        <v>5627.1</v>
      </c>
      <c r="F7" s="271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69" t="s">
        <v>14</v>
      </c>
      <c r="D9" s="269"/>
      <c r="E9" s="269" t="s">
        <v>15</v>
      </c>
      <c r="F9" s="269"/>
    </row>
    <row r="10" spans="1:6">
      <c r="A10" s="48"/>
      <c r="B10" s="48"/>
      <c r="C10" s="269" t="s">
        <v>16</v>
      </c>
      <c r="D10" s="269" t="s">
        <v>17</v>
      </c>
      <c r="E10" s="269" t="s">
        <v>16</v>
      </c>
      <c r="F10" s="269" t="s">
        <v>17</v>
      </c>
    </row>
    <row r="11" spans="1:6">
      <c r="A11" s="272">
        <v>44466</v>
      </c>
      <c r="B11" s="35" t="s">
        <v>7</v>
      </c>
      <c r="C11" s="56"/>
      <c r="D11" s="224"/>
      <c r="E11" s="56"/>
      <c r="F11" s="224"/>
    </row>
    <row r="12" spans="1:6">
      <c r="A12" s="273"/>
      <c r="B12" s="35" t="s">
        <v>9</v>
      </c>
      <c r="C12" s="56"/>
      <c r="D12" s="224"/>
      <c r="E12" s="56"/>
      <c r="F12" s="224"/>
    </row>
    <row r="13" spans="1:6">
      <c r="A13" s="273"/>
      <c r="B13" s="35" t="s">
        <v>18</v>
      </c>
      <c r="C13" s="56">
        <f>C11+C12</f>
        <v>0</v>
      </c>
      <c r="D13" s="224">
        <f t="shared" ref="D13:F13" si="0">D11+D12</f>
        <v>0</v>
      </c>
      <c r="E13" s="56">
        <f t="shared" si="0"/>
        <v>0</v>
      </c>
      <c r="F13" s="224">
        <f t="shared" si="0"/>
        <v>0</v>
      </c>
    </row>
    <row r="14" spans="1:6">
      <c r="A14" s="274"/>
      <c r="B14" s="48" t="s">
        <v>5</v>
      </c>
      <c r="C14" s="145">
        <f>0</f>
        <v>0</v>
      </c>
      <c r="D14" s="275"/>
      <c r="E14" s="275"/>
      <c r="F14" s="146"/>
    </row>
    <row r="17" spans="2:2">
      <c r="B17" s="3" t="s">
        <v>20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L46"/>
  <sheetViews>
    <sheetView zoomScaleSheetLayoutView="90" topLeftCell="A10" workbookViewId="0">
      <selection activeCell="D49" sqref="D4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2" width="8.88888888888889" style="4"/>
    <col min="13" max="16384" width="8.88888888888889" style="3"/>
  </cols>
  <sheetData>
    <row r="1" s="1" customFormat="1" ht="40.05" customHeight="1" spans="1:12">
      <c r="A1" s="237" t="s">
        <v>22</v>
      </c>
      <c r="B1" s="238"/>
      <c r="C1" s="238"/>
      <c r="D1" s="238"/>
      <c r="E1" s="238"/>
      <c r="F1" s="238"/>
      <c r="K1" s="2"/>
      <c r="L1" s="2"/>
    </row>
    <row r="2" ht="15" customHeight="1" spans="1:6">
      <c r="A2" s="239" t="s">
        <v>1</v>
      </c>
      <c r="B2" s="239" t="s">
        <v>2</v>
      </c>
      <c r="C2" s="256" t="s">
        <v>3</v>
      </c>
      <c r="D2" s="256" t="s">
        <v>4</v>
      </c>
      <c r="E2" s="239" t="s">
        <v>5</v>
      </c>
      <c r="F2" s="239" t="s">
        <v>6</v>
      </c>
    </row>
    <row r="3" ht="15" customHeight="1" spans="1:6">
      <c r="A3" s="241">
        <v>44502</v>
      </c>
      <c r="B3" s="157" t="s">
        <v>7</v>
      </c>
      <c r="C3" s="157">
        <v>0</v>
      </c>
      <c r="D3" s="157">
        <f>ROUND(D11+F11,2)</f>
        <v>23.92</v>
      </c>
      <c r="E3" s="257">
        <f>ROUND(C5+D5,2)</f>
        <v>31.89</v>
      </c>
      <c r="F3" s="243" t="s">
        <v>71</v>
      </c>
    </row>
    <row r="4" ht="15" customHeight="1" spans="1:6">
      <c r="A4" s="157"/>
      <c r="B4" s="157" t="s">
        <v>9</v>
      </c>
      <c r="C4" s="157">
        <v>0</v>
      </c>
      <c r="D4" s="157">
        <f>ROUND(D12+F12,2)</f>
        <v>7.97</v>
      </c>
      <c r="E4" s="257"/>
      <c r="F4" s="244"/>
    </row>
    <row r="5" ht="15" customHeight="1" spans="1:8">
      <c r="A5" s="157"/>
      <c r="B5" s="239" t="s">
        <v>10</v>
      </c>
      <c r="C5" s="157">
        <f>SUM(C3:C4)</f>
        <v>0</v>
      </c>
      <c r="D5" s="157">
        <f>SUM(D3:D4)</f>
        <v>31.89</v>
      </c>
      <c r="E5" s="257"/>
      <c r="F5" s="244"/>
      <c r="H5"/>
    </row>
    <row r="6" ht="49.95" customHeight="1" spans="1:11">
      <c r="A6" s="157"/>
      <c r="B6" s="239" t="s">
        <v>11</v>
      </c>
      <c r="C6" s="258">
        <v>5477.78</v>
      </c>
      <c r="D6" s="258">
        <v>980.664</v>
      </c>
      <c r="E6" s="239">
        <f>ROUND(C6+D6,2)</f>
        <v>6458.44</v>
      </c>
      <c r="F6" s="244"/>
      <c r="H6"/>
      <c r="K6" s="4">
        <v>90284.4</v>
      </c>
    </row>
    <row r="7" ht="49.95" customHeight="1" spans="1:11">
      <c r="A7" s="157"/>
      <c r="B7" s="239" t="s">
        <v>12</v>
      </c>
      <c r="C7" s="258">
        <v>5477.78</v>
      </c>
      <c r="D7" s="258">
        <v>980.664</v>
      </c>
      <c r="E7" s="239">
        <f>ROUND(C7+D7,2)</f>
        <v>6458.44</v>
      </c>
      <c r="F7" s="244"/>
      <c r="H7"/>
      <c r="K7" s="4" t="str">
        <f>ROUND(E6/K6*100,2)&amp;"%"</f>
        <v>7.15%</v>
      </c>
    </row>
    <row r="8" ht="30" customHeight="1" spans="1:6">
      <c r="A8" s="238" t="s">
        <v>13</v>
      </c>
      <c r="B8" s="238"/>
      <c r="C8" s="238"/>
      <c r="D8" s="238"/>
      <c r="E8" s="238"/>
      <c r="F8" s="238"/>
    </row>
    <row r="9" ht="15" customHeight="1" spans="1:6">
      <c r="A9" s="239" t="s">
        <v>1</v>
      </c>
      <c r="B9" s="239" t="s">
        <v>2</v>
      </c>
      <c r="C9" s="253" t="s">
        <v>14</v>
      </c>
      <c r="D9" s="253"/>
      <c r="E9" s="253" t="s">
        <v>15</v>
      </c>
      <c r="F9" s="253"/>
    </row>
    <row r="10" ht="15" customHeight="1" spans="1:6">
      <c r="A10" s="239"/>
      <c r="B10" s="239"/>
      <c r="C10" s="253" t="s">
        <v>16</v>
      </c>
      <c r="D10" s="253" t="s">
        <v>17</v>
      </c>
      <c r="E10" s="253" t="s">
        <v>16</v>
      </c>
      <c r="F10" s="253" t="s">
        <v>17</v>
      </c>
    </row>
    <row r="11" ht="15" customHeight="1" spans="1:6">
      <c r="A11" s="241">
        <v>44502</v>
      </c>
      <c r="B11" s="157" t="s">
        <v>7</v>
      </c>
      <c r="C11" s="247">
        <v>1</v>
      </c>
      <c r="D11" s="248">
        <v>8.635</v>
      </c>
      <c r="E11" s="247">
        <v>1</v>
      </c>
      <c r="F11" s="248">
        <v>15.28</v>
      </c>
    </row>
    <row r="12" ht="15" customHeight="1" spans="1:6">
      <c r="A12" s="157"/>
      <c r="B12" s="157" t="s">
        <v>9</v>
      </c>
      <c r="C12" s="247">
        <v>1</v>
      </c>
      <c r="D12" s="248">
        <v>7.966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2</v>
      </c>
      <c r="D13" s="248">
        <f>ROUND(D11+D12,2)</f>
        <v>16.6</v>
      </c>
      <c r="E13" s="247">
        <f t="shared" ref="E13" si="0">E11+E12</f>
        <v>1</v>
      </c>
      <c r="F13" s="248">
        <f>ROUND(F11+F12,2)</f>
        <v>15.28</v>
      </c>
    </row>
    <row r="14" ht="30" customHeight="1" spans="1:6">
      <c r="A14" s="157"/>
      <c r="B14" s="239" t="s">
        <v>5</v>
      </c>
      <c r="C14" s="238">
        <f>D13+F13</f>
        <v>31.88</v>
      </c>
      <c r="D14" s="238"/>
      <c r="E14" s="238"/>
      <c r="F14" s="238"/>
    </row>
    <row r="16" spans="2:2">
      <c r="B16" s="3" t="s">
        <v>20</v>
      </c>
    </row>
    <row r="17" spans="3:8">
      <c r="C17"/>
      <c r="D17"/>
      <c r="E17"/>
      <c r="F17"/>
      <c r="G17"/>
      <c r="H17"/>
    </row>
    <row r="18" spans="3:8">
      <c r="C18"/>
      <c r="D18"/>
      <c r="E18"/>
      <c r="F18"/>
      <c r="G18"/>
      <c r="H18"/>
    </row>
    <row r="19" spans="3:8">
      <c r="C19"/>
      <c r="D19"/>
      <c r="E19"/>
      <c r="F19"/>
      <c r="G19"/>
      <c r="H19"/>
    </row>
    <row r="20" spans="3:8">
      <c r="C20"/>
      <c r="D20"/>
      <c r="E20"/>
      <c r="F20"/>
      <c r="G20"/>
      <c r="H20"/>
    </row>
    <row r="21" spans="3:8">
      <c r="C21"/>
      <c r="D21"/>
      <c r="E21"/>
      <c r="F21"/>
      <c r="G21"/>
      <c r="H21"/>
    </row>
    <row r="22" spans="3:8">
      <c r="C22"/>
      <c r="D22"/>
      <c r="E22"/>
      <c r="F22"/>
      <c r="G22"/>
      <c r="H22"/>
    </row>
    <row r="30" spans="1:6">
      <c r="A30" s="48" t="s">
        <v>30</v>
      </c>
      <c r="B30" s="48"/>
      <c r="C30" s="48" t="s">
        <v>59</v>
      </c>
      <c r="D30" s="35"/>
      <c r="E30" s="35"/>
      <c r="F30" s="35"/>
    </row>
    <row r="31" ht="15.6" spans="1:6">
      <c r="A31" s="53">
        <v>44493</v>
      </c>
      <c r="B31" s="235">
        <v>32.57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44494</v>
      </c>
      <c r="B32" s="235">
        <v>31.25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44495</v>
      </c>
      <c r="B33" s="235">
        <v>23.28</v>
      </c>
      <c r="C33" s="35">
        <v>57</v>
      </c>
      <c r="D33" s="35">
        <v>14</v>
      </c>
      <c r="E33" s="35">
        <v>41</v>
      </c>
      <c r="F33" s="35">
        <v>0</v>
      </c>
    </row>
    <row r="34" ht="15.6" spans="1:6">
      <c r="A34" s="53">
        <v>44496</v>
      </c>
      <c r="B34" s="235">
        <v>38.88</v>
      </c>
      <c r="C34" s="35">
        <v>35</v>
      </c>
      <c r="D34" s="35">
        <v>10</v>
      </c>
      <c r="E34" s="35">
        <v>26</v>
      </c>
      <c r="F34" s="35">
        <v>0</v>
      </c>
    </row>
    <row r="35" ht="15.6" spans="1:6">
      <c r="A35" s="53">
        <v>44497</v>
      </c>
      <c r="B35" s="235">
        <v>15.77</v>
      </c>
      <c r="C35" s="35"/>
      <c r="D35" s="35"/>
      <c r="E35" s="35"/>
      <c r="F35" s="35"/>
    </row>
    <row r="36" ht="15.6" spans="1:6">
      <c r="A36" s="53">
        <v>44498</v>
      </c>
      <c r="B36" s="235">
        <v>15.62</v>
      </c>
      <c r="C36" s="35"/>
      <c r="D36" s="35"/>
      <c r="E36" s="35"/>
      <c r="F36" s="35"/>
    </row>
    <row r="37" ht="15.6" spans="1:6">
      <c r="A37" s="53">
        <v>44499</v>
      </c>
      <c r="B37" s="235">
        <v>38.55</v>
      </c>
      <c r="C37" s="35"/>
      <c r="D37" s="35"/>
      <c r="E37" s="35"/>
      <c r="F37" s="35"/>
    </row>
    <row r="38" ht="15.6" spans="1:6">
      <c r="A38" s="53">
        <v>44500</v>
      </c>
      <c r="B38" s="235">
        <v>48.67</v>
      </c>
      <c r="C38" s="104" t="s">
        <v>67</v>
      </c>
      <c r="D38" s="105"/>
      <c r="E38" s="35">
        <v>0</v>
      </c>
      <c r="F38" s="35">
        <v>41682</v>
      </c>
    </row>
    <row r="39" ht="15.6" spans="1:6">
      <c r="A39" s="53">
        <v>44501</v>
      </c>
      <c r="B39" s="235">
        <v>31.25</v>
      </c>
      <c r="C39" s="35"/>
      <c r="D39" s="35"/>
      <c r="E39" s="35"/>
      <c r="F39" s="35"/>
    </row>
    <row r="40" ht="15.6" spans="1:6">
      <c r="A40" s="53">
        <v>44502</v>
      </c>
      <c r="B40" s="235">
        <v>31.89</v>
      </c>
      <c r="C40" s="48" t="s">
        <v>68</v>
      </c>
      <c r="D40" s="48">
        <f>C33+D33+E33+F33</f>
        <v>112</v>
      </c>
      <c r="E40" s="48" t="s">
        <v>69</v>
      </c>
      <c r="F40" s="48">
        <f>C34+D34+E34+F34</f>
        <v>71</v>
      </c>
    </row>
    <row r="41" spans="1:6">
      <c r="A41" s="79" t="s">
        <v>60</v>
      </c>
      <c r="B41" s="79" t="s">
        <v>61</v>
      </c>
      <c r="C41" s="79">
        <f>C11</f>
        <v>1</v>
      </c>
      <c r="D41" s="79">
        <f>E11</f>
        <v>1</v>
      </c>
      <c r="E41" s="79">
        <f>C12</f>
        <v>1</v>
      </c>
      <c r="F41" s="79">
        <f>E12</f>
        <v>0</v>
      </c>
    </row>
    <row r="42" spans="1:6">
      <c r="A42" s="79"/>
      <c r="B42" s="79" t="s">
        <v>62</v>
      </c>
      <c r="C42" s="79">
        <v>5</v>
      </c>
      <c r="D42" s="79">
        <v>0</v>
      </c>
      <c r="E42" s="79">
        <v>2</v>
      </c>
      <c r="F42" s="79">
        <v>0</v>
      </c>
    </row>
    <row r="43" spans="1:6">
      <c r="A43" s="255" t="str">
        <f>"ZCB1-19累计完成产值"&amp;E6&amp;"万元，占总产值90284.4万元的"&amp;K7&amp;"，100章临建完成"&amp;C7&amp;"万元，400章桥梁完成"&amp;D7&amp;"万元。"</f>
        <v>ZCB1-19累计完成产值6458.44万元，占总产值90284.4万元的7.15%，100章临建完成5477.78万元，400章桥梁完成980.664万元。</v>
      </c>
      <c r="B43" s="255"/>
      <c r="C43" s="255"/>
      <c r="D43" s="255"/>
      <c r="E43" s="255"/>
      <c r="F43" s="255"/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N46"/>
  <sheetViews>
    <sheetView view="pageBreakPreview" zoomScale="80" zoomScaleNormal="100" topLeftCell="A13" workbookViewId="0">
      <selection activeCell="K5" sqref="K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44503</v>
      </c>
      <c r="B3" s="35" t="s">
        <v>7</v>
      </c>
      <c r="C3" s="35">
        <v>0</v>
      </c>
      <c r="D3" s="35">
        <f>ROUND(D11+F11,2)</f>
        <v>30.73</v>
      </c>
      <c r="E3" s="219">
        <f>ROUND(C5+D5,2)</f>
        <v>38.55</v>
      </c>
      <c r="F3" s="220" t="s">
        <v>73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7.82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38.55</v>
      </c>
      <c r="E5" s="219"/>
      <c r="F5" s="221"/>
      <c r="I5"/>
      <c r="J5"/>
      <c r="K5" s="3"/>
      <c r="L5" s="3"/>
    </row>
    <row r="6" ht="40.05" customHeight="1" spans="1:12">
      <c r="A6" s="35"/>
      <c r="B6" s="48" t="s">
        <v>11</v>
      </c>
      <c r="C6" s="222">
        <v>5477.78</v>
      </c>
      <c r="D6" s="222">
        <v>1019.21</v>
      </c>
      <c r="E6" s="48">
        <f>ROUND(C6+D6,2)</f>
        <v>6496.99</v>
      </c>
      <c r="F6" s="221"/>
      <c r="I6"/>
      <c r="J6"/>
      <c r="K6" s="3"/>
      <c r="L6" s="3"/>
    </row>
    <row r="7" ht="40.05" customHeight="1" spans="1:12">
      <c r="A7" s="35"/>
      <c r="B7" s="48" t="s">
        <v>12</v>
      </c>
      <c r="C7" s="222">
        <v>5477.78</v>
      </c>
      <c r="D7" s="222">
        <v>1019.21</v>
      </c>
      <c r="E7" s="48">
        <f>ROUND(C7+D7,2)</f>
        <v>6496.99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44503</v>
      </c>
      <c r="B11" s="35" t="s">
        <v>7</v>
      </c>
      <c r="C11" s="56">
        <v>3</v>
      </c>
      <c r="D11" s="224">
        <f>23.1-7.654</f>
        <v>15.446</v>
      </c>
      <c r="E11" s="56">
        <v>1</v>
      </c>
      <c r="F11" s="224">
        <v>15.28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1</v>
      </c>
      <c r="D12" s="224">
        <v>7.82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4</v>
      </c>
      <c r="D13" s="224">
        <f>ROUND(D11+D12,2)</f>
        <v>23.27</v>
      </c>
      <c r="E13" s="56">
        <f t="shared" ref="E13" si="0">E11+E12</f>
        <v>1</v>
      </c>
      <c r="F13" s="224">
        <f>ROUND(F11+F12,2)</f>
        <v>15.28</v>
      </c>
    </row>
    <row r="14" ht="30" customHeight="1" spans="1:6">
      <c r="A14" s="35"/>
      <c r="B14" s="48" t="s">
        <v>5</v>
      </c>
      <c r="C14" s="40">
        <f>D13+F13</f>
        <v>38.55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4">
      <c r="A23" s="158" t="s">
        <v>74</v>
      </c>
      <c r="B23" s="3">
        <f>C33+D33</f>
        <v>74</v>
      </c>
      <c r="C23" s="158" t="s">
        <v>75</v>
      </c>
      <c r="D23" s="3">
        <f>C34+D34</f>
        <v>45</v>
      </c>
    </row>
    <row r="24" spans="1:4">
      <c r="A24" s="158" t="s">
        <v>76</v>
      </c>
      <c r="B24" s="3">
        <f>E33+F33</f>
        <v>42</v>
      </c>
      <c r="C24" s="158" t="s">
        <v>77</v>
      </c>
      <c r="D24" s="3">
        <f>E34+F34</f>
        <v>26</v>
      </c>
    </row>
    <row r="25" spans="1:4">
      <c r="A25" s="158" t="s">
        <v>78</v>
      </c>
      <c r="B25" s="3">
        <f>B26-B23-B24</f>
        <v>5664</v>
      </c>
      <c r="C25" s="158" t="s">
        <v>79</v>
      </c>
      <c r="D25" s="3">
        <f>D26-D23-D24</f>
        <v>5709</v>
      </c>
    </row>
    <row r="26" spans="1:4">
      <c r="A26" s="158" t="s">
        <v>80</v>
      </c>
      <c r="B26" s="3">
        <v>5780</v>
      </c>
      <c r="C26" s="158" t="s">
        <v>81</v>
      </c>
      <c r="D26" s="3">
        <v>5780</v>
      </c>
    </row>
    <row r="30" spans="1:14">
      <c r="A30" s="48" t="s">
        <v>30</v>
      </c>
      <c r="B30" s="48"/>
      <c r="C30" s="48" t="s">
        <v>59</v>
      </c>
      <c r="D30" s="35"/>
      <c r="E30" s="35"/>
      <c r="F30" s="35"/>
      <c r="N30" s="4"/>
    </row>
    <row r="31" ht="15.6" spans="1:14">
      <c r="A31" s="53">
        <v>44494</v>
      </c>
      <c r="B31" s="235">
        <v>31.25</v>
      </c>
      <c r="C31" s="231" t="s">
        <v>32</v>
      </c>
      <c r="D31" s="231"/>
      <c r="E31" s="231" t="s">
        <v>33</v>
      </c>
      <c r="F31" s="231"/>
      <c r="N31" s="4"/>
    </row>
    <row r="32" ht="15.6" spans="1:14">
      <c r="A32" s="53">
        <v>44495</v>
      </c>
      <c r="B32" s="235">
        <v>23.28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44496</v>
      </c>
      <c r="B33" s="235">
        <v>38.88</v>
      </c>
      <c r="C33" s="35">
        <v>59</v>
      </c>
      <c r="D33" s="35">
        <v>15</v>
      </c>
      <c r="E33" s="35">
        <v>42</v>
      </c>
      <c r="F33" s="35">
        <v>0</v>
      </c>
      <c r="N33" s="4"/>
    </row>
    <row r="34" ht="15.6" spans="1:14">
      <c r="A34" s="53">
        <v>44497</v>
      </c>
      <c r="B34" s="235">
        <v>15.77</v>
      </c>
      <c r="C34" s="35">
        <v>35</v>
      </c>
      <c r="D34" s="35">
        <v>10</v>
      </c>
      <c r="E34" s="35">
        <v>26</v>
      </c>
      <c r="F34" s="35">
        <v>0</v>
      </c>
      <c r="N34" s="4"/>
    </row>
    <row r="35" ht="15.6" spans="1:14">
      <c r="A35" s="53">
        <v>44498</v>
      </c>
      <c r="B35" s="235">
        <v>15.62</v>
      </c>
      <c r="C35" s="35"/>
      <c r="D35" s="35"/>
      <c r="E35" s="35"/>
      <c r="F35" s="35"/>
      <c r="N35" s="4"/>
    </row>
    <row r="36" ht="15.6" spans="1:14">
      <c r="A36" s="53">
        <v>44499</v>
      </c>
      <c r="B36" s="235">
        <v>38.55</v>
      </c>
      <c r="C36" s="35"/>
      <c r="D36" s="35"/>
      <c r="E36" s="35"/>
      <c r="F36" s="35"/>
      <c r="N36" s="4"/>
    </row>
    <row r="37" ht="15.6" spans="1:14">
      <c r="A37" s="53">
        <v>44500</v>
      </c>
      <c r="B37" s="235">
        <v>48.67</v>
      </c>
      <c r="C37" s="35"/>
      <c r="D37" s="35"/>
      <c r="E37" s="35"/>
      <c r="F37" s="35"/>
      <c r="N37" s="4"/>
    </row>
    <row r="38" ht="15.6" spans="1:14">
      <c r="A38" s="53">
        <v>44501</v>
      </c>
      <c r="B38" s="235">
        <v>31.25</v>
      </c>
      <c r="C38" s="104" t="s">
        <v>67</v>
      </c>
      <c r="D38" s="105"/>
      <c r="E38" s="35">
        <v>0</v>
      </c>
      <c r="F38" s="35">
        <v>41682</v>
      </c>
      <c r="N38" s="4"/>
    </row>
    <row r="39" ht="15.6" spans="1:14">
      <c r="A39" s="53">
        <v>44502</v>
      </c>
      <c r="B39" s="235">
        <v>31.89</v>
      </c>
      <c r="C39" s="35"/>
      <c r="D39" s="35"/>
      <c r="E39" s="35"/>
      <c r="F39" s="35"/>
      <c r="N39" s="4"/>
    </row>
    <row r="40" ht="15.6" spans="1:14">
      <c r="A40" s="53">
        <v>44503</v>
      </c>
      <c r="B40" s="235">
        <v>38.55</v>
      </c>
      <c r="C40" s="48" t="s">
        <v>68</v>
      </c>
      <c r="D40" s="48">
        <f>C33+D33+E33+F33</f>
        <v>116</v>
      </c>
      <c r="E40" s="48" t="s">
        <v>69</v>
      </c>
      <c r="F40" s="48">
        <f>C34+D34+E34+F34</f>
        <v>71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1</v>
      </c>
      <c r="E41" s="79">
        <f>C12</f>
        <v>1</v>
      </c>
      <c r="F41" s="79">
        <f>E12</f>
        <v>0</v>
      </c>
    </row>
    <row r="42" spans="1:6">
      <c r="A42" s="79"/>
      <c r="B42" s="79" t="s">
        <v>62</v>
      </c>
      <c r="C42" s="79">
        <v>5</v>
      </c>
      <c r="D42" s="79">
        <v>0</v>
      </c>
      <c r="E42" s="79">
        <v>2</v>
      </c>
      <c r="F42" s="79">
        <v>0</v>
      </c>
    </row>
    <row r="43" spans="1:6">
      <c r="A43" s="255" t="str">
        <f>"ZCB1-19累计完成产值"&amp;E6&amp;"万元，占总产值90284.4万元的"&amp;I5&amp;"，100章临建完成"&amp;C7&amp;"万元，400章桥梁完成"&amp;D7&amp;"万元。"</f>
        <v>ZCB1-19累计完成产值6496.99万元，占总产值90284.4万元的，100章临建完成5477.78万元，400章桥梁完成1019.21万元。</v>
      </c>
      <c r="B43" s="255"/>
      <c r="C43" s="255"/>
      <c r="D43" s="255"/>
      <c r="E43" s="255"/>
      <c r="F43" s="255"/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N46"/>
  <sheetViews>
    <sheetView view="pageBreakPreview" zoomScale="80" zoomScaleNormal="100" topLeftCell="A16" workbookViewId="0">
      <selection activeCell="G43" sqref="G4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37" t="s">
        <v>72</v>
      </c>
      <c r="B1" s="238"/>
      <c r="C1" s="238"/>
      <c r="D1" s="238"/>
      <c r="E1" s="238"/>
      <c r="F1" s="238"/>
      <c r="G1" s="3"/>
      <c r="H1" s="3"/>
      <c r="I1" s="4"/>
      <c r="J1" s="4"/>
      <c r="K1" s="3"/>
      <c r="L1" s="3"/>
    </row>
    <row r="2" ht="15" customHeight="1" spans="1:12">
      <c r="A2" s="239" t="s">
        <v>1</v>
      </c>
      <c r="B2" s="239" t="s">
        <v>2</v>
      </c>
      <c r="C2" s="240" t="s">
        <v>3</v>
      </c>
      <c r="D2" s="240" t="s">
        <v>4</v>
      </c>
      <c r="E2" s="239" t="s">
        <v>5</v>
      </c>
      <c r="F2" s="239" t="s">
        <v>6</v>
      </c>
      <c r="I2"/>
      <c r="J2"/>
      <c r="K2" s="3"/>
      <c r="L2" s="3"/>
    </row>
    <row r="3" ht="15" customHeight="1" spans="1:12">
      <c r="A3" s="241">
        <v>44504</v>
      </c>
      <c r="B3" s="157" t="s">
        <v>7</v>
      </c>
      <c r="C3" s="157">
        <v>0</v>
      </c>
      <c r="D3" s="157">
        <f>ROUND(D11+F11,2)</f>
        <v>16.56</v>
      </c>
      <c r="E3" s="242">
        <f>ROUND(C5+D5,2)</f>
        <v>39.66</v>
      </c>
      <c r="F3" s="243" t="s">
        <v>82</v>
      </c>
      <c r="I3"/>
      <c r="J3"/>
      <c r="K3" s="3"/>
      <c r="L3" s="3"/>
    </row>
    <row r="4" ht="15" customHeight="1" spans="1:12">
      <c r="A4" s="157"/>
      <c r="B4" s="157" t="s">
        <v>9</v>
      </c>
      <c r="C4" s="157">
        <v>0</v>
      </c>
      <c r="D4" s="157">
        <f>ROUND(D12+F12,2)</f>
        <v>23.1</v>
      </c>
      <c r="E4" s="242"/>
      <c r="F4" s="244"/>
      <c r="I4"/>
      <c r="J4"/>
      <c r="K4" s="3"/>
      <c r="L4" s="3"/>
    </row>
    <row r="5" ht="15" customHeight="1" spans="1:12">
      <c r="A5" s="157"/>
      <c r="B5" s="239" t="s">
        <v>10</v>
      </c>
      <c r="C5" s="157">
        <f>SUM(C3:C4)</f>
        <v>0</v>
      </c>
      <c r="D5" s="157">
        <f>SUM(D3:D4)</f>
        <v>39.66</v>
      </c>
      <c r="E5" s="242"/>
      <c r="F5" s="244"/>
      <c r="I5" t="str">
        <f>ROUND(E6/90284.4*100,2)&amp;"%"</f>
        <v>7.24%</v>
      </c>
      <c r="J5"/>
      <c r="K5" s="3"/>
      <c r="L5" s="3"/>
    </row>
    <row r="6" ht="40.05" customHeight="1" spans="1:12">
      <c r="A6" s="157"/>
      <c r="B6" s="239" t="s">
        <v>11</v>
      </c>
      <c r="C6" s="245">
        <v>5477.78</v>
      </c>
      <c r="D6" s="245">
        <v>1058.87</v>
      </c>
      <c r="E6" s="239">
        <f>ROUND(C6+D6,2)</f>
        <v>6536.65</v>
      </c>
      <c r="F6" s="244"/>
      <c r="I6"/>
      <c r="J6"/>
      <c r="K6" s="3"/>
      <c r="L6" s="3"/>
    </row>
    <row r="7" ht="40.05" customHeight="1" spans="1:12">
      <c r="A7" s="157"/>
      <c r="B7" s="239" t="s">
        <v>12</v>
      </c>
      <c r="C7" s="245">
        <v>5477.78</v>
      </c>
      <c r="D7" s="245">
        <v>1058.87</v>
      </c>
      <c r="E7" s="239">
        <f>ROUND(C7+D7,2)</f>
        <v>6536.65</v>
      </c>
      <c r="F7" s="244"/>
      <c r="I7"/>
      <c r="J7"/>
      <c r="K7" s="3"/>
      <c r="L7" s="3"/>
    </row>
    <row r="8" ht="30" customHeight="1" spans="1:12">
      <c r="A8" s="238" t="s">
        <v>13</v>
      </c>
      <c r="B8" s="238"/>
      <c r="C8" s="238"/>
      <c r="D8" s="238"/>
      <c r="E8" s="238"/>
      <c r="F8" s="238"/>
      <c r="I8"/>
      <c r="J8"/>
      <c r="K8" s="3"/>
      <c r="L8" s="3"/>
    </row>
    <row r="9" ht="15" customHeight="1" spans="1:11">
      <c r="A9" s="239" t="s">
        <v>1</v>
      </c>
      <c r="B9" s="239" t="s">
        <v>2</v>
      </c>
      <c r="C9" s="246" t="s">
        <v>14</v>
      </c>
      <c r="D9" s="246"/>
      <c r="E9" s="246" t="s">
        <v>15</v>
      </c>
      <c r="F9" s="246"/>
      <c r="I9" s="4"/>
      <c r="J9" s="4"/>
      <c r="K9" s="3"/>
    </row>
    <row r="10" ht="15" customHeight="1" spans="1:11">
      <c r="A10" s="239"/>
      <c r="B10" s="239"/>
      <c r="C10" s="246" t="s">
        <v>16</v>
      </c>
      <c r="D10" s="246" t="s">
        <v>17</v>
      </c>
      <c r="E10" s="246" t="s">
        <v>16</v>
      </c>
      <c r="F10" s="246" t="s">
        <v>17</v>
      </c>
      <c r="I10" s="4"/>
      <c r="J10" s="4"/>
      <c r="K10" s="3"/>
    </row>
    <row r="11" ht="15" customHeight="1" spans="1:12">
      <c r="A11" s="241">
        <v>44504</v>
      </c>
      <c r="B11" s="157" t="s">
        <v>7</v>
      </c>
      <c r="C11" s="247">
        <v>2</v>
      </c>
      <c r="D11" s="248">
        <v>16.555</v>
      </c>
      <c r="E11" s="247">
        <v>0</v>
      </c>
      <c r="F11" s="248">
        <v>0</v>
      </c>
      <c r="I11" s="4"/>
      <c r="J11" s="4"/>
      <c r="K11" s="3"/>
      <c r="L11" s="3"/>
    </row>
    <row r="12" ht="15" customHeight="1" spans="1:6">
      <c r="A12" s="157"/>
      <c r="B12" s="157" t="s">
        <v>9</v>
      </c>
      <c r="C12" s="247">
        <v>3</v>
      </c>
      <c r="D12" s="248">
        <v>23.1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5</v>
      </c>
      <c r="D13" s="248">
        <f>ROUND(D11+D12,2)</f>
        <v>39.66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39.66</v>
      </c>
      <c r="D14" s="238"/>
      <c r="E14" s="238"/>
      <c r="F14" s="238"/>
    </row>
    <row r="15" spans="1:6">
      <c r="A15" s="157"/>
      <c r="B15" s="157"/>
      <c r="C15" s="157"/>
      <c r="D15" s="157"/>
      <c r="E15" s="157"/>
      <c r="F15" s="157"/>
    </row>
    <row r="16" spans="1:6">
      <c r="A16" s="157"/>
      <c r="B16" s="157" t="s">
        <v>20</v>
      </c>
      <c r="C16" s="157"/>
      <c r="D16" s="157"/>
      <c r="E16" s="157"/>
      <c r="F16" s="157"/>
    </row>
    <row r="17" spans="1:8">
      <c r="A17" s="157"/>
      <c r="B17" s="157"/>
      <c r="C17" s="249"/>
      <c r="D17" s="249"/>
      <c r="E17" s="249"/>
      <c r="F17" s="249"/>
      <c r="G17"/>
      <c r="H17"/>
    </row>
    <row r="18" spans="1:8">
      <c r="A18" s="157"/>
      <c r="B18" s="157"/>
      <c r="C18" s="249"/>
      <c r="D18" s="249"/>
      <c r="E18" s="249"/>
      <c r="F18" s="249"/>
      <c r="G18"/>
      <c r="H18"/>
    </row>
    <row r="19" spans="1:8">
      <c r="A19" s="157"/>
      <c r="B19" s="157"/>
      <c r="C19" s="249"/>
      <c r="D19" s="249"/>
      <c r="E19" s="249"/>
      <c r="F19" s="249"/>
      <c r="G19"/>
      <c r="H19"/>
    </row>
    <row r="20" spans="1:8">
      <c r="A20" s="157"/>
      <c r="B20" s="157"/>
      <c r="C20" s="249"/>
      <c r="D20" s="249"/>
      <c r="E20" s="249"/>
      <c r="F20" s="249"/>
      <c r="G20"/>
      <c r="H20"/>
    </row>
    <row r="21" spans="1:8">
      <c r="A21" s="157"/>
      <c r="B21" s="157"/>
      <c r="C21" s="249"/>
      <c r="D21" s="249"/>
      <c r="E21" s="249"/>
      <c r="F21" s="249"/>
      <c r="G21"/>
      <c r="H21"/>
    </row>
    <row r="22" spans="1:8">
      <c r="A22" s="157"/>
      <c r="B22" s="157"/>
      <c r="C22" s="249"/>
      <c r="D22" s="249"/>
      <c r="E22" s="249"/>
      <c r="F22" s="249"/>
      <c r="G22"/>
      <c r="H22"/>
    </row>
    <row r="23" spans="1:6">
      <c r="A23" s="250" t="s">
        <v>74</v>
      </c>
      <c r="B23" s="157">
        <f>C33+D33</f>
        <v>76</v>
      </c>
      <c r="C23" s="250" t="s">
        <v>75</v>
      </c>
      <c r="D23" s="157">
        <f>C34+D34</f>
        <v>50</v>
      </c>
      <c r="E23" s="157"/>
      <c r="F23" s="157"/>
    </row>
    <row r="24" spans="1:6">
      <c r="A24" s="250" t="s">
        <v>76</v>
      </c>
      <c r="B24" s="157">
        <f>E33+F33</f>
        <v>45</v>
      </c>
      <c r="C24" s="250" t="s">
        <v>77</v>
      </c>
      <c r="D24" s="157">
        <f>E34+F34</f>
        <v>26</v>
      </c>
      <c r="E24" s="157"/>
      <c r="F24" s="157"/>
    </row>
    <row r="25" spans="1:6">
      <c r="A25" s="250" t="s">
        <v>78</v>
      </c>
      <c r="B25" s="157">
        <f>B26-B23-B24</f>
        <v>5659</v>
      </c>
      <c r="C25" s="250" t="s">
        <v>79</v>
      </c>
      <c r="D25" s="157">
        <f>D26-D23-D24</f>
        <v>5704</v>
      </c>
      <c r="E25" s="157"/>
      <c r="F25" s="157"/>
    </row>
    <row r="26" spans="1:6">
      <c r="A26" s="250" t="s">
        <v>80</v>
      </c>
      <c r="B26" s="157">
        <v>5780</v>
      </c>
      <c r="C26" s="250" t="s">
        <v>81</v>
      </c>
      <c r="D26" s="157">
        <v>5780</v>
      </c>
      <c r="E26" s="157"/>
      <c r="F26" s="157"/>
    </row>
    <row r="27" spans="1:6">
      <c r="A27" s="157"/>
      <c r="B27" s="157"/>
      <c r="C27" s="157"/>
      <c r="D27" s="157"/>
      <c r="E27" s="157"/>
      <c r="F27" s="157"/>
    </row>
    <row r="28" spans="1:6">
      <c r="A28" s="157"/>
      <c r="B28" s="157"/>
      <c r="C28" s="157"/>
      <c r="D28" s="157"/>
      <c r="E28" s="157"/>
      <c r="F28" s="157"/>
    </row>
    <row r="29" spans="1:6">
      <c r="A29" s="157"/>
      <c r="B29" s="157"/>
      <c r="C29" s="157"/>
      <c r="D29" s="157"/>
      <c r="E29" s="157"/>
      <c r="F29" s="157"/>
    </row>
    <row r="30" ht="19.95" customHeight="1" spans="1:14">
      <c r="A30" s="239" t="s">
        <v>30</v>
      </c>
      <c r="B30" s="239"/>
      <c r="C30" s="239" t="s">
        <v>59</v>
      </c>
      <c r="D30" s="157"/>
      <c r="E30" s="157"/>
      <c r="F30" s="157"/>
      <c r="N30" s="4"/>
    </row>
    <row r="31" ht="15.6" spans="1:14">
      <c r="A31" s="251">
        <v>44495</v>
      </c>
      <c r="B31" s="252">
        <v>23.28</v>
      </c>
      <c r="C31" s="253" t="s">
        <v>32</v>
      </c>
      <c r="D31" s="253"/>
      <c r="E31" s="253" t="s">
        <v>33</v>
      </c>
      <c r="F31" s="253"/>
      <c r="N31" s="4"/>
    </row>
    <row r="32" ht="15.6" spans="1:14">
      <c r="A32" s="251">
        <v>44496</v>
      </c>
      <c r="B32" s="252">
        <v>38.88</v>
      </c>
      <c r="C32" s="238" t="s">
        <v>14</v>
      </c>
      <c r="D32" s="238" t="s">
        <v>15</v>
      </c>
      <c r="E32" s="238" t="s">
        <v>14</v>
      </c>
      <c r="F32" s="238" t="s">
        <v>15</v>
      </c>
      <c r="N32" s="4"/>
    </row>
    <row r="33" ht="15.6" spans="1:14">
      <c r="A33" s="251">
        <v>44497</v>
      </c>
      <c r="B33" s="252">
        <v>15.77</v>
      </c>
      <c r="C33" s="157">
        <v>61</v>
      </c>
      <c r="D33" s="157">
        <v>15</v>
      </c>
      <c r="E33" s="157">
        <v>45</v>
      </c>
      <c r="F33" s="157">
        <v>0</v>
      </c>
      <c r="N33" s="4"/>
    </row>
    <row r="34" ht="15.6" spans="1:14">
      <c r="A34" s="251">
        <v>44498</v>
      </c>
      <c r="B34" s="252">
        <v>15.62</v>
      </c>
      <c r="C34" s="157">
        <v>40</v>
      </c>
      <c r="D34" s="157">
        <v>10</v>
      </c>
      <c r="E34" s="157">
        <v>26</v>
      </c>
      <c r="F34" s="157">
        <v>0</v>
      </c>
      <c r="N34" s="4"/>
    </row>
    <row r="35" ht="15.6" spans="1:14">
      <c r="A35" s="251">
        <v>44499</v>
      </c>
      <c r="B35" s="252">
        <v>38.55</v>
      </c>
      <c r="C35" s="157"/>
      <c r="D35" s="157"/>
      <c r="E35" s="157"/>
      <c r="F35" s="157"/>
      <c r="N35" s="4"/>
    </row>
    <row r="36" ht="15.6" spans="1:14">
      <c r="A36" s="251">
        <v>44500</v>
      </c>
      <c r="B36" s="252">
        <v>48.67</v>
      </c>
      <c r="C36" s="157"/>
      <c r="D36" s="157"/>
      <c r="E36" s="157"/>
      <c r="F36" s="157"/>
      <c r="N36" s="4"/>
    </row>
    <row r="37" ht="15.6" spans="1:14">
      <c r="A37" s="251">
        <v>44501</v>
      </c>
      <c r="B37" s="252">
        <v>31.25</v>
      </c>
      <c r="C37" s="157"/>
      <c r="D37" s="157"/>
      <c r="E37" s="157"/>
      <c r="F37" s="157"/>
      <c r="N37" s="4"/>
    </row>
    <row r="38" ht="15.6" spans="1:14">
      <c r="A38" s="251">
        <v>44502</v>
      </c>
      <c r="B38" s="252">
        <v>31.89</v>
      </c>
      <c r="C38" s="239" t="s">
        <v>67</v>
      </c>
      <c r="D38" s="239"/>
      <c r="E38" s="157">
        <v>0</v>
      </c>
      <c r="F38" s="157">
        <v>41682</v>
      </c>
      <c r="N38" s="4"/>
    </row>
    <row r="39" ht="15.6" spans="1:14">
      <c r="A39" s="251">
        <v>44503</v>
      </c>
      <c r="B39" s="252">
        <v>38.55</v>
      </c>
      <c r="C39" s="157"/>
      <c r="D39" s="157"/>
      <c r="E39" s="157"/>
      <c r="F39" s="157"/>
      <c r="N39" s="4"/>
    </row>
    <row r="40" ht="15.6" spans="1:14">
      <c r="A40" s="251">
        <v>44504</v>
      </c>
      <c r="B40" s="252">
        <v>39.66</v>
      </c>
      <c r="C40" s="239" t="s">
        <v>68</v>
      </c>
      <c r="D40" s="239">
        <f>C33+D33+E33+F33</f>
        <v>121</v>
      </c>
      <c r="E40" s="239" t="s">
        <v>69</v>
      </c>
      <c r="F40" s="239">
        <f>C34+D34+E34+F34</f>
        <v>76</v>
      </c>
      <c r="N40" s="4"/>
    </row>
    <row r="41" spans="1:6">
      <c r="A41" s="76" t="s">
        <v>60</v>
      </c>
      <c r="B41" s="76" t="s">
        <v>61</v>
      </c>
      <c r="C41" s="76">
        <f>C11</f>
        <v>2</v>
      </c>
      <c r="D41" s="76">
        <f>E11</f>
        <v>0</v>
      </c>
      <c r="E41" s="76">
        <f>C12</f>
        <v>3</v>
      </c>
      <c r="F41" s="76">
        <f>E12</f>
        <v>0</v>
      </c>
    </row>
    <row r="42" spans="1:6">
      <c r="A42" s="76"/>
      <c r="B42" s="76" t="s">
        <v>62</v>
      </c>
      <c r="C42" s="76">
        <v>5</v>
      </c>
      <c r="D42" s="76">
        <v>0</v>
      </c>
      <c r="E42" s="76">
        <v>0</v>
      </c>
      <c r="F42" s="76">
        <v>0</v>
      </c>
    </row>
    <row r="43" ht="19.95" customHeight="1" spans="1:6">
      <c r="A43" s="254" t="str">
        <f>"ZCB1-19累计完成产值"&amp;E6&amp;"万元，占总产值90284.4万元的"&amp;I5&amp;"，
100章临建完成"&amp;C7&amp;"万元，400章桥梁完成"&amp;D7&amp;"万元。"</f>
        <v>ZCB1-19累计完成产值6536.65万元，占总产值90284.4万元的7.24%，
100章临建完成5477.78万元，400章桥梁完成1058.87万元。</v>
      </c>
      <c r="B43" s="254"/>
      <c r="C43" s="254"/>
      <c r="D43" s="254"/>
      <c r="E43" s="254"/>
      <c r="F43" s="254"/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3"/>
  <dimension ref="A1:N46"/>
  <sheetViews>
    <sheetView view="pageBreakPreview" zoomScale="80" zoomScaleNormal="100" workbookViewId="0">
      <selection activeCell="A1" sqref="A1:F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37" t="s">
        <v>72</v>
      </c>
      <c r="B1" s="238"/>
      <c r="C1" s="238"/>
      <c r="D1" s="238"/>
      <c r="E1" s="238"/>
      <c r="F1" s="238"/>
      <c r="G1" s="3"/>
      <c r="H1" s="3"/>
      <c r="I1" s="4"/>
      <c r="J1" s="4"/>
      <c r="K1" s="3"/>
      <c r="L1" s="3"/>
    </row>
    <row r="2" ht="15" customHeight="1" spans="1:12">
      <c r="A2" s="239" t="s">
        <v>1</v>
      </c>
      <c r="B2" s="239" t="s">
        <v>2</v>
      </c>
      <c r="C2" s="240" t="s">
        <v>3</v>
      </c>
      <c r="D2" s="240" t="s">
        <v>4</v>
      </c>
      <c r="E2" s="239" t="s">
        <v>5</v>
      </c>
      <c r="F2" s="239" t="s">
        <v>6</v>
      </c>
      <c r="I2"/>
      <c r="J2"/>
      <c r="K2" s="3"/>
      <c r="L2" s="3"/>
    </row>
    <row r="3" ht="15" customHeight="1" spans="1:12">
      <c r="A3" s="241">
        <v>44505</v>
      </c>
      <c r="B3" s="157" t="s">
        <v>7</v>
      </c>
      <c r="C3" s="157">
        <v>0</v>
      </c>
      <c r="D3" s="157">
        <f>ROUND(D11+F11,2)</f>
        <v>38.87</v>
      </c>
      <c r="E3" s="242">
        <f>ROUND(C5+D5,2)</f>
        <v>71.07</v>
      </c>
      <c r="F3" s="243" t="s">
        <v>83</v>
      </c>
      <c r="I3"/>
      <c r="J3"/>
      <c r="K3" s="3"/>
      <c r="L3" s="3"/>
    </row>
    <row r="4" ht="15" customHeight="1" spans="1:12">
      <c r="A4" s="157"/>
      <c r="B4" s="157" t="s">
        <v>9</v>
      </c>
      <c r="C4" s="157">
        <v>0</v>
      </c>
      <c r="D4" s="157">
        <f>ROUND(D12+F12,2)</f>
        <v>32.2</v>
      </c>
      <c r="E4" s="242"/>
      <c r="F4" s="244"/>
      <c r="I4"/>
      <c r="J4"/>
      <c r="K4" s="3"/>
      <c r="L4" s="3"/>
    </row>
    <row r="5" ht="15" customHeight="1" spans="1:12">
      <c r="A5" s="157"/>
      <c r="B5" s="239" t="s">
        <v>10</v>
      </c>
      <c r="C5" s="157">
        <f>SUM(C3:C4)</f>
        <v>0</v>
      </c>
      <c r="D5" s="157">
        <f>SUM(D3:D4)</f>
        <v>71.07</v>
      </c>
      <c r="E5" s="242"/>
      <c r="F5" s="244"/>
      <c r="I5" t="str">
        <f>ROUND(E6/90284.4*100,2)&amp;"%"</f>
        <v>7.32%</v>
      </c>
      <c r="J5"/>
      <c r="K5" s="3"/>
      <c r="L5" s="3"/>
    </row>
    <row r="6" ht="60" customHeight="1" spans="1:12">
      <c r="A6" s="157"/>
      <c r="B6" s="239" t="s">
        <v>11</v>
      </c>
      <c r="C6" s="245">
        <v>5477.78</v>
      </c>
      <c r="D6" s="245">
        <v>1129.94</v>
      </c>
      <c r="E6" s="239">
        <f>ROUND(C6+D6,2)</f>
        <v>6607.72</v>
      </c>
      <c r="F6" s="244"/>
      <c r="I6"/>
      <c r="J6"/>
      <c r="K6" s="3"/>
      <c r="L6" s="3"/>
    </row>
    <row r="7" ht="60" customHeight="1" spans="1:12">
      <c r="A7" s="157"/>
      <c r="B7" s="239" t="s">
        <v>12</v>
      </c>
      <c r="C7" s="245">
        <v>5477.78</v>
      </c>
      <c r="D7" s="245">
        <v>1129.94</v>
      </c>
      <c r="E7" s="239">
        <f>ROUND(C7+D7,2)</f>
        <v>6607.72</v>
      </c>
      <c r="F7" s="244"/>
      <c r="I7"/>
      <c r="J7"/>
      <c r="K7" s="3"/>
      <c r="L7" s="3"/>
    </row>
    <row r="8" ht="30" customHeight="1" spans="1:12">
      <c r="A8" s="238" t="s">
        <v>13</v>
      </c>
      <c r="B8" s="238"/>
      <c r="C8" s="238"/>
      <c r="D8" s="238"/>
      <c r="E8" s="238"/>
      <c r="F8" s="238"/>
      <c r="I8"/>
      <c r="J8"/>
      <c r="K8" s="3"/>
      <c r="L8" s="3"/>
    </row>
    <row r="9" ht="15" customHeight="1" spans="1:11">
      <c r="A9" s="239" t="s">
        <v>1</v>
      </c>
      <c r="B9" s="239" t="s">
        <v>2</v>
      </c>
      <c r="C9" s="246" t="s">
        <v>14</v>
      </c>
      <c r="D9" s="246"/>
      <c r="E9" s="246" t="s">
        <v>15</v>
      </c>
      <c r="F9" s="246"/>
      <c r="I9" s="4"/>
      <c r="J9" s="4"/>
      <c r="K9" s="3"/>
    </row>
    <row r="10" ht="15" customHeight="1" spans="1:11">
      <c r="A10" s="239"/>
      <c r="B10" s="239"/>
      <c r="C10" s="246" t="s">
        <v>16</v>
      </c>
      <c r="D10" s="246" t="s">
        <v>17</v>
      </c>
      <c r="E10" s="246" t="s">
        <v>16</v>
      </c>
      <c r="F10" s="246" t="s">
        <v>17</v>
      </c>
      <c r="I10" s="4"/>
      <c r="J10" s="4"/>
      <c r="K10" s="3"/>
    </row>
    <row r="11" ht="15" customHeight="1" spans="1:12">
      <c r="A11" s="241">
        <v>44505</v>
      </c>
      <c r="B11" s="157" t="s">
        <v>7</v>
      </c>
      <c r="C11" s="247">
        <v>3</v>
      </c>
      <c r="D11" s="248">
        <v>23.589</v>
      </c>
      <c r="E11" s="247">
        <v>1</v>
      </c>
      <c r="F11" s="248">
        <v>15.28</v>
      </c>
      <c r="I11" s="4"/>
      <c r="J11" s="4"/>
      <c r="K11" s="3"/>
      <c r="L11" s="3"/>
    </row>
    <row r="12" ht="15" customHeight="1" spans="1:6">
      <c r="A12" s="157"/>
      <c r="B12" s="157" t="s">
        <v>9</v>
      </c>
      <c r="C12" s="247">
        <v>4</v>
      </c>
      <c r="D12" s="248">
        <v>32.197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7</v>
      </c>
      <c r="D13" s="248">
        <f>ROUND(D11+D12,2)</f>
        <v>55.79</v>
      </c>
      <c r="E13" s="247">
        <f t="shared" ref="E13" si="0">E11+E12</f>
        <v>1</v>
      </c>
      <c r="F13" s="248">
        <f>ROUND(F11+F12,2)</f>
        <v>15.28</v>
      </c>
    </row>
    <row r="14" ht="30" customHeight="1" spans="1:6">
      <c r="A14" s="157"/>
      <c r="B14" s="239" t="s">
        <v>5</v>
      </c>
      <c r="C14" s="238">
        <f>D13+F13</f>
        <v>71.07</v>
      </c>
      <c r="D14" s="238"/>
      <c r="E14" s="238"/>
      <c r="F14" s="238"/>
    </row>
    <row r="15" spans="1:6">
      <c r="A15" s="157"/>
      <c r="B15" s="157"/>
      <c r="C15" s="157"/>
      <c r="D15" s="157"/>
      <c r="E15" s="157"/>
      <c r="F15" s="157"/>
    </row>
    <row r="16" spans="1:6">
      <c r="A16" s="157"/>
      <c r="B16" s="157" t="s">
        <v>20</v>
      </c>
      <c r="C16" s="157"/>
      <c r="D16" s="157"/>
      <c r="E16" s="157"/>
      <c r="F16" s="157"/>
    </row>
    <row r="17" spans="1:8">
      <c r="A17" s="157"/>
      <c r="B17" s="157"/>
      <c r="C17" s="249"/>
      <c r="D17" s="249"/>
      <c r="E17" s="249"/>
      <c r="F17" s="249"/>
      <c r="G17"/>
      <c r="H17"/>
    </row>
    <row r="18" spans="1:8">
      <c r="A18" s="157"/>
      <c r="B18" s="157"/>
      <c r="C18" s="249"/>
      <c r="D18" s="249"/>
      <c r="E18" s="249"/>
      <c r="F18" s="249"/>
      <c r="G18"/>
      <c r="H18"/>
    </row>
    <row r="19" spans="1:8">
      <c r="A19" s="157"/>
      <c r="B19" s="157"/>
      <c r="C19" s="249"/>
      <c r="D19" s="249"/>
      <c r="E19" s="249"/>
      <c r="F19" s="249"/>
      <c r="G19"/>
      <c r="H19"/>
    </row>
    <row r="20" spans="1:8">
      <c r="A20" s="157"/>
      <c r="B20" s="157"/>
      <c r="C20" s="249"/>
      <c r="D20" s="249"/>
      <c r="E20" s="249"/>
      <c r="F20" s="249"/>
      <c r="G20"/>
      <c r="H20"/>
    </row>
    <row r="21" spans="1:8">
      <c r="A21" s="157"/>
      <c r="B21" s="157"/>
      <c r="C21" s="249"/>
      <c r="D21" s="249"/>
      <c r="E21" s="249"/>
      <c r="F21" s="249"/>
      <c r="G21"/>
      <c r="H21"/>
    </row>
    <row r="22" spans="1:8">
      <c r="A22" s="157"/>
      <c r="B22" s="157"/>
      <c r="C22" s="249"/>
      <c r="D22" s="249"/>
      <c r="E22" s="249"/>
      <c r="F22" s="249"/>
      <c r="G22"/>
      <c r="H22"/>
    </row>
    <row r="23" spans="1:6">
      <c r="A23" s="250" t="s">
        <v>74</v>
      </c>
      <c r="B23" s="157">
        <f>C33+D33</f>
        <v>80</v>
      </c>
      <c r="C23" s="250" t="s">
        <v>75</v>
      </c>
      <c r="D23" s="157">
        <f>C34+D34</f>
        <v>53</v>
      </c>
      <c r="E23" s="157"/>
      <c r="F23" s="157"/>
    </row>
    <row r="24" spans="1:6">
      <c r="A24" s="250" t="s">
        <v>76</v>
      </c>
      <c r="B24" s="157">
        <f>E33+F33</f>
        <v>49</v>
      </c>
      <c r="C24" s="250" t="s">
        <v>77</v>
      </c>
      <c r="D24" s="157">
        <f>E34+F34</f>
        <v>35</v>
      </c>
      <c r="E24" s="157"/>
      <c r="F24" s="157"/>
    </row>
    <row r="25" spans="1:6">
      <c r="A25" s="250" t="s">
        <v>78</v>
      </c>
      <c r="B25" s="157">
        <f>B26-B23-B24</f>
        <v>5651</v>
      </c>
      <c r="C25" s="250" t="s">
        <v>79</v>
      </c>
      <c r="D25" s="157">
        <f>D26-D23-D24</f>
        <v>5692</v>
      </c>
      <c r="E25" s="157"/>
      <c r="F25" s="157"/>
    </row>
    <row r="26" spans="1:6">
      <c r="A26" s="250" t="s">
        <v>80</v>
      </c>
      <c r="B26" s="157">
        <v>5780</v>
      </c>
      <c r="C26" s="250" t="s">
        <v>81</v>
      </c>
      <c r="D26" s="157">
        <v>5780</v>
      </c>
      <c r="E26" s="157"/>
      <c r="F26" s="157"/>
    </row>
    <row r="27" spans="1:6">
      <c r="A27" s="157"/>
      <c r="B27" s="157"/>
      <c r="C27" s="157"/>
      <c r="D27" s="157"/>
      <c r="E27" s="157"/>
      <c r="F27" s="157"/>
    </row>
    <row r="28" spans="1:6">
      <c r="A28" s="157"/>
      <c r="B28" s="157"/>
      <c r="C28" s="157"/>
      <c r="D28" s="157"/>
      <c r="E28" s="157"/>
      <c r="F28" s="157"/>
    </row>
    <row r="29" spans="1:6">
      <c r="A29" s="157"/>
      <c r="B29" s="157"/>
      <c r="C29" s="157"/>
      <c r="D29" s="157"/>
      <c r="E29" s="157"/>
      <c r="F29" s="157"/>
    </row>
    <row r="30" ht="19.95" customHeight="1" spans="1:14">
      <c r="A30" s="239" t="s">
        <v>30</v>
      </c>
      <c r="B30" s="239"/>
      <c r="C30" s="239" t="s">
        <v>59</v>
      </c>
      <c r="D30" s="157"/>
      <c r="E30" s="157"/>
      <c r="F30" s="157"/>
      <c r="N30" s="4"/>
    </row>
    <row r="31" ht="15.6" spans="1:14">
      <c r="A31" s="251">
        <v>44496</v>
      </c>
      <c r="B31" s="252">
        <v>38.88</v>
      </c>
      <c r="C31" s="253" t="s">
        <v>32</v>
      </c>
      <c r="D31" s="253"/>
      <c r="E31" s="253" t="s">
        <v>33</v>
      </c>
      <c r="F31" s="253"/>
      <c r="N31" s="4"/>
    </row>
    <row r="32" ht="15.6" spans="1:14">
      <c r="A32" s="251">
        <v>44497</v>
      </c>
      <c r="B32" s="252">
        <v>15.77</v>
      </c>
      <c r="C32" s="238" t="s">
        <v>14</v>
      </c>
      <c r="D32" s="238" t="s">
        <v>15</v>
      </c>
      <c r="E32" s="238" t="s">
        <v>14</v>
      </c>
      <c r="F32" s="238" t="s">
        <v>15</v>
      </c>
      <c r="N32" s="4"/>
    </row>
    <row r="33" ht="15.6" spans="1:14">
      <c r="A33" s="251">
        <v>44498</v>
      </c>
      <c r="B33" s="252">
        <v>15.62</v>
      </c>
      <c r="C33" s="157">
        <v>64</v>
      </c>
      <c r="D33" s="157">
        <v>16</v>
      </c>
      <c r="E33" s="157">
        <v>49</v>
      </c>
      <c r="F33" s="157">
        <v>0</v>
      </c>
      <c r="N33" s="4"/>
    </row>
    <row r="34" ht="15.6" spans="1:14">
      <c r="A34" s="251">
        <v>44499</v>
      </c>
      <c r="B34" s="252">
        <v>38.55</v>
      </c>
      <c r="C34" s="157">
        <v>43</v>
      </c>
      <c r="D34" s="157">
        <v>10</v>
      </c>
      <c r="E34" s="157">
        <v>35</v>
      </c>
      <c r="F34" s="157">
        <v>0</v>
      </c>
      <c r="N34" s="4"/>
    </row>
    <row r="35" ht="15.6" spans="1:14">
      <c r="A35" s="251">
        <v>44500</v>
      </c>
      <c r="B35" s="252">
        <v>48.67</v>
      </c>
      <c r="C35" s="157"/>
      <c r="D35" s="157"/>
      <c r="E35" s="157"/>
      <c r="F35" s="157"/>
      <c r="N35" s="4"/>
    </row>
    <row r="36" ht="15.6" spans="1:14">
      <c r="A36" s="251">
        <v>44501</v>
      </c>
      <c r="B36" s="252">
        <v>31.25</v>
      </c>
      <c r="C36" s="157"/>
      <c r="D36" s="157"/>
      <c r="E36" s="157"/>
      <c r="F36" s="157"/>
      <c r="N36" s="4"/>
    </row>
    <row r="37" ht="15.6" spans="1:14">
      <c r="A37" s="251">
        <v>44502</v>
      </c>
      <c r="B37" s="252">
        <v>31.89</v>
      </c>
      <c r="C37" s="157"/>
      <c r="D37" s="157"/>
      <c r="E37" s="157"/>
      <c r="F37" s="157"/>
      <c r="N37" s="4"/>
    </row>
    <row r="38" ht="15.6" spans="1:14">
      <c r="A38" s="251">
        <v>44503</v>
      </c>
      <c r="B38" s="252">
        <v>38.55</v>
      </c>
      <c r="C38" s="239" t="s">
        <v>67</v>
      </c>
      <c r="D38" s="239"/>
      <c r="E38" s="157">
        <v>0</v>
      </c>
      <c r="F38" s="157">
        <v>41682</v>
      </c>
      <c r="N38" s="4"/>
    </row>
    <row r="39" ht="15.6" spans="1:14">
      <c r="A39" s="251">
        <v>44504</v>
      </c>
      <c r="B39" s="252">
        <v>39.66</v>
      </c>
      <c r="C39" s="157"/>
      <c r="D39" s="157"/>
      <c r="E39" s="157"/>
      <c r="F39" s="157"/>
      <c r="N39" s="4"/>
    </row>
    <row r="40" ht="15.6" spans="1:14">
      <c r="A40" s="251">
        <v>44505</v>
      </c>
      <c r="B40" s="252">
        <v>71.07</v>
      </c>
      <c r="C40" s="239" t="s">
        <v>68</v>
      </c>
      <c r="D40" s="239">
        <f>C33+D33+E33+F33</f>
        <v>129</v>
      </c>
      <c r="E40" s="239" t="s">
        <v>69</v>
      </c>
      <c r="F40" s="239">
        <f>C34+D34+E34+F34</f>
        <v>88</v>
      </c>
      <c r="N40" s="4"/>
    </row>
    <row r="41" spans="1:6">
      <c r="A41" s="76" t="s">
        <v>60</v>
      </c>
      <c r="B41" s="76" t="s">
        <v>61</v>
      </c>
      <c r="C41" s="76">
        <f>C11</f>
        <v>3</v>
      </c>
      <c r="D41" s="76">
        <f>E11</f>
        <v>1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3</v>
      </c>
      <c r="D42" s="76">
        <v>0</v>
      </c>
      <c r="E42" s="76">
        <v>9</v>
      </c>
      <c r="F42" s="76">
        <v>0</v>
      </c>
    </row>
    <row r="43" ht="19.95" customHeight="1" spans="1:6">
      <c r="A43" s="254" t="str">
        <f>"ZCB1-19累计完成产值"&amp;E6&amp;"万元，占总产值90284.4万元的"&amp;I5&amp;"，
100章临建完成"&amp;C7&amp;"万元，400章桥梁完成"&amp;D7&amp;"万元。"</f>
        <v>ZCB1-19累计完成产值6607.72万元，占总产值90284.4万元的7.32%，
100章临建完成5477.78万元，400章桥梁完成1129.94万元。</v>
      </c>
      <c r="B43" s="254"/>
      <c r="C43" s="254"/>
      <c r="D43" s="254"/>
      <c r="E43" s="254"/>
      <c r="F43" s="254"/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/>
  <dimension ref="A1:N46"/>
  <sheetViews>
    <sheetView view="pageBreakPreview" zoomScale="80" zoomScaleNormal="100" topLeftCell="A27" workbookViewId="0">
      <selection activeCell="L40" sqref="L4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37" t="s">
        <v>72</v>
      </c>
      <c r="B1" s="238"/>
      <c r="C1" s="238"/>
      <c r="D1" s="238"/>
      <c r="E1" s="238"/>
      <c r="F1" s="238"/>
      <c r="G1" s="3"/>
      <c r="H1" s="3"/>
      <c r="I1" s="4"/>
      <c r="J1" s="4"/>
      <c r="K1" s="3"/>
      <c r="L1" s="3"/>
    </row>
    <row r="2" ht="15" customHeight="1" spans="1:12">
      <c r="A2" s="239" t="s">
        <v>1</v>
      </c>
      <c r="B2" s="239" t="s">
        <v>2</v>
      </c>
      <c r="C2" s="240" t="s">
        <v>3</v>
      </c>
      <c r="D2" s="240" t="s">
        <v>4</v>
      </c>
      <c r="E2" s="239" t="s">
        <v>5</v>
      </c>
      <c r="F2" s="239" t="s">
        <v>6</v>
      </c>
      <c r="I2"/>
      <c r="J2"/>
      <c r="K2" s="3"/>
      <c r="L2" s="3"/>
    </row>
    <row r="3" ht="15" customHeight="1" spans="1:12">
      <c r="A3" s="241">
        <v>44506</v>
      </c>
      <c r="B3" s="157" t="s">
        <v>7</v>
      </c>
      <c r="C3" s="157">
        <v>1</v>
      </c>
      <c r="D3" s="157">
        <f>ROUND(D11+F11,2)</f>
        <v>7.97</v>
      </c>
      <c r="E3" s="242">
        <f>ROUND(C5+D5,2)</f>
        <v>33.07</v>
      </c>
      <c r="F3" s="243" t="s">
        <v>84</v>
      </c>
      <c r="I3"/>
      <c r="J3"/>
      <c r="K3" s="3"/>
      <c r="L3" s="3"/>
    </row>
    <row r="4" ht="15" customHeight="1" spans="1:12">
      <c r="A4" s="157"/>
      <c r="B4" s="157" t="s">
        <v>9</v>
      </c>
      <c r="C4" s="157">
        <v>1</v>
      </c>
      <c r="D4" s="157">
        <f>ROUND(D12+F12,2)</f>
        <v>23.1</v>
      </c>
      <c r="E4" s="242"/>
      <c r="F4" s="244"/>
      <c r="I4"/>
      <c r="J4"/>
      <c r="K4" s="3"/>
      <c r="L4" s="3"/>
    </row>
    <row r="5" ht="15" customHeight="1" spans="1:12">
      <c r="A5" s="157"/>
      <c r="B5" s="239" t="s">
        <v>10</v>
      </c>
      <c r="C5" s="157">
        <f>SUM(C3:C4)</f>
        <v>2</v>
      </c>
      <c r="D5" s="157">
        <f>SUM(D3:D4)</f>
        <v>31.07</v>
      </c>
      <c r="E5" s="242"/>
      <c r="F5" s="244"/>
      <c r="I5" t="str">
        <f>ROUND(E6/90284.4*100,2)&amp;"%"</f>
        <v>7.36%</v>
      </c>
      <c r="J5"/>
      <c r="K5" s="3"/>
      <c r="L5" s="3"/>
    </row>
    <row r="6" ht="60" customHeight="1" spans="1:12">
      <c r="A6" s="157"/>
      <c r="B6" s="239" t="s">
        <v>11</v>
      </c>
      <c r="C6" s="245">
        <v>5479.78</v>
      </c>
      <c r="D6" s="245">
        <v>1161.01</v>
      </c>
      <c r="E6" s="239">
        <f>ROUND(C6+D6,2)</f>
        <v>6640.79</v>
      </c>
      <c r="F6" s="244"/>
      <c r="I6"/>
      <c r="J6"/>
      <c r="K6" s="3"/>
      <c r="L6" s="3"/>
    </row>
    <row r="7" ht="60" customHeight="1" spans="1:12">
      <c r="A7" s="157"/>
      <c r="B7" s="239" t="s">
        <v>12</v>
      </c>
      <c r="C7" s="245">
        <v>5479.78</v>
      </c>
      <c r="D7" s="245">
        <v>1161.01</v>
      </c>
      <c r="E7" s="239">
        <f>ROUND(C7+D7,2)</f>
        <v>6640.79</v>
      </c>
      <c r="F7" s="244"/>
      <c r="I7"/>
      <c r="J7"/>
      <c r="K7" s="3"/>
      <c r="L7" s="3"/>
    </row>
    <row r="8" ht="30" customHeight="1" spans="1:12">
      <c r="A8" s="238" t="s">
        <v>13</v>
      </c>
      <c r="B8" s="238"/>
      <c r="C8" s="238"/>
      <c r="D8" s="238"/>
      <c r="E8" s="238"/>
      <c r="F8" s="238"/>
      <c r="I8"/>
      <c r="J8"/>
      <c r="K8" s="3"/>
      <c r="L8" s="3"/>
    </row>
    <row r="9" ht="15" customHeight="1" spans="1:11">
      <c r="A9" s="239" t="s">
        <v>1</v>
      </c>
      <c r="B9" s="239" t="s">
        <v>2</v>
      </c>
      <c r="C9" s="246" t="s">
        <v>14</v>
      </c>
      <c r="D9" s="246"/>
      <c r="E9" s="246" t="s">
        <v>15</v>
      </c>
      <c r="F9" s="246"/>
      <c r="I9" s="4"/>
      <c r="J9" s="4"/>
      <c r="K9" s="3"/>
    </row>
    <row r="10" ht="15" customHeight="1" spans="1:11">
      <c r="A10" s="239"/>
      <c r="B10" s="239"/>
      <c r="C10" s="246" t="s">
        <v>16</v>
      </c>
      <c r="D10" s="246" t="s">
        <v>17</v>
      </c>
      <c r="E10" s="246" t="s">
        <v>16</v>
      </c>
      <c r="F10" s="246" t="s">
        <v>17</v>
      </c>
      <c r="I10" s="4"/>
      <c r="J10" s="4"/>
      <c r="K10" s="3"/>
    </row>
    <row r="11" ht="15" customHeight="1" spans="1:12">
      <c r="A11" s="241">
        <v>44506</v>
      </c>
      <c r="B11" s="157" t="s">
        <v>7</v>
      </c>
      <c r="C11" s="247">
        <v>1</v>
      </c>
      <c r="D11" s="248">
        <v>7.966</v>
      </c>
      <c r="E11" s="247">
        <v>0</v>
      </c>
      <c r="F11" s="248">
        <v>0</v>
      </c>
      <c r="I11" s="4"/>
      <c r="J11" s="4"/>
      <c r="K11" s="3"/>
      <c r="L11" s="3"/>
    </row>
    <row r="12" ht="15" customHeight="1" spans="1:6">
      <c r="A12" s="157"/>
      <c r="B12" s="157" t="s">
        <v>9</v>
      </c>
      <c r="C12" s="247">
        <v>3</v>
      </c>
      <c r="D12" s="248">
        <v>23.1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4</v>
      </c>
      <c r="D13" s="248">
        <f>ROUND(D11+D12,2)</f>
        <v>31.07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31.07</v>
      </c>
      <c r="D14" s="238"/>
      <c r="E14" s="238"/>
      <c r="F14" s="238"/>
    </row>
    <row r="15" spans="1:6">
      <c r="A15" s="157"/>
      <c r="B15" s="157"/>
      <c r="C15" s="157"/>
      <c r="D15" s="157"/>
      <c r="E15" s="157"/>
      <c r="F15" s="157"/>
    </row>
    <row r="16" spans="1:6">
      <c r="A16" s="157"/>
      <c r="B16" s="157" t="s">
        <v>20</v>
      </c>
      <c r="C16" s="157"/>
      <c r="D16" s="157"/>
      <c r="E16" s="157"/>
      <c r="F16" s="157"/>
    </row>
    <row r="17" spans="1:8">
      <c r="A17" s="157"/>
      <c r="B17" s="157"/>
      <c r="C17" s="249"/>
      <c r="D17" s="249"/>
      <c r="E17" s="249"/>
      <c r="F17" s="249"/>
      <c r="G17"/>
      <c r="H17"/>
    </row>
    <row r="18" spans="1:8">
      <c r="A18" s="157"/>
      <c r="B18" s="157"/>
      <c r="C18" s="249"/>
      <c r="D18" s="249"/>
      <c r="E18" s="249"/>
      <c r="F18" s="249"/>
      <c r="G18"/>
      <c r="H18"/>
    </row>
    <row r="19" spans="1:8">
      <c r="A19" s="157"/>
      <c r="B19" s="157"/>
      <c r="C19" s="249"/>
      <c r="D19" s="249"/>
      <c r="E19" s="249"/>
      <c r="F19" s="249"/>
      <c r="G19"/>
      <c r="H19"/>
    </row>
    <row r="20" spans="1:8">
      <c r="A20" s="157"/>
      <c r="B20" s="157"/>
      <c r="C20" s="249"/>
      <c r="D20" s="249"/>
      <c r="E20" s="249"/>
      <c r="F20" s="249"/>
      <c r="G20"/>
      <c r="H20"/>
    </row>
    <row r="21" spans="1:8">
      <c r="A21" s="157"/>
      <c r="B21" s="157"/>
      <c r="C21" s="249"/>
      <c r="D21" s="249"/>
      <c r="E21" s="249"/>
      <c r="F21" s="249"/>
      <c r="G21"/>
      <c r="H21"/>
    </row>
    <row r="22" spans="1:8">
      <c r="A22" s="157"/>
      <c r="B22" s="157"/>
      <c r="C22" s="249"/>
      <c r="D22" s="249"/>
      <c r="E22" s="249"/>
      <c r="F22" s="249"/>
      <c r="G22"/>
      <c r="H22"/>
    </row>
    <row r="23" spans="1:6">
      <c r="A23" s="250" t="s">
        <v>74</v>
      </c>
      <c r="B23" s="157">
        <f>C33+D33</f>
        <v>81</v>
      </c>
      <c r="C23" s="250" t="s">
        <v>75</v>
      </c>
      <c r="D23" s="157">
        <f>C34+D34</f>
        <v>55</v>
      </c>
      <c r="E23" s="157"/>
      <c r="F23" s="157"/>
    </row>
    <row r="24" spans="1:6">
      <c r="A24" s="250" t="s">
        <v>76</v>
      </c>
      <c r="B24" s="157">
        <f>E33+F33</f>
        <v>52</v>
      </c>
      <c r="C24" s="250" t="s">
        <v>77</v>
      </c>
      <c r="D24" s="157">
        <f>E34+F34</f>
        <v>35</v>
      </c>
      <c r="E24" s="157"/>
      <c r="F24" s="157"/>
    </row>
    <row r="25" spans="1:6">
      <c r="A25" s="250" t="s">
        <v>78</v>
      </c>
      <c r="B25" s="157">
        <f>B26-B23-B24</f>
        <v>5647</v>
      </c>
      <c r="C25" s="250" t="s">
        <v>79</v>
      </c>
      <c r="D25" s="157">
        <f>D26-D23-D24</f>
        <v>5690</v>
      </c>
      <c r="E25" s="157"/>
      <c r="F25" s="157"/>
    </row>
    <row r="26" spans="1:6">
      <c r="A26" s="250" t="s">
        <v>80</v>
      </c>
      <c r="B26" s="157">
        <v>5780</v>
      </c>
      <c r="C26" s="250" t="s">
        <v>81</v>
      </c>
      <c r="D26" s="157">
        <v>5780</v>
      </c>
      <c r="E26" s="157"/>
      <c r="F26" s="157"/>
    </row>
    <row r="27" spans="1:6">
      <c r="A27" s="157"/>
      <c r="B27" s="157"/>
      <c r="C27" s="157"/>
      <c r="D27" s="157"/>
      <c r="E27" s="157"/>
      <c r="F27" s="157"/>
    </row>
    <row r="28" spans="1:6">
      <c r="A28" s="157"/>
      <c r="B28" s="157"/>
      <c r="C28" s="157"/>
      <c r="D28" s="157"/>
      <c r="E28" s="157"/>
      <c r="F28" s="157"/>
    </row>
    <row r="29" spans="1:6">
      <c r="A29" s="157"/>
      <c r="B29" s="157"/>
      <c r="C29" s="157"/>
      <c r="D29" s="157"/>
      <c r="E29" s="157"/>
      <c r="F29" s="157"/>
    </row>
    <row r="30" ht="19.95" customHeight="1" spans="1:14">
      <c r="A30" s="239" t="s">
        <v>30</v>
      </c>
      <c r="B30" s="239"/>
      <c r="C30" s="239" t="s">
        <v>59</v>
      </c>
      <c r="D30" s="157"/>
      <c r="E30" s="157"/>
      <c r="F30" s="157"/>
      <c r="N30" s="4"/>
    </row>
    <row r="31" ht="15.6" spans="1:14">
      <c r="A31" s="251">
        <v>44497</v>
      </c>
      <c r="B31" s="252">
        <v>15.77</v>
      </c>
      <c r="C31" s="253" t="s">
        <v>32</v>
      </c>
      <c r="D31" s="253"/>
      <c r="E31" s="253" t="s">
        <v>33</v>
      </c>
      <c r="F31" s="253"/>
      <c r="N31" s="4"/>
    </row>
    <row r="32" ht="15.6" spans="1:14">
      <c r="A32" s="251">
        <v>44498</v>
      </c>
      <c r="B32" s="252">
        <v>15.62</v>
      </c>
      <c r="C32" s="238" t="s">
        <v>14</v>
      </c>
      <c r="D32" s="238" t="s">
        <v>15</v>
      </c>
      <c r="E32" s="238" t="s">
        <v>14</v>
      </c>
      <c r="F32" s="238" t="s">
        <v>15</v>
      </c>
      <c r="N32" s="4"/>
    </row>
    <row r="33" ht="15.6" spans="1:14">
      <c r="A33" s="251">
        <v>44499</v>
      </c>
      <c r="B33" s="252">
        <v>38.55</v>
      </c>
      <c r="C33" s="157">
        <v>65</v>
      </c>
      <c r="D33" s="157">
        <v>16</v>
      </c>
      <c r="E33" s="157">
        <v>52</v>
      </c>
      <c r="F33" s="157">
        <v>0</v>
      </c>
      <c r="N33" s="4"/>
    </row>
    <row r="34" ht="15.6" spans="1:14">
      <c r="A34" s="251">
        <v>44500</v>
      </c>
      <c r="B34" s="252">
        <v>48.67</v>
      </c>
      <c r="C34" s="157">
        <v>45</v>
      </c>
      <c r="D34" s="157">
        <v>10</v>
      </c>
      <c r="E34" s="157">
        <v>35</v>
      </c>
      <c r="F34" s="157">
        <v>0</v>
      </c>
      <c r="N34" s="4"/>
    </row>
    <row r="35" ht="15.6" spans="1:14">
      <c r="A35" s="251">
        <v>44501</v>
      </c>
      <c r="B35" s="252">
        <v>31.25</v>
      </c>
      <c r="C35" s="157"/>
      <c r="D35" s="157"/>
      <c r="E35" s="157"/>
      <c r="F35" s="157"/>
      <c r="N35" s="4"/>
    </row>
    <row r="36" ht="15.6" spans="1:14">
      <c r="A36" s="251">
        <v>44502</v>
      </c>
      <c r="B36" s="252">
        <v>31.89</v>
      </c>
      <c r="C36" s="157"/>
      <c r="D36" s="157"/>
      <c r="E36" s="157"/>
      <c r="F36" s="157"/>
      <c r="N36" s="4"/>
    </row>
    <row r="37" ht="15.6" spans="1:14">
      <c r="A37" s="251">
        <v>44503</v>
      </c>
      <c r="B37" s="252">
        <v>38.55</v>
      </c>
      <c r="C37" s="157"/>
      <c r="D37" s="157"/>
      <c r="E37" s="157"/>
      <c r="F37" s="157"/>
      <c r="N37" s="4"/>
    </row>
    <row r="38" ht="15.6" spans="1:14">
      <c r="A38" s="251">
        <v>44504</v>
      </c>
      <c r="B38" s="252">
        <v>39.66</v>
      </c>
      <c r="C38" s="239" t="s">
        <v>67</v>
      </c>
      <c r="D38" s="239"/>
      <c r="E38" s="157">
        <v>0</v>
      </c>
      <c r="F38" s="157">
        <v>41682</v>
      </c>
      <c r="N38" s="4"/>
    </row>
    <row r="39" ht="15.6" spans="1:14">
      <c r="A39" s="251">
        <v>44505</v>
      </c>
      <c r="B39" s="252">
        <v>71.07</v>
      </c>
      <c r="C39" s="157"/>
      <c r="D39" s="157"/>
      <c r="E39" s="157"/>
      <c r="F39" s="157"/>
      <c r="N39" s="4"/>
    </row>
    <row r="40" ht="15.6" spans="1:14">
      <c r="A40" s="251">
        <v>44506</v>
      </c>
      <c r="B40" s="252">
        <v>33.07</v>
      </c>
      <c r="C40" s="239" t="s">
        <v>68</v>
      </c>
      <c r="D40" s="239">
        <f>C33+D33+E33+F33</f>
        <v>133</v>
      </c>
      <c r="E40" s="239" t="s">
        <v>69</v>
      </c>
      <c r="F40" s="239">
        <f>C34+D34+E34+F34</f>
        <v>90</v>
      </c>
      <c r="N40" s="4"/>
    </row>
    <row r="41" spans="1:6">
      <c r="A41" s="76" t="s">
        <v>60</v>
      </c>
      <c r="B41" s="76" t="s">
        <v>61</v>
      </c>
      <c r="C41" s="76">
        <f>C11</f>
        <v>1</v>
      </c>
      <c r="D41" s="76">
        <f>E11</f>
        <v>0</v>
      </c>
      <c r="E41" s="76">
        <f>C12</f>
        <v>3</v>
      </c>
      <c r="F41" s="76">
        <f>E12</f>
        <v>0</v>
      </c>
    </row>
    <row r="42" spans="1:6">
      <c r="A42" s="76"/>
      <c r="B42" s="76" t="s">
        <v>62</v>
      </c>
      <c r="C42" s="76">
        <v>2</v>
      </c>
      <c r="D42" s="76">
        <v>0</v>
      </c>
      <c r="E42" s="76">
        <v>0</v>
      </c>
      <c r="F42" s="76">
        <v>0</v>
      </c>
    </row>
    <row r="43" ht="19.95" customHeight="1" spans="1:6">
      <c r="A43" s="254" t="str">
        <f>"ZCB1-19累计完成产值"&amp;E6&amp;"万元，占总产值90284.4万元的"&amp;I5&amp;"，
100章临建完成"&amp;C7&amp;"万元，400章桥梁完成"&amp;D7&amp;"万元。"</f>
        <v>ZCB1-19累计完成产值6640.79万元，占总产值90284.4万元的7.36%，
100章临建完成5479.78万元，400章桥梁完成1161.01万元。</v>
      </c>
      <c r="B43" s="254"/>
      <c r="C43" s="254"/>
      <c r="D43" s="254"/>
      <c r="E43" s="254"/>
      <c r="F43" s="254"/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/>
  <dimension ref="A1:N46"/>
  <sheetViews>
    <sheetView view="pageBreakPreview" zoomScale="80" zoomScaleNormal="100" topLeftCell="A27" workbookViewId="0">
      <selection activeCell="M62" sqref="M6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37" t="s">
        <v>72</v>
      </c>
      <c r="B1" s="238"/>
      <c r="C1" s="238"/>
      <c r="D1" s="238"/>
      <c r="E1" s="238"/>
      <c r="F1" s="238"/>
      <c r="G1" s="3"/>
      <c r="H1" s="3"/>
      <c r="I1" s="4"/>
      <c r="J1" s="4"/>
      <c r="K1" s="3"/>
      <c r="L1" s="3"/>
    </row>
    <row r="2" ht="15" customHeight="1" spans="1:12">
      <c r="A2" s="239" t="s">
        <v>1</v>
      </c>
      <c r="B2" s="239" t="s">
        <v>2</v>
      </c>
      <c r="C2" s="240" t="s">
        <v>3</v>
      </c>
      <c r="D2" s="240" t="s">
        <v>4</v>
      </c>
      <c r="E2" s="239" t="s">
        <v>5</v>
      </c>
      <c r="F2" s="239" t="s">
        <v>6</v>
      </c>
      <c r="I2"/>
      <c r="J2"/>
      <c r="K2" s="3"/>
      <c r="L2" s="3"/>
    </row>
    <row r="3" ht="15" customHeight="1" spans="1:12">
      <c r="A3" s="241">
        <v>44507</v>
      </c>
      <c r="B3" s="157" t="s">
        <v>7</v>
      </c>
      <c r="C3" s="157">
        <v>1</v>
      </c>
      <c r="D3" s="157">
        <f>ROUND(D11+F11,2)</f>
        <v>31.56</v>
      </c>
      <c r="E3" s="242">
        <f>ROUND(C5+D5,2)</f>
        <v>64.11</v>
      </c>
      <c r="F3" s="243" t="s">
        <v>85</v>
      </c>
      <c r="I3"/>
      <c r="J3"/>
      <c r="K3" s="3"/>
      <c r="L3" s="3"/>
    </row>
    <row r="4" ht="15" customHeight="1" spans="1:12">
      <c r="A4" s="157"/>
      <c r="B4" s="157" t="s">
        <v>9</v>
      </c>
      <c r="C4" s="157">
        <v>1</v>
      </c>
      <c r="D4" s="157">
        <f>ROUND(D12+F12,2)</f>
        <v>30.55</v>
      </c>
      <c r="E4" s="242"/>
      <c r="F4" s="244"/>
      <c r="I4"/>
      <c r="J4"/>
      <c r="K4" s="3"/>
      <c r="L4" s="3"/>
    </row>
    <row r="5" ht="15" customHeight="1" spans="1:12">
      <c r="A5" s="157"/>
      <c r="B5" s="239" t="s">
        <v>10</v>
      </c>
      <c r="C5" s="157">
        <f>SUM(C3:C4)</f>
        <v>2</v>
      </c>
      <c r="D5" s="157">
        <f>SUM(D3:D4)</f>
        <v>62.11</v>
      </c>
      <c r="E5" s="242"/>
      <c r="F5" s="244"/>
      <c r="I5" t="str">
        <f>ROUND(E6/90284.4*100,2)&amp;"%"</f>
        <v>7.43%</v>
      </c>
      <c r="J5"/>
      <c r="K5" s="3"/>
      <c r="L5" s="3"/>
    </row>
    <row r="6" ht="60" customHeight="1" spans="1:12">
      <c r="A6" s="157"/>
      <c r="B6" s="239" t="s">
        <v>11</v>
      </c>
      <c r="C6" s="245">
        <v>5481.78</v>
      </c>
      <c r="D6" s="245">
        <v>1223.12</v>
      </c>
      <c r="E6" s="239">
        <f>ROUND(C6+D6,2)</f>
        <v>6704.9</v>
      </c>
      <c r="F6" s="244"/>
      <c r="I6"/>
      <c r="J6"/>
      <c r="K6" s="3"/>
      <c r="L6" s="3"/>
    </row>
    <row r="7" ht="60" customHeight="1" spans="1:12">
      <c r="A7" s="157"/>
      <c r="B7" s="239" t="s">
        <v>12</v>
      </c>
      <c r="C7" s="245">
        <v>5481.78</v>
      </c>
      <c r="D7" s="245">
        <v>1223.12</v>
      </c>
      <c r="E7" s="239">
        <f>ROUND(C7+D7,2)</f>
        <v>6704.9</v>
      </c>
      <c r="F7" s="244"/>
      <c r="I7"/>
      <c r="J7"/>
      <c r="K7" s="3"/>
      <c r="L7" s="3"/>
    </row>
    <row r="8" ht="30" customHeight="1" spans="1:12">
      <c r="A8" s="238" t="s">
        <v>13</v>
      </c>
      <c r="B8" s="238"/>
      <c r="C8" s="238"/>
      <c r="D8" s="238"/>
      <c r="E8" s="238"/>
      <c r="F8" s="238"/>
      <c r="I8"/>
      <c r="J8"/>
      <c r="K8" s="3"/>
      <c r="L8" s="3"/>
    </row>
    <row r="9" ht="15" customHeight="1" spans="1:11">
      <c r="A9" s="239" t="s">
        <v>1</v>
      </c>
      <c r="B9" s="239" t="s">
        <v>2</v>
      </c>
      <c r="C9" s="246" t="s">
        <v>14</v>
      </c>
      <c r="D9" s="246"/>
      <c r="E9" s="246" t="s">
        <v>15</v>
      </c>
      <c r="F9" s="246"/>
      <c r="I9" s="4"/>
      <c r="J9" s="4"/>
      <c r="K9" s="3"/>
    </row>
    <row r="10" ht="15" customHeight="1" spans="1:11">
      <c r="A10" s="239"/>
      <c r="B10" s="239"/>
      <c r="C10" s="246" t="s">
        <v>16</v>
      </c>
      <c r="D10" s="246" t="s">
        <v>17</v>
      </c>
      <c r="E10" s="246" t="s">
        <v>16</v>
      </c>
      <c r="F10" s="246" t="s">
        <v>17</v>
      </c>
      <c r="I10" s="4"/>
      <c r="J10" s="4"/>
      <c r="K10" s="3"/>
    </row>
    <row r="11" ht="15" customHeight="1" spans="1:12">
      <c r="A11" s="241">
        <v>44507</v>
      </c>
      <c r="B11" s="157" t="s">
        <v>7</v>
      </c>
      <c r="C11" s="247">
        <v>2</v>
      </c>
      <c r="D11" s="248">
        <v>16.275</v>
      </c>
      <c r="E11" s="247">
        <v>1</v>
      </c>
      <c r="F11" s="248">
        <v>15.28</v>
      </c>
      <c r="I11" s="4"/>
      <c r="J11" s="4"/>
      <c r="K11" s="3"/>
      <c r="L11" s="3"/>
    </row>
    <row r="12" ht="15" customHeight="1" spans="1:6">
      <c r="A12" s="157"/>
      <c r="B12" s="157" t="s">
        <v>9</v>
      </c>
      <c r="C12" s="247">
        <v>4</v>
      </c>
      <c r="D12" s="248">
        <v>30.55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6</v>
      </c>
      <c r="D13" s="248">
        <f>ROUND(D11+D12,2)</f>
        <v>46.83</v>
      </c>
      <c r="E13" s="247">
        <f t="shared" ref="E13" si="0">E11+E12</f>
        <v>1</v>
      </c>
      <c r="F13" s="248">
        <f>ROUND(F11+F12,2)</f>
        <v>15.28</v>
      </c>
    </row>
    <row r="14" ht="30" customHeight="1" spans="1:6">
      <c r="A14" s="157"/>
      <c r="B14" s="239" t="s">
        <v>5</v>
      </c>
      <c r="C14" s="238">
        <f>D13+F13</f>
        <v>62.11</v>
      </c>
      <c r="D14" s="238"/>
      <c r="E14" s="238"/>
      <c r="F14" s="238"/>
    </row>
    <row r="15" spans="1:6">
      <c r="A15" s="157"/>
      <c r="B15" s="157"/>
      <c r="C15" s="157"/>
      <c r="D15" s="157"/>
      <c r="E15" s="157"/>
      <c r="F15" s="157"/>
    </row>
    <row r="16" spans="1:6">
      <c r="A16" s="157"/>
      <c r="B16" s="157" t="s">
        <v>20</v>
      </c>
      <c r="C16" s="157"/>
      <c r="D16" s="157"/>
      <c r="E16" s="157"/>
      <c r="F16" s="157"/>
    </row>
    <row r="17" spans="1:8">
      <c r="A17" s="157"/>
      <c r="B17" s="157"/>
      <c r="C17" s="249"/>
      <c r="D17" s="249"/>
      <c r="E17" s="249"/>
      <c r="F17" s="249"/>
      <c r="G17"/>
      <c r="H17"/>
    </row>
    <row r="18" spans="1:8">
      <c r="A18" s="157"/>
      <c r="B18" s="157"/>
      <c r="C18" s="249"/>
      <c r="D18" s="249"/>
      <c r="E18" s="249"/>
      <c r="F18" s="249"/>
      <c r="G18"/>
      <c r="H18"/>
    </row>
    <row r="19" spans="1:8">
      <c r="A19" s="157"/>
      <c r="B19" s="157"/>
      <c r="C19" s="249"/>
      <c r="D19" s="249"/>
      <c r="E19" s="249"/>
      <c r="F19" s="249"/>
      <c r="G19"/>
      <c r="H19"/>
    </row>
    <row r="20" spans="1:8">
      <c r="A20" s="157"/>
      <c r="B20" s="157"/>
      <c r="C20" s="249"/>
      <c r="D20" s="249"/>
      <c r="E20" s="249"/>
      <c r="F20" s="249"/>
      <c r="G20"/>
      <c r="H20"/>
    </row>
    <row r="21" spans="1:8">
      <c r="A21" s="157"/>
      <c r="B21" s="157"/>
      <c r="C21" s="249"/>
      <c r="D21" s="249"/>
      <c r="E21" s="249"/>
      <c r="F21" s="249"/>
      <c r="G21"/>
      <c r="H21"/>
    </row>
    <row r="22" spans="1:8">
      <c r="A22" s="157"/>
      <c r="B22" s="157"/>
      <c r="C22" s="249"/>
      <c r="D22" s="249"/>
      <c r="E22" s="249"/>
      <c r="F22" s="249"/>
      <c r="G22"/>
      <c r="H22"/>
    </row>
    <row r="23" spans="1:6">
      <c r="A23" s="250" t="s">
        <v>74</v>
      </c>
      <c r="B23" s="157">
        <f>C33+D33</f>
        <v>84</v>
      </c>
      <c r="C23" s="250" t="s">
        <v>75</v>
      </c>
      <c r="D23" s="157">
        <f>C34+D34</f>
        <v>60</v>
      </c>
      <c r="E23" s="157"/>
      <c r="F23" s="157"/>
    </row>
    <row r="24" spans="1:6">
      <c r="A24" s="250" t="s">
        <v>76</v>
      </c>
      <c r="B24" s="157">
        <f>E33+F33</f>
        <v>56</v>
      </c>
      <c r="C24" s="250" t="s">
        <v>77</v>
      </c>
      <c r="D24" s="157">
        <f>E34+F34</f>
        <v>35</v>
      </c>
      <c r="E24" s="157"/>
      <c r="F24" s="157"/>
    </row>
    <row r="25" spans="1:6">
      <c r="A25" s="250" t="s">
        <v>78</v>
      </c>
      <c r="B25" s="157">
        <f>B26-B23-B24</f>
        <v>5640</v>
      </c>
      <c r="C25" s="250" t="s">
        <v>79</v>
      </c>
      <c r="D25" s="157">
        <f>D26-D23-D24</f>
        <v>5685</v>
      </c>
      <c r="E25" s="157"/>
      <c r="F25" s="157"/>
    </row>
    <row r="26" spans="1:6">
      <c r="A26" s="250" t="s">
        <v>80</v>
      </c>
      <c r="B26" s="157">
        <v>5780</v>
      </c>
      <c r="C26" s="250" t="s">
        <v>81</v>
      </c>
      <c r="D26" s="157">
        <v>5780</v>
      </c>
      <c r="E26" s="157"/>
      <c r="F26" s="157"/>
    </row>
    <row r="27" spans="1:6">
      <c r="A27" s="157"/>
      <c r="B27" s="157"/>
      <c r="C27" s="157"/>
      <c r="D27" s="157"/>
      <c r="E27" s="157"/>
      <c r="F27" s="157"/>
    </row>
    <row r="28" spans="1:6">
      <c r="A28" s="157"/>
      <c r="B28" s="157"/>
      <c r="C28" s="157"/>
      <c r="D28" s="157"/>
      <c r="E28" s="157"/>
      <c r="F28" s="157"/>
    </row>
    <row r="29" spans="1:6">
      <c r="A29" s="157"/>
      <c r="B29" s="157"/>
      <c r="C29" s="157"/>
      <c r="D29" s="157"/>
      <c r="E29" s="157"/>
      <c r="F29" s="157"/>
    </row>
    <row r="30" ht="19.95" customHeight="1" spans="1:14">
      <c r="A30" s="239" t="s">
        <v>30</v>
      </c>
      <c r="B30" s="239"/>
      <c r="C30" s="239" t="s">
        <v>59</v>
      </c>
      <c r="D30" s="157"/>
      <c r="E30" s="157"/>
      <c r="F30" s="157"/>
      <c r="N30" s="4"/>
    </row>
    <row r="31" ht="15.6" spans="1:14">
      <c r="A31" s="251">
        <v>44498</v>
      </c>
      <c r="B31" s="252">
        <v>15.62</v>
      </c>
      <c r="C31" s="253" t="s">
        <v>32</v>
      </c>
      <c r="D31" s="253"/>
      <c r="E31" s="253" t="s">
        <v>33</v>
      </c>
      <c r="F31" s="253"/>
      <c r="N31" s="4"/>
    </row>
    <row r="32" ht="15.6" spans="1:14">
      <c r="A32" s="251">
        <v>44499</v>
      </c>
      <c r="B32" s="252">
        <v>38.55</v>
      </c>
      <c r="C32" s="238" t="s">
        <v>14</v>
      </c>
      <c r="D32" s="238" t="s">
        <v>15</v>
      </c>
      <c r="E32" s="238" t="s">
        <v>14</v>
      </c>
      <c r="F32" s="238" t="s">
        <v>15</v>
      </c>
      <c r="N32" s="4"/>
    </row>
    <row r="33" ht="15.6" spans="1:14">
      <c r="A33" s="251">
        <v>44500</v>
      </c>
      <c r="B33" s="252">
        <v>48.67</v>
      </c>
      <c r="C33" s="157">
        <v>67</v>
      </c>
      <c r="D33" s="157">
        <v>17</v>
      </c>
      <c r="E33" s="157">
        <v>56</v>
      </c>
      <c r="F33" s="157">
        <v>0</v>
      </c>
      <c r="N33" s="4"/>
    </row>
    <row r="34" ht="15.6" spans="1:14">
      <c r="A34" s="251">
        <v>44501</v>
      </c>
      <c r="B34" s="252">
        <v>31.25</v>
      </c>
      <c r="C34" s="157">
        <v>50</v>
      </c>
      <c r="D34" s="157">
        <v>10</v>
      </c>
      <c r="E34" s="157">
        <v>35</v>
      </c>
      <c r="F34" s="157">
        <v>0</v>
      </c>
      <c r="N34" s="4"/>
    </row>
    <row r="35" ht="15.6" spans="1:14">
      <c r="A35" s="251">
        <v>44502</v>
      </c>
      <c r="B35" s="252">
        <v>31.89</v>
      </c>
      <c r="C35" s="157"/>
      <c r="D35" s="157"/>
      <c r="E35" s="157"/>
      <c r="F35" s="157"/>
      <c r="N35" s="4"/>
    </row>
    <row r="36" ht="15.6" spans="1:14">
      <c r="A36" s="251">
        <v>44503</v>
      </c>
      <c r="B36" s="252">
        <v>38.55</v>
      </c>
      <c r="C36" s="157"/>
      <c r="D36" s="157"/>
      <c r="E36" s="157"/>
      <c r="F36" s="157"/>
      <c r="N36" s="4"/>
    </row>
    <row r="37" ht="15.6" spans="1:14">
      <c r="A37" s="251">
        <v>44504</v>
      </c>
      <c r="B37" s="252">
        <v>39.66</v>
      </c>
      <c r="C37" s="157"/>
      <c r="D37" s="157"/>
      <c r="E37" s="157"/>
      <c r="F37" s="157"/>
      <c r="N37" s="4"/>
    </row>
    <row r="38" ht="15.6" spans="1:14">
      <c r="A38" s="251">
        <v>44505</v>
      </c>
      <c r="B38" s="252">
        <v>71.07</v>
      </c>
      <c r="C38" s="239" t="s">
        <v>67</v>
      </c>
      <c r="D38" s="239"/>
      <c r="E38" s="157">
        <v>0</v>
      </c>
      <c r="F38" s="157">
        <v>41682</v>
      </c>
      <c r="N38" s="4"/>
    </row>
    <row r="39" ht="15.6" spans="1:14">
      <c r="A39" s="251">
        <v>44506</v>
      </c>
      <c r="B39" s="252">
        <v>33.07</v>
      </c>
      <c r="C39" s="157"/>
      <c r="D39" s="157"/>
      <c r="E39" s="157"/>
      <c r="F39" s="157"/>
      <c r="N39" s="4"/>
    </row>
    <row r="40" ht="15.6" spans="1:14">
      <c r="A40" s="251">
        <v>44507</v>
      </c>
      <c r="B40" s="252">
        <v>64.11</v>
      </c>
      <c r="C40" s="239" t="s">
        <v>68</v>
      </c>
      <c r="D40" s="239">
        <f>C33+D33+E33+F33</f>
        <v>140</v>
      </c>
      <c r="E40" s="239" t="s">
        <v>69</v>
      </c>
      <c r="F40" s="239">
        <f>C34+D34+E34+F34</f>
        <v>95</v>
      </c>
      <c r="N40" s="4"/>
    </row>
    <row r="41" spans="1:6">
      <c r="A41" s="76" t="s">
        <v>60</v>
      </c>
      <c r="B41" s="76" t="s">
        <v>61</v>
      </c>
      <c r="C41" s="76">
        <f>C11</f>
        <v>2</v>
      </c>
      <c r="D41" s="76">
        <f>E11</f>
        <v>1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5</v>
      </c>
      <c r="D42" s="76">
        <v>0</v>
      </c>
      <c r="E42" s="76">
        <v>0</v>
      </c>
      <c r="F42" s="76">
        <v>0</v>
      </c>
    </row>
    <row r="43" ht="19.95" customHeight="1" spans="1:6">
      <c r="A43" s="254" t="str">
        <f>"ZCB1-19累计完成产值"&amp;E6&amp;"万元，占总产值90284.4万元的"&amp;I5&amp;"，
100章临建完成"&amp;C7&amp;"万元，400章桥梁完成"&amp;D7&amp;"万元。"</f>
        <v>ZCB1-19累计完成产值6704.9万元，占总产值90284.4万元的7.43%，
100章临建完成5481.78万元，400章桥梁完成1223.12万元。</v>
      </c>
      <c r="B43" s="254"/>
      <c r="C43" s="254"/>
      <c r="D43" s="254"/>
      <c r="E43" s="254"/>
      <c r="F43" s="254"/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/>
  <dimension ref="A1:N46"/>
  <sheetViews>
    <sheetView view="pageBreakPreview" zoomScale="80" zoomScaleNormal="100" topLeftCell="A16" workbookViewId="0">
      <selection activeCell="C34" sqref="C34:F3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37" t="s">
        <v>72</v>
      </c>
      <c r="B1" s="238"/>
      <c r="C1" s="238"/>
      <c r="D1" s="238"/>
      <c r="E1" s="238"/>
      <c r="F1" s="238"/>
      <c r="G1" s="3"/>
      <c r="H1" s="3"/>
      <c r="I1" s="4"/>
      <c r="J1" s="4"/>
      <c r="K1" s="3"/>
      <c r="L1" s="3"/>
    </row>
    <row r="2" ht="15" customHeight="1" spans="1:12">
      <c r="A2" s="239" t="s">
        <v>1</v>
      </c>
      <c r="B2" s="239" t="s">
        <v>2</v>
      </c>
      <c r="C2" s="240" t="s">
        <v>3</v>
      </c>
      <c r="D2" s="240" t="s">
        <v>4</v>
      </c>
      <c r="E2" s="239" t="s">
        <v>5</v>
      </c>
      <c r="F2" s="239" t="s">
        <v>6</v>
      </c>
      <c r="I2"/>
      <c r="J2"/>
      <c r="K2" s="3"/>
      <c r="L2" s="3"/>
    </row>
    <row r="3" ht="15" customHeight="1" spans="1:12">
      <c r="A3" s="241">
        <v>44508</v>
      </c>
      <c r="B3" s="157" t="s">
        <v>7</v>
      </c>
      <c r="C3" s="157">
        <v>1</v>
      </c>
      <c r="D3" s="157">
        <f>ROUND(D11+F11,2)</f>
        <v>30.56</v>
      </c>
      <c r="E3" s="242">
        <f>ROUND(C5+D5,2)</f>
        <v>63.29</v>
      </c>
      <c r="F3" s="243" t="s">
        <v>86</v>
      </c>
      <c r="I3"/>
      <c r="J3"/>
      <c r="K3" s="3"/>
      <c r="L3" s="3"/>
    </row>
    <row r="4" ht="15" customHeight="1" spans="1:12">
      <c r="A4" s="157"/>
      <c r="B4" s="157" t="s">
        <v>9</v>
      </c>
      <c r="C4" s="157">
        <v>1</v>
      </c>
      <c r="D4" s="157">
        <f>ROUND(D12+F12,2)</f>
        <v>30.73</v>
      </c>
      <c r="E4" s="242"/>
      <c r="F4" s="244"/>
      <c r="I4"/>
      <c r="J4"/>
      <c r="K4" s="3"/>
      <c r="L4" s="3"/>
    </row>
    <row r="5" ht="15" customHeight="1" spans="1:12">
      <c r="A5" s="157"/>
      <c r="B5" s="239" t="s">
        <v>10</v>
      </c>
      <c r="C5" s="157">
        <f>SUM(C3:C4)</f>
        <v>2</v>
      </c>
      <c r="D5" s="157">
        <f>SUM(D3:D4)</f>
        <v>61.29</v>
      </c>
      <c r="E5" s="242"/>
      <c r="F5" s="244"/>
      <c r="I5" t="str">
        <f>ROUND(E6/90284.4*100,2)&amp;"%"</f>
        <v>7.5%</v>
      </c>
      <c r="J5"/>
      <c r="K5" s="3"/>
      <c r="L5" s="3"/>
    </row>
    <row r="6" ht="60" customHeight="1" spans="1:12">
      <c r="A6" s="157"/>
      <c r="B6" s="239" t="s">
        <v>11</v>
      </c>
      <c r="C6" s="245">
        <v>5483.78</v>
      </c>
      <c r="D6" s="245">
        <v>1284.41</v>
      </c>
      <c r="E6" s="239">
        <f>ROUND(C6+D6,2)</f>
        <v>6768.19</v>
      </c>
      <c r="F6" s="244"/>
      <c r="I6"/>
      <c r="J6"/>
      <c r="K6" s="3"/>
      <c r="L6" s="3"/>
    </row>
    <row r="7" ht="60" customHeight="1" spans="1:12">
      <c r="A7" s="157"/>
      <c r="B7" s="239" t="s">
        <v>12</v>
      </c>
      <c r="C7" s="245">
        <v>5483.78</v>
      </c>
      <c r="D7" s="245">
        <v>1284.41</v>
      </c>
      <c r="E7" s="239">
        <f>ROUND(C7+D7,2)</f>
        <v>6768.19</v>
      </c>
      <c r="F7" s="244"/>
      <c r="I7"/>
      <c r="J7"/>
      <c r="K7" s="3"/>
      <c r="L7" s="3"/>
    </row>
    <row r="8" ht="30" customHeight="1" spans="1:12">
      <c r="A8" s="238" t="s">
        <v>13</v>
      </c>
      <c r="B8" s="238"/>
      <c r="C8" s="238"/>
      <c r="D8" s="238"/>
      <c r="E8" s="238"/>
      <c r="F8" s="238"/>
      <c r="I8"/>
      <c r="J8"/>
      <c r="K8" s="3"/>
      <c r="L8" s="3"/>
    </row>
    <row r="9" ht="15" customHeight="1" spans="1:11">
      <c r="A9" s="239" t="s">
        <v>1</v>
      </c>
      <c r="B9" s="239" t="s">
        <v>2</v>
      </c>
      <c r="C9" s="246" t="s">
        <v>14</v>
      </c>
      <c r="D9" s="246"/>
      <c r="E9" s="246" t="s">
        <v>15</v>
      </c>
      <c r="F9" s="246"/>
      <c r="I9" s="4"/>
      <c r="J9" s="4"/>
      <c r="K9" s="3"/>
    </row>
    <row r="10" ht="15" customHeight="1" spans="1:11">
      <c r="A10" s="239"/>
      <c r="B10" s="239"/>
      <c r="C10" s="246" t="s">
        <v>16</v>
      </c>
      <c r="D10" s="246" t="s">
        <v>17</v>
      </c>
      <c r="E10" s="246" t="s">
        <v>16</v>
      </c>
      <c r="F10" s="246" t="s">
        <v>17</v>
      </c>
      <c r="I10" s="4"/>
      <c r="J10" s="4"/>
      <c r="K10" s="3"/>
    </row>
    <row r="11" ht="15" customHeight="1" spans="1:12">
      <c r="A11" s="241">
        <v>44508</v>
      </c>
      <c r="B11" s="157" t="s">
        <v>7</v>
      </c>
      <c r="C11" s="247">
        <v>2</v>
      </c>
      <c r="D11" s="248">
        <v>15.28</v>
      </c>
      <c r="E11" s="247">
        <v>1</v>
      </c>
      <c r="F11" s="248">
        <v>15.28</v>
      </c>
      <c r="I11" s="4"/>
      <c r="J11" s="4"/>
      <c r="K11" s="3"/>
      <c r="L11" s="3"/>
    </row>
    <row r="12" ht="15" customHeight="1" spans="1:6">
      <c r="A12" s="157"/>
      <c r="B12" s="157" t="s">
        <v>9</v>
      </c>
      <c r="C12" s="247">
        <v>4</v>
      </c>
      <c r="D12" s="248">
        <v>30.73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6</v>
      </c>
      <c r="D13" s="248">
        <f>ROUND(D11+D12,2)</f>
        <v>46.01</v>
      </c>
      <c r="E13" s="247">
        <f t="shared" ref="E13" si="0">E11+E12</f>
        <v>1</v>
      </c>
      <c r="F13" s="248">
        <f>ROUND(F11+F12,2)</f>
        <v>15.28</v>
      </c>
    </row>
    <row r="14" ht="30" customHeight="1" spans="1:6">
      <c r="A14" s="157"/>
      <c r="B14" s="239" t="s">
        <v>5</v>
      </c>
      <c r="C14" s="238">
        <f>D13+F13</f>
        <v>61.29</v>
      </c>
      <c r="D14" s="238"/>
      <c r="E14" s="238"/>
      <c r="F14" s="238"/>
    </row>
    <row r="15" spans="1:6">
      <c r="A15" s="157"/>
      <c r="B15" s="157"/>
      <c r="C15" s="157"/>
      <c r="D15" s="157"/>
      <c r="E15" s="157"/>
      <c r="F15" s="157"/>
    </row>
    <row r="16" spans="1:6">
      <c r="A16" s="157"/>
      <c r="B16" s="157" t="s">
        <v>20</v>
      </c>
      <c r="C16" s="157"/>
      <c r="D16" s="157"/>
      <c r="E16" s="157"/>
      <c r="F16" s="157"/>
    </row>
    <row r="17" spans="1:8">
      <c r="A17" s="157"/>
      <c r="B17" s="157"/>
      <c r="C17" s="249"/>
      <c r="D17" s="249"/>
      <c r="E17" s="249"/>
      <c r="F17" s="249"/>
      <c r="G17"/>
      <c r="H17"/>
    </row>
    <row r="18" spans="1:8">
      <c r="A18" s="157"/>
      <c r="B18" s="157"/>
      <c r="C18" s="249"/>
      <c r="D18" s="249"/>
      <c r="E18" s="249"/>
      <c r="F18" s="249"/>
      <c r="G18"/>
      <c r="H18"/>
    </row>
    <row r="19" spans="1:8">
      <c r="A19" s="157"/>
      <c r="B19" s="157"/>
      <c r="C19" s="249"/>
      <c r="D19" s="249"/>
      <c r="E19" s="249"/>
      <c r="F19" s="249"/>
      <c r="G19"/>
      <c r="H19"/>
    </row>
    <row r="20" spans="1:8">
      <c r="A20" s="157"/>
      <c r="B20" s="157"/>
      <c r="C20" s="249"/>
      <c r="D20" s="249"/>
      <c r="E20" s="249"/>
      <c r="F20" s="249"/>
      <c r="G20"/>
      <c r="H20"/>
    </row>
    <row r="21" spans="1:8">
      <c r="A21" s="157"/>
      <c r="B21" s="157"/>
      <c r="C21" s="249"/>
      <c r="D21" s="249"/>
      <c r="E21" s="249"/>
      <c r="F21" s="249"/>
      <c r="G21"/>
      <c r="H21"/>
    </row>
    <row r="22" spans="1:8">
      <c r="A22" s="157"/>
      <c r="B22" s="157"/>
      <c r="C22" s="249"/>
      <c r="D22" s="249"/>
      <c r="E22" s="249"/>
      <c r="F22" s="249"/>
      <c r="G22"/>
      <c r="H22"/>
    </row>
    <row r="23" spans="1:6">
      <c r="A23" s="250" t="s">
        <v>74</v>
      </c>
      <c r="B23" s="157">
        <f>C33+D33</f>
        <v>87</v>
      </c>
      <c r="C23" s="250" t="s">
        <v>75</v>
      </c>
      <c r="D23" s="157">
        <f>C34+D34</f>
        <v>60</v>
      </c>
      <c r="E23" s="157"/>
      <c r="F23" s="157"/>
    </row>
    <row r="24" spans="1:6">
      <c r="A24" s="250" t="s">
        <v>76</v>
      </c>
      <c r="B24" s="157">
        <f>E33+F33</f>
        <v>60</v>
      </c>
      <c r="C24" s="250" t="s">
        <v>77</v>
      </c>
      <c r="D24" s="157">
        <f>E34+F34</f>
        <v>35</v>
      </c>
      <c r="E24" s="157"/>
      <c r="F24" s="157"/>
    </row>
    <row r="25" spans="1:6">
      <c r="A25" s="250" t="s">
        <v>78</v>
      </c>
      <c r="B25" s="157">
        <f>B26-B23-B24</f>
        <v>5633</v>
      </c>
      <c r="C25" s="250" t="s">
        <v>79</v>
      </c>
      <c r="D25" s="157">
        <f>D26-D23-D24</f>
        <v>5685</v>
      </c>
      <c r="E25" s="157"/>
      <c r="F25" s="157"/>
    </row>
    <row r="26" spans="1:6">
      <c r="A26" s="250" t="s">
        <v>80</v>
      </c>
      <c r="B26" s="157">
        <v>5780</v>
      </c>
      <c r="C26" s="250" t="s">
        <v>81</v>
      </c>
      <c r="D26" s="157">
        <v>5780</v>
      </c>
      <c r="E26" s="157"/>
      <c r="F26" s="157"/>
    </row>
    <row r="27" spans="1:6">
      <c r="A27" s="157"/>
      <c r="B27" s="157"/>
      <c r="C27" s="157"/>
      <c r="D27" s="157"/>
      <c r="E27" s="157"/>
      <c r="F27" s="157"/>
    </row>
    <row r="28" spans="1:6">
      <c r="A28" s="157"/>
      <c r="B28" s="157"/>
      <c r="C28" s="157"/>
      <c r="D28" s="157"/>
      <c r="E28" s="157"/>
      <c r="F28" s="157"/>
    </row>
    <row r="29" spans="1:6">
      <c r="A29" s="157"/>
      <c r="B29" s="157"/>
      <c r="C29" s="157"/>
      <c r="D29" s="157"/>
      <c r="E29" s="157"/>
      <c r="F29" s="157"/>
    </row>
    <row r="30" ht="19.95" customHeight="1" spans="1:14">
      <c r="A30" s="239" t="s">
        <v>30</v>
      </c>
      <c r="B30" s="239"/>
      <c r="C30" s="239" t="s">
        <v>59</v>
      </c>
      <c r="D30" s="157"/>
      <c r="E30" s="157"/>
      <c r="F30" s="157"/>
      <c r="N30" s="4"/>
    </row>
    <row r="31" ht="15.6" spans="1:14">
      <c r="A31" s="251">
        <v>44499</v>
      </c>
      <c r="B31" s="252">
        <v>38.55</v>
      </c>
      <c r="C31" s="253" t="s">
        <v>32</v>
      </c>
      <c r="D31" s="253"/>
      <c r="E31" s="253" t="s">
        <v>33</v>
      </c>
      <c r="F31" s="253"/>
      <c r="N31" s="4"/>
    </row>
    <row r="32" ht="15.6" spans="1:14">
      <c r="A32" s="251">
        <v>44500</v>
      </c>
      <c r="B32" s="252">
        <v>48.67</v>
      </c>
      <c r="C32" s="238" t="s">
        <v>14</v>
      </c>
      <c r="D32" s="238" t="s">
        <v>15</v>
      </c>
      <c r="E32" s="238" t="s">
        <v>14</v>
      </c>
      <c r="F32" s="238" t="s">
        <v>15</v>
      </c>
      <c r="N32" s="4"/>
    </row>
    <row r="33" ht="15.6" spans="1:14">
      <c r="A33" s="251">
        <v>44501</v>
      </c>
      <c r="B33" s="252">
        <v>31.25</v>
      </c>
      <c r="C33" s="157">
        <v>69</v>
      </c>
      <c r="D33" s="157">
        <v>18</v>
      </c>
      <c r="E33" s="157">
        <v>60</v>
      </c>
      <c r="F33" s="157">
        <v>0</v>
      </c>
      <c r="N33" s="4"/>
    </row>
    <row r="34" ht="15.6" spans="1:14">
      <c r="A34" s="251">
        <v>44502</v>
      </c>
      <c r="B34" s="252">
        <v>31.89</v>
      </c>
      <c r="C34" s="157">
        <v>50</v>
      </c>
      <c r="D34" s="157">
        <v>10</v>
      </c>
      <c r="E34" s="157">
        <v>35</v>
      </c>
      <c r="F34" s="157">
        <v>0</v>
      </c>
      <c r="N34" s="4"/>
    </row>
    <row r="35" ht="15.6" spans="1:14">
      <c r="A35" s="251">
        <v>44503</v>
      </c>
      <c r="B35" s="252">
        <v>38.55</v>
      </c>
      <c r="C35" s="157"/>
      <c r="D35" s="157"/>
      <c r="E35" s="157"/>
      <c r="F35" s="157"/>
      <c r="N35" s="4"/>
    </row>
    <row r="36" ht="15.6" spans="1:14">
      <c r="A36" s="251">
        <v>44504</v>
      </c>
      <c r="B36" s="252">
        <v>39.66</v>
      </c>
      <c r="C36" s="157"/>
      <c r="D36" s="157"/>
      <c r="E36" s="157"/>
      <c r="F36" s="157"/>
      <c r="N36" s="4"/>
    </row>
    <row r="37" ht="15.6" spans="1:14">
      <c r="A37" s="251">
        <v>44505</v>
      </c>
      <c r="B37" s="252">
        <v>71.07</v>
      </c>
      <c r="C37" s="157"/>
      <c r="D37" s="157"/>
      <c r="E37" s="157"/>
      <c r="F37" s="157"/>
      <c r="N37" s="4"/>
    </row>
    <row r="38" ht="15.6" spans="1:14">
      <c r="A38" s="251">
        <v>44506</v>
      </c>
      <c r="B38" s="252">
        <v>33.07</v>
      </c>
      <c r="C38" s="239" t="s">
        <v>67</v>
      </c>
      <c r="D38" s="239"/>
      <c r="E38" s="157">
        <v>0</v>
      </c>
      <c r="F38" s="157">
        <v>41682</v>
      </c>
      <c r="N38" s="4"/>
    </row>
    <row r="39" ht="15.6" spans="1:14">
      <c r="A39" s="251">
        <v>44507</v>
      </c>
      <c r="B39" s="252">
        <v>64.11</v>
      </c>
      <c r="C39" s="157"/>
      <c r="D39" s="157"/>
      <c r="E39" s="157"/>
      <c r="F39" s="157"/>
      <c r="N39" s="4"/>
    </row>
    <row r="40" ht="15.6" spans="1:14">
      <c r="A40" s="251">
        <v>44508</v>
      </c>
      <c r="B40" s="252">
        <v>63.29</v>
      </c>
      <c r="C40" s="239" t="s">
        <v>68</v>
      </c>
      <c r="D40" s="239">
        <f>C33+D33+E33+F33</f>
        <v>147</v>
      </c>
      <c r="E40" s="239" t="s">
        <v>69</v>
      </c>
      <c r="F40" s="239">
        <f>C34+D34+E34+F34</f>
        <v>95</v>
      </c>
      <c r="N40" s="4"/>
    </row>
    <row r="41" spans="1:6">
      <c r="A41" s="76" t="s">
        <v>60</v>
      </c>
      <c r="B41" s="76" t="s">
        <v>61</v>
      </c>
      <c r="C41" s="76">
        <f>C11</f>
        <v>2</v>
      </c>
      <c r="D41" s="76">
        <f>E11</f>
        <v>1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5</v>
      </c>
      <c r="D42" s="76">
        <v>0</v>
      </c>
      <c r="E42" s="76">
        <v>0</v>
      </c>
      <c r="F42" s="76">
        <v>0</v>
      </c>
    </row>
    <row r="43" ht="19.95" customHeight="1" spans="1:6">
      <c r="A43" s="254" t="str">
        <f>"ZCB1-19累计完成产值"&amp;E6&amp;"万元，占总产值90284.4万元的"&amp;I5&amp;"，
100章临建完成"&amp;C7&amp;"万元，400章桥梁完成"&amp;D7&amp;"万元。"</f>
        <v>ZCB1-19累计完成产值6768.19万元，占总产值90284.4万元的7.5%，
100章临建完成5483.78万元，400章桥梁完成1284.41万元。</v>
      </c>
      <c r="B43" s="254"/>
      <c r="C43" s="254"/>
      <c r="D43" s="254"/>
      <c r="E43" s="254"/>
      <c r="F43" s="254"/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/>
  <dimension ref="A1:N46"/>
  <sheetViews>
    <sheetView view="pageBreakPreview" zoomScale="80" zoomScaleNormal="100" workbookViewId="0">
      <selection activeCell="K27" sqref="K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237" t="s">
        <v>72</v>
      </c>
      <c r="B1" s="238"/>
      <c r="C1" s="238"/>
      <c r="D1" s="238"/>
      <c r="E1" s="238"/>
      <c r="F1" s="238"/>
      <c r="G1" s="3"/>
      <c r="H1" s="3"/>
      <c r="I1" s="4"/>
      <c r="J1" s="4"/>
      <c r="K1" s="3"/>
      <c r="L1" s="3"/>
    </row>
    <row r="2" ht="15" customHeight="1" spans="1:12">
      <c r="A2" s="239" t="s">
        <v>1</v>
      </c>
      <c r="B2" s="239" t="s">
        <v>2</v>
      </c>
      <c r="C2" s="240" t="s">
        <v>3</v>
      </c>
      <c r="D2" s="240" t="s">
        <v>4</v>
      </c>
      <c r="E2" s="239" t="s">
        <v>5</v>
      </c>
      <c r="F2" s="239" t="s">
        <v>6</v>
      </c>
      <c r="I2"/>
      <c r="J2"/>
      <c r="K2" s="3"/>
      <c r="L2" s="3"/>
    </row>
    <row r="3" ht="15" customHeight="1" spans="1:12">
      <c r="A3" s="241">
        <v>44509</v>
      </c>
      <c r="B3" s="157" t="s">
        <v>7</v>
      </c>
      <c r="C3" s="157">
        <v>1</v>
      </c>
      <c r="D3" s="157">
        <f>ROUND(D11+F11,2)</f>
        <v>31.22</v>
      </c>
      <c r="E3" s="242">
        <f>ROUND(C5+D5,2)</f>
        <v>63.95</v>
      </c>
      <c r="F3" s="243" t="s">
        <v>87</v>
      </c>
      <c r="I3"/>
      <c r="J3"/>
      <c r="K3" s="3"/>
      <c r="L3" s="3"/>
    </row>
    <row r="4" ht="15" customHeight="1" spans="1:12">
      <c r="A4" s="157"/>
      <c r="B4" s="157" t="s">
        <v>9</v>
      </c>
      <c r="C4" s="157">
        <v>1</v>
      </c>
      <c r="D4" s="157">
        <f>ROUND(D12+F12,2)</f>
        <v>30.73</v>
      </c>
      <c r="E4" s="242"/>
      <c r="F4" s="244"/>
      <c r="I4"/>
      <c r="J4"/>
      <c r="K4" s="3"/>
      <c r="L4" s="3"/>
    </row>
    <row r="5" ht="15" customHeight="1" spans="1:12">
      <c r="A5" s="157"/>
      <c r="B5" s="239" t="s">
        <v>10</v>
      </c>
      <c r="C5" s="157">
        <f>SUM(C3:C4)</f>
        <v>2</v>
      </c>
      <c r="D5" s="157">
        <f>SUM(D3:D4)</f>
        <v>61.95</v>
      </c>
      <c r="E5" s="242"/>
      <c r="F5" s="244"/>
      <c r="I5" t="str">
        <f>ROUND(E6/90284.4*100,2)&amp;"%"</f>
        <v>7.57%</v>
      </c>
      <c r="J5"/>
      <c r="K5" s="3"/>
      <c r="L5" s="3"/>
    </row>
    <row r="6" ht="60" customHeight="1" spans="1:12">
      <c r="A6" s="157"/>
      <c r="B6" s="239" t="s">
        <v>11</v>
      </c>
      <c r="C6" s="245">
        <v>5485.78</v>
      </c>
      <c r="D6" s="245">
        <v>1346.36</v>
      </c>
      <c r="E6" s="239">
        <f>ROUND(C6+D6,2)</f>
        <v>6832.14</v>
      </c>
      <c r="F6" s="244"/>
      <c r="I6"/>
      <c r="J6"/>
      <c r="K6" s="3"/>
      <c r="L6" s="3"/>
    </row>
    <row r="7" ht="60" customHeight="1" spans="1:12">
      <c r="A7" s="157"/>
      <c r="B7" s="239" t="s">
        <v>12</v>
      </c>
      <c r="C7" s="245">
        <v>5485.78</v>
      </c>
      <c r="D7" s="245">
        <v>1346.36</v>
      </c>
      <c r="E7" s="239">
        <f>ROUND(C7+D7,2)</f>
        <v>6832.14</v>
      </c>
      <c r="F7" s="244"/>
      <c r="I7"/>
      <c r="J7"/>
      <c r="K7" s="3"/>
      <c r="L7" s="3"/>
    </row>
    <row r="8" ht="30" customHeight="1" spans="1:12">
      <c r="A8" s="238" t="s">
        <v>13</v>
      </c>
      <c r="B8" s="238"/>
      <c r="C8" s="238"/>
      <c r="D8" s="238"/>
      <c r="E8" s="238"/>
      <c r="F8" s="238"/>
      <c r="I8"/>
      <c r="J8"/>
      <c r="K8" s="3"/>
      <c r="L8" s="3"/>
    </row>
    <row r="9" ht="15" customHeight="1" spans="1:11">
      <c r="A9" s="239" t="s">
        <v>1</v>
      </c>
      <c r="B9" s="239" t="s">
        <v>2</v>
      </c>
      <c r="C9" s="246" t="s">
        <v>14</v>
      </c>
      <c r="D9" s="246"/>
      <c r="E9" s="246" t="s">
        <v>15</v>
      </c>
      <c r="F9" s="246"/>
      <c r="I9" s="4"/>
      <c r="J9" s="4"/>
      <c r="K9" s="3"/>
    </row>
    <row r="10" ht="15" customHeight="1" spans="1:11">
      <c r="A10" s="239"/>
      <c r="B10" s="239"/>
      <c r="C10" s="246" t="s">
        <v>16</v>
      </c>
      <c r="D10" s="246" t="s">
        <v>17</v>
      </c>
      <c r="E10" s="246" t="s">
        <v>16</v>
      </c>
      <c r="F10" s="246" t="s">
        <v>17</v>
      </c>
      <c r="I10" s="4"/>
      <c r="J10" s="4"/>
      <c r="K10" s="3"/>
    </row>
    <row r="11" ht="15" customHeight="1" spans="1:12">
      <c r="A11" s="241">
        <v>44509</v>
      </c>
      <c r="B11" s="157" t="s">
        <v>7</v>
      </c>
      <c r="C11" s="247">
        <v>4</v>
      </c>
      <c r="D11" s="248">
        <v>31.219</v>
      </c>
      <c r="E11" s="247">
        <v>0</v>
      </c>
      <c r="F11" s="248">
        <v>0</v>
      </c>
      <c r="I11" s="4"/>
      <c r="J11" s="4"/>
      <c r="K11" s="3"/>
      <c r="L11" s="3"/>
    </row>
    <row r="12" ht="15" customHeight="1" spans="1:6">
      <c r="A12" s="157"/>
      <c r="B12" s="157" t="s">
        <v>9</v>
      </c>
      <c r="C12" s="247">
        <v>4</v>
      </c>
      <c r="D12" s="248">
        <v>30.73</v>
      </c>
      <c r="E12" s="247">
        <v>0</v>
      </c>
      <c r="F12" s="248">
        <v>0</v>
      </c>
    </row>
    <row r="13" ht="15" customHeight="1" spans="1:6">
      <c r="A13" s="157"/>
      <c r="B13" s="157" t="s">
        <v>18</v>
      </c>
      <c r="C13" s="247">
        <f>C11+C12</f>
        <v>8</v>
      </c>
      <c r="D13" s="248">
        <f>ROUND(D11+D12,2)</f>
        <v>61.95</v>
      </c>
      <c r="E13" s="247">
        <f t="shared" ref="E13" si="0">E11+E12</f>
        <v>0</v>
      </c>
      <c r="F13" s="248">
        <f>ROUND(F11+F12,2)</f>
        <v>0</v>
      </c>
    </row>
    <row r="14" ht="30" customHeight="1" spans="1:6">
      <c r="A14" s="157"/>
      <c r="B14" s="239" t="s">
        <v>5</v>
      </c>
      <c r="C14" s="238">
        <f>D13+F13</f>
        <v>61.95</v>
      </c>
      <c r="D14" s="238"/>
      <c r="E14" s="238"/>
      <c r="F14" s="238"/>
    </row>
    <row r="15" spans="1:6">
      <c r="A15" s="157"/>
      <c r="B15" s="157"/>
      <c r="C15" s="157"/>
      <c r="D15" s="157"/>
      <c r="E15" s="157"/>
      <c r="F15" s="157"/>
    </row>
    <row r="16" spans="1:6">
      <c r="A16" s="157"/>
      <c r="B16" s="157" t="s">
        <v>20</v>
      </c>
      <c r="C16" s="157"/>
      <c r="D16" s="157"/>
      <c r="E16" s="157"/>
      <c r="F16" s="157"/>
    </row>
    <row r="17" spans="1:8">
      <c r="A17" s="157"/>
      <c r="B17" s="157"/>
      <c r="C17" s="249"/>
      <c r="D17" s="249"/>
      <c r="E17" s="249"/>
      <c r="F17" s="249"/>
      <c r="G17"/>
      <c r="H17"/>
    </row>
    <row r="18" spans="1:8">
      <c r="A18" s="157"/>
      <c r="B18" s="157"/>
      <c r="C18" s="249"/>
      <c r="D18" s="249"/>
      <c r="E18" s="249"/>
      <c r="F18" s="249"/>
      <c r="G18"/>
      <c r="H18"/>
    </row>
    <row r="19" spans="1:8">
      <c r="A19" s="157"/>
      <c r="B19" s="157"/>
      <c r="C19" s="249"/>
      <c r="D19" s="249"/>
      <c r="E19" s="249"/>
      <c r="F19" s="249"/>
      <c r="G19"/>
      <c r="H19"/>
    </row>
    <row r="20" spans="1:8">
      <c r="A20" s="157"/>
      <c r="B20" s="157"/>
      <c r="C20" s="249"/>
      <c r="D20" s="249"/>
      <c r="E20" s="249"/>
      <c r="F20" s="249"/>
      <c r="G20"/>
      <c r="H20"/>
    </row>
    <row r="21" spans="1:8">
      <c r="A21" s="157"/>
      <c r="B21" s="157"/>
      <c r="C21" s="249"/>
      <c r="D21" s="249"/>
      <c r="E21" s="249"/>
      <c r="F21" s="249"/>
      <c r="G21"/>
      <c r="H21"/>
    </row>
    <row r="22" spans="1:8">
      <c r="A22" s="157"/>
      <c r="B22" s="157"/>
      <c r="C22" s="249"/>
      <c r="D22" s="249"/>
      <c r="E22" s="249"/>
      <c r="F22" s="249"/>
      <c r="G22"/>
      <c r="H22"/>
    </row>
    <row r="23" spans="1:6">
      <c r="A23" s="250" t="s">
        <v>74</v>
      </c>
      <c r="B23" s="157">
        <f>C33+D33</f>
        <v>91</v>
      </c>
      <c r="C23" s="250" t="s">
        <v>75</v>
      </c>
      <c r="D23" s="157">
        <f>C34+D34</f>
        <v>63</v>
      </c>
      <c r="E23" s="157"/>
      <c r="F23" s="157"/>
    </row>
    <row r="24" spans="1:6">
      <c r="A24" s="250" t="s">
        <v>76</v>
      </c>
      <c r="B24" s="157">
        <f>E33+F33</f>
        <v>64</v>
      </c>
      <c r="C24" s="250" t="s">
        <v>77</v>
      </c>
      <c r="D24" s="157">
        <f>E34+F34</f>
        <v>35</v>
      </c>
      <c r="E24" s="157"/>
      <c r="F24" s="157"/>
    </row>
    <row r="25" spans="1:6">
      <c r="A25" s="250" t="s">
        <v>78</v>
      </c>
      <c r="B25" s="157">
        <f>B26-B23-B24</f>
        <v>5625</v>
      </c>
      <c r="C25" s="250" t="s">
        <v>79</v>
      </c>
      <c r="D25" s="157">
        <f>D26-D23-D24</f>
        <v>5682</v>
      </c>
      <c r="E25" s="157"/>
      <c r="F25" s="157"/>
    </row>
    <row r="26" spans="1:6">
      <c r="A26" s="250" t="s">
        <v>80</v>
      </c>
      <c r="B26" s="157">
        <v>5780</v>
      </c>
      <c r="C26" s="250" t="s">
        <v>81</v>
      </c>
      <c r="D26" s="157">
        <v>5780</v>
      </c>
      <c r="E26" s="157"/>
      <c r="F26" s="157"/>
    </row>
    <row r="27" spans="1:6">
      <c r="A27" s="157"/>
      <c r="B27" s="157"/>
      <c r="C27" s="157"/>
      <c r="D27" s="157"/>
      <c r="E27" s="157"/>
      <c r="F27" s="157"/>
    </row>
    <row r="28" spans="1:6">
      <c r="A28" s="157"/>
      <c r="B28" s="157"/>
      <c r="C28" s="157"/>
      <c r="D28" s="157"/>
      <c r="E28" s="157"/>
      <c r="F28" s="157"/>
    </row>
    <row r="29" spans="1:6">
      <c r="A29" s="157"/>
      <c r="B29" s="157"/>
      <c r="C29" s="157"/>
      <c r="D29" s="157"/>
      <c r="E29" s="157"/>
      <c r="F29" s="157"/>
    </row>
    <row r="30" ht="19.95" customHeight="1" spans="1:14">
      <c r="A30" s="239" t="s">
        <v>30</v>
      </c>
      <c r="B30" s="239"/>
      <c r="C30" s="239" t="s">
        <v>59</v>
      </c>
      <c r="D30" s="157"/>
      <c r="E30" s="157"/>
      <c r="F30" s="157"/>
      <c r="N30" s="4"/>
    </row>
    <row r="31" ht="15.6" spans="1:14">
      <c r="A31" s="251">
        <v>44500</v>
      </c>
      <c r="B31" s="252">
        <v>48.67</v>
      </c>
      <c r="C31" s="253" t="s">
        <v>32</v>
      </c>
      <c r="D31" s="253"/>
      <c r="E31" s="253" t="s">
        <v>33</v>
      </c>
      <c r="F31" s="253"/>
      <c r="N31" s="4"/>
    </row>
    <row r="32" ht="15.6" spans="1:14">
      <c r="A32" s="251">
        <v>44501</v>
      </c>
      <c r="B32" s="252">
        <v>31.25</v>
      </c>
      <c r="C32" s="238" t="s">
        <v>14</v>
      </c>
      <c r="D32" s="238" t="s">
        <v>15</v>
      </c>
      <c r="E32" s="238" t="s">
        <v>14</v>
      </c>
      <c r="F32" s="238" t="s">
        <v>15</v>
      </c>
      <c r="N32" s="4"/>
    </row>
    <row r="33" ht="15.6" spans="1:14">
      <c r="A33" s="251">
        <v>44502</v>
      </c>
      <c r="B33" s="252">
        <v>31.89</v>
      </c>
      <c r="C33" s="157">
        <v>73</v>
      </c>
      <c r="D33" s="157">
        <v>18</v>
      </c>
      <c r="E33" s="157">
        <v>64</v>
      </c>
      <c r="F33" s="157">
        <v>0</v>
      </c>
      <c r="N33" s="4"/>
    </row>
    <row r="34" ht="15.6" spans="1:14">
      <c r="A34" s="251">
        <v>44503</v>
      </c>
      <c r="B34" s="252">
        <v>38.55</v>
      </c>
      <c r="C34" s="157">
        <v>53</v>
      </c>
      <c r="D34" s="157">
        <v>10</v>
      </c>
      <c r="E34" s="157">
        <v>35</v>
      </c>
      <c r="F34" s="157">
        <v>0</v>
      </c>
      <c r="N34" s="4"/>
    </row>
    <row r="35" ht="15.6" spans="1:14">
      <c r="A35" s="251">
        <v>44504</v>
      </c>
      <c r="B35" s="252">
        <v>39.66</v>
      </c>
      <c r="C35" s="157"/>
      <c r="D35" s="157"/>
      <c r="E35" s="157"/>
      <c r="F35" s="157"/>
      <c r="N35" s="4"/>
    </row>
    <row r="36" ht="15.6" spans="1:14">
      <c r="A36" s="251">
        <v>44505</v>
      </c>
      <c r="B36" s="252">
        <v>71.07</v>
      </c>
      <c r="C36" s="157"/>
      <c r="D36" s="157"/>
      <c r="E36" s="157"/>
      <c r="F36" s="157"/>
      <c r="N36" s="4"/>
    </row>
    <row r="37" ht="15.6" spans="1:14">
      <c r="A37" s="251">
        <v>44506</v>
      </c>
      <c r="B37" s="252">
        <v>33.07</v>
      </c>
      <c r="C37" s="157"/>
      <c r="D37" s="157"/>
      <c r="E37" s="157"/>
      <c r="F37" s="157"/>
      <c r="N37" s="4"/>
    </row>
    <row r="38" ht="15.6" spans="1:14">
      <c r="A38" s="251">
        <v>44507</v>
      </c>
      <c r="B38" s="252">
        <v>64.11</v>
      </c>
      <c r="C38" s="239" t="s">
        <v>67</v>
      </c>
      <c r="D38" s="239"/>
      <c r="E38" s="157">
        <v>0</v>
      </c>
      <c r="F38" s="157">
        <v>41682</v>
      </c>
      <c r="N38" s="4"/>
    </row>
    <row r="39" ht="15.6" spans="1:14">
      <c r="A39" s="251">
        <v>44508</v>
      </c>
      <c r="B39" s="252">
        <v>63.29</v>
      </c>
      <c r="C39" s="157"/>
      <c r="D39" s="157"/>
      <c r="E39" s="157"/>
      <c r="F39" s="157"/>
      <c r="N39" s="4"/>
    </row>
    <row r="40" ht="15.6" spans="1:14">
      <c r="A40" s="251">
        <v>44509</v>
      </c>
      <c r="B40" s="252">
        <v>63.95</v>
      </c>
      <c r="C40" s="239" t="s">
        <v>68</v>
      </c>
      <c r="D40" s="239">
        <f>C33+D33+E33+F33</f>
        <v>155</v>
      </c>
      <c r="E40" s="239" t="s">
        <v>69</v>
      </c>
      <c r="F40" s="239">
        <f>C34+D34+E34+F34</f>
        <v>98</v>
      </c>
      <c r="N40" s="4"/>
    </row>
    <row r="41" spans="1:6">
      <c r="A41" s="76" t="s">
        <v>60</v>
      </c>
      <c r="B41" s="76" t="s">
        <v>61</v>
      </c>
      <c r="C41" s="76">
        <f>C11</f>
        <v>4</v>
      </c>
      <c r="D41" s="76">
        <f>E11</f>
        <v>0</v>
      </c>
      <c r="E41" s="76">
        <f>C12</f>
        <v>4</v>
      </c>
      <c r="F41" s="76">
        <f>E12</f>
        <v>0</v>
      </c>
    </row>
    <row r="42" spans="1:6">
      <c r="A42" s="76"/>
      <c r="B42" s="76" t="s">
        <v>62</v>
      </c>
      <c r="C42" s="76">
        <v>3</v>
      </c>
      <c r="D42" s="76">
        <v>0</v>
      </c>
      <c r="E42" s="76">
        <v>0</v>
      </c>
      <c r="F42" s="76">
        <v>0</v>
      </c>
    </row>
    <row r="43" ht="19.95" customHeight="1" spans="1:6">
      <c r="A43" s="254" t="str">
        <f>"ZCB1-19累计完成产值"&amp;E6&amp;"万元，占总产值90284.4万元的"&amp;I5&amp;"，
100章临建完成"&amp;C7&amp;"万元，400章桥梁完成"&amp;D7&amp;"万元。"</f>
        <v>ZCB1-19累计完成产值6832.14万元，占总产值90284.4万元的7.57%，
100章临建完成5485.78万元，400章桥梁完成1346.36万元。</v>
      </c>
      <c r="B43" s="254"/>
      <c r="C43" s="254"/>
      <c r="D43" s="254"/>
      <c r="E43" s="254"/>
      <c r="F43" s="254"/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8"/>
  <dimension ref="A1:N46"/>
  <sheetViews>
    <sheetView view="pageBreakPreview" zoomScale="80" zoomScaleNormal="100" workbookViewId="0">
      <selection activeCell="P17" sqref="P1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44510</v>
      </c>
      <c r="B3" s="35" t="s">
        <v>7</v>
      </c>
      <c r="C3" s="35">
        <v>0</v>
      </c>
      <c r="D3" s="35">
        <f>ROUND(D11+F11,2)</f>
        <v>31.06</v>
      </c>
      <c r="E3" s="219">
        <f>ROUND(C5+D5,2)</f>
        <v>54.13</v>
      </c>
      <c r="F3" s="220" t="s">
        <v>88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23.07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54.13</v>
      </c>
      <c r="E5" s="219"/>
      <c r="F5" s="221"/>
      <c r="I5" t="str">
        <f>ROUND(E6/90284.4*100,2)&amp;"%"</f>
        <v>7.63%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v>1400.49</v>
      </c>
      <c r="E6" s="48">
        <f>ROUND(C6+D6,2)</f>
        <v>6886.27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v>1400.49</v>
      </c>
      <c r="E7" s="48">
        <f>ROUND(C7+D7,2)</f>
        <v>6886.27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44510</v>
      </c>
      <c r="B11" s="35" t="s">
        <v>7</v>
      </c>
      <c r="C11" s="56">
        <v>2</v>
      </c>
      <c r="D11" s="224">
        <v>15.769</v>
      </c>
      <c r="E11" s="56">
        <v>1</v>
      </c>
      <c r="F11" s="224">
        <v>15.29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24">
        <v>23.07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5</v>
      </c>
      <c r="D13" s="224">
        <f>ROUND(D11+D12,2)</f>
        <v>38.84</v>
      </c>
      <c r="E13" s="56">
        <f t="shared" ref="E13" si="0">E11+E12</f>
        <v>1</v>
      </c>
      <c r="F13" s="224">
        <f>ROUND(F11+F12,2)</f>
        <v>15.29</v>
      </c>
    </row>
    <row r="14" ht="30" customHeight="1" spans="1:6">
      <c r="A14" s="35"/>
      <c r="B14" s="48" t="s">
        <v>5</v>
      </c>
      <c r="C14" s="40">
        <f>D13+F13</f>
        <v>54.13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94</v>
      </c>
      <c r="C23" s="94" t="s">
        <v>75</v>
      </c>
      <c r="D23" s="35">
        <f>C34+D34</f>
        <v>66</v>
      </c>
      <c r="E23" s="35"/>
      <c r="F23" s="35"/>
    </row>
    <row r="24" spans="1:6">
      <c r="A24" s="94" t="s">
        <v>76</v>
      </c>
      <c r="B24" s="35">
        <f>E33+F33</f>
        <v>67</v>
      </c>
      <c r="C24" s="94" t="s">
        <v>77</v>
      </c>
      <c r="D24" s="35">
        <f>E34+F34</f>
        <v>35</v>
      </c>
      <c r="E24" s="35"/>
      <c r="F24" s="35"/>
    </row>
    <row r="25" spans="1:6">
      <c r="A25" s="94" t="s">
        <v>78</v>
      </c>
      <c r="B25" s="35">
        <f>B26-B23-B24</f>
        <v>5619</v>
      </c>
      <c r="C25" s="94" t="s">
        <v>79</v>
      </c>
      <c r="D25" s="35">
        <f>D26-D23-D24</f>
        <v>5679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30</v>
      </c>
      <c r="B30" s="48"/>
      <c r="C30" s="48" t="s">
        <v>59</v>
      </c>
      <c r="D30" s="35"/>
      <c r="E30" s="35"/>
      <c r="F30" s="35"/>
      <c r="N30" s="4"/>
    </row>
    <row r="31" ht="15.6" spans="1:14">
      <c r="A31" s="53">
        <v>44501</v>
      </c>
      <c r="B31" s="235">
        <v>31.25</v>
      </c>
      <c r="C31" s="231" t="s">
        <v>32</v>
      </c>
      <c r="D31" s="231"/>
      <c r="E31" s="231" t="s">
        <v>33</v>
      </c>
      <c r="F31" s="231"/>
      <c r="N31" s="4"/>
    </row>
    <row r="32" ht="15.6" spans="1:14">
      <c r="A32" s="53">
        <v>44502</v>
      </c>
      <c r="B32" s="235">
        <v>31.89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44503</v>
      </c>
      <c r="B33" s="235">
        <v>38.55</v>
      </c>
      <c r="C33" s="35">
        <v>75</v>
      </c>
      <c r="D33" s="35">
        <v>19</v>
      </c>
      <c r="E33" s="35">
        <v>67</v>
      </c>
      <c r="F33" s="35">
        <v>0</v>
      </c>
      <c r="N33" s="4"/>
    </row>
    <row r="34" ht="15.6" spans="1:14">
      <c r="A34" s="53">
        <v>44504</v>
      </c>
      <c r="B34" s="235">
        <v>39.66</v>
      </c>
      <c r="C34" s="35">
        <v>56</v>
      </c>
      <c r="D34" s="35">
        <v>10</v>
      </c>
      <c r="E34" s="35">
        <v>35</v>
      </c>
      <c r="F34" s="35">
        <v>0</v>
      </c>
      <c r="N34" s="4"/>
    </row>
    <row r="35" ht="15.6" spans="1:14">
      <c r="A35" s="53">
        <v>44505</v>
      </c>
      <c r="B35" s="235">
        <v>71.07</v>
      </c>
      <c r="C35" s="35"/>
      <c r="D35" s="35"/>
      <c r="E35" s="35"/>
      <c r="F35" s="35"/>
      <c r="N35" s="4"/>
    </row>
    <row r="36" ht="15.6" spans="1:14">
      <c r="A36" s="53">
        <v>44506</v>
      </c>
      <c r="B36" s="235">
        <v>33.07</v>
      </c>
      <c r="C36" s="35"/>
      <c r="D36" s="35"/>
      <c r="E36" s="35"/>
      <c r="F36" s="35"/>
      <c r="N36" s="4"/>
    </row>
    <row r="37" ht="15.6" spans="1:14">
      <c r="A37" s="53">
        <v>44507</v>
      </c>
      <c r="B37" s="235">
        <v>64.11</v>
      </c>
      <c r="C37" s="35"/>
      <c r="D37" s="35"/>
      <c r="E37" s="35"/>
      <c r="F37" s="35"/>
      <c r="N37" s="4"/>
    </row>
    <row r="38" ht="15.6" spans="1:14">
      <c r="A38" s="53">
        <v>44508</v>
      </c>
      <c r="B38" s="235">
        <v>63.29</v>
      </c>
      <c r="C38" s="48" t="s">
        <v>67</v>
      </c>
      <c r="D38" s="48"/>
      <c r="E38" s="35">
        <v>0</v>
      </c>
      <c r="F38" s="35">
        <v>41682</v>
      </c>
      <c r="N38" s="4"/>
    </row>
    <row r="39" ht="15.6" spans="1:14">
      <c r="A39" s="53">
        <v>44509</v>
      </c>
      <c r="B39" s="235">
        <v>63.95</v>
      </c>
      <c r="C39" s="35"/>
      <c r="D39" s="35"/>
      <c r="E39" s="35"/>
      <c r="F39" s="35"/>
      <c r="N39" s="4"/>
    </row>
    <row r="40" ht="15.6" spans="1:14">
      <c r="A40" s="53">
        <v>44510</v>
      </c>
      <c r="B40" s="235">
        <v>54.13</v>
      </c>
      <c r="C40" s="48" t="s">
        <v>68</v>
      </c>
      <c r="D40" s="48">
        <f>C33+D33+E33+F33</f>
        <v>161</v>
      </c>
      <c r="E40" s="48" t="s">
        <v>69</v>
      </c>
      <c r="F40" s="48">
        <f>C34+D34+E34+F34</f>
        <v>101</v>
      </c>
      <c r="N40" s="4"/>
    </row>
    <row r="41" spans="1:6">
      <c r="A41" s="79" t="s">
        <v>60</v>
      </c>
      <c r="B41" s="79" t="s">
        <v>61</v>
      </c>
      <c r="C41" s="79">
        <f>C11</f>
        <v>2</v>
      </c>
      <c r="D41" s="79">
        <f>E11</f>
        <v>1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3</v>
      </c>
      <c r="D42" s="79">
        <v>0</v>
      </c>
      <c r="E42" s="79">
        <v>0</v>
      </c>
      <c r="F42" s="79">
        <v>0</v>
      </c>
    </row>
    <row r="43" ht="19.95" customHeight="1" spans="1:6">
      <c r="A43" s="236" t="str">
        <f>"ZCB1-19累计完成产值"&amp;E6&amp;"万元，占总产值90284.4万元的"&amp;I5&amp;"，
100章临建完成"&amp;C7&amp;"万元，400章桥梁完成"&amp;D7&amp;"万元。"</f>
        <v>ZCB1-19累计完成产值6886.27万元，占总产值90284.4万元的7.63%，
100章临建完成5485.78万元，400章桥梁完成1400.49万元。</v>
      </c>
      <c r="B43" s="236"/>
      <c r="C43" s="236"/>
      <c r="D43" s="236"/>
      <c r="E43" s="236"/>
      <c r="F43" s="236"/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ignoredErrors>
    <ignoredError sqref="D13:E13" formula="1"/>
  </ignoredError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9"/>
  <dimension ref="A1:N46"/>
  <sheetViews>
    <sheetView view="pageBreakPreview" zoomScale="80" zoomScaleNormal="100" topLeftCell="A3" workbookViewId="0">
      <selection activeCell="L15" sqref="L1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44511</v>
      </c>
      <c r="B3" s="35" t="s">
        <v>7</v>
      </c>
      <c r="C3" s="35">
        <v>0</v>
      </c>
      <c r="D3" s="35">
        <f>ROUND(D11+F11,2)</f>
        <v>23.43</v>
      </c>
      <c r="E3" s="219">
        <f>ROUND(C5+D5,2)</f>
        <v>54.16</v>
      </c>
      <c r="F3" s="220" t="s">
        <v>89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30.73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54.16</v>
      </c>
      <c r="E5" s="219"/>
      <c r="F5" s="221"/>
      <c r="I5" t="str">
        <f>ROUND(E6/90284.4*100,2)&amp;"%"</f>
        <v>7.69%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v>1454.65</v>
      </c>
      <c r="E6" s="48">
        <f>ROUND(C6+D6,2)</f>
        <v>6940.43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v>1454.65</v>
      </c>
      <c r="E7" s="48">
        <f>ROUND(C7+D7,2)</f>
        <v>6940.43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44511</v>
      </c>
      <c r="B11" s="35" t="s">
        <v>7</v>
      </c>
      <c r="C11" s="56">
        <v>3</v>
      </c>
      <c r="D11" s="224">
        <v>23.426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24">
        <v>30.73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7</v>
      </c>
      <c r="D13" s="224">
        <f>ROUND(D11+D12,2)</f>
        <v>54.16</v>
      </c>
      <c r="E13" s="56">
        <f>E11+E12</f>
        <v>0</v>
      </c>
      <c r="F13" s="224">
        <f>ROUND(F11+F12,2)</f>
        <v>0</v>
      </c>
    </row>
    <row r="14" ht="30" customHeight="1" spans="1:6">
      <c r="A14" s="35"/>
      <c r="B14" s="48" t="s">
        <v>5</v>
      </c>
      <c r="C14" s="40">
        <f>D13+F13</f>
        <v>54.16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97</v>
      </c>
      <c r="C23" s="94" t="s">
        <v>75</v>
      </c>
      <c r="D23" s="35">
        <f>C34+D34</f>
        <v>68</v>
      </c>
      <c r="E23" s="35"/>
      <c r="F23" s="35"/>
    </row>
    <row r="24" spans="1:6">
      <c r="A24" s="94" t="s">
        <v>76</v>
      </c>
      <c r="B24" s="35">
        <f>E33+F33</f>
        <v>71</v>
      </c>
      <c r="C24" s="94" t="s">
        <v>77</v>
      </c>
      <c r="D24" s="35">
        <f>E34+F34</f>
        <v>35</v>
      </c>
      <c r="E24" s="35"/>
      <c r="F24" s="35"/>
    </row>
    <row r="25" spans="1:6">
      <c r="A25" s="94" t="s">
        <v>78</v>
      </c>
      <c r="B25" s="35">
        <f>B26-B23-B24</f>
        <v>5612</v>
      </c>
      <c r="C25" s="94" t="s">
        <v>79</v>
      </c>
      <c r="D25" s="35">
        <f>D26-D23-D24</f>
        <v>5677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30</v>
      </c>
      <c r="B30" s="48"/>
      <c r="C30" s="48" t="s">
        <v>59</v>
      </c>
      <c r="D30" s="35"/>
      <c r="E30" s="35"/>
      <c r="F30" s="35"/>
      <c r="N30" s="4"/>
    </row>
    <row r="31" ht="15.6" spans="1:14">
      <c r="A31" s="53">
        <v>44502</v>
      </c>
      <c r="B31" s="235">
        <v>31.89</v>
      </c>
      <c r="C31" s="231" t="s">
        <v>32</v>
      </c>
      <c r="D31" s="231"/>
      <c r="E31" s="231" t="s">
        <v>33</v>
      </c>
      <c r="F31" s="231"/>
      <c r="N31" s="4"/>
    </row>
    <row r="32" ht="15.6" spans="1:14">
      <c r="A32" s="53">
        <v>44503</v>
      </c>
      <c r="B32" s="235">
        <v>38.55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44504</v>
      </c>
      <c r="B33" s="235">
        <v>39.66</v>
      </c>
      <c r="C33" s="35">
        <v>78</v>
      </c>
      <c r="D33" s="35">
        <v>19</v>
      </c>
      <c r="E33" s="35">
        <v>71</v>
      </c>
      <c r="F33" s="35">
        <v>0</v>
      </c>
      <c r="N33" s="4"/>
    </row>
    <row r="34" ht="15.6" spans="1:14">
      <c r="A34" s="53">
        <v>44505</v>
      </c>
      <c r="B34" s="235">
        <v>71.07</v>
      </c>
      <c r="C34" s="35">
        <v>58</v>
      </c>
      <c r="D34" s="35">
        <v>10</v>
      </c>
      <c r="E34" s="35">
        <v>35</v>
      </c>
      <c r="F34" s="35">
        <v>0</v>
      </c>
      <c r="N34" s="4"/>
    </row>
    <row r="35" ht="15.6" spans="1:14">
      <c r="A35" s="53">
        <v>44506</v>
      </c>
      <c r="B35" s="235">
        <v>33.07</v>
      </c>
      <c r="C35" s="35"/>
      <c r="D35" s="35"/>
      <c r="E35" s="35"/>
      <c r="F35" s="35"/>
      <c r="N35" s="4"/>
    </row>
    <row r="36" ht="15.6" spans="1:14">
      <c r="A36" s="53">
        <v>44507</v>
      </c>
      <c r="B36" s="235">
        <v>64.11</v>
      </c>
      <c r="C36" s="35"/>
      <c r="D36" s="35"/>
      <c r="E36" s="35"/>
      <c r="F36" s="35"/>
      <c r="N36" s="4"/>
    </row>
    <row r="37" ht="15.6" spans="1:14">
      <c r="A37" s="53">
        <v>44508</v>
      </c>
      <c r="B37" s="235">
        <v>63.29</v>
      </c>
      <c r="C37" s="35"/>
      <c r="D37" s="35"/>
      <c r="E37" s="35"/>
      <c r="F37" s="35"/>
      <c r="N37" s="4"/>
    </row>
    <row r="38" ht="15.6" spans="1:14">
      <c r="A38" s="53">
        <v>44509</v>
      </c>
      <c r="B38" s="235">
        <v>63.95</v>
      </c>
      <c r="C38" s="48" t="s">
        <v>67</v>
      </c>
      <c r="D38" s="48"/>
      <c r="E38" s="35">
        <v>0</v>
      </c>
      <c r="F38" s="35">
        <v>41682</v>
      </c>
      <c r="N38" s="4"/>
    </row>
    <row r="39" ht="15.6" spans="1:14">
      <c r="A39" s="53">
        <v>44510</v>
      </c>
      <c r="B39" s="235">
        <v>54.13</v>
      </c>
      <c r="C39" s="35"/>
      <c r="D39" s="35"/>
      <c r="E39" s="35"/>
      <c r="F39" s="35"/>
      <c r="N39" s="4"/>
    </row>
    <row r="40" ht="15.6" spans="1:14">
      <c r="A40" s="53">
        <v>44511</v>
      </c>
      <c r="B40" s="235">
        <v>54.16</v>
      </c>
      <c r="C40" s="48" t="s">
        <v>68</v>
      </c>
      <c r="D40" s="48">
        <f>C33+D33+E33+F33</f>
        <v>168</v>
      </c>
      <c r="E40" s="48" t="s">
        <v>69</v>
      </c>
      <c r="F40" s="48">
        <f>C34+D34+E34+F34</f>
        <v>103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79"/>
      <c r="B42" s="79" t="s">
        <v>62</v>
      </c>
      <c r="C42" s="79">
        <v>2</v>
      </c>
      <c r="D42" s="79">
        <v>0</v>
      </c>
      <c r="E42" s="79">
        <v>0</v>
      </c>
      <c r="F42" s="79">
        <v>0</v>
      </c>
    </row>
    <row r="43" ht="19.95" customHeight="1" spans="1:6">
      <c r="A43" s="236" t="str">
        <f>"ZCB1-19累计完成产值"&amp;E6&amp;"万元，占总产值90284.4万元的"&amp;I5&amp;"，
100章临建完成"&amp;C7&amp;"万元，400章桥梁完成"&amp;D7&amp;"万元。"</f>
        <v>ZCB1-19累计完成产值6940.43万元，占总产值90284.4万元的7.69%，
100章临建完成5485.78万元，400章桥梁完成1454.65万元。</v>
      </c>
      <c r="B43" s="236"/>
      <c r="C43" s="236"/>
      <c r="D43" s="236"/>
      <c r="E43" s="236"/>
      <c r="F43" s="236"/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orientation="portrait" verticalDpi="1200"/>
  <headerFooter/>
  <ignoredErrors>
    <ignoredError sqref="D13:E1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9"/>
  <sheetViews>
    <sheetView workbookViewId="0">
      <selection activeCell="D6" sqref="D6"/>
    </sheetView>
  </sheetViews>
  <sheetFormatPr defaultColWidth="8.88888888888889" defaultRowHeight="13.8" outlineLevelCol="5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64" t="s">
        <v>3</v>
      </c>
      <c r="D2" s="264" t="s">
        <v>4</v>
      </c>
      <c r="E2" s="48" t="s">
        <v>5</v>
      </c>
      <c r="F2" s="48" t="s">
        <v>6</v>
      </c>
    </row>
    <row r="3" ht="15" customHeight="1" spans="1:6">
      <c r="A3" s="218">
        <v>44467</v>
      </c>
      <c r="B3" s="35" t="s">
        <v>7</v>
      </c>
      <c r="C3" s="35">
        <v>1</v>
      </c>
      <c r="D3" s="35">
        <f>15.28</f>
        <v>15.28</v>
      </c>
      <c r="E3" s="35">
        <f>C5+D5</f>
        <v>16.28</v>
      </c>
      <c r="F3" s="265" t="s">
        <v>24</v>
      </c>
    </row>
    <row r="4" ht="15" customHeight="1" spans="1:6">
      <c r="A4" s="35"/>
      <c r="B4" s="35" t="s">
        <v>9</v>
      </c>
      <c r="C4" s="35">
        <v>0</v>
      </c>
      <c r="D4" s="35"/>
      <c r="E4" s="35"/>
      <c r="F4" s="266"/>
    </row>
    <row r="5" ht="15" customHeight="1" spans="1:6">
      <c r="A5" s="35"/>
      <c r="B5" s="48" t="s">
        <v>10</v>
      </c>
      <c r="C5" s="35">
        <f>SUM(C3:C4)</f>
        <v>1</v>
      </c>
      <c r="D5" s="35">
        <f>SUM(D3:D4)</f>
        <v>15.28</v>
      </c>
      <c r="E5" s="35"/>
      <c r="F5" s="266"/>
    </row>
    <row r="6" ht="15" customHeight="1" spans="1:6">
      <c r="A6" s="35"/>
      <c r="B6" s="48" t="s">
        <v>11</v>
      </c>
      <c r="C6" s="35">
        <f>E6-D6</f>
        <v>5444.78</v>
      </c>
      <c r="D6" s="35">
        <v>198.6</v>
      </c>
      <c r="E6" s="35">
        <f>5614.28+2+8.82+2+16.28</f>
        <v>5643.38</v>
      </c>
      <c r="F6" s="266"/>
    </row>
    <row r="7" ht="30.6" customHeight="1" spans="1:6">
      <c r="A7" s="35"/>
      <c r="B7" s="48" t="s">
        <v>12</v>
      </c>
      <c r="C7" s="35">
        <f>E7-D7</f>
        <v>5444.78</v>
      </c>
      <c r="D7" s="35">
        <f>183.32+15.28</f>
        <v>198.6</v>
      </c>
      <c r="E7" s="35">
        <f>5614.28+2+8.82+2+16.28</f>
        <v>5643.38</v>
      </c>
      <c r="F7" s="266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69" t="s">
        <v>14</v>
      </c>
      <c r="D9" s="269"/>
      <c r="E9" s="269" t="s">
        <v>15</v>
      </c>
      <c r="F9" s="269"/>
    </row>
    <row r="10" spans="1:6">
      <c r="A10" s="48"/>
      <c r="B10" s="48"/>
      <c r="C10" s="269" t="s">
        <v>16</v>
      </c>
      <c r="D10" s="269" t="s">
        <v>17</v>
      </c>
      <c r="E10" s="269" t="s">
        <v>16</v>
      </c>
      <c r="F10" s="269" t="s">
        <v>17</v>
      </c>
    </row>
    <row r="11" spans="1:6">
      <c r="A11" s="218">
        <v>44467</v>
      </c>
      <c r="B11" s="35" t="s">
        <v>7</v>
      </c>
      <c r="C11" s="56"/>
      <c r="D11" s="224"/>
      <c r="E11" s="56">
        <v>1</v>
      </c>
      <c r="F11" s="224">
        <v>15.28</v>
      </c>
    </row>
    <row r="12" spans="1:6">
      <c r="A12" s="35"/>
      <c r="B12" s="35" t="s">
        <v>9</v>
      </c>
      <c r="C12" s="56"/>
      <c r="D12" s="224"/>
      <c r="E12" s="56"/>
      <c r="F12" s="224"/>
    </row>
    <row r="13" spans="1:6">
      <c r="A13" s="35"/>
      <c r="B13" s="35" t="s">
        <v>18</v>
      </c>
      <c r="C13" s="56">
        <f>C11+C12</f>
        <v>0</v>
      </c>
      <c r="D13" s="224">
        <f t="shared" ref="D13:F13" si="0">D11+D12</f>
        <v>0</v>
      </c>
      <c r="E13" s="56">
        <f t="shared" si="0"/>
        <v>1</v>
      </c>
      <c r="F13" s="224">
        <f t="shared" si="0"/>
        <v>15.28</v>
      </c>
    </row>
    <row r="14" spans="1:6">
      <c r="A14" s="35"/>
      <c r="B14" s="48" t="s">
        <v>5</v>
      </c>
      <c r="C14" s="94">
        <f>D13+F13</f>
        <v>15.28</v>
      </c>
      <c r="D14" s="94"/>
      <c r="E14" s="94"/>
      <c r="F14" s="94"/>
    </row>
    <row r="16" spans="2:2">
      <c r="B16" s="3" t="s">
        <v>20</v>
      </c>
    </row>
    <row r="19" spans="4:6">
      <c r="D19" s="3">
        <v>198.6</v>
      </c>
      <c r="E19" s="3">
        <v>206.4077</v>
      </c>
      <c r="F19" s="3">
        <f>E19-D19</f>
        <v>7.80770000000001</v>
      </c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0"/>
  <dimension ref="A1:N46"/>
  <sheetViews>
    <sheetView view="pageBreakPreview" zoomScale="80" zoomScaleNormal="100" topLeftCell="A6" workbookViewId="0">
      <selection activeCell="K25" sqref="K2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9.22222222222222" style="3"/>
    <col min="8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44512</v>
      </c>
      <c r="B3" s="35" t="s">
        <v>7</v>
      </c>
      <c r="C3" s="35">
        <v>0</v>
      </c>
      <c r="D3" s="35">
        <f>ROUND(D11+F11,2)</f>
        <v>23.43</v>
      </c>
      <c r="E3" s="219">
        <f>ROUND(C5+D5,2)</f>
        <v>46.53</v>
      </c>
      <c r="F3" s="220" t="s">
        <v>90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23.1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46.53</v>
      </c>
      <c r="E5" s="219"/>
      <c r="F5" s="221"/>
      <c r="I5" t="str">
        <f>ROUND(E6/90284.4*100,2)&amp;"%"</f>
        <v>7.74%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v>1501.18</v>
      </c>
      <c r="E6" s="48">
        <f>ROUND(C6+D6,2)</f>
        <v>6986.96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v>1501.18</v>
      </c>
      <c r="E7" s="48">
        <f>ROUND(C7+D7,2)</f>
        <v>6986.96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44512</v>
      </c>
      <c r="B11" s="35" t="s">
        <v>7</v>
      </c>
      <c r="C11" s="56">
        <v>3</v>
      </c>
      <c r="D11" s="224">
        <v>23.426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24">
        <v>23.1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6</v>
      </c>
      <c r="D13" s="224">
        <f>ROUND(D11+D12,2)</f>
        <v>46.53</v>
      </c>
      <c r="E13" s="56">
        <f>E11+E12</f>
        <v>0</v>
      </c>
      <c r="F13" s="224">
        <f>ROUND(F11+F12,2)</f>
        <v>0</v>
      </c>
    </row>
    <row r="14" ht="30" customHeight="1" spans="1:6">
      <c r="A14" s="35"/>
      <c r="B14" s="48" t="s">
        <v>5</v>
      </c>
      <c r="C14" s="40">
        <f>D13+F13</f>
        <v>46.53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100</v>
      </c>
      <c r="C23" s="94" t="s">
        <v>75</v>
      </c>
      <c r="D23" s="35">
        <f>C34+D34</f>
        <v>70</v>
      </c>
      <c r="E23" s="35"/>
      <c r="F23" s="35"/>
    </row>
    <row r="24" spans="1:6">
      <c r="A24" s="94" t="s">
        <v>76</v>
      </c>
      <c r="B24" s="35">
        <f>E33+F33</f>
        <v>74</v>
      </c>
      <c r="C24" s="94" t="s">
        <v>77</v>
      </c>
      <c r="D24" s="35">
        <f>E34+F34</f>
        <v>35</v>
      </c>
      <c r="E24" s="35"/>
      <c r="F24" s="35"/>
    </row>
    <row r="25" spans="1:6">
      <c r="A25" s="94" t="s">
        <v>78</v>
      </c>
      <c r="B25" s="35">
        <f>B26-B23-B24</f>
        <v>5606</v>
      </c>
      <c r="C25" s="94" t="s">
        <v>79</v>
      </c>
      <c r="D25" s="35">
        <f>D26-D23-D24</f>
        <v>5675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44503</v>
      </c>
      <c r="B31" s="230">
        <v>38.55</v>
      </c>
      <c r="C31" s="231" t="s">
        <v>32</v>
      </c>
      <c r="D31" s="231"/>
      <c r="E31" s="231" t="s">
        <v>33</v>
      </c>
      <c r="F31" s="231"/>
      <c r="N31" s="4"/>
    </row>
    <row r="32" ht="15.6" spans="1:14">
      <c r="A32" s="53">
        <v>44504</v>
      </c>
      <c r="B32" s="230">
        <v>39.66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44505</v>
      </c>
      <c r="B33" s="230">
        <v>71.07</v>
      </c>
      <c r="C33" s="232">
        <v>81</v>
      </c>
      <c r="D33" s="232">
        <v>19</v>
      </c>
      <c r="E33" s="232">
        <v>74</v>
      </c>
      <c r="F33" s="232">
        <v>0</v>
      </c>
      <c r="N33" s="4"/>
    </row>
    <row r="34" ht="15.6" spans="1:14">
      <c r="A34" s="53">
        <v>44506</v>
      </c>
      <c r="B34" s="230">
        <v>33.07</v>
      </c>
      <c r="C34" s="67">
        <v>60</v>
      </c>
      <c r="D34" s="67">
        <v>10</v>
      </c>
      <c r="E34" s="67">
        <v>35</v>
      </c>
      <c r="F34" s="67">
        <v>0</v>
      </c>
      <c r="N34" s="4"/>
    </row>
    <row r="35" ht="15.6" spans="1:14">
      <c r="A35" s="53">
        <v>44507</v>
      </c>
      <c r="B35" s="230">
        <v>64.11</v>
      </c>
      <c r="C35" s="35"/>
      <c r="D35" s="35"/>
      <c r="E35" s="35"/>
      <c r="F35" s="35"/>
      <c r="N35" s="4"/>
    </row>
    <row r="36" ht="15.6" spans="1:14">
      <c r="A36" s="53">
        <v>44508</v>
      </c>
      <c r="B36" s="230">
        <v>63.29</v>
      </c>
      <c r="C36" s="35"/>
      <c r="D36" s="35"/>
      <c r="E36" s="35"/>
      <c r="F36" s="35"/>
      <c r="N36" s="4"/>
    </row>
    <row r="37" ht="15.6" spans="1:14">
      <c r="A37" s="53">
        <v>44509</v>
      </c>
      <c r="B37" s="230">
        <v>63.95</v>
      </c>
      <c r="C37" s="35"/>
      <c r="D37" s="35"/>
      <c r="E37" s="35"/>
      <c r="F37" s="35"/>
      <c r="N37" s="4"/>
    </row>
    <row r="38" ht="15.6" spans="1:14">
      <c r="A38" s="53">
        <v>44510</v>
      </c>
      <c r="B38" s="230">
        <v>54.13</v>
      </c>
      <c r="C38" s="48" t="s">
        <v>93</v>
      </c>
      <c r="D38" s="48"/>
      <c r="E38" s="35">
        <v>0</v>
      </c>
      <c r="F38" s="35">
        <v>41682</v>
      </c>
      <c r="N38" s="4"/>
    </row>
    <row r="39" ht="15.6" spans="1:14">
      <c r="A39" s="53">
        <v>44511</v>
      </c>
      <c r="B39" s="230">
        <v>54.16</v>
      </c>
      <c r="C39" s="35"/>
      <c r="D39" s="35"/>
      <c r="E39" s="35"/>
      <c r="F39" s="35"/>
      <c r="N39" s="4"/>
    </row>
    <row r="40" ht="15.6" spans="1:14">
      <c r="A40" s="53">
        <v>44512</v>
      </c>
      <c r="B40" s="230">
        <v>46.53</v>
      </c>
      <c r="C40" s="232" t="s">
        <v>68</v>
      </c>
      <c r="D40" s="232">
        <f>C33+D33+E33+F33</f>
        <v>174</v>
      </c>
      <c r="E40" s="67" t="s">
        <v>69</v>
      </c>
      <c r="F40" s="67">
        <f>C34+D34+E34+F34</f>
        <v>105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2</v>
      </c>
      <c r="D42" s="79">
        <v>0</v>
      </c>
      <c r="E42" s="79">
        <v>0</v>
      </c>
      <c r="F42" s="79">
        <v>0</v>
      </c>
    </row>
    <row r="43" ht="49.95" customHeight="1" spans="1:9">
      <c r="A43" s="233" t="str">
        <f>"ZCB1-19截止"&amp;I43&amp;"累计完成产值"&amp;E6&amp;"万元，
占总产值90284.4万元的"&amp;I5&amp;"，
100章临建完成"&amp;C7&amp;"万元，400章桥梁完成"&amp;D7&amp;"万元。"</f>
        <v>ZCB1-19截止2021年11月12日累计完成产值6986.96万元，
占总产值90284.4万元的7.74%，
100章临建完成5485.78万元，400章桥梁完成1501.18万元。</v>
      </c>
      <c r="B43" s="234"/>
      <c r="C43" s="234"/>
      <c r="D43" s="234"/>
      <c r="E43" s="234"/>
      <c r="F43" s="234"/>
      <c r="G43" s="4"/>
      <c r="I43" s="3" t="str">
        <f>TEXT(A3,"yyyy年mm月dd日")</f>
        <v>2021年11月12日</v>
      </c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ignoredErrors>
    <ignoredError sqref="D13:E13" formula="1"/>
  </ignoredError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1"/>
  <dimension ref="A1:N46"/>
  <sheetViews>
    <sheetView view="pageBreakPreview" zoomScale="80" zoomScaleNormal="100" topLeftCell="A9" workbookViewId="0">
      <selection activeCell="K25" sqref="K2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9.22222222222222" style="3"/>
    <col min="8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44513</v>
      </c>
      <c r="B3" s="35" t="s">
        <v>7</v>
      </c>
      <c r="C3" s="35">
        <v>0</v>
      </c>
      <c r="D3" s="35">
        <f>ROUND(D11+F11,2)</f>
        <v>23.59</v>
      </c>
      <c r="E3" s="219">
        <f>ROUND(C5+D5,2)</f>
        <v>49.95</v>
      </c>
      <c r="F3" s="220" t="s">
        <v>94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26.36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49.95</v>
      </c>
      <c r="E5" s="219"/>
      <c r="F5" s="221"/>
      <c r="I5" t="str">
        <f>ROUND(E6/90284.4*100,2)&amp;"%"</f>
        <v>7.79%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v>1551.13</v>
      </c>
      <c r="E6" s="48">
        <f>ROUND(C6+D6,2)</f>
        <v>7036.91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v>1551.13</v>
      </c>
      <c r="E7" s="48">
        <f>ROUND(C7+D7,2)</f>
        <v>7036.91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44513</v>
      </c>
      <c r="B11" s="35" t="s">
        <v>7</v>
      </c>
      <c r="C11" s="56">
        <v>3</v>
      </c>
      <c r="D11" s="224">
        <v>23.589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24">
        <v>26.36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6</v>
      </c>
      <c r="D13" s="224">
        <f>ROUND(D11+D12,2)</f>
        <v>49.95</v>
      </c>
      <c r="E13" s="56">
        <f>E11+E12</f>
        <v>0</v>
      </c>
      <c r="F13" s="224">
        <f>ROUND(F11+F12,2)</f>
        <v>0</v>
      </c>
    </row>
    <row r="14" ht="30" customHeight="1" spans="1:6">
      <c r="A14" s="35"/>
      <c r="B14" s="48" t="s">
        <v>5</v>
      </c>
      <c r="C14" s="40">
        <f>D13+F13</f>
        <v>49.95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103</v>
      </c>
      <c r="C23" s="94" t="s">
        <v>75</v>
      </c>
      <c r="D23" s="35">
        <f>C34+D34</f>
        <v>73</v>
      </c>
      <c r="E23" s="35"/>
      <c r="F23" s="35"/>
    </row>
    <row r="24" spans="1:6">
      <c r="A24" s="94" t="s">
        <v>76</v>
      </c>
      <c r="B24" s="35">
        <f>E33+F33</f>
        <v>77</v>
      </c>
      <c r="C24" s="94" t="s">
        <v>77</v>
      </c>
      <c r="D24" s="35">
        <f>E34+F34</f>
        <v>55</v>
      </c>
      <c r="E24" s="35"/>
      <c r="F24" s="35"/>
    </row>
    <row r="25" spans="1:6">
      <c r="A25" s="94" t="s">
        <v>78</v>
      </c>
      <c r="B25" s="35">
        <f>B26-B23-B24</f>
        <v>5600</v>
      </c>
      <c r="C25" s="94" t="s">
        <v>79</v>
      </c>
      <c r="D25" s="35">
        <f>D26-D23-D24</f>
        <v>5652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44504</v>
      </c>
      <c r="B31" s="230">
        <v>39.66</v>
      </c>
      <c r="C31" s="231" t="s">
        <v>32</v>
      </c>
      <c r="D31" s="231"/>
      <c r="E31" s="231" t="s">
        <v>33</v>
      </c>
      <c r="F31" s="231"/>
      <c r="N31" s="4"/>
    </row>
    <row r="32" ht="15.6" spans="1:14">
      <c r="A32" s="53">
        <v>44505</v>
      </c>
      <c r="B32" s="230">
        <v>71.07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44506</v>
      </c>
      <c r="B33" s="230">
        <v>33.07</v>
      </c>
      <c r="C33" s="232">
        <v>84</v>
      </c>
      <c r="D33" s="232">
        <v>19</v>
      </c>
      <c r="E33" s="232">
        <v>77</v>
      </c>
      <c r="F33" s="232">
        <v>0</v>
      </c>
      <c r="N33" s="4"/>
    </row>
    <row r="34" ht="15.6" spans="1:14">
      <c r="A34" s="53">
        <v>44507</v>
      </c>
      <c r="B34" s="230">
        <v>64.11</v>
      </c>
      <c r="C34" s="67">
        <v>63</v>
      </c>
      <c r="D34" s="67">
        <v>10</v>
      </c>
      <c r="E34" s="67">
        <v>55</v>
      </c>
      <c r="F34" s="67">
        <v>0</v>
      </c>
      <c r="N34" s="4"/>
    </row>
    <row r="35" ht="15.6" spans="1:14">
      <c r="A35" s="53">
        <v>44508</v>
      </c>
      <c r="B35" s="230">
        <v>63.29</v>
      </c>
      <c r="C35" s="35"/>
      <c r="D35" s="35"/>
      <c r="E35" s="35"/>
      <c r="F35" s="35"/>
      <c r="N35" s="4"/>
    </row>
    <row r="36" ht="15.6" spans="1:14">
      <c r="A36" s="53">
        <v>44509</v>
      </c>
      <c r="B36" s="230">
        <v>63.95</v>
      </c>
      <c r="C36" s="35"/>
      <c r="D36" s="35"/>
      <c r="E36" s="35"/>
      <c r="F36" s="35"/>
      <c r="N36" s="4"/>
    </row>
    <row r="37" ht="15.6" spans="1:14">
      <c r="A37" s="53">
        <v>44510</v>
      </c>
      <c r="B37" s="230">
        <v>54.13</v>
      </c>
      <c r="C37" s="35"/>
      <c r="D37" s="35"/>
      <c r="E37" s="35"/>
      <c r="F37" s="35"/>
      <c r="N37" s="4"/>
    </row>
    <row r="38" ht="15.6" spans="1:14">
      <c r="A38" s="53">
        <v>44511</v>
      </c>
      <c r="B38" s="230">
        <v>54.16</v>
      </c>
      <c r="C38" s="48" t="s">
        <v>93</v>
      </c>
      <c r="D38" s="48"/>
      <c r="E38" s="35">
        <v>0</v>
      </c>
      <c r="F38" s="35">
        <v>41682</v>
      </c>
      <c r="N38" s="4"/>
    </row>
    <row r="39" ht="15.6" spans="1:14">
      <c r="A39" s="53">
        <v>44512</v>
      </c>
      <c r="B39" s="230">
        <v>46.53</v>
      </c>
      <c r="C39" s="35"/>
      <c r="D39" s="35"/>
      <c r="E39" s="35"/>
      <c r="F39" s="35"/>
      <c r="N39" s="4"/>
    </row>
    <row r="40" ht="15.6" spans="1:14">
      <c r="A40" s="53">
        <v>44513</v>
      </c>
      <c r="B40" s="230">
        <v>49.95</v>
      </c>
      <c r="C40" s="232" t="s">
        <v>68</v>
      </c>
      <c r="D40" s="232">
        <f>C33+D33+E33+F33</f>
        <v>180</v>
      </c>
      <c r="E40" s="67" t="s">
        <v>69</v>
      </c>
      <c r="F40" s="67">
        <f>C34+D34+E34+F34</f>
        <v>128</v>
      </c>
      <c r="N40" s="4"/>
    </row>
    <row r="41" spans="1:6">
      <c r="A41" s="79" t="s">
        <v>60</v>
      </c>
      <c r="B41" s="79" t="s">
        <v>61</v>
      </c>
      <c r="C41" s="79">
        <f>C11</f>
        <v>3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3</v>
      </c>
      <c r="D42" s="79">
        <v>0</v>
      </c>
      <c r="E42" s="79">
        <v>20</v>
      </c>
      <c r="F42" s="79">
        <v>0</v>
      </c>
    </row>
    <row r="43" ht="49.95" customHeight="1" spans="1:9">
      <c r="A43" s="233" t="str">
        <f>"ZCB1-19截止"&amp;I43&amp;"累计完成产值"&amp;E6&amp;"万元，
占总产值90284.4万元的"&amp;I5&amp;"，
100章临建完成"&amp;C7&amp;"万元，400章桥梁完成"&amp;D7&amp;"万元。"</f>
        <v>ZCB1-19截止2021年11月13日累计完成产值7036.91万元，
占总产值90284.4万元的7.79%，
100章临建完成5485.78万元，400章桥梁完成1551.13万元。</v>
      </c>
      <c r="B43" s="234"/>
      <c r="C43" s="234"/>
      <c r="D43" s="234"/>
      <c r="E43" s="234"/>
      <c r="F43" s="234"/>
      <c r="G43" s="4"/>
      <c r="I43" s="3" t="str">
        <f>TEXT(A3,"yyyy年mm月dd日")</f>
        <v>2021年11月13日</v>
      </c>
    </row>
    <row r="46" spans="3:3">
      <c r="C46" s="158"/>
    </row>
  </sheetData>
  <mergeCells count="18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2"/>
  <dimension ref="A1:N46"/>
  <sheetViews>
    <sheetView view="pageBreakPreview" zoomScale="80" zoomScaleNormal="100" workbookViewId="0">
      <selection activeCell="J33" sqref="J3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44514</v>
      </c>
      <c r="B3" s="35" t="s">
        <v>7</v>
      </c>
      <c r="C3" s="35">
        <v>0</v>
      </c>
      <c r="D3" s="35">
        <f>ROUND(D11+F11,2)</f>
        <v>15.28</v>
      </c>
      <c r="E3" s="219">
        <f>ROUND(C5+D5,2)</f>
        <v>39.31</v>
      </c>
      <c r="F3" s="220" t="s">
        <v>95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24.03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39.31</v>
      </c>
      <c r="E5" s="219"/>
      <c r="F5" s="221"/>
      <c r="I5" t="str">
        <f>ROUND(E6/90284.4*100,2)&amp;"%"</f>
        <v>7.84%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v>1590.44</v>
      </c>
      <c r="E6" s="48">
        <f>ROUND(C6+D6,2)</f>
        <v>7076.22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v>1590.44</v>
      </c>
      <c r="E7" s="48">
        <f>ROUND(C7+D7,2)</f>
        <v>7076.22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44514</v>
      </c>
      <c r="B11" s="35" t="s">
        <v>7</v>
      </c>
      <c r="C11" s="56">
        <v>2</v>
      </c>
      <c r="D11" s="224">
        <v>15.28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24">
        <v>24.028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5</v>
      </c>
      <c r="D13" s="224">
        <f>ROUND(D11+D12,2)</f>
        <v>39.31</v>
      </c>
      <c r="E13" s="56">
        <f>E11+E12</f>
        <v>0</v>
      </c>
      <c r="F13" s="224">
        <f>ROUND(F11+F12,2)</f>
        <v>0</v>
      </c>
    </row>
    <row r="14" ht="30" customHeight="1" spans="1:6">
      <c r="A14" s="35"/>
      <c r="B14" s="48" t="s">
        <v>5</v>
      </c>
      <c r="C14" s="40">
        <f>D13+F13</f>
        <v>39.31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105</v>
      </c>
      <c r="C23" s="94" t="s">
        <v>75</v>
      </c>
      <c r="D23" s="35">
        <f>C34+D34</f>
        <v>73</v>
      </c>
      <c r="E23" s="35"/>
      <c r="F23" s="35"/>
    </row>
    <row r="24" spans="1:6">
      <c r="A24" s="94" t="s">
        <v>76</v>
      </c>
      <c r="B24" s="35">
        <f>E33+F33</f>
        <v>80</v>
      </c>
      <c r="C24" s="94" t="s">
        <v>77</v>
      </c>
      <c r="D24" s="35">
        <f>E34+F34</f>
        <v>61</v>
      </c>
      <c r="E24" s="35"/>
      <c r="F24" s="35"/>
    </row>
    <row r="25" spans="1:6">
      <c r="A25" s="94" t="s">
        <v>78</v>
      </c>
      <c r="B25" s="35">
        <f>B26-B23-B24</f>
        <v>5595</v>
      </c>
      <c r="C25" s="94" t="s">
        <v>79</v>
      </c>
      <c r="D25" s="35">
        <f>D26-D23-D24</f>
        <v>5646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44505</v>
      </c>
      <c r="B31" s="230">
        <v>71.07</v>
      </c>
      <c r="C31" s="231" t="s">
        <v>32</v>
      </c>
      <c r="D31" s="231"/>
      <c r="E31" s="231" t="s">
        <v>33</v>
      </c>
      <c r="F31" s="231"/>
      <c r="N31" s="4"/>
    </row>
    <row r="32" ht="15.6" spans="1:14">
      <c r="A32" s="53">
        <v>44506</v>
      </c>
      <c r="B32" s="230">
        <v>33.07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44507</v>
      </c>
      <c r="B33" s="230">
        <v>64.11</v>
      </c>
      <c r="C33" s="232">
        <v>86</v>
      </c>
      <c r="D33" s="232">
        <v>19</v>
      </c>
      <c r="E33" s="232">
        <v>80</v>
      </c>
      <c r="F33" s="232">
        <v>0</v>
      </c>
      <c r="N33" s="4"/>
    </row>
    <row r="34" ht="15.6" spans="1:14">
      <c r="A34" s="53">
        <v>44508</v>
      </c>
      <c r="B34" s="230">
        <v>63.29</v>
      </c>
      <c r="C34" s="67">
        <v>63</v>
      </c>
      <c r="D34" s="67">
        <v>10</v>
      </c>
      <c r="E34" s="67">
        <v>61</v>
      </c>
      <c r="F34" s="67">
        <v>0</v>
      </c>
      <c r="N34" s="4"/>
    </row>
    <row r="35" ht="15.6" spans="1:14">
      <c r="A35" s="53">
        <v>44509</v>
      </c>
      <c r="B35" s="230">
        <v>63.95</v>
      </c>
      <c r="C35" s="104"/>
      <c r="D35" s="105"/>
      <c r="E35" s="35"/>
      <c r="F35" s="35"/>
      <c r="N35" s="4"/>
    </row>
    <row r="36" ht="15.6" spans="1:14">
      <c r="A36" s="53">
        <v>44510</v>
      </c>
      <c r="B36" s="230">
        <v>54.13</v>
      </c>
      <c r="C36" s="136"/>
      <c r="D36" s="137"/>
      <c r="E36" s="35"/>
      <c r="F36" s="35"/>
      <c r="N36" s="4"/>
    </row>
    <row r="37" ht="15.6" spans="1:14">
      <c r="A37" s="53">
        <v>44511</v>
      </c>
      <c r="B37" s="230">
        <v>54.16</v>
      </c>
      <c r="C37" s="136"/>
      <c r="D37" s="137"/>
      <c r="E37" s="35"/>
      <c r="F37" s="35"/>
      <c r="N37" s="4"/>
    </row>
    <row r="38" ht="15.6" spans="1:14">
      <c r="A38" s="53">
        <v>44512</v>
      </c>
      <c r="B38" s="230">
        <v>46.53</v>
      </c>
      <c r="C38" s="48" t="s">
        <v>93</v>
      </c>
      <c r="D38" s="48"/>
      <c r="E38" s="35">
        <v>0</v>
      </c>
      <c r="F38" s="35">
        <v>41682</v>
      </c>
      <c r="N38" s="4"/>
    </row>
    <row r="39" ht="15.6" spans="1:14">
      <c r="A39" s="53">
        <v>44513</v>
      </c>
      <c r="B39" s="230">
        <v>49.95</v>
      </c>
      <c r="C39" s="35"/>
      <c r="D39" s="35"/>
      <c r="E39" s="35"/>
      <c r="F39" s="35"/>
      <c r="N39" s="4"/>
    </row>
    <row r="40" ht="15.6" spans="1:14">
      <c r="A40" s="53">
        <v>44514</v>
      </c>
      <c r="B40" s="230">
        <v>39.31</v>
      </c>
      <c r="C40" s="232" t="s">
        <v>68</v>
      </c>
      <c r="D40" s="232">
        <f>C33+D33+E33+F33</f>
        <v>185</v>
      </c>
      <c r="E40" s="67" t="s">
        <v>69</v>
      </c>
      <c r="F40" s="67">
        <f>C34+D34+E34+F34</f>
        <v>134</v>
      </c>
      <c r="N40" s="4"/>
    </row>
    <row r="41" spans="1:6">
      <c r="A41" s="79" t="s">
        <v>60</v>
      </c>
      <c r="B41" s="79" t="s">
        <v>61</v>
      </c>
      <c r="C41" s="79">
        <f>C11</f>
        <v>2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79"/>
      <c r="B42" s="79" t="s">
        <v>62</v>
      </c>
      <c r="C42" s="79">
        <v>0</v>
      </c>
      <c r="D42" s="79">
        <v>0</v>
      </c>
      <c r="E42" s="79">
        <v>6</v>
      </c>
      <c r="F42" s="79">
        <v>0</v>
      </c>
    </row>
    <row r="43" ht="49.95" customHeight="1" spans="1:9">
      <c r="A43" s="233" t="str">
        <f>"ZCB1-19截止"&amp;I43&amp;"累计完成产值"&amp;E6&amp;"万元，
占总产值90284.4万元的"&amp;I5&amp;"，
100章临建完成"&amp;C7&amp;"万元，400章桥梁完成"&amp;D7&amp;"万元。"</f>
        <v>ZCB1-19截止2021年11月14日累计完成产值7076.22万元，
占总产值90284.4万元的7.84%，
100章临建完成5485.78万元，400章桥梁完成1590.44万元。</v>
      </c>
      <c r="B43" s="234"/>
      <c r="C43" s="234"/>
      <c r="D43" s="234"/>
      <c r="E43" s="234"/>
      <c r="F43" s="234"/>
      <c r="G43" s="4"/>
      <c r="I43" s="3" t="str">
        <f>TEXT(A3,"yyyy年mm月dd日")</f>
        <v>2021年11月14日</v>
      </c>
    </row>
    <row r="46" spans="3:3">
      <c r="C46" s="158"/>
    </row>
  </sheetData>
  <mergeCells count="21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5:D35"/>
    <mergeCell ref="C36:D36"/>
    <mergeCell ref="C37:D37"/>
    <mergeCell ref="C38:D38"/>
    <mergeCell ref="A43:F43"/>
    <mergeCell ref="A3:A7"/>
    <mergeCell ref="A9:A10"/>
    <mergeCell ref="A11:A14"/>
    <mergeCell ref="A41:A42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3"/>
  <dimension ref="A1:N47"/>
  <sheetViews>
    <sheetView view="pageBreakPreview" zoomScale="80" zoomScaleNormal="100" topLeftCell="A12" workbookViewId="0">
      <selection activeCell="H32" sqref="H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44515</v>
      </c>
      <c r="B3" s="35" t="s">
        <v>7</v>
      </c>
      <c r="C3" s="35">
        <v>0</v>
      </c>
      <c r="D3" s="35">
        <f>ROUND(D11+F11,2)</f>
        <v>44.45</v>
      </c>
      <c r="E3" s="219">
        <f>ROUND(C5+D5,2)</f>
        <v>90.92</v>
      </c>
      <c r="F3" s="220" t="s">
        <v>96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46.47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90.92</v>
      </c>
      <c r="E5" s="219"/>
      <c r="F5" s="221"/>
      <c r="I5" t="str">
        <f>ROUND(E6/90284.4*100,2)&amp;"%"</f>
        <v>7.94%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f>1669.15+12.21</f>
        <v>1681.36</v>
      </c>
      <c r="E6" s="48">
        <f>ROUND(C6+D6,2)</f>
        <v>7167.14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f>1669.15+12.21</f>
        <v>1681.36</v>
      </c>
      <c r="E7" s="48">
        <f>ROUND(C7+D7,2)</f>
        <v>7167.14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44515</v>
      </c>
      <c r="B11" s="35" t="s">
        <v>7</v>
      </c>
      <c r="C11" s="56">
        <v>4</v>
      </c>
      <c r="D11" s="224">
        <f>32.241+12.21</f>
        <v>44.451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6</v>
      </c>
      <c r="D12" s="224">
        <v>46.466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10</v>
      </c>
      <c r="D13" s="224">
        <f>ROUND(D11+D12,2)</f>
        <v>90.92</v>
      </c>
      <c r="E13" s="56">
        <f>E11+E12</f>
        <v>0</v>
      </c>
      <c r="F13" s="224">
        <f>ROUND(F11+F12,2)</f>
        <v>0</v>
      </c>
    </row>
    <row r="14" ht="30" customHeight="1" spans="1:6">
      <c r="A14" s="35"/>
      <c r="B14" s="48" t="s">
        <v>5</v>
      </c>
      <c r="C14" s="40">
        <f>D13+F13</f>
        <v>90.92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109</v>
      </c>
      <c r="C23" s="94" t="s">
        <v>75</v>
      </c>
      <c r="D23" s="35">
        <f>C34+D34</f>
        <v>80</v>
      </c>
      <c r="E23" s="35"/>
      <c r="F23" s="35"/>
    </row>
    <row r="24" spans="1:6">
      <c r="A24" s="94" t="s">
        <v>76</v>
      </c>
      <c r="B24" s="35">
        <f>E33+F33</f>
        <v>86</v>
      </c>
      <c r="C24" s="94" t="s">
        <v>77</v>
      </c>
      <c r="D24" s="35">
        <f>E34+F34</f>
        <v>63</v>
      </c>
      <c r="E24" s="35"/>
      <c r="F24" s="35"/>
    </row>
    <row r="25" spans="1:6">
      <c r="A25" s="94" t="s">
        <v>78</v>
      </c>
      <c r="B25" s="35">
        <f>B26-B23-B24</f>
        <v>5585</v>
      </c>
      <c r="C25" s="94" t="s">
        <v>79</v>
      </c>
      <c r="D25" s="35">
        <f>D26-D23-D24</f>
        <v>5637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44506</v>
      </c>
      <c r="B31" s="230">
        <v>33.07</v>
      </c>
      <c r="C31" s="231" t="s">
        <v>32</v>
      </c>
      <c r="D31" s="231"/>
      <c r="E31" s="231" t="s">
        <v>33</v>
      </c>
      <c r="F31" s="231"/>
      <c r="N31" s="4"/>
    </row>
    <row r="32" ht="15.6" spans="1:14">
      <c r="A32" s="53">
        <v>44507</v>
      </c>
      <c r="B32" s="230">
        <v>64.11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44508</v>
      </c>
      <c r="B33" s="230">
        <v>63.29</v>
      </c>
      <c r="C33" s="232">
        <v>90</v>
      </c>
      <c r="D33" s="232">
        <v>19</v>
      </c>
      <c r="E33" s="232">
        <v>86</v>
      </c>
      <c r="F33" s="232">
        <v>0</v>
      </c>
      <c r="N33" s="4"/>
    </row>
    <row r="34" ht="15.6" spans="1:14">
      <c r="A34" s="53">
        <v>44509</v>
      </c>
      <c r="B34" s="230">
        <v>63.95</v>
      </c>
      <c r="C34" s="67">
        <v>70</v>
      </c>
      <c r="D34" s="67">
        <v>10</v>
      </c>
      <c r="E34" s="67">
        <v>63</v>
      </c>
      <c r="F34" s="67">
        <v>0</v>
      </c>
      <c r="N34" s="4"/>
    </row>
    <row r="35" ht="15.6" spans="1:14">
      <c r="A35" s="53">
        <v>44510</v>
      </c>
      <c r="B35" s="230">
        <v>54.13</v>
      </c>
      <c r="C35" s="104"/>
      <c r="D35" s="105"/>
      <c r="E35" s="35"/>
      <c r="F35" s="35"/>
      <c r="N35" s="4"/>
    </row>
    <row r="36" ht="15.6" spans="1:14">
      <c r="A36" s="53">
        <v>44511</v>
      </c>
      <c r="B36" s="230">
        <v>54.16</v>
      </c>
      <c r="C36" s="136"/>
      <c r="D36" s="137"/>
      <c r="E36" s="224" t="s">
        <v>97</v>
      </c>
      <c r="F36" s="224" t="s">
        <v>98</v>
      </c>
      <c r="N36" s="4"/>
    </row>
    <row r="37" ht="15.6" spans="1:14">
      <c r="A37" s="53">
        <v>44512</v>
      </c>
      <c r="B37" s="230">
        <v>46.53</v>
      </c>
      <c r="C37" s="104" t="s">
        <v>99</v>
      </c>
      <c r="D37" s="137"/>
      <c r="E37" s="35">
        <v>300</v>
      </c>
      <c r="F37" s="35">
        <v>300</v>
      </c>
      <c r="N37" s="4"/>
    </row>
    <row r="38" ht="15.6" spans="1:14">
      <c r="A38" s="53">
        <v>44513</v>
      </c>
      <c r="B38" s="230">
        <v>49.95</v>
      </c>
      <c r="C38" s="48" t="s">
        <v>100</v>
      </c>
      <c r="D38" s="48"/>
      <c r="E38" s="35">
        <v>0</v>
      </c>
      <c r="F38" s="35">
        <v>41682</v>
      </c>
      <c r="N38" s="4"/>
    </row>
    <row r="39" ht="15.6" spans="1:14">
      <c r="A39" s="53">
        <v>44514</v>
      </c>
      <c r="B39" s="230">
        <v>39.31</v>
      </c>
      <c r="C39" s="35"/>
      <c r="D39" s="35"/>
      <c r="E39" s="35"/>
      <c r="F39" s="35"/>
      <c r="N39" s="4"/>
    </row>
    <row r="40" ht="15.6" spans="1:14">
      <c r="A40" s="53">
        <v>44515</v>
      </c>
      <c r="B40" s="230">
        <v>90.92</v>
      </c>
      <c r="C40" s="232" t="s">
        <v>68</v>
      </c>
      <c r="D40" s="232">
        <f>C33+D33+E33+F33</f>
        <v>195</v>
      </c>
      <c r="E40" s="67" t="s">
        <v>69</v>
      </c>
      <c r="F40" s="67">
        <f>C34+D34+E34+F34</f>
        <v>143</v>
      </c>
      <c r="N40" s="4"/>
    </row>
    <row r="41" spans="1:6">
      <c r="A41" s="212" t="s">
        <v>60</v>
      </c>
      <c r="B41" s="79" t="s">
        <v>101</v>
      </c>
      <c r="C41" s="79">
        <f>C11</f>
        <v>4</v>
      </c>
      <c r="D41" s="79">
        <f>E11</f>
        <v>0</v>
      </c>
      <c r="E41" s="79">
        <f>C12</f>
        <v>6</v>
      </c>
      <c r="F41" s="79">
        <f>E12</f>
        <v>0</v>
      </c>
    </row>
    <row r="42" spans="1:6">
      <c r="A42" s="151"/>
      <c r="B42" s="79" t="s">
        <v>102</v>
      </c>
      <c r="C42" s="79">
        <v>7</v>
      </c>
      <c r="D42" s="79">
        <v>0</v>
      </c>
      <c r="E42" s="79">
        <v>2</v>
      </c>
      <c r="F42" s="79">
        <v>0</v>
      </c>
    </row>
    <row r="43" spans="1:6">
      <c r="A43" s="152"/>
      <c r="B43" s="79" t="s">
        <v>103</v>
      </c>
      <c r="C43" s="148">
        <v>300</v>
      </c>
      <c r="D43" s="149"/>
      <c r="E43" s="149"/>
      <c r="F43" s="150"/>
    </row>
    <row r="44" ht="49.95" customHeight="1" spans="1:9">
      <c r="A44" s="233" t="str">
        <f>"ZCB1-19截止"&amp;I44&amp;"累计完成产值"&amp;E6&amp;"万元，
占总产值90284.4万元的"&amp;I5&amp;"，
100章临建完成"&amp;C7&amp;"万元，400章桥梁完成"&amp;D7&amp;"万元。"</f>
        <v>ZCB1-19截止2021年11月15日累计完成产值7167.14万元，
占总产值90284.4万元的7.94%，
100章临建完成5485.78万元，400章桥梁完成1681.36万元。</v>
      </c>
      <c r="B44" s="234"/>
      <c r="C44" s="234"/>
      <c r="D44" s="234"/>
      <c r="E44" s="234"/>
      <c r="F44" s="234"/>
      <c r="G44" s="4"/>
      <c r="I44" s="3" t="str">
        <f>TEXT(A3,"yyyy年mm月dd日")</f>
        <v>2021年11月15日</v>
      </c>
    </row>
    <row r="47" spans="3:3">
      <c r="C47" s="158"/>
    </row>
  </sheetData>
  <mergeCells count="22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5:D35"/>
    <mergeCell ref="C36:D36"/>
    <mergeCell ref="C37:D37"/>
    <mergeCell ref="C38:D38"/>
    <mergeCell ref="C43:F43"/>
    <mergeCell ref="A44:F44"/>
    <mergeCell ref="A3:A7"/>
    <mergeCell ref="A9:A10"/>
    <mergeCell ref="A11:A14"/>
    <mergeCell ref="A41:A43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rowBreaks count="1" manualBreakCount="1">
    <brk id="44" max="16383" man="1"/>
  </rowBreak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4"/>
  <dimension ref="A1:N47"/>
  <sheetViews>
    <sheetView view="pageBreakPreview" zoomScale="80" zoomScaleNormal="100" topLeftCell="A28" workbookViewId="0">
      <selection activeCell="A1" sqref="A1:F4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44516</v>
      </c>
      <c r="B3" s="35" t="s">
        <v>7</v>
      </c>
      <c r="C3" s="35">
        <v>0</v>
      </c>
      <c r="D3" s="35">
        <f>ROUND(D11+F11,2)</f>
        <v>16.11</v>
      </c>
      <c r="E3" s="219">
        <f>ROUND(C5+D5,2)</f>
        <v>39.83</v>
      </c>
      <c r="F3" s="220" t="s">
        <v>104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23.72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39.83</v>
      </c>
      <c r="E5" s="219"/>
      <c r="F5" s="221"/>
      <c r="I5" t="str">
        <f>ROUND(E6/90284.4*100,2)&amp;"%"</f>
        <v>7.98%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v>1721.19</v>
      </c>
      <c r="E6" s="48">
        <f>ROUND(C6+D6,2)</f>
        <v>7206.97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v>1721.19</v>
      </c>
      <c r="E7" s="48">
        <f>ROUND(C7+D7,2)</f>
        <v>7206.97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44516</v>
      </c>
      <c r="B11" s="35" t="s">
        <v>7</v>
      </c>
      <c r="C11" s="56">
        <v>2</v>
      </c>
      <c r="D11" s="224">
        <v>16.112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24">
        <v>23.719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5</v>
      </c>
      <c r="D13" s="224">
        <f>ROUND(D11+D12,2)</f>
        <v>39.83</v>
      </c>
      <c r="E13" s="56">
        <f>E11+E12</f>
        <v>0</v>
      </c>
      <c r="F13" s="224">
        <f>ROUND(F11+F12,2)</f>
        <v>0</v>
      </c>
    </row>
    <row r="14" ht="30" customHeight="1" spans="1:6">
      <c r="A14" s="35"/>
      <c r="B14" s="48" t="s">
        <v>5</v>
      </c>
      <c r="C14" s="40">
        <f>D13+F13</f>
        <v>39.83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111</v>
      </c>
      <c r="C23" s="94" t="s">
        <v>75</v>
      </c>
      <c r="D23" s="35">
        <f>C34+D34</f>
        <v>84</v>
      </c>
      <c r="E23" s="35"/>
      <c r="F23" s="35"/>
    </row>
    <row r="24" spans="1:6">
      <c r="A24" s="94" t="s">
        <v>76</v>
      </c>
      <c r="B24" s="35">
        <f>E33+F33</f>
        <v>89</v>
      </c>
      <c r="C24" s="94" t="s">
        <v>77</v>
      </c>
      <c r="D24" s="35">
        <f>E34+F34</f>
        <v>66</v>
      </c>
      <c r="E24" s="35"/>
      <c r="F24" s="35"/>
    </row>
    <row r="25" spans="1:6">
      <c r="A25" s="94" t="s">
        <v>78</v>
      </c>
      <c r="B25" s="35">
        <f>B26-B23-B24</f>
        <v>5580</v>
      </c>
      <c r="C25" s="94" t="s">
        <v>79</v>
      </c>
      <c r="D25" s="35">
        <f>D26-D23-D24</f>
        <v>5630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48" t="s">
        <v>92</v>
      </c>
      <c r="D30" s="35"/>
      <c r="E30" s="35"/>
      <c r="F30" s="35"/>
      <c r="N30" s="4"/>
    </row>
    <row r="31" ht="15.6" spans="1:14">
      <c r="A31" s="53">
        <v>44507</v>
      </c>
      <c r="B31" s="230">
        <v>64.11</v>
      </c>
      <c r="C31" s="231" t="s">
        <v>32</v>
      </c>
      <c r="D31" s="231"/>
      <c r="E31" s="231" t="s">
        <v>33</v>
      </c>
      <c r="F31" s="231"/>
      <c r="N31" s="4"/>
    </row>
    <row r="32" ht="15.6" spans="1:14">
      <c r="A32" s="53">
        <v>44508</v>
      </c>
      <c r="B32" s="230">
        <v>63.29</v>
      </c>
      <c r="C32" s="40" t="s">
        <v>14</v>
      </c>
      <c r="D32" s="40" t="s">
        <v>15</v>
      </c>
      <c r="E32" s="40" t="s">
        <v>14</v>
      </c>
      <c r="F32" s="40" t="s">
        <v>15</v>
      </c>
      <c r="N32" s="4"/>
    </row>
    <row r="33" ht="15.6" spans="1:14">
      <c r="A33" s="53">
        <v>44509</v>
      </c>
      <c r="B33" s="230">
        <v>63.95</v>
      </c>
      <c r="C33" s="232">
        <v>92</v>
      </c>
      <c r="D33" s="232">
        <v>19</v>
      </c>
      <c r="E33" s="232">
        <v>89</v>
      </c>
      <c r="F33" s="232">
        <v>0</v>
      </c>
      <c r="N33" s="4"/>
    </row>
    <row r="34" ht="15.6" spans="1:14">
      <c r="A34" s="53">
        <v>44510</v>
      </c>
      <c r="B34" s="230">
        <v>54.13</v>
      </c>
      <c r="C34" s="67">
        <v>74</v>
      </c>
      <c r="D34" s="67">
        <v>10</v>
      </c>
      <c r="E34" s="67">
        <v>66</v>
      </c>
      <c r="F34" s="67">
        <v>0</v>
      </c>
      <c r="N34" s="4"/>
    </row>
    <row r="35" ht="15.6" spans="1:14">
      <c r="A35" s="53">
        <v>44511</v>
      </c>
      <c r="B35" s="230">
        <v>54.16</v>
      </c>
      <c r="C35" s="104"/>
      <c r="D35" s="105"/>
      <c r="E35" s="35"/>
      <c r="F35" s="35"/>
      <c r="N35" s="4"/>
    </row>
    <row r="36" ht="15.6" spans="1:14">
      <c r="A36" s="53">
        <v>44512</v>
      </c>
      <c r="B36" s="230">
        <v>46.53</v>
      </c>
      <c r="C36" s="136"/>
      <c r="D36" s="137"/>
      <c r="E36" s="224" t="s">
        <v>97</v>
      </c>
      <c r="F36" s="224" t="s">
        <v>98</v>
      </c>
      <c r="N36" s="4"/>
    </row>
    <row r="37" ht="15.6" spans="1:14">
      <c r="A37" s="53">
        <v>44513</v>
      </c>
      <c r="B37" s="230">
        <v>49.95</v>
      </c>
      <c r="C37" s="104" t="s">
        <v>99</v>
      </c>
      <c r="D37" s="137"/>
      <c r="E37" s="35">
        <v>0</v>
      </c>
      <c r="F37" s="35">
        <v>300</v>
      </c>
      <c r="N37" s="4"/>
    </row>
    <row r="38" ht="15.6" spans="1:14">
      <c r="A38" s="53">
        <v>44514</v>
      </c>
      <c r="B38" s="230">
        <v>39.31</v>
      </c>
      <c r="C38" s="48" t="s">
        <v>100</v>
      </c>
      <c r="D38" s="48"/>
      <c r="E38" s="35">
        <v>0</v>
      </c>
      <c r="F38" s="35">
        <v>41682</v>
      </c>
      <c r="N38" s="4"/>
    </row>
    <row r="39" ht="15.6" spans="1:14">
      <c r="A39" s="53">
        <v>44515</v>
      </c>
      <c r="B39" s="230">
        <v>90.92</v>
      </c>
      <c r="C39" s="35"/>
      <c r="D39" s="35"/>
      <c r="E39" s="35"/>
      <c r="F39" s="35"/>
      <c r="N39" s="4"/>
    </row>
    <row r="40" ht="15.6" spans="1:14">
      <c r="A40" s="53">
        <v>44516</v>
      </c>
      <c r="B40" s="230">
        <v>39.83</v>
      </c>
      <c r="C40" s="232" t="s">
        <v>68</v>
      </c>
      <c r="D40" s="232">
        <f>C33+D33+E33+F33</f>
        <v>200</v>
      </c>
      <c r="E40" s="67" t="s">
        <v>69</v>
      </c>
      <c r="F40" s="67">
        <f>C34+D34+E34+F34</f>
        <v>150</v>
      </c>
      <c r="N40" s="4"/>
    </row>
    <row r="41" spans="1:6">
      <c r="A41" s="212" t="s">
        <v>60</v>
      </c>
      <c r="B41" s="79" t="s">
        <v>101</v>
      </c>
      <c r="C41" s="79">
        <f>C11</f>
        <v>2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151"/>
      <c r="B42" s="79" t="s">
        <v>102</v>
      </c>
      <c r="C42" s="79">
        <v>4</v>
      </c>
      <c r="D42" s="79">
        <v>0</v>
      </c>
      <c r="E42" s="79">
        <v>3</v>
      </c>
      <c r="F42" s="79">
        <v>0</v>
      </c>
    </row>
    <row r="43" spans="1:6">
      <c r="A43" s="152"/>
      <c r="B43" s="79" t="s">
        <v>103</v>
      </c>
      <c r="C43" s="148">
        <v>0</v>
      </c>
      <c r="D43" s="149"/>
      <c r="E43" s="149"/>
      <c r="F43" s="150"/>
    </row>
    <row r="44" ht="49.95" customHeight="1" spans="1:9">
      <c r="A44" s="233" t="str">
        <f>"ZCB1-19截止"&amp;I44&amp;"累计完成产值"&amp;E6&amp;"万元，
占总产值90284.4万元的"&amp;I5&amp;"，
100章临建完成"&amp;C7&amp;"万元，400章桥梁完成"&amp;D7&amp;"万元。"</f>
        <v>ZCB1-19截止2021年11月16日累计完成产值7206.97万元，
占总产值90284.4万元的7.98%，
100章临建完成5485.78万元，400章桥梁完成1721.19万元。</v>
      </c>
      <c r="B44" s="234"/>
      <c r="C44" s="234"/>
      <c r="D44" s="234"/>
      <c r="E44" s="234"/>
      <c r="F44" s="234"/>
      <c r="G44" s="4"/>
      <c r="I44" s="3" t="str">
        <f>TEXT(A3,"yyyy年mm月dd日")</f>
        <v>2021年11月16日</v>
      </c>
    </row>
    <row r="47" spans="3:3">
      <c r="C47" s="158"/>
    </row>
  </sheetData>
  <mergeCells count="22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5:D35"/>
    <mergeCell ref="C36:D36"/>
    <mergeCell ref="C37:D37"/>
    <mergeCell ref="C38:D38"/>
    <mergeCell ref="C43:F43"/>
    <mergeCell ref="A44:F44"/>
    <mergeCell ref="A3:A7"/>
    <mergeCell ref="A9:A10"/>
    <mergeCell ref="A11:A14"/>
    <mergeCell ref="A41:A43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8" orientation="portrait" verticalDpi="1200"/>
  <headerFooter/>
  <rowBreaks count="1" manualBreakCount="1">
    <brk id="44" max="16383" man="1"/>
  </rowBreak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5"/>
  <dimension ref="A1:N49"/>
  <sheetViews>
    <sheetView view="pageBreakPreview" zoomScale="80" zoomScaleNormal="100" topLeftCell="A14" workbookViewId="0">
      <selection activeCell="K32" sqref="K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44517</v>
      </c>
      <c r="B3" s="35" t="s">
        <v>7</v>
      </c>
      <c r="C3" s="35">
        <v>0</v>
      </c>
      <c r="D3" s="35">
        <f>ROUND(D11+F11,2)</f>
        <v>27.51</v>
      </c>
      <c r="E3" s="219">
        <f>ROUND(C5+D5,2)</f>
        <v>52.26</v>
      </c>
      <c r="F3" s="220" t="s">
        <v>105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24.75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52.26</v>
      </c>
      <c r="E5" s="219"/>
      <c r="F5" s="221"/>
      <c r="I5" t="str">
        <f>ROUND(E6/90284.4*100,2)&amp;"%"</f>
        <v>8.04%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f>1767.52+5.93</f>
        <v>1773.45</v>
      </c>
      <c r="E6" s="48">
        <f>ROUND(C6+D6,2)</f>
        <v>7259.23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f>1767.52+5.93</f>
        <v>1773.45</v>
      </c>
      <c r="E7" s="48">
        <f>ROUND(C7+D7,2)</f>
        <v>7259.23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44517</v>
      </c>
      <c r="B11" s="35" t="s">
        <v>7</v>
      </c>
      <c r="C11" s="56">
        <v>3</v>
      </c>
      <c r="D11" s="224">
        <f>23.443+4.07</f>
        <v>27.513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3</v>
      </c>
      <c r="D12" s="224">
        <f>22.89+1.86</f>
        <v>24.75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6</v>
      </c>
      <c r="D13" s="224">
        <f>ROUND(D11+D12,2)</f>
        <v>52.26</v>
      </c>
      <c r="E13" s="56">
        <f>E11+E12</f>
        <v>0</v>
      </c>
      <c r="F13" s="224">
        <f>ROUND(F11+F12,2)</f>
        <v>0</v>
      </c>
    </row>
    <row r="14" ht="30" customHeight="1" spans="1:6">
      <c r="A14" s="35"/>
      <c r="B14" s="48" t="s">
        <v>5</v>
      </c>
      <c r="C14" s="40">
        <f>D13+F13</f>
        <v>52.26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114</v>
      </c>
      <c r="C23" s="94" t="s">
        <v>75</v>
      </c>
      <c r="D23" s="35">
        <f>C34+D34</f>
        <v>85</v>
      </c>
      <c r="E23" s="35"/>
      <c r="F23" s="35"/>
    </row>
    <row r="24" spans="1:6">
      <c r="A24" s="94" t="s">
        <v>76</v>
      </c>
      <c r="B24" s="35">
        <f>E33+F33</f>
        <v>92</v>
      </c>
      <c r="C24" s="94" t="s">
        <v>77</v>
      </c>
      <c r="D24" s="35">
        <f>E34+F34</f>
        <v>66</v>
      </c>
      <c r="E24" s="35"/>
      <c r="F24" s="35"/>
    </row>
    <row r="25" spans="1:6">
      <c r="A25" s="94" t="s">
        <v>78</v>
      </c>
      <c r="B25" s="35">
        <f>B26-B23-B24</f>
        <v>5574</v>
      </c>
      <c r="C25" s="94" t="s">
        <v>79</v>
      </c>
      <c r="D25" s="35">
        <f>D26-D23-D24</f>
        <v>5629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26" t="s">
        <v>92</v>
      </c>
      <c r="D30" s="227"/>
      <c r="E30" s="227"/>
      <c r="F30" s="227"/>
      <c r="N30" s="4"/>
    </row>
    <row r="31" ht="15.6" spans="1:14">
      <c r="A31" s="53">
        <v>44508</v>
      </c>
      <c r="B31" s="184">
        <v>63.29</v>
      </c>
      <c r="C31" s="216" t="s">
        <v>32</v>
      </c>
      <c r="D31" s="216"/>
      <c r="E31" s="216" t="s">
        <v>33</v>
      </c>
      <c r="F31" s="216"/>
      <c r="N31" s="4"/>
    </row>
    <row r="32" ht="15.6" spans="1:14">
      <c r="A32" s="53">
        <v>44509</v>
      </c>
      <c r="B32" s="184">
        <v>63.95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44510</v>
      </c>
      <c r="B33" s="184">
        <v>54.13</v>
      </c>
      <c r="C33" s="198">
        <v>95</v>
      </c>
      <c r="D33" s="198">
        <v>19</v>
      </c>
      <c r="E33" s="198">
        <v>92</v>
      </c>
      <c r="F33" s="198">
        <v>0</v>
      </c>
      <c r="N33" s="4"/>
    </row>
    <row r="34" ht="15.6" spans="1:14">
      <c r="A34" s="53">
        <v>44511</v>
      </c>
      <c r="B34" s="184">
        <v>54.16</v>
      </c>
      <c r="C34" s="199">
        <v>75</v>
      </c>
      <c r="D34" s="199">
        <v>10</v>
      </c>
      <c r="E34" s="199">
        <v>66</v>
      </c>
      <c r="F34" s="199">
        <v>0</v>
      </c>
      <c r="N34" s="4"/>
    </row>
    <row r="35" ht="15.6" spans="1:14">
      <c r="A35" s="53">
        <v>44512</v>
      </c>
      <c r="B35" s="184">
        <v>46.53</v>
      </c>
      <c r="C35" s="198" t="s">
        <v>68</v>
      </c>
      <c r="D35" s="198">
        <f>C33+D33+E33+F33</f>
        <v>206</v>
      </c>
      <c r="E35" s="199" t="s">
        <v>69</v>
      </c>
      <c r="F35" s="199">
        <f>C34+D34+E34+F34</f>
        <v>151</v>
      </c>
      <c r="N35" s="4"/>
    </row>
    <row r="36" ht="15.6" spans="1:14">
      <c r="A36" s="53">
        <v>44513</v>
      </c>
      <c r="B36" s="184">
        <v>49.95</v>
      </c>
      <c r="C36" s="228" t="s">
        <v>106</v>
      </c>
      <c r="D36" s="229"/>
      <c r="E36" s="226" t="s">
        <v>97</v>
      </c>
      <c r="F36" s="226" t="s">
        <v>107</v>
      </c>
      <c r="N36" s="4"/>
    </row>
    <row r="37" ht="15.6" spans="1:14">
      <c r="A37" s="53">
        <v>44514</v>
      </c>
      <c r="B37" s="184">
        <v>39.31</v>
      </c>
      <c r="C37" s="200" t="s">
        <v>108</v>
      </c>
      <c r="D37" s="201"/>
      <c r="E37" s="217">
        <v>0</v>
      </c>
      <c r="F37" s="203">
        <v>0</v>
      </c>
      <c r="N37" s="4"/>
    </row>
    <row r="38" ht="15.6" spans="1:14">
      <c r="A38" s="53">
        <v>44515</v>
      </c>
      <c r="B38" s="184">
        <v>90.92</v>
      </c>
      <c r="C38" s="200" t="s">
        <v>109</v>
      </c>
      <c r="D38" s="201"/>
      <c r="E38" s="217">
        <v>0</v>
      </c>
      <c r="F38" s="203">
        <v>0</v>
      </c>
      <c r="N38" s="4"/>
    </row>
    <row r="39" ht="15.6" spans="1:14">
      <c r="A39" s="53">
        <v>44516</v>
      </c>
      <c r="B39" s="184">
        <v>39.83</v>
      </c>
      <c r="C39" s="200" t="s">
        <v>99</v>
      </c>
      <c r="D39" s="204"/>
      <c r="E39" s="217">
        <v>175</v>
      </c>
      <c r="F39" s="203">
        <v>475</v>
      </c>
      <c r="N39" s="4"/>
    </row>
    <row r="40" ht="15.6" spans="1:14">
      <c r="A40" s="53">
        <v>44517</v>
      </c>
      <c r="B40" s="184">
        <v>52.26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3</v>
      </c>
      <c r="D41" s="79">
        <f>E11</f>
        <v>0</v>
      </c>
      <c r="E41" s="79">
        <f>C12</f>
        <v>3</v>
      </c>
      <c r="F41" s="79">
        <f>E12</f>
        <v>0</v>
      </c>
    </row>
    <row r="42" spans="1:6">
      <c r="A42" s="151"/>
      <c r="B42" s="79" t="s">
        <v>111</v>
      </c>
      <c r="C42" s="79">
        <v>1</v>
      </c>
      <c r="D42" s="79">
        <v>0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175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ZCB1-19截止2021年11月17日累计完成产值7259.23万元，
占总产值90284.4万元的8.04%，
100章临建完成5485.78万元，400章桥梁完成1773.45万元。</v>
      </c>
      <c r="B46" s="83"/>
      <c r="C46" s="83"/>
      <c r="D46" s="83"/>
      <c r="E46" s="83"/>
      <c r="F46" s="84"/>
      <c r="G46" s="4"/>
      <c r="I46" s="3" t="str">
        <f>TEXT(A3,"yyyy年mm月dd日")</f>
        <v>2021年11月17日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6"/>
  <dimension ref="A1:N49"/>
  <sheetViews>
    <sheetView view="pageBreakPreview" zoomScale="80" zoomScaleNormal="100" topLeftCell="A15" workbookViewId="0">
      <selection activeCell="E39" sqref="E3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44518</v>
      </c>
      <c r="B3" s="35" t="s">
        <v>7</v>
      </c>
      <c r="C3" s="35">
        <v>0</v>
      </c>
      <c r="D3" s="35">
        <f>ROUND(D11+F11,2)</f>
        <v>27.35</v>
      </c>
      <c r="E3" s="219">
        <f>ROUND(C5+D5,2)</f>
        <v>89.14</v>
      </c>
      <c r="F3" s="220" t="s">
        <v>115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61.79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89.14</v>
      </c>
      <c r="E5" s="219"/>
      <c r="F5" s="221"/>
      <c r="I5" t="str">
        <f>ROUND(E6/90284.4*100,2)&amp;"%"</f>
        <v>8.14%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v>1862.59</v>
      </c>
      <c r="E6" s="48">
        <f>ROUND(C6+D6,2)</f>
        <v>7348.37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v>1862.59</v>
      </c>
      <c r="E7" s="48">
        <f>ROUND(C7+D7,2)</f>
        <v>7348.37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44518</v>
      </c>
      <c r="B11" s="35" t="s">
        <v>7</v>
      </c>
      <c r="C11" s="56">
        <v>3</v>
      </c>
      <c r="D11" s="224">
        <v>27.35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8</v>
      </c>
      <c r="D12" s="224">
        <v>61.79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11</v>
      </c>
      <c r="D13" s="224">
        <f>ROUND(D11+D12,2)</f>
        <v>89.14</v>
      </c>
      <c r="E13" s="56">
        <f>E11+E12</f>
        <v>0</v>
      </c>
      <c r="F13" s="224">
        <f>ROUND(F11+F12,2)</f>
        <v>0</v>
      </c>
    </row>
    <row r="14" ht="30" customHeight="1" spans="1:6">
      <c r="A14" s="35"/>
      <c r="B14" s="48" t="s">
        <v>5</v>
      </c>
      <c r="C14" s="40">
        <f>D13+F13</f>
        <v>89.14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117</v>
      </c>
      <c r="C23" s="94" t="s">
        <v>75</v>
      </c>
      <c r="D23" s="35">
        <f>C34+D34</f>
        <v>86</v>
      </c>
      <c r="E23" s="35"/>
      <c r="F23" s="35"/>
    </row>
    <row r="24" spans="1:6">
      <c r="A24" s="94" t="s">
        <v>76</v>
      </c>
      <c r="B24" s="35">
        <f>E33+F33</f>
        <v>100</v>
      </c>
      <c r="C24" s="94" t="s">
        <v>77</v>
      </c>
      <c r="D24" s="35">
        <f>E34+F34</f>
        <v>66</v>
      </c>
      <c r="E24" s="35"/>
      <c r="F24" s="35"/>
    </row>
    <row r="25" spans="1:6">
      <c r="A25" s="94" t="s">
        <v>78</v>
      </c>
      <c r="B25" s="35">
        <f>B26-B23-B24</f>
        <v>5563</v>
      </c>
      <c r="C25" s="94" t="s">
        <v>79</v>
      </c>
      <c r="D25" s="35">
        <f>D26-D23-D24</f>
        <v>5628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26" t="s">
        <v>92</v>
      </c>
      <c r="D30" s="227"/>
      <c r="E30" s="227"/>
      <c r="F30" s="227"/>
      <c r="N30" s="4"/>
    </row>
    <row r="31" ht="15.6" spans="1:14">
      <c r="A31" s="53">
        <v>44509</v>
      </c>
      <c r="B31" s="184">
        <v>63.95</v>
      </c>
      <c r="C31" s="216" t="s">
        <v>32</v>
      </c>
      <c r="D31" s="216"/>
      <c r="E31" s="216" t="s">
        <v>33</v>
      </c>
      <c r="F31" s="216"/>
      <c r="N31" s="4"/>
    </row>
    <row r="32" ht="15.6" spans="1:14">
      <c r="A32" s="53">
        <v>44510</v>
      </c>
      <c r="B32" s="184">
        <v>54.13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44511</v>
      </c>
      <c r="B33" s="184">
        <v>54.16</v>
      </c>
      <c r="C33" s="198">
        <v>98</v>
      </c>
      <c r="D33" s="198">
        <v>19</v>
      </c>
      <c r="E33" s="198">
        <v>100</v>
      </c>
      <c r="F33" s="198">
        <v>0</v>
      </c>
      <c r="N33" s="4"/>
    </row>
    <row r="34" ht="15.6" spans="1:14">
      <c r="A34" s="53">
        <v>44512</v>
      </c>
      <c r="B34" s="184">
        <v>46.53</v>
      </c>
      <c r="C34" s="199">
        <v>76</v>
      </c>
      <c r="D34" s="199">
        <v>10</v>
      </c>
      <c r="E34" s="199">
        <v>66</v>
      </c>
      <c r="F34" s="199">
        <v>0</v>
      </c>
      <c r="N34" s="4"/>
    </row>
    <row r="35" ht="15.6" spans="1:14">
      <c r="A35" s="53">
        <v>44513</v>
      </c>
      <c r="B35" s="184">
        <v>49.95</v>
      </c>
      <c r="C35" s="198" t="s">
        <v>68</v>
      </c>
      <c r="D35" s="198">
        <f>C33+D33+E33+F33</f>
        <v>217</v>
      </c>
      <c r="E35" s="199" t="s">
        <v>69</v>
      </c>
      <c r="F35" s="199">
        <f>C34+D34+E34+F34</f>
        <v>152</v>
      </c>
      <c r="N35" s="4"/>
    </row>
    <row r="36" ht="15.6" spans="1:14">
      <c r="A36" s="53">
        <v>44514</v>
      </c>
      <c r="B36" s="184">
        <v>39.31</v>
      </c>
      <c r="C36" s="228" t="s">
        <v>106</v>
      </c>
      <c r="D36" s="229"/>
      <c r="E36" s="226" t="s">
        <v>97</v>
      </c>
      <c r="F36" s="226" t="s">
        <v>107</v>
      </c>
      <c r="N36" s="4"/>
    </row>
    <row r="37" ht="15.6" spans="1:14">
      <c r="A37" s="53">
        <v>44515</v>
      </c>
      <c r="B37" s="184">
        <v>90.92</v>
      </c>
      <c r="C37" s="200" t="s">
        <v>108</v>
      </c>
      <c r="D37" s="201"/>
      <c r="E37" s="217">
        <f>C45</f>
        <v>0</v>
      </c>
      <c r="F37" s="203">
        <v>0</v>
      </c>
      <c r="N37" s="4"/>
    </row>
    <row r="38" ht="15.6" spans="1:14">
      <c r="A38" s="53">
        <v>44516</v>
      </c>
      <c r="B38" s="184">
        <v>39.83</v>
      </c>
      <c r="C38" s="200" t="s">
        <v>109</v>
      </c>
      <c r="D38" s="201"/>
      <c r="E38" s="217">
        <f>C44</f>
        <v>0</v>
      </c>
      <c r="F38" s="203">
        <v>0</v>
      </c>
      <c r="N38" s="4"/>
    </row>
    <row r="39" ht="15.6" spans="1:14">
      <c r="A39" s="53">
        <v>44517</v>
      </c>
      <c r="B39" s="184">
        <v>52.26</v>
      </c>
      <c r="C39" s="200" t="s">
        <v>99</v>
      </c>
      <c r="D39" s="204"/>
      <c r="E39" s="217">
        <f>C43</f>
        <v>100</v>
      </c>
      <c r="F39" s="203">
        <v>575</v>
      </c>
      <c r="N39" s="4"/>
    </row>
    <row r="40" ht="15.6" spans="1:14">
      <c r="A40" s="53">
        <v>44518</v>
      </c>
      <c r="B40" s="184">
        <v>89.14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3</v>
      </c>
      <c r="D41" s="79">
        <f>E11</f>
        <v>0</v>
      </c>
      <c r="E41" s="79">
        <f>C12</f>
        <v>8</v>
      </c>
      <c r="F41" s="79">
        <f>E12</f>
        <v>0</v>
      </c>
    </row>
    <row r="42" spans="1:6">
      <c r="A42" s="151"/>
      <c r="B42" s="79" t="s">
        <v>111</v>
      </c>
      <c r="C42" s="79">
        <v>1</v>
      </c>
      <c r="D42" s="79">
        <v>0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100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ZCB1-19截止2021年11月18日累计完成产值7348.37万元，
占总产值90284.4万元的8.14%，
100章临建完成5485.78万元，400章桥梁完成1862.59万元。</v>
      </c>
      <c r="B46" s="83"/>
      <c r="C46" s="83"/>
      <c r="D46" s="83"/>
      <c r="E46" s="83"/>
      <c r="F46" s="84"/>
      <c r="G46" s="4"/>
      <c r="I46" s="3" t="str">
        <f>TEXT(A3,"yyyy年mm月dd日")</f>
        <v>2021年11月18日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7"/>
  <dimension ref="A1:N49"/>
  <sheetViews>
    <sheetView view="pageBreakPreview" zoomScale="80" zoomScaleNormal="100" topLeftCell="A22" workbookViewId="0">
      <selection activeCell="F41" sqref="F4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44519</v>
      </c>
      <c r="B3" s="35" t="s">
        <v>7</v>
      </c>
      <c r="C3" s="35">
        <v>0</v>
      </c>
      <c r="D3" s="35">
        <f>ROUND(D11+F11,2)</f>
        <v>19.53</v>
      </c>
      <c r="E3" s="219">
        <f>ROUND(C5+D5,2)</f>
        <v>65.73</v>
      </c>
      <c r="F3" s="220" t="s">
        <v>116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46.2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65.73</v>
      </c>
      <c r="E5" s="219"/>
      <c r="F5" s="221"/>
      <c r="I5" t="str">
        <f>ROUND(E6/90284.4*100,2)&amp;"%"</f>
        <v>8.21%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v>1928.32</v>
      </c>
      <c r="E6" s="48">
        <f>ROUND(C6+D6,2)</f>
        <v>7414.1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v>1928.32</v>
      </c>
      <c r="E7" s="48">
        <f>ROUND(C7+D7,2)</f>
        <v>7414.1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44519</v>
      </c>
      <c r="B11" s="35" t="s">
        <v>7</v>
      </c>
      <c r="C11" s="56">
        <v>2</v>
      </c>
      <c r="D11" s="224">
        <v>19.53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24">
        <v>30.92</v>
      </c>
      <c r="E12" s="56">
        <v>1</v>
      </c>
      <c r="F12" s="224">
        <v>15.28</v>
      </c>
    </row>
    <row r="13" ht="15" customHeight="1" spans="1:6">
      <c r="A13" s="35"/>
      <c r="B13" s="35" t="s">
        <v>18</v>
      </c>
      <c r="C13" s="56">
        <f>C11+C12</f>
        <v>6</v>
      </c>
      <c r="D13" s="224">
        <f>ROUND(D11+D12,2)</f>
        <v>50.45</v>
      </c>
      <c r="E13" s="56">
        <f>E11+E12</f>
        <v>1</v>
      </c>
      <c r="F13" s="224">
        <f>ROUND(F11+F12,2)</f>
        <v>15.28</v>
      </c>
    </row>
    <row r="14" ht="30" customHeight="1" spans="1:6">
      <c r="A14" s="35"/>
      <c r="B14" s="48" t="s">
        <v>5</v>
      </c>
      <c r="C14" s="40">
        <f>D13+F13</f>
        <v>65.73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119</v>
      </c>
      <c r="C23" s="94" t="s">
        <v>75</v>
      </c>
      <c r="D23" s="35">
        <f>C34+D34</f>
        <v>85</v>
      </c>
      <c r="E23" s="35"/>
      <c r="F23" s="35"/>
    </row>
    <row r="24" spans="1:6">
      <c r="A24" s="94" t="s">
        <v>76</v>
      </c>
      <c r="B24" s="35">
        <f>E33+F33</f>
        <v>105</v>
      </c>
      <c r="C24" s="94" t="s">
        <v>77</v>
      </c>
      <c r="D24" s="35">
        <f>E34+F34</f>
        <v>66</v>
      </c>
      <c r="E24" s="35"/>
      <c r="F24" s="35"/>
    </row>
    <row r="25" spans="1:6">
      <c r="A25" s="94" t="s">
        <v>78</v>
      </c>
      <c r="B25" s="35">
        <f>B26-B23-B24</f>
        <v>5556</v>
      </c>
      <c r="C25" s="94" t="s">
        <v>79</v>
      </c>
      <c r="D25" s="35">
        <f>D26-D23-D24</f>
        <v>5629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26" t="s">
        <v>92</v>
      </c>
      <c r="D30" s="227"/>
      <c r="E30" s="227"/>
      <c r="F30" s="227"/>
      <c r="N30" s="4"/>
    </row>
    <row r="31" ht="15.6" spans="1:14">
      <c r="A31" s="53">
        <v>44510</v>
      </c>
      <c r="B31" s="184">
        <v>54.13</v>
      </c>
      <c r="C31" s="216" t="s">
        <v>32</v>
      </c>
      <c r="D31" s="216"/>
      <c r="E31" s="216" t="s">
        <v>33</v>
      </c>
      <c r="F31" s="216"/>
      <c r="N31" s="4"/>
    </row>
    <row r="32" ht="15.6" spans="1:14">
      <c r="A32" s="53">
        <v>44511</v>
      </c>
      <c r="B32" s="184">
        <v>54.16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44512</v>
      </c>
      <c r="B33" s="184">
        <v>46.53</v>
      </c>
      <c r="C33" s="198">
        <v>100</v>
      </c>
      <c r="D33" s="198">
        <v>19</v>
      </c>
      <c r="E33" s="198">
        <v>104</v>
      </c>
      <c r="F33" s="198">
        <v>1</v>
      </c>
      <c r="N33" s="4"/>
    </row>
    <row r="34" ht="15.6" spans="1:14">
      <c r="A34" s="53">
        <v>44513</v>
      </c>
      <c r="B34" s="184">
        <v>49.95</v>
      </c>
      <c r="C34" s="199">
        <v>75</v>
      </c>
      <c r="D34" s="199">
        <v>10</v>
      </c>
      <c r="E34" s="199">
        <v>66</v>
      </c>
      <c r="F34" s="199">
        <v>0</v>
      </c>
      <c r="N34" s="4"/>
    </row>
    <row r="35" ht="15.6" spans="1:14">
      <c r="A35" s="53">
        <v>44514</v>
      </c>
      <c r="B35" s="184">
        <v>39.31</v>
      </c>
      <c r="C35" s="198" t="s">
        <v>68</v>
      </c>
      <c r="D35" s="198">
        <f>C33+D33+E33+F33</f>
        <v>224</v>
      </c>
      <c r="E35" s="199" t="s">
        <v>69</v>
      </c>
      <c r="F35" s="199">
        <f>C34+D34+E34+F34</f>
        <v>151</v>
      </c>
      <c r="N35" s="4"/>
    </row>
    <row r="36" ht="15.6" spans="1:14">
      <c r="A36" s="53">
        <v>44515</v>
      </c>
      <c r="B36" s="184">
        <v>90.92</v>
      </c>
      <c r="C36" s="228" t="s">
        <v>106</v>
      </c>
      <c r="D36" s="229"/>
      <c r="E36" s="226" t="s">
        <v>97</v>
      </c>
      <c r="F36" s="226" t="s">
        <v>107</v>
      </c>
      <c r="N36" s="4"/>
    </row>
    <row r="37" ht="15.6" spans="1:14">
      <c r="A37" s="53">
        <v>44516</v>
      </c>
      <c r="B37" s="184">
        <v>39.83</v>
      </c>
      <c r="C37" s="200" t="s">
        <v>108</v>
      </c>
      <c r="D37" s="201"/>
      <c r="E37" s="217">
        <f>C45</f>
        <v>0</v>
      </c>
      <c r="F37" s="203">
        <v>0</v>
      </c>
      <c r="N37" s="4"/>
    </row>
    <row r="38" ht="15.6" spans="1:14">
      <c r="A38" s="53">
        <v>44517</v>
      </c>
      <c r="B38" s="184">
        <v>52.26</v>
      </c>
      <c r="C38" s="200" t="s">
        <v>109</v>
      </c>
      <c r="D38" s="201"/>
      <c r="E38" s="217">
        <v>0</v>
      </c>
      <c r="F38" s="203">
        <v>0</v>
      </c>
      <c r="N38" s="4"/>
    </row>
    <row r="39" ht="15.6" spans="1:14">
      <c r="A39" s="53">
        <v>44518</v>
      </c>
      <c r="B39" s="184">
        <v>89.14</v>
      </c>
      <c r="C39" s="200" t="s">
        <v>99</v>
      </c>
      <c r="D39" s="204"/>
      <c r="E39" s="217">
        <f>C43</f>
        <v>100</v>
      </c>
      <c r="F39" s="203">
        <v>675</v>
      </c>
      <c r="N39" s="4"/>
    </row>
    <row r="40" ht="15.6" spans="1:14">
      <c r="A40" s="53">
        <v>44519</v>
      </c>
      <c r="B40" s="184">
        <v>65.73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4</v>
      </c>
      <c r="F41" s="79">
        <f>E12</f>
        <v>1</v>
      </c>
    </row>
    <row r="42" spans="1:6">
      <c r="A42" s="151"/>
      <c r="B42" s="79" t="s">
        <v>111</v>
      </c>
      <c r="C42" s="79">
        <v>0</v>
      </c>
      <c r="D42" s="79">
        <v>0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100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ZCB1-19截止2021年11月19日累计完成产值7414.1万元，
占总产值90284.4万元的8.21%，
100章临建完成5485.78万元，400章桥梁完成1928.32万元。</v>
      </c>
      <c r="B46" s="83"/>
      <c r="C46" s="83"/>
      <c r="D46" s="83"/>
      <c r="E46" s="83"/>
      <c r="F46" s="84"/>
      <c r="G46" s="4"/>
      <c r="I46" s="3" t="str">
        <f>TEXT(A3,"yyyy年mm月dd日")</f>
        <v>2021年11月19日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8"/>
  <dimension ref="A1:N49"/>
  <sheetViews>
    <sheetView view="pageBreakPreview" zoomScale="80" zoomScaleNormal="100" workbookViewId="0">
      <selection activeCell="A8" sqref="A8:F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44520</v>
      </c>
      <c r="B3" s="35" t="s">
        <v>7</v>
      </c>
      <c r="C3" s="35">
        <v>0</v>
      </c>
      <c r="D3" s="35">
        <f>ROUND(D11+F11,2)</f>
        <v>15.45</v>
      </c>
      <c r="E3" s="219">
        <f>ROUND(C5+D5,2)</f>
        <v>46.37</v>
      </c>
      <c r="F3" s="220" t="s">
        <v>117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30.92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46.37</v>
      </c>
      <c r="E5" s="219"/>
      <c r="F5" s="221"/>
      <c r="I5" t="str">
        <f>ROUND(E6/90284.4*100,2)&amp;"%"</f>
        <v>8.26%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v>1974.6</v>
      </c>
      <c r="E6" s="48">
        <f>ROUND(C6+D6,2)</f>
        <v>7460.38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v>1974.6</v>
      </c>
      <c r="E7" s="48">
        <f>ROUND(C7+D7,2)</f>
        <v>7460.38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44520</v>
      </c>
      <c r="B11" s="35" t="s">
        <v>7</v>
      </c>
      <c r="C11" s="56">
        <v>2</v>
      </c>
      <c r="D11" s="224">
        <v>15.45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24">
        <v>30.92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6</v>
      </c>
      <c r="D13" s="224">
        <f>ROUND(D11+D12,2)</f>
        <v>46.37</v>
      </c>
      <c r="E13" s="56">
        <f>E11+E12</f>
        <v>0</v>
      </c>
      <c r="F13" s="224">
        <f>ROUND(F11+F12,2)</f>
        <v>0</v>
      </c>
    </row>
    <row r="14" ht="30" customHeight="1" spans="1:6">
      <c r="A14" s="35"/>
      <c r="B14" s="48" t="s">
        <v>5</v>
      </c>
      <c r="C14" s="40">
        <f>D13+F13</f>
        <v>46.37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121</v>
      </c>
      <c r="C23" s="94" t="s">
        <v>75</v>
      </c>
      <c r="D23" s="35">
        <f>C34+D34</f>
        <v>85</v>
      </c>
      <c r="E23" s="35"/>
      <c r="F23" s="35"/>
    </row>
    <row r="24" spans="1:6">
      <c r="A24" s="94" t="s">
        <v>76</v>
      </c>
      <c r="B24" s="35">
        <f>E33+F33</f>
        <v>109</v>
      </c>
      <c r="C24" s="94" t="s">
        <v>77</v>
      </c>
      <c r="D24" s="35">
        <f>E34+F34</f>
        <v>66</v>
      </c>
      <c r="E24" s="35"/>
      <c r="F24" s="35"/>
    </row>
    <row r="25" spans="1:6">
      <c r="A25" s="94" t="s">
        <v>78</v>
      </c>
      <c r="B25" s="35">
        <f>B26-B23-B24</f>
        <v>5550</v>
      </c>
      <c r="C25" s="94" t="s">
        <v>79</v>
      </c>
      <c r="D25" s="35">
        <f>D26-D23-D24</f>
        <v>5629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26" t="s">
        <v>92</v>
      </c>
      <c r="D30" s="227"/>
      <c r="E30" s="227"/>
      <c r="F30" s="227"/>
      <c r="N30" s="4"/>
    </row>
    <row r="31" ht="15.6" spans="1:14">
      <c r="A31" s="53">
        <v>44511</v>
      </c>
      <c r="B31" s="184">
        <v>54.16</v>
      </c>
      <c r="C31" s="216" t="s">
        <v>32</v>
      </c>
      <c r="D31" s="216"/>
      <c r="E31" s="216" t="s">
        <v>33</v>
      </c>
      <c r="F31" s="216"/>
      <c r="N31" s="4"/>
    </row>
    <row r="32" ht="15.6" spans="1:14">
      <c r="A32" s="53">
        <v>44512</v>
      </c>
      <c r="B32" s="184">
        <v>46.53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44513</v>
      </c>
      <c r="B33" s="184">
        <v>49.95</v>
      </c>
      <c r="C33" s="198">
        <v>102</v>
      </c>
      <c r="D33" s="198">
        <v>19</v>
      </c>
      <c r="E33" s="198">
        <v>108</v>
      </c>
      <c r="F33" s="198">
        <v>1</v>
      </c>
      <c r="N33" s="4"/>
    </row>
    <row r="34" ht="15.6" spans="1:14">
      <c r="A34" s="53">
        <v>44514</v>
      </c>
      <c r="B34" s="184">
        <v>39.31</v>
      </c>
      <c r="C34" s="199">
        <v>75</v>
      </c>
      <c r="D34" s="199">
        <v>10</v>
      </c>
      <c r="E34" s="199">
        <v>66</v>
      </c>
      <c r="F34" s="199">
        <v>0</v>
      </c>
      <c r="N34" s="4"/>
    </row>
    <row r="35" ht="15.6" spans="1:14">
      <c r="A35" s="53">
        <v>44515</v>
      </c>
      <c r="B35" s="184">
        <v>90.92</v>
      </c>
      <c r="C35" s="198" t="s">
        <v>68</v>
      </c>
      <c r="D35" s="198">
        <f>C33+D33+E33+F33</f>
        <v>230</v>
      </c>
      <c r="E35" s="199" t="s">
        <v>69</v>
      </c>
      <c r="F35" s="199">
        <f>C34+D34+E34+F34</f>
        <v>151</v>
      </c>
      <c r="N35" s="4"/>
    </row>
    <row r="36" ht="15.6" spans="1:14">
      <c r="A36" s="53">
        <v>44516</v>
      </c>
      <c r="B36" s="184">
        <v>39.83</v>
      </c>
      <c r="C36" s="228" t="s">
        <v>106</v>
      </c>
      <c r="D36" s="229"/>
      <c r="E36" s="226" t="s">
        <v>97</v>
      </c>
      <c r="F36" s="226" t="s">
        <v>107</v>
      </c>
      <c r="N36" s="4"/>
    </row>
    <row r="37" ht="15.6" spans="1:14">
      <c r="A37" s="53">
        <v>44517</v>
      </c>
      <c r="B37" s="184">
        <v>52.26</v>
      </c>
      <c r="C37" s="200" t="s">
        <v>108</v>
      </c>
      <c r="D37" s="201"/>
      <c r="E37" s="217">
        <f>C45</f>
        <v>0</v>
      </c>
      <c r="F37" s="203">
        <v>0</v>
      </c>
      <c r="N37" s="4"/>
    </row>
    <row r="38" ht="15.6" spans="1:14">
      <c r="A38" s="53">
        <v>44518</v>
      </c>
      <c r="B38" s="184">
        <v>89.14</v>
      </c>
      <c r="C38" s="200" t="s">
        <v>109</v>
      </c>
      <c r="D38" s="201"/>
      <c r="E38" s="217">
        <v>0</v>
      </c>
      <c r="F38" s="203">
        <v>0</v>
      </c>
      <c r="N38" s="4"/>
    </row>
    <row r="39" ht="15.6" spans="1:14">
      <c r="A39" s="53">
        <v>44519</v>
      </c>
      <c r="B39" s="184">
        <v>65.73</v>
      </c>
      <c r="C39" s="200" t="s">
        <v>99</v>
      </c>
      <c r="D39" s="204"/>
      <c r="E39" s="217">
        <f>C43</f>
        <v>0</v>
      </c>
      <c r="F39" s="203">
        <v>675</v>
      </c>
      <c r="N39" s="4"/>
    </row>
    <row r="40" ht="15.6" spans="1:14">
      <c r="A40" s="53">
        <v>44520</v>
      </c>
      <c r="B40" s="184">
        <v>46.37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151"/>
      <c r="B42" s="79" t="s">
        <v>111</v>
      </c>
      <c r="C42" s="79">
        <v>0</v>
      </c>
      <c r="D42" s="79">
        <v>0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ZCB1-19截止2021年11月20日累计完成产值7460.38万元，
占总产值90284.4万元的8.26%，
100章临建完成5485.78万元，400章桥梁完成1974.6万元。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2021年11月20日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9"/>
  <dimension ref="A1:N49"/>
  <sheetViews>
    <sheetView view="pageBreakPreview" zoomScale="80" zoomScaleNormal="100" workbookViewId="0">
      <selection activeCell="E11" sqref="E1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44521</v>
      </c>
      <c r="B3" s="35" t="s">
        <v>7</v>
      </c>
      <c r="C3" s="35">
        <v>0</v>
      </c>
      <c r="D3" s="35">
        <f>ROUND(D11+F11,2)</f>
        <v>19.53</v>
      </c>
      <c r="E3" s="219">
        <f>ROUND(C5+D5,2)</f>
        <v>51.87</v>
      </c>
      <c r="F3" s="220" t="s">
        <v>118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32.34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51.87</v>
      </c>
      <c r="E5" s="219"/>
      <c r="F5" s="221"/>
      <c r="I5" t="str">
        <f>ROUND(E6/90284.4*100,2)&amp;"%"</f>
        <v>8.32%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v>2026.47</v>
      </c>
      <c r="E6" s="48">
        <f>ROUND(C6+D6,2)</f>
        <v>7512.25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v>2026.47</v>
      </c>
      <c r="E7" s="48">
        <f>ROUND(C7+D7,2)</f>
        <v>7512.25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44521</v>
      </c>
      <c r="B11" s="35" t="s">
        <v>7</v>
      </c>
      <c r="C11" s="56">
        <v>2</v>
      </c>
      <c r="D11" s="224">
        <v>19.53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24">
        <v>32.34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6</v>
      </c>
      <c r="D13" s="224">
        <f>ROUND(D11+D12,2)</f>
        <v>51.87</v>
      </c>
      <c r="E13" s="56">
        <f>E11+E12</f>
        <v>0</v>
      </c>
      <c r="F13" s="224">
        <f>ROUND(F11+F12,2)</f>
        <v>0</v>
      </c>
    </row>
    <row r="14" ht="30" customHeight="1" spans="1:6">
      <c r="A14" s="35"/>
      <c r="B14" s="48" t="s">
        <v>5</v>
      </c>
      <c r="C14" s="40">
        <f>D13+F13</f>
        <v>51.87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123</v>
      </c>
      <c r="C23" s="94" t="s">
        <v>75</v>
      </c>
      <c r="D23" s="35">
        <f>C34+D34</f>
        <v>85</v>
      </c>
      <c r="E23" s="35"/>
      <c r="F23" s="35"/>
    </row>
    <row r="24" spans="1:6">
      <c r="A24" s="94" t="s">
        <v>76</v>
      </c>
      <c r="B24" s="35">
        <f>E33+F33</f>
        <v>113</v>
      </c>
      <c r="C24" s="94" t="s">
        <v>77</v>
      </c>
      <c r="D24" s="35">
        <f>E34+F34</f>
        <v>77</v>
      </c>
      <c r="E24" s="35"/>
      <c r="F24" s="35"/>
    </row>
    <row r="25" spans="1:6">
      <c r="A25" s="94" t="s">
        <v>78</v>
      </c>
      <c r="B25" s="35">
        <f>B26-B23-B24</f>
        <v>5544</v>
      </c>
      <c r="C25" s="94" t="s">
        <v>79</v>
      </c>
      <c r="D25" s="35">
        <f>D26-D23-D24</f>
        <v>5618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26" t="s">
        <v>92</v>
      </c>
      <c r="D30" s="227"/>
      <c r="E30" s="227"/>
      <c r="F30" s="227"/>
      <c r="N30" s="4"/>
    </row>
    <row r="31" ht="15.6" spans="1:14">
      <c r="A31" s="53">
        <v>44512</v>
      </c>
      <c r="B31" s="184">
        <v>46.53</v>
      </c>
      <c r="C31" s="216" t="s">
        <v>32</v>
      </c>
      <c r="D31" s="216"/>
      <c r="E31" s="216" t="s">
        <v>33</v>
      </c>
      <c r="F31" s="216"/>
      <c r="N31" s="4"/>
    </row>
    <row r="32" ht="15.6" spans="1:14">
      <c r="A32" s="53">
        <v>44513</v>
      </c>
      <c r="B32" s="184">
        <v>49.95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44514</v>
      </c>
      <c r="B33" s="184">
        <v>39.31</v>
      </c>
      <c r="C33" s="198">
        <v>104</v>
      </c>
      <c r="D33" s="198">
        <v>19</v>
      </c>
      <c r="E33" s="198">
        <v>112</v>
      </c>
      <c r="F33" s="198">
        <v>1</v>
      </c>
      <c r="N33" s="4"/>
    </row>
    <row r="34" ht="15.6" spans="1:14">
      <c r="A34" s="53">
        <v>44515</v>
      </c>
      <c r="B34" s="184">
        <v>90.92</v>
      </c>
      <c r="C34" s="199">
        <v>75</v>
      </c>
      <c r="D34" s="199">
        <v>10</v>
      </c>
      <c r="E34" s="199">
        <v>77</v>
      </c>
      <c r="F34" s="199">
        <v>0</v>
      </c>
      <c r="N34" s="4"/>
    </row>
    <row r="35" ht="15.6" spans="1:14">
      <c r="A35" s="53">
        <v>44516</v>
      </c>
      <c r="B35" s="184">
        <v>39.83</v>
      </c>
      <c r="C35" s="198" t="s">
        <v>68</v>
      </c>
      <c r="D35" s="198">
        <f>C33+D33+E33+F33</f>
        <v>236</v>
      </c>
      <c r="E35" s="199" t="s">
        <v>69</v>
      </c>
      <c r="F35" s="199">
        <f>C34+D34+E34+F34</f>
        <v>162</v>
      </c>
      <c r="N35" s="4"/>
    </row>
    <row r="36" ht="15.6" spans="1:14">
      <c r="A36" s="53">
        <v>44517</v>
      </c>
      <c r="B36" s="184">
        <v>52.26</v>
      </c>
      <c r="C36" s="228" t="s">
        <v>106</v>
      </c>
      <c r="D36" s="229"/>
      <c r="E36" s="226" t="s">
        <v>97</v>
      </c>
      <c r="F36" s="226" t="s">
        <v>107</v>
      </c>
      <c r="N36" s="4"/>
    </row>
    <row r="37" ht="15.6" spans="1:14">
      <c r="A37" s="53">
        <v>44518</v>
      </c>
      <c r="B37" s="184">
        <v>89.14</v>
      </c>
      <c r="C37" s="200" t="s">
        <v>108</v>
      </c>
      <c r="D37" s="201"/>
      <c r="E37" s="217">
        <f>C45</f>
        <v>0</v>
      </c>
      <c r="F37" s="203">
        <v>0</v>
      </c>
      <c r="N37" s="4"/>
    </row>
    <row r="38" ht="15.6" spans="1:14">
      <c r="A38" s="53">
        <v>44519</v>
      </c>
      <c r="B38" s="184">
        <v>65.73</v>
      </c>
      <c r="C38" s="200" t="s">
        <v>109</v>
      </c>
      <c r="D38" s="201"/>
      <c r="E38" s="217">
        <v>0</v>
      </c>
      <c r="F38" s="203">
        <v>0</v>
      </c>
      <c r="N38" s="4"/>
    </row>
    <row r="39" ht="15.6" spans="1:14">
      <c r="A39" s="53">
        <v>44520</v>
      </c>
      <c r="B39" s="184">
        <v>46.37</v>
      </c>
      <c r="C39" s="200" t="s">
        <v>99</v>
      </c>
      <c r="D39" s="204"/>
      <c r="E39" s="217">
        <f>C43</f>
        <v>100</v>
      </c>
      <c r="F39" s="203">
        <v>775</v>
      </c>
      <c r="N39" s="4"/>
    </row>
    <row r="40" ht="15.6" spans="1:14">
      <c r="A40" s="53">
        <v>44521</v>
      </c>
      <c r="B40" s="184">
        <v>51.87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151"/>
      <c r="B42" s="79" t="s">
        <v>111</v>
      </c>
      <c r="C42" s="79">
        <v>0</v>
      </c>
      <c r="D42" s="79">
        <v>0</v>
      </c>
      <c r="E42" s="79">
        <v>11</v>
      </c>
      <c r="F42" s="79">
        <v>0</v>
      </c>
    </row>
    <row r="43" spans="1:6">
      <c r="A43" s="151"/>
      <c r="B43" s="79" t="s">
        <v>112</v>
      </c>
      <c r="C43" s="79">
        <v>100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ZCB1-19截止2021年11月21日累计完成产值7512.25万元，
占总产值90284.4万元的8.32%，
100章临建完成5485.78万元，400章桥梁完成2026.47万元。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2021年11月21日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23"/>
  <sheetViews>
    <sheetView workbookViewId="0">
      <selection activeCell="H9" sqref="H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64" t="s">
        <v>3</v>
      </c>
      <c r="D2" s="264" t="s">
        <v>4</v>
      </c>
      <c r="E2" s="48" t="s">
        <v>5</v>
      </c>
      <c r="F2" s="48" t="s">
        <v>6</v>
      </c>
    </row>
    <row r="3" ht="15" customHeight="1" spans="1:6">
      <c r="A3" s="218">
        <v>44468</v>
      </c>
      <c r="B3" s="35" t="s">
        <v>7</v>
      </c>
      <c r="C3" s="35">
        <v>2</v>
      </c>
      <c r="D3" s="35">
        <v>7.98</v>
      </c>
      <c r="E3" s="35">
        <v>33.25</v>
      </c>
      <c r="F3" s="265" t="s">
        <v>25</v>
      </c>
    </row>
    <row r="4" ht="15" customHeight="1" spans="1:6">
      <c r="A4" s="35"/>
      <c r="B4" s="35" t="s">
        <v>9</v>
      </c>
      <c r="C4" s="35">
        <v>0</v>
      </c>
      <c r="D4" s="35">
        <v>15.46</v>
      </c>
      <c r="E4" s="35"/>
      <c r="F4" s="266"/>
    </row>
    <row r="5" ht="15" customHeight="1" spans="1:6">
      <c r="A5" s="35"/>
      <c r="B5" s="48" t="s">
        <v>10</v>
      </c>
      <c r="C5" s="35">
        <f>SUM(C3:C4)</f>
        <v>2</v>
      </c>
      <c r="D5" s="35">
        <f>SUM(D3:D4)+0.01</f>
        <v>23.45</v>
      </c>
      <c r="E5" s="35"/>
      <c r="F5" s="266"/>
    </row>
    <row r="6" ht="15" customHeight="1" spans="1:9">
      <c r="A6" s="35"/>
      <c r="B6" s="48" t="s">
        <v>11</v>
      </c>
      <c r="C6" s="35">
        <f>E6-D6</f>
        <v>5446.78</v>
      </c>
      <c r="D6" s="35">
        <f>ROUND(229.687+0.1625,2)</f>
        <v>229.85</v>
      </c>
      <c r="E6" s="35">
        <f>5614.28+2+8.82+2+16.28+33.25</f>
        <v>5676.63</v>
      </c>
      <c r="F6" s="266"/>
      <c r="H6" s="3">
        <v>5643.38</v>
      </c>
      <c r="I6" s="3">
        <f>E6-H6</f>
        <v>33.2499999999991</v>
      </c>
    </row>
    <row r="7" ht="100.05" customHeight="1" spans="1:6">
      <c r="A7" s="35"/>
      <c r="B7" s="48" t="s">
        <v>12</v>
      </c>
      <c r="C7" s="35">
        <f>E7-D7</f>
        <v>5446.78</v>
      </c>
      <c r="D7" s="35">
        <f>ROUND(229.687+0.1625,2)</f>
        <v>229.85</v>
      </c>
      <c r="E7" s="35">
        <f>5614.28+2+8.82+2+16.28+33.25</f>
        <v>5676.63</v>
      </c>
      <c r="F7" s="266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67" t="s">
        <v>14</v>
      </c>
      <c r="D9" s="67"/>
      <c r="E9" s="67" t="s">
        <v>15</v>
      </c>
      <c r="F9" s="67"/>
    </row>
    <row r="10" spans="1:6">
      <c r="A10" s="48"/>
      <c r="B10" s="48"/>
      <c r="C10" s="67" t="s">
        <v>16</v>
      </c>
      <c r="D10" s="67" t="s">
        <v>17</v>
      </c>
      <c r="E10" s="67" t="s">
        <v>16</v>
      </c>
      <c r="F10" s="67" t="s">
        <v>17</v>
      </c>
    </row>
    <row r="11" spans="1:6">
      <c r="A11" s="218">
        <v>44468</v>
      </c>
      <c r="B11" s="35" t="s">
        <v>7</v>
      </c>
      <c r="C11" s="56">
        <v>1</v>
      </c>
      <c r="D11" s="224">
        <f>ROUND(7.82+0.1625,2)</f>
        <v>7.98</v>
      </c>
      <c r="E11" s="56"/>
      <c r="F11" s="224"/>
    </row>
    <row r="12" spans="1:6">
      <c r="A12" s="35"/>
      <c r="B12" s="35" t="s">
        <v>9</v>
      </c>
      <c r="C12" s="56">
        <v>2</v>
      </c>
      <c r="D12" s="224">
        <v>15.46</v>
      </c>
      <c r="E12" s="56"/>
      <c r="F12" s="224"/>
    </row>
    <row r="13" spans="1:6">
      <c r="A13" s="35"/>
      <c r="B13" s="35" t="s">
        <v>18</v>
      </c>
      <c r="C13" s="56">
        <f>C11+C12</f>
        <v>3</v>
      </c>
      <c r="D13" s="224">
        <f>ROUND(D11+D12+0.01,2)</f>
        <v>23.45</v>
      </c>
      <c r="E13" s="56">
        <f t="shared" ref="E13:F13" si="0">E11+E12</f>
        <v>0</v>
      </c>
      <c r="F13" s="224">
        <f t="shared" si="0"/>
        <v>0</v>
      </c>
    </row>
    <row r="14" spans="1:6">
      <c r="A14" s="35"/>
      <c r="B14" s="48" t="s">
        <v>5</v>
      </c>
      <c r="C14" s="94">
        <v>31.25</v>
      </c>
      <c r="D14" s="94"/>
      <c r="E14" s="94"/>
      <c r="F14" s="94"/>
    </row>
    <row r="15" spans="1:6">
      <c r="A15" s="35" t="s">
        <v>6</v>
      </c>
      <c r="B15" s="268" t="s">
        <v>26</v>
      </c>
      <c r="C15" s="268"/>
      <c r="D15" s="268"/>
      <c r="E15" s="268"/>
      <c r="F15" s="268"/>
    </row>
    <row r="17" spans="2:2">
      <c r="B17" s="3" t="s">
        <v>20</v>
      </c>
    </row>
    <row r="20" spans="4:10">
      <c r="D20" s="3">
        <v>198.6</v>
      </c>
      <c r="E20" s="3">
        <v>206.4077</v>
      </c>
      <c r="F20" s="3">
        <f>E20-D20</f>
        <v>7.80770000000001</v>
      </c>
      <c r="J20" s="3">
        <f>D13+7.8</f>
        <v>31.25</v>
      </c>
    </row>
    <row r="21" spans="4:8">
      <c r="D21" s="3">
        <v>229.85</v>
      </c>
      <c r="E21" s="3">
        <v>198.6</v>
      </c>
      <c r="F21" s="3">
        <f>D21-E21</f>
        <v>31.25</v>
      </c>
      <c r="G21" s="3">
        <v>25.4425</v>
      </c>
      <c r="H21" s="3">
        <f>F21-G21</f>
        <v>5.8075</v>
      </c>
    </row>
    <row r="23" spans="4:4">
      <c r="D23" s="3">
        <f>23.44+7.8</f>
        <v>31.24</v>
      </c>
    </row>
  </sheetData>
  <mergeCells count="12">
    <mergeCell ref="A1:F1"/>
    <mergeCell ref="A8:F8"/>
    <mergeCell ref="C9:D9"/>
    <mergeCell ref="E9:F9"/>
    <mergeCell ref="C14:F14"/>
    <mergeCell ref="B15:F15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" formula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0"/>
  <dimension ref="A1:N49"/>
  <sheetViews>
    <sheetView view="pageBreakPreview" zoomScale="80" zoomScaleNormal="100" workbookViewId="0">
      <selection activeCell="E33" sqref="E33:F33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44522</v>
      </c>
      <c r="B3" s="35" t="s">
        <v>7</v>
      </c>
      <c r="C3" s="35">
        <v>0</v>
      </c>
      <c r="D3" s="35">
        <f>ROUND(D11+F11,2)</f>
        <v>16.5</v>
      </c>
      <c r="E3" s="219">
        <f>ROUND(C5+D5,2)</f>
        <v>70.33</v>
      </c>
      <c r="F3" s="220" t="s">
        <v>119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53.83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70.33</v>
      </c>
      <c r="E5" s="219"/>
      <c r="F5" s="221"/>
      <c r="I5" t="str">
        <f>ROUND(E6/90284.4*100,2)&amp;"%"</f>
        <v>8.4%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f>2095.89+0.91</f>
        <v>2096.8</v>
      </c>
      <c r="E6" s="48">
        <f>ROUND(C6+D6,2)</f>
        <v>7582.58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f>2095.89+0.91</f>
        <v>2096.8</v>
      </c>
      <c r="E7" s="48">
        <f>ROUND(C7+D7,2)</f>
        <v>7582.58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44522</v>
      </c>
      <c r="B11" s="35" t="s">
        <v>7</v>
      </c>
      <c r="C11" s="56">
        <v>2</v>
      </c>
      <c r="D11" s="224">
        <f>15.59+0.91</f>
        <v>16.5</v>
      </c>
      <c r="E11" s="56">
        <v>0</v>
      </c>
      <c r="F11" s="224">
        <v>0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5</v>
      </c>
      <c r="D12" s="224">
        <v>38.55</v>
      </c>
      <c r="E12" s="56">
        <v>1</v>
      </c>
      <c r="F12" s="224">
        <v>15.28</v>
      </c>
    </row>
    <row r="13" ht="15" customHeight="1" spans="1:6">
      <c r="A13" s="35"/>
      <c r="B13" s="35" t="s">
        <v>18</v>
      </c>
      <c r="C13" s="56">
        <f>C11+C12</f>
        <v>7</v>
      </c>
      <c r="D13" s="224">
        <f>ROUND(D11+D12,2)</f>
        <v>55.05</v>
      </c>
      <c r="E13" s="56">
        <f>E11+E12</f>
        <v>1</v>
      </c>
      <c r="F13" s="224">
        <f>ROUND(F11+F12,2)</f>
        <v>15.28</v>
      </c>
    </row>
    <row r="14" ht="30" customHeight="1" spans="1:6">
      <c r="A14" s="35"/>
      <c r="B14" s="48" t="s">
        <v>5</v>
      </c>
      <c r="C14" s="40">
        <f>D13+F13</f>
        <v>70.33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125</v>
      </c>
      <c r="C23" s="94" t="s">
        <v>75</v>
      </c>
      <c r="D23" s="35">
        <f>C34+D34</f>
        <v>86</v>
      </c>
      <c r="E23" s="35"/>
      <c r="F23" s="35"/>
    </row>
    <row r="24" spans="1:6">
      <c r="A24" s="94" t="s">
        <v>76</v>
      </c>
      <c r="B24" s="35">
        <f>E33+F33</f>
        <v>119</v>
      </c>
      <c r="C24" s="94" t="s">
        <v>77</v>
      </c>
      <c r="D24" s="35">
        <f>E34+F34</f>
        <v>77</v>
      </c>
      <c r="E24" s="35"/>
      <c r="F24" s="35"/>
    </row>
    <row r="25" spans="1:6">
      <c r="A25" s="94" t="s">
        <v>78</v>
      </c>
      <c r="B25" s="35">
        <f>B26-B23-B24</f>
        <v>5536</v>
      </c>
      <c r="C25" s="94" t="s">
        <v>79</v>
      </c>
      <c r="D25" s="35">
        <f>D26-D23-D24</f>
        <v>5617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26" t="s">
        <v>92</v>
      </c>
      <c r="D30" s="227"/>
      <c r="E30" s="227"/>
      <c r="F30" s="227"/>
      <c r="N30" s="4"/>
    </row>
    <row r="31" ht="15.6" spans="1:14">
      <c r="A31" s="53">
        <v>44513</v>
      </c>
      <c r="B31" s="184">
        <v>49.95</v>
      </c>
      <c r="C31" s="216" t="s">
        <v>32</v>
      </c>
      <c r="D31" s="216"/>
      <c r="E31" s="216" t="s">
        <v>33</v>
      </c>
      <c r="F31" s="216"/>
      <c r="N31" s="4"/>
    </row>
    <row r="32" ht="15.6" spans="1:14">
      <c r="A32" s="53">
        <v>44514</v>
      </c>
      <c r="B32" s="184">
        <v>39.31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44515</v>
      </c>
      <c r="B33" s="184">
        <v>90.92</v>
      </c>
      <c r="C33" s="198">
        <v>106</v>
      </c>
      <c r="D33" s="198">
        <v>19</v>
      </c>
      <c r="E33" s="198">
        <v>117</v>
      </c>
      <c r="F33" s="198">
        <v>2</v>
      </c>
      <c r="N33" s="4"/>
    </row>
    <row r="34" ht="15.6" spans="1:14">
      <c r="A34" s="53">
        <v>44516</v>
      </c>
      <c r="B34" s="184">
        <v>39.83</v>
      </c>
      <c r="C34" s="199">
        <v>76</v>
      </c>
      <c r="D34" s="199">
        <v>10</v>
      </c>
      <c r="E34" s="199">
        <v>77</v>
      </c>
      <c r="F34" s="199">
        <v>0</v>
      </c>
      <c r="N34" s="4"/>
    </row>
    <row r="35" ht="15.6" spans="1:14">
      <c r="A35" s="53">
        <v>44517</v>
      </c>
      <c r="B35" s="184">
        <v>52.26</v>
      </c>
      <c r="C35" s="198" t="s">
        <v>68</v>
      </c>
      <c r="D35" s="198">
        <f>C33+D33+E33+F33</f>
        <v>244</v>
      </c>
      <c r="E35" s="199" t="s">
        <v>69</v>
      </c>
      <c r="F35" s="199">
        <f>C34+D34+E34+F34</f>
        <v>163</v>
      </c>
      <c r="N35" s="4"/>
    </row>
    <row r="36" ht="15.6" spans="1:14">
      <c r="A36" s="53">
        <v>44518</v>
      </c>
      <c r="B36" s="184">
        <v>89.14</v>
      </c>
      <c r="C36" s="228" t="s">
        <v>106</v>
      </c>
      <c r="D36" s="229"/>
      <c r="E36" s="226" t="s">
        <v>97</v>
      </c>
      <c r="F36" s="226" t="s">
        <v>107</v>
      </c>
      <c r="N36" s="4"/>
    </row>
    <row r="37" ht="15.6" spans="1:14">
      <c r="A37" s="53">
        <v>44519</v>
      </c>
      <c r="B37" s="184">
        <v>65.73</v>
      </c>
      <c r="C37" s="200" t="s">
        <v>108</v>
      </c>
      <c r="D37" s="201"/>
      <c r="E37" s="217">
        <f>C45</f>
        <v>0</v>
      </c>
      <c r="F37" s="203">
        <v>0</v>
      </c>
      <c r="N37" s="4"/>
    </row>
    <row r="38" ht="15.6" spans="1:14">
      <c r="A38" s="53">
        <v>44520</v>
      </c>
      <c r="B38" s="184">
        <v>46.37</v>
      </c>
      <c r="C38" s="200" t="s">
        <v>109</v>
      </c>
      <c r="D38" s="201"/>
      <c r="E38" s="217">
        <v>0</v>
      </c>
      <c r="F38" s="203">
        <v>0</v>
      </c>
      <c r="N38" s="4"/>
    </row>
    <row r="39" ht="15.6" spans="1:14">
      <c r="A39" s="53">
        <v>44521</v>
      </c>
      <c r="B39" s="184">
        <v>51.87</v>
      </c>
      <c r="C39" s="200" t="s">
        <v>99</v>
      </c>
      <c r="D39" s="204"/>
      <c r="E39" s="217">
        <f>C43</f>
        <v>0</v>
      </c>
      <c r="F39" s="203">
        <v>775</v>
      </c>
      <c r="N39" s="4"/>
    </row>
    <row r="40" ht="15.6" spans="1:14">
      <c r="A40" s="53">
        <v>44522</v>
      </c>
      <c r="B40" s="184">
        <v>70.33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2</v>
      </c>
      <c r="D41" s="79">
        <f>E11</f>
        <v>0</v>
      </c>
      <c r="E41" s="79">
        <f>C12</f>
        <v>5</v>
      </c>
      <c r="F41" s="79">
        <f>E12</f>
        <v>1</v>
      </c>
    </row>
    <row r="42" spans="1:6">
      <c r="A42" s="151"/>
      <c r="B42" s="79" t="s">
        <v>111</v>
      </c>
      <c r="C42" s="79">
        <v>1</v>
      </c>
      <c r="D42" s="79">
        <v>0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ZCB1-19截止2021年11月22日累计完成产值7582.58万元，
占总产值90284.4万元的8.4%，
100章临建完成5485.78万元，400章桥梁完成2096.8万元。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2021年11月22日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1"/>
  <dimension ref="A1:N49"/>
  <sheetViews>
    <sheetView view="pageBreakPreview" zoomScale="80" zoomScaleNormal="100" workbookViewId="0">
      <selection activeCell="B41" sqref="B4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30" t="s">
        <v>72</v>
      </c>
      <c r="B1" s="40"/>
      <c r="C1" s="40"/>
      <c r="D1" s="40"/>
      <c r="E1" s="40"/>
      <c r="F1" s="40"/>
      <c r="G1" s="3"/>
      <c r="H1" s="3"/>
      <c r="I1" s="4"/>
      <c r="J1" s="4"/>
      <c r="K1" s="3"/>
      <c r="L1" s="3"/>
    </row>
    <row r="2" ht="15" customHeight="1" spans="1:12">
      <c r="A2" s="48" t="s">
        <v>1</v>
      </c>
      <c r="B2" s="48" t="s">
        <v>2</v>
      </c>
      <c r="C2" s="36" t="s">
        <v>3</v>
      </c>
      <c r="D2" s="36" t="s">
        <v>4</v>
      </c>
      <c r="E2" s="48" t="s">
        <v>5</v>
      </c>
      <c r="F2" s="48" t="s">
        <v>6</v>
      </c>
      <c r="I2"/>
      <c r="J2"/>
      <c r="K2" s="3"/>
      <c r="L2" s="3"/>
    </row>
    <row r="3" ht="15" customHeight="1" spans="1:12">
      <c r="A3" s="218">
        <v>44523</v>
      </c>
      <c r="B3" s="35" t="s">
        <v>7</v>
      </c>
      <c r="C3" s="35">
        <v>0</v>
      </c>
      <c r="D3" s="35">
        <f>ROUND(D11+F11,2)</f>
        <v>8.38</v>
      </c>
      <c r="E3" s="219">
        <f>ROUND(C5+D5,2)</f>
        <v>31.48</v>
      </c>
      <c r="F3" s="220" t="s">
        <v>120</v>
      </c>
      <c r="I3"/>
      <c r="J3"/>
      <c r="K3" s="3"/>
      <c r="L3" s="3"/>
    </row>
    <row r="4" ht="15" customHeight="1" spans="1:12">
      <c r="A4" s="35"/>
      <c r="B4" s="35" t="s">
        <v>9</v>
      </c>
      <c r="C4" s="35">
        <v>0</v>
      </c>
      <c r="D4" s="35">
        <f>ROUND(D12+F12,2)</f>
        <v>23.1</v>
      </c>
      <c r="E4" s="219"/>
      <c r="F4" s="221"/>
      <c r="I4"/>
      <c r="J4"/>
      <c r="K4" s="3"/>
      <c r="L4" s="3"/>
    </row>
    <row r="5" ht="15" customHeight="1" spans="1:12">
      <c r="A5" s="35"/>
      <c r="B5" s="48" t="s">
        <v>10</v>
      </c>
      <c r="C5" s="35">
        <f>SUM(C3:C4)</f>
        <v>0</v>
      </c>
      <c r="D5" s="35">
        <f>SUM(D3:D4)</f>
        <v>31.48</v>
      </c>
      <c r="E5" s="219"/>
      <c r="F5" s="221"/>
      <c r="I5" t="str">
        <f>ROUND(E6/90284.4*100,2)&amp;"%"</f>
        <v>8.43%</v>
      </c>
      <c r="J5"/>
      <c r="K5" s="3"/>
      <c r="L5" s="3"/>
    </row>
    <row r="6" ht="60" customHeight="1" spans="1:12">
      <c r="A6" s="35"/>
      <c r="B6" s="48" t="s">
        <v>11</v>
      </c>
      <c r="C6" s="222">
        <v>5485.78</v>
      </c>
      <c r="D6" s="222">
        <f>2136.1-7.822</f>
        <v>2128.278</v>
      </c>
      <c r="E6" s="48">
        <f>ROUND(C6+D6,2)</f>
        <v>7614.06</v>
      </c>
      <c r="F6" s="221"/>
      <c r="I6"/>
      <c r="J6"/>
      <c r="K6" s="3"/>
      <c r="L6" s="3"/>
    </row>
    <row r="7" ht="60" customHeight="1" spans="1:12">
      <c r="A7" s="35"/>
      <c r="B7" s="48" t="s">
        <v>12</v>
      </c>
      <c r="C7" s="222">
        <v>5485.78</v>
      </c>
      <c r="D7" s="222">
        <f>2136.1-7.822</f>
        <v>2128.278</v>
      </c>
      <c r="E7" s="48">
        <f>ROUND(C7+D7,2)</f>
        <v>7614.06</v>
      </c>
      <c r="F7" s="221"/>
      <c r="I7"/>
      <c r="J7"/>
      <c r="K7" s="3"/>
      <c r="L7" s="3"/>
    </row>
    <row r="8" ht="30" customHeight="1" spans="1:12">
      <c r="A8" s="40" t="s">
        <v>13</v>
      </c>
      <c r="B8" s="40"/>
      <c r="C8" s="40"/>
      <c r="D8" s="40"/>
      <c r="E8" s="40"/>
      <c r="F8" s="40"/>
      <c r="I8"/>
      <c r="J8"/>
      <c r="K8" s="3"/>
      <c r="L8" s="3"/>
    </row>
    <row r="9" ht="15" customHeight="1" spans="1:11">
      <c r="A9" s="48" t="s">
        <v>1</v>
      </c>
      <c r="B9" s="48" t="s">
        <v>2</v>
      </c>
      <c r="C9" s="223" t="s">
        <v>14</v>
      </c>
      <c r="D9" s="223"/>
      <c r="E9" s="223" t="s">
        <v>15</v>
      </c>
      <c r="F9" s="223"/>
      <c r="I9" s="4"/>
      <c r="J9" s="4"/>
      <c r="K9" s="3"/>
    </row>
    <row r="10" ht="15" customHeight="1" spans="1:11">
      <c r="A10" s="48"/>
      <c r="B10" s="48"/>
      <c r="C10" s="223" t="s">
        <v>16</v>
      </c>
      <c r="D10" s="223" t="s">
        <v>17</v>
      </c>
      <c r="E10" s="223" t="s">
        <v>16</v>
      </c>
      <c r="F10" s="223" t="s">
        <v>17</v>
      </c>
      <c r="I10" s="4"/>
      <c r="J10" s="4"/>
      <c r="K10" s="3"/>
    </row>
    <row r="11" ht="15" customHeight="1" spans="1:12">
      <c r="A11" s="218">
        <v>44523</v>
      </c>
      <c r="B11" s="35" t="s">
        <v>7</v>
      </c>
      <c r="C11" s="56">
        <v>1</v>
      </c>
      <c r="D11" s="224">
        <v>8.13</v>
      </c>
      <c r="E11" s="56">
        <v>0</v>
      </c>
      <c r="F11" s="224">
        <v>0.252</v>
      </c>
      <c r="I11" s="4"/>
      <c r="J11" s="4"/>
      <c r="K11" s="3"/>
      <c r="L11" s="3"/>
    </row>
    <row r="12" ht="15" customHeight="1" spans="1:6">
      <c r="A12" s="35"/>
      <c r="B12" s="35" t="s">
        <v>9</v>
      </c>
      <c r="C12" s="56">
        <v>4</v>
      </c>
      <c r="D12" s="224">
        <f>30.92-7.822</f>
        <v>23.098</v>
      </c>
      <c r="E12" s="56">
        <v>0</v>
      </c>
      <c r="F12" s="224">
        <v>0</v>
      </c>
    </row>
    <row r="13" ht="15" customHeight="1" spans="1:6">
      <c r="A13" s="35"/>
      <c r="B13" s="35" t="s">
        <v>18</v>
      </c>
      <c r="C13" s="56">
        <f>C11+C12</f>
        <v>5</v>
      </c>
      <c r="D13" s="224">
        <f>ROUND(D11+D12,2)</f>
        <v>31.23</v>
      </c>
      <c r="E13" s="56">
        <f>E11+E12</f>
        <v>0</v>
      </c>
      <c r="F13" s="224">
        <f>ROUND(F11+F12,2)</f>
        <v>0.25</v>
      </c>
    </row>
    <row r="14" ht="30" customHeight="1" spans="1:6">
      <c r="A14" s="35"/>
      <c r="B14" s="48" t="s">
        <v>5</v>
      </c>
      <c r="C14" s="40">
        <f>D13+F13</f>
        <v>31.48</v>
      </c>
      <c r="D14" s="40"/>
      <c r="E14" s="40"/>
      <c r="F14" s="40"/>
    </row>
    <row r="15" spans="1:6">
      <c r="A15" s="35"/>
      <c r="B15" s="35"/>
      <c r="C15" s="35"/>
      <c r="D15" s="35"/>
      <c r="E15" s="35"/>
      <c r="F15" s="35"/>
    </row>
    <row r="16" spans="1:6">
      <c r="A16" s="35"/>
      <c r="B16" s="35" t="s">
        <v>20</v>
      </c>
      <c r="C16" s="35"/>
      <c r="D16" s="35"/>
      <c r="E16" s="35"/>
      <c r="F16" s="35"/>
    </row>
    <row r="17" spans="1:8">
      <c r="A17" s="35"/>
      <c r="B17" s="35"/>
      <c r="C17" s="225"/>
      <c r="D17" s="225"/>
      <c r="E17" s="225"/>
      <c r="F17" s="225"/>
      <c r="G17"/>
      <c r="H17"/>
    </row>
    <row r="18" spans="1:8">
      <c r="A18" s="35"/>
      <c r="B18" s="35"/>
      <c r="C18" s="225"/>
      <c r="D18" s="225"/>
      <c r="E18" s="225"/>
      <c r="F18" s="225"/>
      <c r="G18"/>
      <c r="H18"/>
    </row>
    <row r="19" spans="1:8">
      <c r="A19" s="35"/>
      <c r="B19" s="35"/>
      <c r="C19" s="225"/>
      <c r="D19" s="225"/>
      <c r="E19" s="225"/>
      <c r="F19" s="225"/>
      <c r="G19"/>
      <c r="H19"/>
    </row>
    <row r="20" spans="1:8">
      <c r="A20" s="35"/>
      <c r="B20" s="35"/>
      <c r="C20" s="225"/>
      <c r="D20" s="225"/>
      <c r="E20" s="225"/>
      <c r="F20" s="225"/>
      <c r="G20"/>
      <c r="H20"/>
    </row>
    <row r="21" spans="1:8">
      <c r="A21" s="35"/>
      <c r="B21" s="35"/>
      <c r="C21" s="225"/>
      <c r="D21" s="225"/>
      <c r="E21" s="225"/>
      <c r="F21" s="225"/>
      <c r="G21"/>
      <c r="H21"/>
    </row>
    <row r="22" spans="1:8">
      <c r="A22" s="35"/>
      <c r="B22" s="35"/>
      <c r="C22" s="225"/>
      <c r="D22" s="225"/>
      <c r="E22" s="225"/>
      <c r="F22" s="225"/>
      <c r="G22"/>
      <c r="H22"/>
    </row>
    <row r="23" spans="1:6">
      <c r="A23" s="94" t="s">
        <v>74</v>
      </c>
      <c r="B23" s="35">
        <f>C33+D33</f>
        <v>126</v>
      </c>
      <c r="C23" s="94" t="s">
        <v>75</v>
      </c>
      <c r="D23" s="35">
        <f>C34+D34</f>
        <v>90</v>
      </c>
      <c r="E23" s="35"/>
      <c r="F23" s="35"/>
    </row>
    <row r="24" spans="1:6">
      <c r="A24" s="94" t="s">
        <v>76</v>
      </c>
      <c r="B24" s="35">
        <f>E33+F33</f>
        <v>122</v>
      </c>
      <c r="C24" s="94" t="s">
        <v>77</v>
      </c>
      <c r="D24" s="35">
        <f>E34+F34</f>
        <v>77</v>
      </c>
      <c r="E24" s="35"/>
      <c r="F24" s="35"/>
    </row>
    <row r="25" spans="1:6">
      <c r="A25" s="94" t="s">
        <v>78</v>
      </c>
      <c r="B25" s="35">
        <f>B26-B23-B24</f>
        <v>5532</v>
      </c>
      <c r="C25" s="94" t="s">
        <v>79</v>
      </c>
      <c r="D25" s="35">
        <f>D26-D23-D24</f>
        <v>5613</v>
      </c>
      <c r="E25" s="35"/>
      <c r="F25" s="35"/>
    </row>
    <row r="26" spans="1:6">
      <c r="A26" s="94" t="s">
        <v>80</v>
      </c>
      <c r="B26" s="35">
        <v>5780</v>
      </c>
      <c r="C26" s="94" t="s">
        <v>81</v>
      </c>
      <c r="D26" s="35">
        <v>5780</v>
      </c>
      <c r="E26" s="35"/>
      <c r="F26" s="35"/>
    </row>
    <row r="27" spans="1:6">
      <c r="A27" s="35"/>
      <c r="B27" s="35"/>
      <c r="C27" s="35"/>
      <c r="D27" s="35"/>
      <c r="E27" s="35"/>
      <c r="F27" s="35"/>
    </row>
    <row r="28" spans="1:6">
      <c r="A28" s="35"/>
      <c r="B28" s="35"/>
      <c r="C28" s="35"/>
      <c r="D28" s="35"/>
      <c r="E28" s="35"/>
      <c r="F28" s="35"/>
    </row>
    <row r="29" spans="1:6">
      <c r="A29" s="35"/>
      <c r="B29" s="35"/>
      <c r="C29" s="35"/>
      <c r="D29" s="35"/>
      <c r="E29" s="35"/>
      <c r="F29" s="35"/>
    </row>
    <row r="30" ht="19.95" customHeight="1" spans="1:14">
      <c r="A30" s="48" t="s">
        <v>91</v>
      </c>
      <c r="B30" s="48"/>
      <c r="C30" s="226" t="s">
        <v>92</v>
      </c>
      <c r="D30" s="227"/>
      <c r="E30" s="227"/>
      <c r="F30" s="227"/>
      <c r="N30" s="4"/>
    </row>
    <row r="31" ht="15.6" spans="1:14">
      <c r="A31" s="53">
        <v>44514</v>
      </c>
      <c r="B31" s="184">
        <v>39.31</v>
      </c>
      <c r="C31" s="216" t="s">
        <v>32</v>
      </c>
      <c r="D31" s="216"/>
      <c r="E31" s="216" t="s">
        <v>33</v>
      </c>
      <c r="F31" s="216"/>
      <c r="N31" s="4"/>
    </row>
    <row r="32" ht="15.6" spans="1:14">
      <c r="A32" s="53">
        <v>44515</v>
      </c>
      <c r="B32" s="184">
        <v>90.92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44516</v>
      </c>
      <c r="B33" s="184">
        <v>39.83</v>
      </c>
      <c r="C33" s="198">
        <v>107</v>
      </c>
      <c r="D33" s="198">
        <v>19</v>
      </c>
      <c r="E33" s="198">
        <v>120</v>
      </c>
      <c r="F33" s="198">
        <v>2</v>
      </c>
      <c r="N33" s="4"/>
    </row>
    <row r="34" ht="15.6" spans="1:14">
      <c r="A34" s="53">
        <v>44517</v>
      </c>
      <c r="B34" s="184">
        <v>52.26</v>
      </c>
      <c r="C34" s="199">
        <v>79</v>
      </c>
      <c r="D34" s="199">
        <v>11</v>
      </c>
      <c r="E34" s="199">
        <v>77</v>
      </c>
      <c r="F34" s="199">
        <v>0</v>
      </c>
      <c r="N34" s="4"/>
    </row>
    <row r="35" ht="15.6" spans="1:14">
      <c r="A35" s="53">
        <v>44518</v>
      </c>
      <c r="B35" s="184">
        <v>89.14</v>
      </c>
      <c r="C35" s="198" t="s">
        <v>68</v>
      </c>
      <c r="D35" s="198">
        <f>C33+D33+E33+F33</f>
        <v>248</v>
      </c>
      <c r="E35" s="199" t="s">
        <v>69</v>
      </c>
      <c r="F35" s="199">
        <f>C34+D34+E34+F34</f>
        <v>167</v>
      </c>
      <c r="N35" s="4"/>
    </row>
    <row r="36" ht="15.6" spans="1:14">
      <c r="A36" s="53">
        <v>44519</v>
      </c>
      <c r="B36" s="184">
        <v>65.73</v>
      </c>
      <c r="C36" s="228" t="s">
        <v>106</v>
      </c>
      <c r="D36" s="229"/>
      <c r="E36" s="226" t="s">
        <v>97</v>
      </c>
      <c r="F36" s="226" t="s">
        <v>107</v>
      </c>
      <c r="N36" s="4"/>
    </row>
    <row r="37" ht="15.6" spans="1:14">
      <c r="A37" s="53">
        <v>44520</v>
      </c>
      <c r="B37" s="184">
        <v>46.37</v>
      </c>
      <c r="C37" s="200" t="s">
        <v>108</v>
      </c>
      <c r="D37" s="201"/>
      <c r="E37" s="217">
        <f>C45</f>
        <v>0</v>
      </c>
      <c r="F37" s="203">
        <v>0</v>
      </c>
      <c r="N37" s="4"/>
    </row>
    <row r="38" ht="15.6" spans="1:14">
      <c r="A38" s="53">
        <v>44521</v>
      </c>
      <c r="B38" s="184">
        <v>51.87</v>
      </c>
      <c r="C38" s="200" t="s">
        <v>109</v>
      </c>
      <c r="D38" s="201"/>
      <c r="E38" s="217">
        <v>0</v>
      </c>
      <c r="F38" s="203">
        <v>0</v>
      </c>
      <c r="N38" s="4"/>
    </row>
    <row r="39" ht="15.6" spans="1:14">
      <c r="A39" s="53">
        <v>44522</v>
      </c>
      <c r="B39" s="184">
        <v>70.33</v>
      </c>
      <c r="C39" s="200" t="s">
        <v>99</v>
      </c>
      <c r="D39" s="204"/>
      <c r="E39" s="217">
        <f>C43</f>
        <v>0</v>
      </c>
      <c r="F39" s="203">
        <v>775</v>
      </c>
      <c r="N39" s="4"/>
    </row>
    <row r="40" ht="15.6" spans="1:14">
      <c r="A40" s="53">
        <v>44523</v>
      </c>
      <c r="B40" s="184">
        <v>31.48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1</v>
      </c>
      <c r="D41" s="79">
        <f>E11</f>
        <v>0</v>
      </c>
      <c r="E41" s="79">
        <f>C12</f>
        <v>4</v>
      </c>
      <c r="F41" s="79">
        <f>E12</f>
        <v>0</v>
      </c>
    </row>
    <row r="42" spans="1:6">
      <c r="A42" s="151"/>
      <c r="B42" s="79" t="s">
        <v>111</v>
      </c>
      <c r="C42" s="79">
        <v>3</v>
      </c>
      <c r="D42" s="79">
        <v>1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ZCB1-19截止2021年11月23日累计完成产值7614.06万元，
占总产值90284.4万元的8.43%，
100章临建完成5485.78万元，400章桥梁完成2128.278万元。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2021年11月23日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2"/>
  <dimension ref="A1:N49"/>
  <sheetViews>
    <sheetView view="pageBreakPreview" zoomScale="80" zoomScaleNormal="100" topLeftCell="A6" workbookViewId="0">
      <selection activeCell="H14" sqref="H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13">
        <v>44524</v>
      </c>
      <c r="B3" s="12" t="s">
        <v>7</v>
      </c>
      <c r="C3" s="12">
        <v>0</v>
      </c>
      <c r="D3" s="12">
        <f>ROUND(D11+F11,2)</f>
        <v>31.25</v>
      </c>
      <c r="E3" s="13">
        <f>ROUND(C5+D5,2)</f>
        <v>38.89</v>
      </c>
      <c r="F3" s="143" t="s">
        <v>121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7.64</v>
      </c>
      <c r="E4" s="13"/>
      <c r="F4" s="144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38.89</v>
      </c>
      <c r="E5" s="13"/>
      <c r="F5" s="144"/>
      <c r="I5" t="str">
        <f>ROUND(E6/90284.4*100,2)&amp;"%"</f>
        <v>8.48%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2167.168</v>
      </c>
      <c r="E6" s="8">
        <f>ROUND(C6+D6,2)</f>
        <v>7652.95</v>
      </c>
      <c r="F6" s="144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2167.168</v>
      </c>
      <c r="E7" s="8">
        <f>ROUND(C7+D7,2)</f>
        <v>7652.95</v>
      </c>
      <c r="F7" s="144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13">
        <v>44524</v>
      </c>
      <c r="B11" s="12" t="s">
        <v>7</v>
      </c>
      <c r="C11" s="214">
        <v>2</v>
      </c>
      <c r="D11" s="215">
        <v>15.71</v>
      </c>
      <c r="E11" s="214">
        <v>1</v>
      </c>
      <c r="F11" s="215">
        <v>15.542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14">
        <v>1</v>
      </c>
      <c r="D12" s="215">
        <v>7.64</v>
      </c>
      <c r="E12" s="214">
        <v>0</v>
      </c>
      <c r="F12" s="215">
        <v>0</v>
      </c>
    </row>
    <row r="13" ht="15" customHeight="1" spans="1:6">
      <c r="A13" s="12"/>
      <c r="B13" s="12" t="s">
        <v>18</v>
      </c>
      <c r="C13" s="214">
        <f>C11+C12</f>
        <v>3</v>
      </c>
      <c r="D13" s="215">
        <f>ROUND(D11+D12,2)</f>
        <v>23.35</v>
      </c>
      <c r="E13" s="214">
        <f>E11+E12</f>
        <v>1</v>
      </c>
      <c r="F13" s="215">
        <f>ROUND(F11+F12,2)</f>
        <v>15.54</v>
      </c>
    </row>
    <row r="14" ht="30" customHeight="1" spans="1:6">
      <c r="A14" s="12"/>
      <c r="B14" s="8" t="s">
        <v>5</v>
      </c>
      <c r="C14" s="6">
        <f>D13+F13</f>
        <v>38.89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35"/>
      <c r="D17" s="135"/>
      <c r="E17" s="135"/>
      <c r="F17" s="135"/>
      <c r="G17"/>
      <c r="H17"/>
    </row>
    <row r="18" spans="1:8">
      <c r="A18" s="12"/>
      <c r="B18" s="12"/>
      <c r="C18" s="135"/>
      <c r="D18" s="135"/>
      <c r="E18" s="135"/>
      <c r="F18" s="135"/>
      <c r="G18"/>
      <c r="H18"/>
    </row>
    <row r="19" spans="1:8">
      <c r="A19" s="12"/>
      <c r="B19" s="12"/>
      <c r="C19" s="135"/>
      <c r="D19" s="135"/>
      <c r="E19" s="135"/>
      <c r="F19" s="135"/>
      <c r="G19"/>
      <c r="H19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6">
      <c r="A23" s="132" t="s">
        <v>74</v>
      </c>
      <c r="B23" s="12">
        <f>C33+D33</f>
        <v>129</v>
      </c>
      <c r="C23" s="132" t="s">
        <v>75</v>
      </c>
      <c r="D23" s="12">
        <f>C34+D34</f>
        <v>92</v>
      </c>
      <c r="E23" s="12"/>
      <c r="F23" s="12"/>
    </row>
    <row r="24" spans="1:6">
      <c r="A24" s="132" t="s">
        <v>76</v>
      </c>
      <c r="B24" s="12">
        <f>E33+F33</f>
        <v>123</v>
      </c>
      <c r="C24" s="132" t="s">
        <v>77</v>
      </c>
      <c r="D24" s="12">
        <f>E34+F34</f>
        <v>77</v>
      </c>
      <c r="E24" s="12"/>
      <c r="F24" s="12"/>
    </row>
    <row r="25" spans="1:6">
      <c r="A25" s="132" t="s">
        <v>78</v>
      </c>
      <c r="B25" s="12">
        <f>B26-B23-B24</f>
        <v>5528</v>
      </c>
      <c r="C25" s="132" t="s">
        <v>79</v>
      </c>
      <c r="D25" s="12">
        <f>D26-D23-D24</f>
        <v>5611</v>
      </c>
      <c r="E25" s="12"/>
      <c r="F25" s="12"/>
    </row>
    <row r="26" spans="1:6">
      <c r="A26" s="132" t="s">
        <v>80</v>
      </c>
      <c r="B26" s="12">
        <v>5780</v>
      </c>
      <c r="C26" s="132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44515</v>
      </c>
      <c r="B31" s="184">
        <v>90.92</v>
      </c>
      <c r="C31" s="216" t="s">
        <v>32</v>
      </c>
      <c r="D31" s="216"/>
      <c r="E31" s="216" t="s">
        <v>33</v>
      </c>
      <c r="F31" s="216"/>
      <c r="N31" s="4"/>
    </row>
    <row r="32" ht="15.6" spans="1:14">
      <c r="A32" s="53">
        <v>44516</v>
      </c>
      <c r="B32" s="184">
        <v>39.83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44517</v>
      </c>
      <c r="B33" s="184">
        <v>52.26</v>
      </c>
      <c r="C33" s="198">
        <v>109</v>
      </c>
      <c r="D33" s="198">
        <v>20</v>
      </c>
      <c r="E33" s="198">
        <v>121</v>
      </c>
      <c r="F33" s="198">
        <v>2</v>
      </c>
      <c r="N33" s="4"/>
    </row>
    <row r="34" ht="15.6" spans="1:14">
      <c r="A34" s="53">
        <v>44518</v>
      </c>
      <c r="B34" s="184">
        <v>89.14</v>
      </c>
      <c r="C34" s="199">
        <v>80</v>
      </c>
      <c r="D34" s="199">
        <v>12</v>
      </c>
      <c r="E34" s="199">
        <v>77</v>
      </c>
      <c r="F34" s="199">
        <v>0</v>
      </c>
      <c r="N34" s="4"/>
    </row>
    <row r="35" ht="15.6" spans="1:14">
      <c r="A35" s="53">
        <v>44519</v>
      </c>
      <c r="B35" s="184">
        <v>65.73</v>
      </c>
      <c r="C35" s="198" t="s">
        <v>68</v>
      </c>
      <c r="D35" s="198">
        <f>C33+D33+E33+F33</f>
        <v>252</v>
      </c>
      <c r="E35" s="199" t="s">
        <v>69</v>
      </c>
      <c r="F35" s="199">
        <f>C34+D34+E34+F34</f>
        <v>169</v>
      </c>
      <c r="N35" s="4"/>
    </row>
    <row r="36" ht="15.6" spans="1:14">
      <c r="A36" s="53">
        <v>44520</v>
      </c>
      <c r="B36" s="184">
        <v>46.37</v>
      </c>
      <c r="C36" s="25" t="s">
        <v>106</v>
      </c>
      <c r="D36" s="134"/>
      <c r="E36" s="8" t="s">
        <v>97</v>
      </c>
      <c r="F36" s="8" t="s">
        <v>107</v>
      </c>
      <c r="N36" s="4"/>
    </row>
    <row r="37" ht="15.6" spans="1:14">
      <c r="A37" s="53">
        <v>44521</v>
      </c>
      <c r="B37" s="184">
        <v>51.87</v>
      </c>
      <c r="C37" s="200" t="s">
        <v>108</v>
      </c>
      <c r="D37" s="201"/>
      <c r="E37" s="217">
        <f>C45</f>
        <v>0</v>
      </c>
      <c r="F37" s="203">
        <v>0</v>
      </c>
      <c r="N37" s="4"/>
    </row>
    <row r="38" ht="15.6" spans="1:14">
      <c r="A38" s="53">
        <v>44522</v>
      </c>
      <c r="B38" s="184">
        <v>70.33</v>
      </c>
      <c r="C38" s="200" t="s">
        <v>109</v>
      </c>
      <c r="D38" s="201"/>
      <c r="E38" s="217">
        <v>0</v>
      </c>
      <c r="F38" s="203">
        <v>0</v>
      </c>
      <c r="N38" s="4"/>
    </row>
    <row r="39" ht="15.6" spans="1:14">
      <c r="A39" s="53">
        <v>44523</v>
      </c>
      <c r="B39" s="184">
        <v>31.48</v>
      </c>
      <c r="C39" s="200" t="s">
        <v>99</v>
      </c>
      <c r="D39" s="204"/>
      <c r="E39" s="217">
        <f>C43</f>
        <v>0</v>
      </c>
      <c r="F39" s="203">
        <v>775</v>
      </c>
      <c r="N39" s="4"/>
    </row>
    <row r="40" ht="15.6" spans="1:14">
      <c r="A40" s="53">
        <v>44524</v>
      </c>
      <c r="B40" s="184">
        <v>38.89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1</v>
      </c>
      <c r="F41" s="79">
        <f>E12</f>
        <v>0</v>
      </c>
    </row>
    <row r="42" spans="1:6">
      <c r="A42" s="151"/>
      <c r="B42" s="79" t="s">
        <v>111</v>
      </c>
      <c r="C42" s="79">
        <v>1</v>
      </c>
      <c r="D42" s="79">
        <v>1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ZCB1-19截止2021年11月24日累计完成产值7652.95万元，
占总产值90284.4万元的8.48%，
100章临建完成5485.78万元，400章桥梁完成2167.168万元。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2021年11月24日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3"/>
  <dimension ref="A1:N49"/>
  <sheetViews>
    <sheetView view="pageBreakPreview" zoomScale="80" zoomScaleNormal="100" workbookViewId="0">
      <selection activeCell="H36" sqref="H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13">
        <v>44525</v>
      </c>
      <c r="B3" s="12" t="s">
        <v>7</v>
      </c>
      <c r="C3" s="12">
        <v>0</v>
      </c>
      <c r="D3" s="12">
        <f>ROUND(D11+F11,2)</f>
        <v>38.09</v>
      </c>
      <c r="E3" s="13">
        <f>ROUND(C5+D5,2)</f>
        <v>69.01</v>
      </c>
      <c r="F3" s="143" t="s">
        <v>122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30.92</v>
      </c>
      <c r="E4" s="13"/>
      <c r="F4" s="144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69.01</v>
      </c>
      <c r="E5" s="13"/>
      <c r="F5" s="144"/>
      <c r="I5" t="str">
        <f>ROUND(E6/90284.4*100,2)&amp;"%"</f>
        <v>8.55%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2236.178</v>
      </c>
      <c r="E6" s="8">
        <f>ROUND(C6+D6,2)</f>
        <v>7721.96</v>
      </c>
      <c r="F6" s="144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2236.178</v>
      </c>
      <c r="E7" s="8">
        <f>ROUND(C7+D7,2)</f>
        <v>7721.96</v>
      </c>
      <c r="F7" s="144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13">
        <v>44525</v>
      </c>
      <c r="B11" s="12" t="s">
        <v>7</v>
      </c>
      <c r="C11" s="214">
        <v>2</v>
      </c>
      <c r="D11" s="215">
        <v>22.8</v>
      </c>
      <c r="E11" s="214">
        <v>1</v>
      </c>
      <c r="F11" s="215">
        <v>15.29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14">
        <v>4</v>
      </c>
      <c r="D12" s="215">
        <v>30.92</v>
      </c>
      <c r="E12" s="214">
        <v>0</v>
      </c>
      <c r="F12" s="215">
        <v>0</v>
      </c>
    </row>
    <row r="13" ht="15" customHeight="1" spans="1:6">
      <c r="A13" s="12"/>
      <c r="B13" s="12" t="s">
        <v>18</v>
      </c>
      <c r="C13" s="214">
        <f>C11+C12</f>
        <v>6</v>
      </c>
      <c r="D13" s="215">
        <f>ROUND(D11+D12,2)</f>
        <v>53.72</v>
      </c>
      <c r="E13" s="214">
        <f>E11+E12</f>
        <v>1</v>
      </c>
      <c r="F13" s="215">
        <f>ROUND(F11+F12,2)</f>
        <v>15.29</v>
      </c>
    </row>
    <row r="14" ht="30" customHeight="1" spans="1:6">
      <c r="A14" s="12"/>
      <c r="B14" s="8" t="s">
        <v>5</v>
      </c>
      <c r="C14" s="6">
        <f>D13+F13</f>
        <v>69.01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35"/>
      <c r="D17" s="135"/>
      <c r="E17" s="135"/>
      <c r="F17" s="135"/>
      <c r="G17"/>
      <c r="H17"/>
    </row>
    <row r="18" spans="1:8">
      <c r="A18" s="12"/>
      <c r="B18" s="12"/>
      <c r="C18" s="135"/>
      <c r="D18" s="135"/>
      <c r="E18" s="135"/>
      <c r="F18" s="135"/>
      <c r="G18"/>
      <c r="H18"/>
    </row>
    <row r="19" spans="1:8">
      <c r="A19" s="12"/>
      <c r="B19" s="12"/>
      <c r="C19" s="135"/>
      <c r="D19" s="135"/>
      <c r="E19" s="135"/>
      <c r="F19" s="135"/>
      <c r="G19"/>
      <c r="H19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6">
      <c r="A23" s="132" t="s">
        <v>74</v>
      </c>
      <c r="B23" s="12">
        <f>C33+D33</f>
        <v>132</v>
      </c>
      <c r="C23" s="132" t="s">
        <v>75</v>
      </c>
      <c r="D23" s="12">
        <f>C34+D34</f>
        <v>97</v>
      </c>
      <c r="E23" s="12"/>
      <c r="F23" s="12"/>
    </row>
    <row r="24" spans="1:6">
      <c r="A24" s="132" t="s">
        <v>76</v>
      </c>
      <c r="B24" s="12">
        <f>E33+F33</f>
        <v>127</v>
      </c>
      <c r="C24" s="132" t="s">
        <v>77</v>
      </c>
      <c r="D24" s="12">
        <f>E34+F34</f>
        <v>77</v>
      </c>
      <c r="E24" s="12"/>
      <c r="F24" s="12"/>
    </row>
    <row r="25" spans="1:6">
      <c r="A25" s="132" t="s">
        <v>78</v>
      </c>
      <c r="B25" s="12">
        <f>B26-B23-B24</f>
        <v>5521</v>
      </c>
      <c r="C25" s="132" t="s">
        <v>79</v>
      </c>
      <c r="D25" s="12">
        <f>D26-D23-D24</f>
        <v>5606</v>
      </c>
      <c r="E25" s="12"/>
      <c r="F25" s="12"/>
    </row>
    <row r="26" spans="1:6">
      <c r="A26" s="132" t="s">
        <v>80</v>
      </c>
      <c r="B26" s="12">
        <v>5780</v>
      </c>
      <c r="C26" s="132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44516</v>
      </c>
      <c r="B31" s="184">
        <v>39.83</v>
      </c>
      <c r="C31" s="216" t="s">
        <v>32</v>
      </c>
      <c r="D31" s="216"/>
      <c r="E31" s="216" t="s">
        <v>33</v>
      </c>
      <c r="F31" s="216"/>
      <c r="N31" s="4"/>
    </row>
    <row r="32" ht="15.6" spans="1:14">
      <c r="A32" s="53">
        <v>44517</v>
      </c>
      <c r="B32" s="184">
        <v>52.26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44518</v>
      </c>
      <c r="B33" s="184">
        <v>89.14</v>
      </c>
      <c r="C33" s="198">
        <v>111</v>
      </c>
      <c r="D33" s="198">
        <v>21</v>
      </c>
      <c r="E33" s="198">
        <v>125</v>
      </c>
      <c r="F33" s="198">
        <v>2</v>
      </c>
      <c r="N33" s="4"/>
    </row>
    <row r="34" ht="15.6" spans="1:14">
      <c r="A34" s="53">
        <v>44519</v>
      </c>
      <c r="B34" s="184">
        <v>65.73</v>
      </c>
      <c r="C34" s="199">
        <v>85</v>
      </c>
      <c r="D34" s="199">
        <v>12</v>
      </c>
      <c r="E34" s="199">
        <v>77</v>
      </c>
      <c r="F34" s="199">
        <v>0</v>
      </c>
      <c r="N34" s="4"/>
    </row>
    <row r="35" ht="15.6" spans="1:14">
      <c r="A35" s="53">
        <v>44520</v>
      </c>
      <c r="B35" s="184">
        <v>46.37</v>
      </c>
      <c r="C35" s="198" t="s">
        <v>68</v>
      </c>
      <c r="D35" s="198">
        <f>C33+D33+E33+F33</f>
        <v>259</v>
      </c>
      <c r="E35" s="199" t="s">
        <v>69</v>
      </c>
      <c r="F35" s="199">
        <f>C34+D34+E34+F34</f>
        <v>174</v>
      </c>
      <c r="N35" s="4"/>
    </row>
    <row r="36" ht="15.6" spans="1:14">
      <c r="A36" s="53">
        <v>44521</v>
      </c>
      <c r="B36" s="184">
        <v>51.87</v>
      </c>
      <c r="C36" s="25" t="s">
        <v>106</v>
      </c>
      <c r="D36" s="134"/>
      <c r="E36" s="8" t="s">
        <v>97</v>
      </c>
      <c r="F36" s="8" t="s">
        <v>107</v>
      </c>
      <c r="N36" s="4"/>
    </row>
    <row r="37" ht="15.6" spans="1:14">
      <c r="A37" s="53">
        <v>44522</v>
      </c>
      <c r="B37" s="184">
        <v>70.33</v>
      </c>
      <c r="C37" s="200" t="s">
        <v>108</v>
      </c>
      <c r="D37" s="201"/>
      <c r="E37" s="217">
        <f>C45</f>
        <v>0</v>
      </c>
      <c r="F37" s="203">
        <v>0</v>
      </c>
      <c r="N37" s="4"/>
    </row>
    <row r="38" ht="15.6" spans="1:14">
      <c r="A38" s="53">
        <v>44523</v>
      </c>
      <c r="B38" s="184">
        <v>31.48</v>
      </c>
      <c r="C38" s="200" t="s">
        <v>109</v>
      </c>
      <c r="D38" s="201"/>
      <c r="E38" s="217">
        <v>0</v>
      </c>
      <c r="F38" s="203">
        <v>0</v>
      </c>
      <c r="N38" s="4"/>
    </row>
    <row r="39" ht="15.6" spans="1:14">
      <c r="A39" s="53">
        <v>44524</v>
      </c>
      <c r="B39" s="184">
        <v>38.89</v>
      </c>
      <c r="C39" s="200" t="s">
        <v>99</v>
      </c>
      <c r="D39" s="204"/>
      <c r="E39" s="217">
        <f>C43</f>
        <v>160</v>
      </c>
      <c r="F39" s="203">
        <v>935</v>
      </c>
      <c r="N39" s="4"/>
    </row>
    <row r="40" ht="15.6" spans="1:14">
      <c r="A40" s="53">
        <v>44525</v>
      </c>
      <c r="B40" s="184">
        <v>69.01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4</v>
      </c>
      <c r="F41" s="79">
        <f>E12</f>
        <v>0</v>
      </c>
    </row>
    <row r="42" spans="1:6">
      <c r="A42" s="151"/>
      <c r="B42" s="79" t="s">
        <v>111</v>
      </c>
      <c r="C42" s="79">
        <v>5</v>
      </c>
      <c r="D42" s="79">
        <v>0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160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ZCB1-19截止2021年11月25日累计完成产值7721.96万元，
占总产值90284.4万元的8.55%，
100章临建完成5485.78万元，400章桥梁完成2236.178万元。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2021年11月25日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4"/>
  <dimension ref="A1:N49"/>
  <sheetViews>
    <sheetView view="pageBreakPreview" zoomScale="80" zoomScaleNormal="100" topLeftCell="A12" workbookViewId="0">
      <selection activeCell="H36" sqref="H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13">
        <v>44526</v>
      </c>
      <c r="B3" s="12" t="s">
        <v>7</v>
      </c>
      <c r="C3" s="12">
        <v>0</v>
      </c>
      <c r="D3" s="12">
        <f>ROUND(D11+F11,2)</f>
        <v>31.5</v>
      </c>
      <c r="E3" s="13">
        <f>ROUND(C5+D5,2)</f>
        <v>77.51</v>
      </c>
      <c r="F3" s="143" t="s">
        <v>123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46.01</v>
      </c>
      <c r="E4" s="13"/>
      <c r="F4" s="144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77.51</v>
      </c>
      <c r="E5" s="13"/>
      <c r="F5" s="144"/>
      <c r="I5" t="str">
        <f>ROUND(E6/90284.4*100,2)&amp;"%"</f>
        <v>8.64%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2313.688</v>
      </c>
      <c r="E6" s="8">
        <f>ROUND(C6+D6,2)</f>
        <v>7799.47</v>
      </c>
      <c r="F6" s="144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2313.688</v>
      </c>
      <c r="E7" s="8">
        <f>ROUND(C7+D7,2)</f>
        <v>7799.47</v>
      </c>
      <c r="F7" s="144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13">
        <v>44526</v>
      </c>
      <c r="B11" s="12" t="s">
        <v>7</v>
      </c>
      <c r="C11" s="214">
        <v>2</v>
      </c>
      <c r="D11" s="215">
        <v>15.46</v>
      </c>
      <c r="E11" s="214">
        <v>1</v>
      </c>
      <c r="F11" s="215">
        <v>16.036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14">
        <v>4</v>
      </c>
      <c r="D12" s="215">
        <v>30.73</v>
      </c>
      <c r="E12" s="214">
        <v>1</v>
      </c>
      <c r="F12" s="215">
        <v>15.28</v>
      </c>
    </row>
    <row r="13" ht="15" customHeight="1" spans="1:6">
      <c r="A13" s="12"/>
      <c r="B13" s="12" t="s">
        <v>18</v>
      </c>
      <c r="C13" s="214">
        <f>C11+C12</f>
        <v>6</v>
      </c>
      <c r="D13" s="215">
        <f>ROUND(D11+D12,2)</f>
        <v>46.19</v>
      </c>
      <c r="E13" s="214">
        <f>E11+E12</f>
        <v>2</v>
      </c>
      <c r="F13" s="215">
        <f>ROUND(F11+F12,2)</f>
        <v>31.32</v>
      </c>
    </row>
    <row r="14" ht="30" customHeight="1" spans="1:6">
      <c r="A14" s="12"/>
      <c r="B14" s="8" t="s">
        <v>5</v>
      </c>
      <c r="C14" s="6">
        <f>D13+F13</f>
        <v>77.51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35"/>
      <c r="D17" s="135"/>
      <c r="E17" s="135"/>
      <c r="F17" s="135"/>
      <c r="G17"/>
      <c r="H17"/>
    </row>
    <row r="18" spans="1:8">
      <c r="A18" s="12"/>
      <c r="B18" s="12"/>
      <c r="C18" s="135"/>
      <c r="D18" s="135"/>
      <c r="E18" s="135"/>
      <c r="F18" s="135"/>
      <c r="G18"/>
      <c r="H18"/>
    </row>
    <row r="19" spans="1:8">
      <c r="A19" s="12"/>
      <c r="B19" s="12"/>
      <c r="C19" s="135"/>
      <c r="D19" s="135"/>
      <c r="E19" s="135"/>
      <c r="F19" s="135"/>
      <c r="G19"/>
      <c r="H19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6">
      <c r="A23" s="132" t="s">
        <v>74</v>
      </c>
      <c r="B23" s="12">
        <f>C33+D33</f>
        <v>135</v>
      </c>
      <c r="C23" s="132" t="s">
        <v>75</v>
      </c>
      <c r="D23" s="12">
        <f>C34+D34</f>
        <v>100</v>
      </c>
      <c r="E23" s="12"/>
      <c r="F23" s="12"/>
    </row>
    <row r="24" spans="1:6">
      <c r="A24" s="132" t="s">
        <v>76</v>
      </c>
      <c r="B24" s="12">
        <f>E33+F33</f>
        <v>132</v>
      </c>
      <c r="C24" s="132" t="s">
        <v>77</v>
      </c>
      <c r="D24" s="12">
        <f>E34+F34</f>
        <v>77</v>
      </c>
      <c r="E24" s="12"/>
      <c r="F24" s="12"/>
    </row>
    <row r="25" spans="1:6">
      <c r="A25" s="132" t="s">
        <v>78</v>
      </c>
      <c r="B25" s="12">
        <f>B26-B23-B24</f>
        <v>5513</v>
      </c>
      <c r="C25" s="132" t="s">
        <v>79</v>
      </c>
      <c r="D25" s="12">
        <f>D26-D23-D24</f>
        <v>5603</v>
      </c>
      <c r="E25" s="12"/>
      <c r="F25" s="12"/>
    </row>
    <row r="26" spans="1:6">
      <c r="A26" s="132" t="s">
        <v>80</v>
      </c>
      <c r="B26" s="12">
        <v>5780</v>
      </c>
      <c r="C26" s="132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44517</v>
      </c>
      <c r="B31" s="184">
        <v>52.26</v>
      </c>
      <c r="C31" s="216" t="s">
        <v>32</v>
      </c>
      <c r="D31" s="216"/>
      <c r="E31" s="216" t="s">
        <v>33</v>
      </c>
      <c r="F31" s="216"/>
      <c r="N31" s="4"/>
    </row>
    <row r="32" ht="15.6" spans="1:14">
      <c r="A32" s="53">
        <v>44518</v>
      </c>
      <c r="B32" s="184">
        <v>89.14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44519</v>
      </c>
      <c r="B33" s="184">
        <v>65.73</v>
      </c>
      <c r="C33" s="198">
        <v>113</v>
      </c>
      <c r="D33" s="198">
        <v>22</v>
      </c>
      <c r="E33" s="198">
        <v>129</v>
      </c>
      <c r="F33" s="198">
        <v>3</v>
      </c>
      <c r="N33" s="4"/>
    </row>
    <row r="34" ht="15.6" spans="1:14">
      <c r="A34" s="53">
        <v>44520</v>
      </c>
      <c r="B34" s="184">
        <v>46.37</v>
      </c>
      <c r="C34" s="199">
        <v>85</v>
      </c>
      <c r="D34" s="199">
        <v>15</v>
      </c>
      <c r="E34" s="199">
        <v>77</v>
      </c>
      <c r="F34" s="199">
        <v>0</v>
      </c>
      <c r="N34" s="4"/>
    </row>
    <row r="35" ht="15.6" spans="1:14">
      <c r="A35" s="53">
        <v>44521</v>
      </c>
      <c r="B35" s="184">
        <v>51.87</v>
      </c>
      <c r="C35" s="198" t="s">
        <v>68</v>
      </c>
      <c r="D35" s="198">
        <f>C33+D33+E33+F33</f>
        <v>267</v>
      </c>
      <c r="E35" s="199" t="s">
        <v>69</v>
      </c>
      <c r="F35" s="199">
        <f>C34+D34+E34+F34</f>
        <v>177</v>
      </c>
      <c r="N35" s="4"/>
    </row>
    <row r="36" ht="15.6" spans="1:14">
      <c r="A36" s="53">
        <v>44522</v>
      </c>
      <c r="B36" s="184">
        <v>70.33</v>
      </c>
      <c r="C36" s="25" t="s">
        <v>106</v>
      </c>
      <c r="D36" s="134"/>
      <c r="E36" s="8" t="s">
        <v>97</v>
      </c>
      <c r="F36" s="8" t="s">
        <v>107</v>
      </c>
      <c r="N36" s="4"/>
    </row>
    <row r="37" ht="15.6" spans="1:14">
      <c r="A37" s="53">
        <v>44523</v>
      </c>
      <c r="B37" s="184">
        <v>31.48</v>
      </c>
      <c r="C37" s="200" t="s">
        <v>108</v>
      </c>
      <c r="D37" s="201"/>
      <c r="E37" s="217">
        <f>C45</f>
        <v>0</v>
      </c>
      <c r="F37" s="203">
        <v>0</v>
      </c>
      <c r="N37" s="4"/>
    </row>
    <row r="38" ht="15.6" spans="1:14">
      <c r="A38" s="53">
        <v>44524</v>
      </c>
      <c r="B38" s="184">
        <v>38.89</v>
      </c>
      <c r="C38" s="200" t="s">
        <v>109</v>
      </c>
      <c r="D38" s="201"/>
      <c r="E38" s="217">
        <v>0</v>
      </c>
      <c r="F38" s="203">
        <v>0</v>
      </c>
      <c r="N38" s="4"/>
    </row>
    <row r="39" ht="15.6" spans="1:14">
      <c r="A39" s="53">
        <v>44525</v>
      </c>
      <c r="B39" s="184">
        <v>69.01</v>
      </c>
      <c r="C39" s="200" t="s">
        <v>99</v>
      </c>
      <c r="D39" s="204"/>
      <c r="E39" s="217">
        <f>C43</f>
        <v>0</v>
      </c>
      <c r="F39" s="203">
        <v>935</v>
      </c>
      <c r="N39" s="4"/>
    </row>
    <row r="40" ht="15.6" spans="1:14">
      <c r="A40" s="53">
        <v>44526</v>
      </c>
      <c r="B40" s="184">
        <v>77.51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4</v>
      </c>
      <c r="F41" s="79">
        <f>E12</f>
        <v>1</v>
      </c>
    </row>
    <row r="42" spans="1:6">
      <c r="A42" s="151"/>
      <c r="B42" s="79" t="s">
        <v>111</v>
      </c>
      <c r="C42" s="79">
        <v>0</v>
      </c>
      <c r="D42" s="79">
        <v>3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ZCB1-19截止2021年11月26日累计完成产值7799.47万元，
占总产值90284.4万元的8.64%，
100章临建完成5485.78万元，400章桥梁完成2313.688万元。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2021年11月26日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5"/>
  <dimension ref="A1:N49"/>
  <sheetViews>
    <sheetView view="pageBreakPreview" zoomScale="80" zoomScaleNormal="100" topLeftCell="A6" workbookViewId="0">
      <selection activeCell="L15" sqref="L1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13">
        <v>44527</v>
      </c>
      <c r="B3" s="12" t="s">
        <v>7</v>
      </c>
      <c r="C3" s="12">
        <v>0</v>
      </c>
      <c r="D3" s="12">
        <f>ROUND(D11+F11,2)</f>
        <v>29.61</v>
      </c>
      <c r="E3" s="13">
        <f>ROUND(C5+D5,2)</f>
        <v>72.17</v>
      </c>
      <c r="F3" s="143" t="s">
        <v>124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42.56</v>
      </c>
      <c r="E4" s="13"/>
      <c r="F4" s="144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72.17</v>
      </c>
      <c r="E5" s="13"/>
      <c r="F5" s="144"/>
      <c r="I5" t="str">
        <f>ROUND(E6/90284.4*100,2)&amp;"%"</f>
        <v>8.72%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2385.858</v>
      </c>
      <c r="E6" s="8">
        <f>ROUND(C6+D6,2)</f>
        <v>7871.64</v>
      </c>
      <c r="F6" s="144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2385.858</v>
      </c>
      <c r="E7" s="8">
        <f>ROUND(C7+D7,2)</f>
        <v>7871.64</v>
      </c>
      <c r="F7" s="144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13">
        <v>44527</v>
      </c>
      <c r="B11" s="12" t="s">
        <v>7</v>
      </c>
      <c r="C11" s="214">
        <v>1</v>
      </c>
      <c r="D11" s="215">
        <v>14.33</v>
      </c>
      <c r="E11" s="214">
        <v>1</v>
      </c>
      <c r="F11" s="215">
        <v>15.28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14">
        <v>3</v>
      </c>
      <c r="D12" s="215">
        <v>27.28</v>
      </c>
      <c r="E12" s="214">
        <v>1</v>
      </c>
      <c r="F12" s="215">
        <v>15.28</v>
      </c>
    </row>
    <row r="13" ht="15" customHeight="1" spans="1:6">
      <c r="A13" s="12"/>
      <c r="B13" s="12" t="s">
        <v>18</v>
      </c>
      <c r="C13" s="214">
        <f>C11+C12</f>
        <v>4</v>
      </c>
      <c r="D13" s="215">
        <f>ROUND(D11+D12,2)</f>
        <v>41.61</v>
      </c>
      <c r="E13" s="214">
        <f>E11+E12</f>
        <v>2</v>
      </c>
      <c r="F13" s="215">
        <f>ROUND(F11+F12,2)</f>
        <v>30.56</v>
      </c>
    </row>
    <row r="14" ht="30" customHeight="1" spans="1:6">
      <c r="A14" s="12"/>
      <c r="B14" s="8" t="s">
        <v>5</v>
      </c>
      <c r="C14" s="6">
        <f>D13+F13</f>
        <v>72.17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35"/>
      <c r="D17" s="135"/>
      <c r="E17" s="135"/>
      <c r="F17" s="135"/>
      <c r="G17"/>
      <c r="H17"/>
    </row>
    <row r="18" spans="1:8">
      <c r="A18" s="12"/>
      <c r="B18" s="12"/>
      <c r="C18" s="135"/>
      <c r="D18" s="135"/>
      <c r="E18" s="135"/>
      <c r="F18" s="135"/>
      <c r="G18"/>
      <c r="H18"/>
    </row>
    <row r="19" spans="1:8">
      <c r="A19" s="12"/>
      <c r="B19" s="12"/>
      <c r="C19" s="135"/>
      <c r="D19" s="135"/>
      <c r="E19" s="135"/>
      <c r="F19" s="135"/>
      <c r="G19"/>
      <c r="H19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6">
      <c r="A23" s="132" t="s">
        <v>74</v>
      </c>
      <c r="B23" s="12">
        <f>C33+D33</f>
        <v>137</v>
      </c>
      <c r="C23" s="132" t="s">
        <v>75</v>
      </c>
      <c r="D23" s="12">
        <f>C34+D34</f>
        <v>100</v>
      </c>
      <c r="E23" s="12"/>
      <c r="F23" s="12"/>
    </row>
    <row r="24" spans="1:6">
      <c r="A24" s="132" t="s">
        <v>76</v>
      </c>
      <c r="B24" s="12">
        <f>E33+F33</f>
        <v>136</v>
      </c>
      <c r="C24" s="132" t="s">
        <v>77</v>
      </c>
      <c r="D24" s="12">
        <f>E34+F34</f>
        <v>104</v>
      </c>
      <c r="E24" s="12"/>
      <c r="F24" s="12"/>
    </row>
    <row r="25" spans="1:6">
      <c r="A25" s="132" t="s">
        <v>78</v>
      </c>
      <c r="B25" s="12">
        <f>B26-B23-B24</f>
        <v>5507</v>
      </c>
      <c r="C25" s="132" t="s">
        <v>79</v>
      </c>
      <c r="D25" s="12">
        <f>D26-D23-D24</f>
        <v>5576</v>
      </c>
      <c r="E25" s="12"/>
      <c r="F25" s="12"/>
    </row>
    <row r="26" spans="1:6">
      <c r="A26" s="132" t="s">
        <v>80</v>
      </c>
      <c r="B26" s="12">
        <v>5780</v>
      </c>
      <c r="C26" s="132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44518</v>
      </c>
      <c r="B31" s="184">
        <v>89.14</v>
      </c>
      <c r="C31" s="196" t="s">
        <v>32</v>
      </c>
      <c r="D31" s="196"/>
      <c r="E31" s="196" t="s">
        <v>33</v>
      </c>
      <c r="F31" s="196"/>
      <c r="N31" s="4"/>
    </row>
    <row r="32" ht="15.6" spans="1:14">
      <c r="A32" s="53">
        <v>44519</v>
      </c>
      <c r="B32" s="184">
        <v>65.73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44520</v>
      </c>
      <c r="B33" s="184">
        <v>46.37</v>
      </c>
      <c r="C33" s="198">
        <v>114</v>
      </c>
      <c r="D33" s="198">
        <v>23</v>
      </c>
      <c r="E33" s="198">
        <v>132</v>
      </c>
      <c r="F33" s="198">
        <v>4</v>
      </c>
      <c r="N33" s="4"/>
    </row>
    <row r="34" ht="15.6" spans="1:14">
      <c r="A34" s="53">
        <v>44521</v>
      </c>
      <c r="B34" s="184">
        <v>51.87</v>
      </c>
      <c r="C34" s="199">
        <v>85</v>
      </c>
      <c r="D34" s="199">
        <v>15</v>
      </c>
      <c r="E34" s="199">
        <v>104</v>
      </c>
      <c r="F34" s="199">
        <v>0</v>
      </c>
      <c r="N34" s="4"/>
    </row>
    <row r="35" ht="15.6" spans="1:14">
      <c r="A35" s="53">
        <v>44522</v>
      </c>
      <c r="B35" s="184">
        <v>70.33</v>
      </c>
      <c r="C35" s="198" t="s">
        <v>68</v>
      </c>
      <c r="D35" s="198">
        <f>C33+D33+E33+F33</f>
        <v>273</v>
      </c>
      <c r="E35" s="199" t="s">
        <v>69</v>
      </c>
      <c r="F35" s="199">
        <f>C34+D34+E34+F34</f>
        <v>204</v>
      </c>
      <c r="N35" s="4"/>
    </row>
    <row r="36" ht="15.6" spans="1:14">
      <c r="A36" s="53">
        <v>44523</v>
      </c>
      <c r="B36" s="184">
        <v>31.48</v>
      </c>
      <c r="C36" s="25" t="s">
        <v>106</v>
      </c>
      <c r="D36" s="134"/>
      <c r="E36" s="8" t="s">
        <v>97</v>
      </c>
      <c r="F36" s="8" t="s">
        <v>107</v>
      </c>
      <c r="N36" s="4"/>
    </row>
    <row r="37" ht="15.6" spans="1:14">
      <c r="A37" s="53">
        <v>44524</v>
      </c>
      <c r="B37" s="184">
        <v>38.89</v>
      </c>
      <c r="C37" s="200" t="s">
        <v>108</v>
      </c>
      <c r="D37" s="201"/>
      <c r="E37" s="202">
        <f>C45</f>
        <v>0</v>
      </c>
      <c r="F37" s="203">
        <v>0</v>
      </c>
      <c r="N37" s="4"/>
    </row>
    <row r="38" ht="15.6" spans="1:14">
      <c r="A38" s="53">
        <v>44525</v>
      </c>
      <c r="B38" s="184">
        <v>69.01</v>
      </c>
      <c r="C38" s="200" t="s">
        <v>109</v>
      </c>
      <c r="D38" s="201"/>
      <c r="E38" s="202">
        <v>0</v>
      </c>
      <c r="F38" s="203">
        <v>0</v>
      </c>
      <c r="N38" s="4"/>
    </row>
    <row r="39" ht="15.6" spans="1:14">
      <c r="A39" s="53">
        <v>44526</v>
      </c>
      <c r="B39" s="184">
        <v>77.51</v>
      </c>
      <c r="C39" s="200" t="s">
        <v>99</v>
      </c>
      <c r="D39" s="204"/>
      <c r="E39" s="202">
        <f>C43</f>
        <v>160</v>
      </c>
      <c r="F39" s="203">
        <v>1095</v>
      </c>
      <c r="N39" s="4"/>
    </row>
    <row r="40" ht="15.6" spans="1:14">
      <c r="A40" s="53">
        <v>44527</v>
      </c>
      <c r="B40" s="184">
        <v>72.17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1</v>
      </c>
      <c r="D41" s="79">
        <f>E11</f>
        <v>1</v>
      </c>
      <c r="E41" s="79">
        <f>C12</f>
        <v>3</v>
      </c>
      <c r="F41" s="79">
        <f>E12</f>
        <v>1</v>
      </c>
    </row>
    <row r="42" spans="1:6">
      <c r="A42" s="151"/>
      <c r="B42" s="79" t="s">
        <v>111</v>
      </c>
      <c r="C42" s="79">
        <v>0</v>
      </c>
      <c r="D42" s="79">
        <v>0</v>
      </c>
      <c r="E42" s="79">
        <v>27</v>
      </c>
      <c r="F42" s="79">
        <v>0</v>
      </c>
    </row>
    <row r="43" spans="1:6">
      <c r="A43" s="151"/>
      <c r="B43" s="79" t="s">
        <v>112</v>
      </c>
      <c r="C43" s="79">
        <v>160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ZCB1-19截止2021年11月27日累计完成产值7871.64万元，
占总产值90284.4万元的8.72%，
100章临建完成5485.78万元，400章桥梁完成2385.858万元。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2021年11月27日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ignoredErrors>
    <ignoredError sqref="D13:E13" formula="1"/>
  </ignoredErrors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6"/>
  <dimension ref="A1:N49"/>
  <sheetViews>
    <sheetView view="pageBreakPreview" zoomScale="80" zoomScaleNormal="100" topLeftCell="A13" workbookViewId="0">
      <selection activeCell="L35" sqref="L3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13">
        <v>44528</v>
      </c>
      <c r="B3" s="12" t="s">
        <v>7</v>
      </c>
      <c r="C3" s="12">
        <v>0</v>
      </c>
      <c r="D3" s="12">
        <f>ROUND(D11+F11,2)</f>
        <v>27.79</v>
      </c>
      <c r="E3" s="13">
        <f>ROUND(C5+D5,2)</f>
        <v>104.73</v>
      </c>
      <c r="F3" s="143" t="s">
        <v>125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76.94</v>
      </c>
      <c r="E4" s="13"/>
      <c r="F4" s="144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104.73</v>
      </c>
      <c r="E5" s="13"/>
      <c r="F5" s="144"/>
      <c r="I5" t="str">
        <f>ROUND(E6/90284.4*100,2)&amp;"%"</f>
        <v>8.83%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2490.588</v>
      </c>
      <c r="E6" s="8">
        <f>ROUND(C6+D6,2)</f>
        <v>7976.37</v>
      </c>
      <c r="F6" s="144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2490.588</v>
      </c>
      <c r="E7" s="8">
        <f>ROUND(C7+D7,2)</f>
        <v>7976.37</v>
      </c>
      <c r="F7" s="144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13">
        <v>44528</v>
      </c>
      <c r="B11" s="12" t="s">
        <v>7</v>
      </c>
      <c r="C11" s="214">
        <v>1</v>
      </c>
      <c r="D11" s="215">
        <v>12.5</v>
      </c>
      <c r="E11" s="214">
        <v>1</v>
      </c>
      <c r="F11" s="215">
        <v>15.29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14">
        <v>4</v>
      </c>
      <c r="D12" s="215">
        <v>31.1</v>
      </c>
      <c r="E12" s="214">
        <v>3</v>
      </c>
      <c r="F12" s="215">
        <v>45.84</v>
      </c>
    </row>
    <row r="13" ht="15" customHeight="1" spans="1:6">
      <c r="A13" s="12"/>
      <c r="B13" s="12" t="s">
        <v>18</v>
      </c>
      <c r="C13" s="214">
        <f>C11+C12</f>
        <v>5</v>
      </c>
      <c r="D13" s="215">
        <f>ROUND(D11+D12,2)</f>
        <v>43.6</v>
      </c>
      <c r="E13" s="214">
        <f>E11+E12</f>
        <v>4</v>
      </c>
      <c r="F13" s="215">
        <f>ROUND(F11+F12,2)</f>
        <v>61.13</v>
      </c>
    </row>
    <row r="14" ht="30" customHeight="1" spans="1:6">
      <c r="A14" s="12"/>
      <c r="B14" s="8" t="s">
        <v>5</v>
      </c>
      <c r="C14" s="6">
        <f>D13+F13</f>
        <v>104.73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35"/>
      <c r="D17" s="135"/>
      <c r="E17" s="135"/>
      <c r="F17" s="135"/>
      <c r="G17"/>
      <c r="H17"/>
    </row>
    <row r="18" spans="1:8">
      <c r="A18" s="12"/>
      <c r="B18" s="12"/>
      <c r="C18" s="135"/>
      <c r="D18" s="135"/>
      <c r="E18" s="135"/>
      <c r="F18" s="135"/>
      <c r="G18"/>
      <c r="H18"/>
    </row>
    <row r="19" spans="1:8">
      <c r="A19" s="12"/>
      <c r="B19" s="12"/>
      <c r="C19" s="135"/>
      <c r="D19" s="135"/>
      <c r="E19" s="135"/>
      <c r="F19" s="135"/>
      <c r="G19"/>
      <c r="H19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6">
      <c r="A23" s="132" t="s">
        <v>74</v>
      </c>
      <c r="B23" s="12">
        <f>C33+D33</f>
        <v>139</v>
      </c>
      <c r="C23" s="132" t="s">
        <v>75</v>
      </c>
      <c r="D23" s="12">
        <f>C34+D34</f>
        <v>105</v>
      </c>
      <c r="E23" s="12"/>
      <c r="F23" s="12"/>
    </row>
    <row r="24" spans="1:6">
      <c r="A24" s="132" t="s">
        <v>76</v>
      </c>
      <c r="B24" s="12">
        <f>E33+F33</f>
        <v>143</v>
      </c>
      <c r="C24" s="132" t="s">
        <v>77</v>
      </c>
      <c r="D24" s="12">
        <f>E34+F34</f>
        <v>104</v>
      </c>
      <c r="E24" s="12"/>
      <c r="F24" s="12"/>
    </row>
    <row r="25" spans="1:6">
      <c r="A25" s="132" t="s">
        <v>78</v>
      </c>
      <c r="B25" s="12">
        <f>B26-B23-B24</f>
        <v>5498</v>
      </c>
      <c r="C25" s="132" t="s">
        <v>79</v>
      </c>
      <c r="D25" s="12">
        <f>D26-D23-D24</f>
        <v>5571</v>
      </c>
      <c r="E25" s="12"/>
      <c r="F25" s="12"/>
    </row>
    <row r="26" spans="1:6">
      <c r="A26" s="132" t="s">
        <v>80</v>
      </c>
      <c r="B26" s="12">
        <v>5780</v>
      </c>
      <c r="C26" s="132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44519</v>
      </c>
      <c r="B31" s="184">
        <v>65.73</v>
      </c>
      <c r="C31" s="196" t="s">
        <v>32</v>
      </c>
      <c r="D31" s="196"/>
      <c r="E31" s="196" t="s">
        <v>33</v>
      </c>
      <c r="F31" s="196"/>
      <c r="N31" s="4"/>
    </row>
    <row r="32" ht="15.6" spans="1:14">
      <c r="A32" s="53">
        <v>44520</v>
      </c>
      <c r="B32" s="184">
        <v>46.37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44521</v>
      </c>
      <c r="B33" s="184">
        <v>51.87</v>
      </c>
      <c r="C33" s="198">
        <v>115</v>
      </c>
      <c r="D33" s="198">
        <v>24</v>
      </c>
      <c r="E33" s="198">
        <v>136</v>
      </c>
      <c r="F33" s="198">
        <v>7</v>
      </c>
      <c r="N33" s="4"/>
    </row>
    <row r="34" ht="15.6" spans="1:14">
      <c r="A34" s="53">
        <v>44522</v>
      </c>
      <c r="B34" s="184">
        <v>70.33</v>
      </c>
      <c r="C34" s="199">
        <v>90</v>
      </c>
      <c r="D34" s="199">
        <v>15</v>
      </c>
      <c r="E34" s="199">
        <v>104</v>
      </c>
      <c r="F34" s="199">
        <v>0</v>
      </c>
      <c r="N34" s="4"/>
    </row>
    <row r="35" ht="15.6" spans="1:14">
      <c r="A35" s="53">
        <v>44523</v>
      </c>
      <c r="B35" s="184">
        <v>31.48</v>
      </c>
      <c r="C35" s="198" t="s">
        <v>68</v>
      </c>
      <c r="D35" s="198">
        <f>C33+D33+E33+F33</f>
        <v>282</v>
      </c>
      <c r="E35" s="199" t="s">
        <v>69</v>
      </c>
      <c r="F35" s="199">
        <f>C34+D34+E34+F34</f>
        <v>209</v>
      </c>
      <c r="N35" s="4"/>
    </row>
    <row r="36" ht="15.6" spans="1:14">
      <c r="A36" s="53">
        <v>44524</v>
      </c>
      <c r="B36" s="184">
        <v>38.89</v>
      </c>
      <c r="C36" s="25" t="s">
        <v>106</v>
      </c>
      <c r="D36" s="134"/>
      <c r="E36" s="8" t="s">
        <v>97</v>
      </c>
      <c r="F36" s="8" t="s">
        <v>107</v>
      </c>
      <c r="N36" s="4"/>
    </row>
    <row r="37" ht="15.6" spans="1:14">
      <c r="A37" s="53">
        <v>44525</v>
      </c>
      <c r="B37" s="184">
        <v>69.01</v>
      </c>
      <c r="C37" s="200" t="s">
        <v>108</v>
      </c>
      <c r="D37" s="201"/>
      <c r="E37" s="202">
        <f>C45</f>
        <v>0</v>
      </c>
      <c r="F37" s="203">
        <v>0</v>
      </c>
      <c r="N37" s="4"/>
    </row>
    <row r="38" ht="15.6" spans="1:14">
      <c r="A38" s="53">
        <v>44526</v>
      </c>
      <c r="B38" s="184">
        <v>77.51</v>
      </c>
      <c r="C38" s="200" t="s">
        <v>109</v>
      </c>
      <c r="D38" s="201"/>
      <c r="E38" s="202">
        <v>0</v>
      </c>
      <c r="F38" s="203">
        <v>0</v>
      </c>
      <c r="N38" s="4"/>
    </row>
    <row r="39" ht="15.6" spans="1:14">
      <c r="A39" s="53">
        <v>44527</v>
      </c>
      <c r="B39" s="184">
        <v>72.17</v>
      </c>
      <c r="C39" s="200" t="s">
        <v>99</v>
      </c>
      <c r="D39" s="204"/>
      <c r="E39" s="202">
        <f>C43</f>
        <v>100</v>
      </c>
      <c r="F39" s="203">
        <v>1195</v>
      </c>
      <c r="N39" s="4"/>
    </row>
    <row r="40" ht="15.6" spans="1:14">
      <c r="A40" s="53">
        <v>44528</v>
      </c>
      <c r="B40" s="184">
        <v>104.73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1</v>
      </c>
      <c r="D41" s="79">
        <f>E11</f>
        <v>1</v>
      </c>
      <c r="E41" s="79">
        <f>C12</f>
        <v>4</v>
      </c>
      <c r="F41" s="79">
        <f>E12</f>
        <v>3</v>
      </c>
    </row>
    <row r="42" spans="1:6">
      <c r="A42" s="151"/>
      <c r="B42" s="79" t="s">
        <v>111</v>
      </c>
      <c r="C42" s="79">
        <v>5</v>
      </c>
      <c r="D42" s="79">
        <v>0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100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ZCB1-19截止2021年11月28日累计完成产值7976.37万元，
占总产值90284.4万元的8.83%，
100章临建完成5485.78万元，400章桥梁完成2490.588万元。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2021年11月28日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N49"/>
  <sheetViews>
    <sheetView view="pageBreakPreview" zoomScale="80" zoomScaleNormal="100" topLeftCell="A13" workbookViewId="0">
      <selection activeCell="L35" sqref="L3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13">
        <v>44529</v>
      </c>
      <c r="B3" s="12" t="s">
        <v>7</v>
      </c>
      <c r="C3" s="12">
        <v>0</v>
      </c>
      <c r="D3" s="12">
        <f>ROUND(D11+F11,2)</f>
        <v>30.95</v>
      </c>
      <c r="E3" s="13">
        <f>ROUND(C5+D5,2)</f>
        <v>77.14</v>
      </c>
      <c r="F3" s="143" t="s">
        <v>126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46.19</v>
      </c>
      <c r="E4" s="13"/>
      <c r="F4" s="144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77.14</v>
      </c>
      <c r="E5" s="13"/>
      <c r="F5" s="144"/>
      <c r="I5" t="str">
        <f>ROUND(E6/90284.4*100,2)&amp;"%"</f>
        <v>8.92%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2567.728</v>
      </c>
      <c r="E6" s="8">
        <f>ROUND(C6+D6,2)</f>
        <v>8053.51</v>
      </c>
      <c r="F6" s="144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2567.728</v>
      </c>
      <c r="E7" s="8">
        <f>ROUND(C7+D7,2)</f>
        <v>8053.51</v>
      </c>
      <c r="F7" s="144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13">
        <v>44529</v>
      </c>
      <c r="B11" s="12" t="s">
        <v>7</v>
      </c>
      <c r="C11" s="214">
        <v>2</v>
      </c>
      <c r="D11" s="215">
        <v>15.41</v>
      </c>
      <c r="E11" s="214">
        <v>1</v>
      </c>
      <c r="F11" s="215">
        <v>15.542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14">
        <v>6</v>
      </c>
      <c r="D12" s="215">
        <v>46.19</v>
      </c>
      <c r="E12" s="214">
        <v>0</v>
      </c>
      <c r="F12" s="215">
        <v>0</v>
      </c>
    </row>
    <row r="13" ht="15" customHeight="1" spans="1:6">
      <c r="A13" s="12"/>
      <c r="B13" s="12" t="s">
        <v>18</v>
      </c>
      <c r="C13" s="214">
        <f>C11+C12</f>
        <v>8</v>
      </c>
      <c r="D13" s="215">
        <f>ROUND(D11+D12,2)</f>
        <v>61.6</v>
      </c>
      <c r="E13" s="214">
        <f>E11+E12</f>
        <v>1</v>
      </c>
      <c r="F13" s="215">
        <f>ROUND(F11+F12,2)</f>
        <v>15.54</v>
      </c>
    </row>
    <row r="14" ht="30" customHeight="1" spans="1:6">
      <c r="A14" s="12"/>
      <c r="B14" s="8" t="s">
        <v>5</v>
      </c>
      <c r="C14" s="6">
        <f>D13+F13</f>
        <v>77.14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35"/>
      <c r="D17" s="135"/>
      <c r="E17" s="135"/>
      <c r="F17" s="135"/>
      <c r="G17"/>
      <c r="H17"/>
    </row>
    <row r="18" spans="1:8">
      <c r="A18" s="12"/>
      <c r="B18" s="12"/>
      <c r="C18" s="135"/>
      <c r="D18" s="135"/>
      <c r="E18" s="135"/>
      <c r="F18" s="135"/>
      <c r="G18"/>
      <c r="H18"/>
    </row>
    <row r="19" spans="1:8">
      <c r="A19" s="12"/>
      <c r="B19" s="12"/>
      <c r="C19" s="135"/>
      <c r="D19" s="135"/>
      <c r="E19" s="135"/>
      <c r="F19" s="135"/>
      <c r="G19"/>
      <c r="H19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6">
      <c r="A23" s="132" t="s">
        <v>74</v>
      </c>
      <c r="B23" s="12">
        <f>C33+D33</f>
        <v>142</v>
      </c>
      <c r="C23" s="132" t="s">
        <v>75</v>
      </c>
      <c r="D23" s="12">
        <f>C34+D34</f>
        <v>106</v>
      </c>
      <c r="E23" s="12"/>
      <c r="F23" s="12"/>
    </row>
    <row r="24" spans="1:6">
      <c r="A24" s="132" t="s">
        <v>76</v>
      </c>
      <c r="B24" s="12">
        <f>E33+F33</f>
        <v>149</v>
      </c>
      <c r="C24" s="132" t="s">
        <v>77</v>
      </c>
      <c r="D24" s="12">
        <f>E34+F34</f>
        <v>104</v>
      </c>
      <c r="E24" s="12"/>
      <c r="F24" s="12"/>
    </row>
    <row r="25" spans="1:6">
      <c r="A25" s="132" t="s">
        <v>78</v>
      </c>
      <c r="B25" s="12">
        <f>B26-B23-B24</f>
        <v>5489</v>
      </c>
      <c r="C25" s="132" t="s">
        <v>79</v>
      </c>
      <c r="D25" s="12">
        <f>D26-D23-D24</f>
        <v>5570</v>
      </c>
      <c r="E25" s="12"/>
      <c r="F25" s="12"/>
    </row>
    <row r="26" spans="1:6">
      <c r="A26" s="132" t="s">
        <v>80</v>
      </c>
      <c r="B26" s="12">
        <v>5780</v>
      </c>
      <c r="C26" s="132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44520</v>
      </c>
      <c r="B31" s="184">
        <v>46.37</v>
      </c>
      <c r="C31" s="196" t="s">
        <v>32</v>
      </c>
      <c r="D31" s="196"/>
      <c r="E31" s="196" t="s">
        <v>33</v>
      </c>
      <c r="F31" s="196"/>
      <c r="N31" s="4"/>
    </row>
    <row r="32" ht="15.6" spans="1:14">
      <c r="A32" s="53">
        <v>44521</v>
      </c>
      <c r="B32" s="184">
        <v>51.87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44522</v>
      </c>
      <c r="B33" s="184">
        <v>70.33</v>
      </c>
      <c r="C33" s="198">
        <v>117</v>
      </c>
      <c r="D33" s="198">
        <v>25</v>
      </c>
      <c r="E33" s="198">
        <v>142</v>
      </c>
      <c r="F33" s="198">
        <v>7</v>
      </c>
      <c r="N33" s="4"/>
    </row>
    <row r="34" ht="15.6" spans="1:14">
      <c r="A34" s="53">
        <v>44523</v>
      </c>
      <c r="B34" s="184">
        <v>31.48</v>
      </c>
      <c r="C34" s="199">
        <v>90</v>
      </c>
      <c r="D34" s="199">
        <v>16</v>
      </c>
      <c r="E34" s="199">
        <v>104</v>
      </c>
      <c r="F34" s="199">
        <v>0</v>
      </c>
      <c r="N34" s="4"/>
    </row>
    <row r="35" ht="15.6" spans="1:14">
      <c r="A35" s="53">
        <v>44524</v>
      </c>
      <c r="B35" s="184">
        <v>38.89</v>
      </c>
      <c r="C35" s="198" t="s">
        <v>68</v>
      </c>
      <c r="D35" s="198">
        <f>C33+D33+E33+F33</f>
        <v>291</v>
      </c>
      <c r="E35" s="199" t="s">
        <v>69</v>
      </c>
      <c r="F35" s="199">
        <f>C34+D34+E34+F34</f>
        <v>210</v>
      </c>
      <c r="N35" s="4"/>
    </row>
    <row r="36" ht="15.6" spans="1:14">
      <c r="A36" s="53">
        <v>44525</v>
      </c>
      <c r="B36" s="184">
        <v>69.01</v>
      </c>
      <c r="C36" s="25" t="s">
        <v>106</v>
      </c>
      <c r="D36" s="134"/>
      <c r="E36" s="8" t="s">
        <v>97</v>
      </c>
      <c r="F36" s="8" t="s">
        <v>107</v>
      </c>
      <c r="N36" s="4"/>
    </row>
    <row r="37" ht="15.6" spans="1:14">
      <c r="A37" s="53">
        <v>44526</v>
      </c>
      <c r="B37" s="184">
        <v>77.51</v>
      </c>
      <c r="C37" s="200" t="s">
        <v>108</v>
      </c>
      <c r="D37" s="201"/>
      <c r="E37" s="202">
        <f>C45</f>
        <v>0</v>
      </c>
      <c r="F37" s="203">
        <v>0</v>
      </c>
      <c r="N37" s="4"/>
    </row>
    <row r="38" ht="15.6" spans="1:14">
      <c r="A38" s="53">
        <v>44527</v>
      </c>
      <c r="B38" s="184">
        <v>72.17</v>
      </c>
      <c r="C38" s="200" t="s">
        <v>109</v>
      </c>
      <c r="D38" s="201"/>
      <c r="E38" s="202">
        <v>0</v>
      </c>
      <c r="F38" s="203">
        <v>0</v>
      </c>
      <c r="N38" s="4"/>
    </row>
    <row r="39" ht="15.6" spans="1:14">
      <c r="A39" s="53">
        <v>44528</v>
      </c>
      <c r="B39" s="184">
        <v>104.73</v>
      </c>
      <c r="C39" s="200" t="s">
        <v>99</v>
      </c>
      <c r="D39" s="204"/>
      <c r="E39" s="202">
        <f>C43</f>
        <v>0</v>
      </c>
      <c r="F39" s="203">
        <v>1195</v>
      </c>
      <c r="N39" s="4"/>
    </row>
    <row r="40" ht="15.6" spans="1:14">
      <c r="A40" s="53">
        <v>44529</v>
      </c>
      <c r="B40" s="184">
        <v>77.14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2</v>
      </c>
      <c r="D41" s="79">
        <f>E11</f>
        <v>1</v>
      </c>
      <c r="E41" s="79">
        <f>C12</f>
        <v>6</v>
      </c>
      <c r="F41" s="79">
        <f>E12</f>
        <v>0</v>
      </c>
    </row>
    <row r="42" spans="1:6">
      <c r="A42" s="151"/>
      <c r="B42" s="79" t="s">
        <v>111</v>
      </c>
      <c r="C42" s="79">
        <v>0</v>
      </c>
      <c r="D42" s="79">
        <v>1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ZCB1-19截止2021年11月29日累计完成产值8053.51万元，
占总产值90284.4万元的8.92%，
100章临建完成5485.78万元，400章桥梁完成2567.728万元。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2021年11月29日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8"/>
  <dimension ref="A1:N49"/>
  <sheetViews>
    <sheetView view="pageBreakPreview" zoomScale="80" zoomScaleNormal="100" topLeftCell="A13" workbookViewId="0">
      <selection activeCell="L35" sqref="L3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13">
        <v>44530</v>
      </c>
      <c r="B3" s="12" t="s">
        <v>7</v>
      </c>
      <c r="C3" s="12">
        <v>0</v>
      </c>
      <c r="D3" s="12">
        <f>ROUND(D11+F11,2)</f>
        <v>42.26</v>
      </c>
      <c r="E3" s="13">
        <f>ROUND(C5+D5,2)</f>
        <v>90.41</v>
      </c>
      <c r="F3" s="143" t="s">
        <v>127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48.15</v>
      </c>
      <c r="E4" s="13"/>
      <c r="F4" s="144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90.41</v>
      </c>
      <c r="E5" s="13"/>
      <c r="F5" s="144"/>
      <c r="I5" t="str">
        <f>ROUND(E6/90284.4*100,2)&amp;"%"</f>
        <v>9.02%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2658.138</v>
      </c>
      <c r="E6" s="8">
        <f>ROUND(C6+D6,2)</f>
        <v>8143.92</v>
      </c>
      <c r="F6" s="144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2658.138</v>
      </c>
      <c r="E7" s="8">
        <f>ROUND(C7+D7,2)</f>
        <v>8143.92</v>
      </c>
      <c r="F7" s="144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13">
        <v>44530</v>
      </c>
      <c r="B11" s="12" t="s">
        <v>7</v>
      </c>
      <c r="C11" s="214">
        <v>1</v>
      </c>
      <c r="D11" s="215">
        <v>11.69</v>
      </c>
      <c r="E11" s="214">
        <v>2</v>
      </c>
      <c r="F11" s="215">
        <v>30.57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14">
        <v>4</v>
      </c>
      <c r="D12" s="215">
        <v>32.86</v>
      </c>
      <c r="E12" s="214">
        <v>1</v>
      </c>
      <c r="F12" s="215">
        <v>15.29</v>
      </c>
    </row>
    <row r="13" ht="15" customHeight="1" spans="1:6">
      <c r="A13" s="12"/>
      <c r="B13" s="12" t="s">
        <v>18</v>
      </c>
      <c r="C13" s="214">
        <f>C11+C12</f>
        <v>5</v>
      </c>
      <c r="D13" s="215">
        <f>ROUND(D11+D12,2)</f>
        <v>44.55</v>
      </c>
      <c r="E13" s="214">
        <f>E11+E12</f>
        <v>3</v>
      </c>
      <c r="F13" s="215">
        <f>ROUND(F11+F12,2)</f>
        <v>45.86</v>
      </c>
    </row>
    <row r="14" ht="30" customHeight="1" spans="1:6">
      <c r="A14" s="12"/>
      <c r="B14" s="8" t="s">
        <v>5</v>
      </c>
      <c r="C14" s="6">
        <f>D13+F13</f>
        <v>90.41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35"/>
      <c r="D17" s="135"/>
      <c r="E17" s="135"/>
      <c r="F17" s="135"/>
      <c r="G17"/>
      <c r="H17"/>
    </row>
    <row r="18" spans="1:8">
      <c r="A18" s="12"/>
      <c r="B18" s="12"/>
      <c r="C18" s="135"/>
      <c r="D18" s="135"/>
      <c r="E18" s="135"/>
      <c r="F18" s="135"/>
      <c r="G18"/>
      <c r="H18"/>
    </row>
    <row r="19" spans="1:8">
      <c r="A19" s="12"/>
      <c r="B19" s="12"/>
      <c r="C19" s="135"/>
      <c r="D19" s="135"/>
      <c r="E19" s="135"/>
      <c r="F19" s="135"/>
      <c r="G19"/>
      <c r="H19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6">
      <c r="A23" s="132" t="s">
        <v>74</v>
      </c>
      <c r="B23" s="12">
        <f>C33+D33</f>
        <v>145</v>
      </c>
      <c r="C23" s="132" t="s">
        <v>75</v>
      </c>
      <c r="D23" s="12">
        <f>C34+D34</f>
        <v>106</v>
      </c>
      <c r="E23" s="12"/>
      <c r="F23" s="12"/>
    </row>
    <row r="24" spans="1:6">
      <c r="A24" s="132" t="s">
        <v>76</v>
      </c>
      <c r="B24" s="12">
        <f>E33+F33</f>
        <v>154</v>
      </c>
      <c r="C24" s="132" t="s">
        <v>77</v>
      </c>
      <c r="D24" s="12">
        <f>E34+F34</f>
        <v>116</v>
      </c>
      <c r="E24" s="12"/>
      <c r="F24" s="12"/>
    </row>
    <row r="25" spans="1:6">
      <c r="A25" s="132" t="s">
        <v>78</v>
      </c>
      <c r="B25" s="12">
        <f>B26-B23-B24</f>
        <v>5481</v>
      </c>
      <c r="C25" s="132" t="s">
        <v>79</v>
      </c>
      <c r="D25" s="12">
        <f>D26-D23-D24</f>
        <v>5558</v>
      </c>
      <c r="E25" s="12"/>
      <c r="F25" s="12"/>
    </row>
    <row r="26" spans="1:6">
      <c r="A26" s="132" t="s">
        <v>80</v>
      </c>
      <c r="B26" s="12">
        <v>5780</v>
      </c>
      <c r="C26" s="132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44521</v>
      </c>
      <c r="B31" s="184">
        <v>51.87</v>
      </c>
      <c r="C31" s="196" t="s">
        <v>32</v>
      </c>
      <c r="D31" s="196"/>
      <c r="E31" s="196" t="s">
        <v>33</v>
      </c>
      <c r="F31" s="196"/>
      <c r="N31" s="4"/>
    </row>
    <row r="32" ht="15.6" spans="1:14">
      <c r="A32" s="53">
        <v>44522</v>
      </c>
      <c r="B32" s="184">
        <v>70.33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44523</v>
      </c>
      <c r="B33" s="184">
        <v>31.48</v>
      </c>
      <c r="C33" s="198">
        <v>118</v>
      </c>
      <c r="D33" s="198">
        <v>27</v>
      </c>
      <c r="E33" s="198">
        <v>146</v>
      </c>
      <c r="F33" s="198">
        <v>8</v>
      </c>
      <c r="N33" s="4"/>
    </row>
    <row r="34" ht="15.6" spans="1:14">
      <c r="A34" s="53">
        <v>44524</v>
      </c>
      <c r="B34" s="184">
        <v>38.89</v>
      </c>
      <c r="C34" s="199">
        <v>90</v>
      </c>
      <c r="D34" s="199">
        <v>16</v>
      </c>
      <c r="E34" s="199">
        <v>116</v>
      </c>
      <c r="F34" s="199">
        <v>0</v>
      </c>
      <c r="N34" s="4"/>
    </row>
    <row r="35" ht="15.6" spans="1:14">
      <c r="A35" s="53">
        <v>44525</v>
      </c>
      <c r="B35" s="184">
        <v>69.01</v>
      </c>
      <c r="C35" s="198" t="s">
        <v>68</v>
      </c>
      <c r="D35" s="198">
        <f>C33+D33+E33+F33</f>
        <v>299</v>
      </c>
      <c r="E35" s="199" t="s">
        <v>69</v>
      </c>
      <c r="F35" s="199">
        <f>C34+D34+E34+F34</f>
        <v>222</v>
      </c>
      <c r="N35" s="4"/>
    </row>
    <row r="36" ht="15.6" spans="1:14">
      <c r="A36" s="53">
        <v>44526</v>
      </c>
      <c r="B36" s="184">
        <v>77.51</v>
      </c>
      <c r="C36" s="25" t="s">
        <v>106</v>
      </c>
      <c r="D36" s="134"/>
      <c r="E36" s="8" t="s">
        <v>97</v>
      </c>
      <c r="F36" s="8" t="s">
        <v>107</v>
      </c>
      <c r="N36" s="4"/>
    </row>
    <row r="37" ht="15.6" spans="1:14">
      <c r="A37" s="53">
        <v>44527</v>
      </c>
      <c r="B37" s="184">
        <v>72.17</v>
      </c>
      <c r="C37" s="200" t="s">
        <v>108</v>
      </c>
      <c r="D37" s="201"/>
      <c r="E37" s="202">
        <f>C45</f>
        <v>0</v>
      </c>
      <c r="F37" s="203">
        <v>0</v>
      </c>
      <c r="N37" s="4"/>
    </row>
    <row r="38" ht="15.6" spans="1:14">
      <c r="A38" s="53">
        <v>44528</v>
      </c>
      <c r="B38" s="184">
        <v>104.73</v>
      </c>
      <c r="C38" s="200" t="s">
        <v>109</v>
      </c>
      <c r="D38" s="201"/>
      <c r="E38" s="202">
        <v>0</v>
      </c>
      <c r="F38" s="203">
        <v>0</v>
      </c>
      <c r="N38" s="4"/>
    </row>
    <row r="39" ht="15.6" spans="1:14">
      <c r="A39" s="53">
        <v>44529</v>
      </c>
      <c r="B39" s="184">
        <v>77.14</v>
      </c>
      <c r="C39" s="200" t="s">
        <v>99</v>
      </c>
      <c r="D39" s="204"/>
      <c r="E39" s="202">
        <f>C43</f>
        <v>100</v>
      </c>
      <c r="F39" s="203">
        <v>1295</v>
      </c>
      <c r="N39" s="4"/>
    </row>
    <row r="40" ht="15.6" spans="1:14">
      <c r="A40" s="53">
        <v>44530</v>
      </c>
      <c r="B40" s="184">
        <v>90.41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1</v>
      </c>
      <c r="D41" s="79">
        <f>E11</f>
        <v>2</v>
      </c>
      <c r="E41" s="79">
        <f>C12</f>
        <v>4</v>
      </c>
      <c r="F41" s="79">
        <f>E12</f>
        <v>1</v>
      </c>
    </row>
    <row r="42" spans="1:6">
      <c r="A42" s="151"/>
      <c r="B42" s="79" t="s">
        <v>111</v>
      </c>
      <c r="C42" s="79">
        <v>0</v>
      </c>
      <c r="D42" s="79">
        <v>0</v>
      </c>
      <c r="E42" s="79">
        <v>12</v>
      </c>
      <c r="F42" s="79">
        <v>0</v>
      </c>
    </row>
    <row r="43" spans="1:6">
      <c r="A43" s="151"/>
      <c r="B43" s="79" t="s">
        <v>112</v>
      </c>
      <c r="C43" s="79">
        <v>100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ZCB1-19截止2021年11月30日累计完成产值8143.92万元，
占总产值90284.4万元的9.02%，
100章临建完成5485.78万元，400章桥梁完成2658.138万元。</v>
      </c>
      <c r="B46" s="83"/>
      <c r="C46" s="83"/>
      <c r="D46" s="83"/>
      <c r="E46" s="83"/>
      <c r="F46" s="84"/>
      <c r="G46" s="4"/>
      <c r="I46" s="3" t="str">
        <f>TEXT(A3,"yyyy年mm月dd日")</f>
        <v>2021年11月30日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9"/>
  <dimension ref="A1:N49"/>
  <sheetViews>
    <sheetView view="pageBreakPreview" zoomScale="80" zoomScaleNormal="100" workbookViewId="0">
      <selection activeCell="F12" sqref="F1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8" width="8.88888888888889" style="3"/>
    <col min="9" max="9" width="8.88888888888889" style="3" hidden="1" customWidth="1"/>
    <col min="10" max="10" width="8.88888888888889" style="3"/>
    <col min="11" max="11" width="8.88888888888889" style="4" customWidth="1"/>
    <col min="12" max="12" width="8.88888888888889" style="4"/>
    <col min="13" max="16384" width="8.88888888888889" style="3"/>
  </cols>
  <sheetData>
    <row r="1" s="1" customFormat="1" ht="40.05" customHeight="1" spans="1:12">
      <c r="A1" s="5" t="s">
        <v>72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213">
        <v>44531</v>
      </c>
      <c r="B3" s="12" t="s">
        <v>7</v>
      </c>
      <c r="C3" s="12">
        <v>0</v>
      </c>
      <c r="D3" s="12">
        <f>ROUND(D11+F11,2)</f>
        <v>34.87</v>
      </c>
      <c r="E3" s="13">
        <f>ROUND(C5+D5,2)</f>
        <v>96.34</v>
      </c>
      <c r="F3" s="143" t="s">
        <v>128</v>
      </c>
      <c r="I3"/>
      <c r="J3"/>
      <c r="K3" s="3"/>
      <c r="L3" s="3"/>
    </row>
    <row r="4" ht="15" customHeight="1" spans="1:12">
      <c r="A4" s="12"/>
      <c r="B4" s="12" t="s">
        <v>9</v>
      </c>
      <c r="C4" s="12">
        <v>0</v>
      </c>
      <c r="D4" s="12">
        <f>ROUND(D12+F12,2)</f>
        <v>61.47</v>
      </c>
      <c r="E4" s="13"/>
      <c r="F4" s="144"/>
      <c r="I4"/>
      <c r="J4"/>
      <c r="K4" s="3"/>
      <c r="L4" s="3"/>
    </row>
    <row r="5" ht="15" customHeight="1" spans="1:12">
      <c r="A5" s="12"/>
      <c r="B5" s="8" t="s">
        <v>10</v>
      </c>
      <c r="C5" s="12">
        <f>SUM(C3:C4)</f>
        <v>0</v>
      </c>
      <c r="D5" s="12">
        <f>SUM(D3:D4)</f>
        <v>96.34</v>
      </c>
      <c r="E5" s="13"/>
      <c r="F5" s="144"/>
      <c r="I5" t="str">
        <f>ROUND(E6/90284.4*100,2)&amp;"%"</f>
        <v>9.13%</v>
      </c>
      <c r="J5"/>
      <c r="K5" s="3"/>
      <c r="L5" s="3"/>
    </row>
    <row r="6" ht="60" customHeight="1" spans="1:12">
      <c r="A6" s="12"/>
      <c r="B6" s="8" t="s">
        <v>11</v>
      </c>
      <c r="C6" s="20">
        <v>5485.78</v>
      </c>
      <c r="D6" s="20">
        <v>2754.478</v>
      </c>
      <c r="E6" s="8">
        <f>ROUND(C6+D6,2)</f>
        <v>8240.26</v>
      </c>
      <c r="F6" s="144"/>
      <c r="I6"/>
      <c r="J6"/>
      <c r="K6" s="3"/>
      <c r="L6" s="3"/>
    </row>
    <row r="7" ht="60" customHeight="1" spans="1:12">
      <c r="A7" s="12"/>
      <c r="B7" s="8" t="s">
        <v>12</v>
      </c>
      <c r="C7" s="20">
        <v>5485.78</v>
      </c>
      <c r="D7" s="20">
        <v>2754.478</v>
      </c>
      <c r="E7" s="8">
        <f>ROUND(C7+D7,2)</f>
        <v>8240.26</v>
      </c>
      <c r="F7" s="144"/>
      <c r="I7"/>
      <c r="J7"/>
      <c r="K7" s="3"/>
      <c r="L7" s="3"/>
    </row>
    <row r="8" ht="30" customHeight="1" spans="1:12">
      <c r="A8" s="6" t="s">
        <v>13</v>
      </c>
      <c r="B8" s="6"/>
      <c r="C8" s="6"/>
      <c r="D8" s="6"/>
      <c r="E8" s="6"/>
      <c r="F8" s="6"/>
      <c r="I8"/>
      <c r="J8"/>
      <c r="K8" s="3"/>
      <c r="L8" s="3"/>
    </row>
    <row r="9" ht="15" customHeight="1" spans="1:11">
      <c r="A9" s="8" t="s">
        <v>1</v>
      </c>
      <c r="B9" s="8" t="s">
        <v>2</v>
      </c>
      <c r="C9" s="28" t="s">
        <v>14</v>
      </c>
      <c r="D9" s="28"/>
      <c r="E9" s="28" t="s">
        <v>15</v>
      </c>
      <c r="F9" s="28"/>
      <c r="I9" s="4"/>
      <c r="J9" s="4"/>
      <c r="K9" s="3"/>
    </row>
    <row r="10" ht="15" customHeight="1" spans="1:11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I10" s="4"/>
      <c r="J10" s="4"/>
      <c r="K10" s="3"/>
    </row>
    <row r="11" ht="15" customHeight="1" spans="1:12">
      <c r="A11" s="213">
        <v>44531</v>
      </c>
      <c r="B11" s="12" t="s">
        <v>7</v>
      </c>
      <c r="C11" s="214">
        <v>0</v>
      </c>
      <c r="D11" s="215">
        <v>4.07</v>
      </c>
      <c r="E11" s="214">
        <v>2</v>
      </c>
      <c r="F11" s="215">
        <v>30.802</v>
      </c>
      <c r="I11" s="4"/>
      <c r="J11" s="4"/>
      <c r="K11" s="3"/>
      <c r="L11" s="3"/>
    </row>
    <row r="12" ht="15" customHeight="1" spans="1:6">
      <c r="A12" s="12"/>
      <c r="B12" s="12" t="s">
        <v>9</v>
      </c>
      <c r="C12" s="214">
        <v>6</v>
      </c>
      <c r="D12" s="215">
        <v>46.19</v>
      </c>
      <c r="E12" s="214">
        <v>1</v>
      </c>
      <c r="F12" s="215">
        <v>15.28</v>
      </c>
    </row>
    <row r="13" ht="15" customHeight="1" spans="1:6">
      <c r="A13" s="12"/>
      <c r="B13" s="12" t="s">
        <v>18</v>
      </c>
      <c r="C13" s="214">
        <f>C11+C12</f>
        <v>6</v>
      </c>
      <c r="D13" s="215">
        <f>ROUND(D11+D12,2)</f>
        <v>50.26</v>
      </c>
      <c r="E13" s="214">
        <f>E11+E12</f>
        <v>3</v>
      </c>
      <c r="F13" s="215">
        <f>ROUND(F11+F12,2)</f>
        <v>46.08</v>
      </c>
    </row>
    <row r="14" ht="30" customHeight="1" spans="1:6">
      <c r="A14" s="12"/>
      <c r="B14" s="8" t="s">
        <v>5</v>
      </c>
      <c r="C14" s="6">
        <f>D13+F13</f>
        <v>96.34</v>
      </c>
      <c r="D14" s="6"/>
      <c r="E14" s="6"/>
      <c r="F14" s="6"/>
    </row>
    <row r="15" spans="1:6">
      <c r="A15" s="12"/>
      <c r="B15" s="12"/>
      <c r="C15" s="12"/>
      <c r="D15" s="12"/>
      <c r="E15" s="12"/>
      <c r="F15" s="12"/>
    </row>
    <row r="16" spans="1:6">
      <c r="A16" s="12"/>
      <c r="B16" s="12" t="s">
        <v>20</v>
      </c>
      <c r="C16" s="12"/>
      <c r="D16" s="12"/>
      <c r="E16" s="12"/>
      <c r="F16" s="12"/>
    </row>
    <row r="17" spans="1:8">
      <c r="A17" s="12"/>
      <c r="B17" s="12"/>
      <c r="C17" s="135"/>
      <c r="D17" s="135"/>
      <c r="E17" s="135"/>
      <c r="F17" s="135"/>
      <c r="G17"/>
      <c r="H17"/>
    </row>
    <row r="18" spans="1:8">
      <c r="A18" s="12"/>
      <c r="B18" s="12"/>
      <c r="C18" s="135"/>
      <c r="D18" s="135"/>
      <c r="E18" s="135"/>
      <c r="F18" s="135"/>
      <c r="G18"/>
      <c r="H18"/>
    </row>
    <row r="19" spans="1:8">
      <c r="A19" s="12"/>
      <c r="B19" s="12"/>
      <c r="C19" s="135"/>
      <c r="D19" s="135"/>
      <c r="E19" s="135"/>
      <c r="F19" s="135"/>
      <c r="G19"/>
      <c r="H19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6">
      <c r="A23" s="132" t="s">
        <v>74</v>
      </c>
      <c r="B23" s="12">
        <f>C33+D33</f>
        <v>147</v>
      </c>
      <c r="C23" s="132" t="s">
        <v>75</v>
      </c>
      <c r="D23" s="12">
        <f>C34+D34</f>
        <v>107</v>
      </c>
      <c r="E23" s="12"/>
      <c r="F23" s="12"/>
    </row>
    <row r="24" spans="1:6">
      <c r="A24" s="132" t="s">
        <v>76</v>
      </c>
      <c r="B24" s="12">
        <f>E33+F33</f>
        <v>161</v>
      </c>
      <c r="C24" s="132" t="s">
        <v>77</v>
      </c>
      <c r="D24" s="12">
        <f>E34+F34</f>
        <v>116</v>
      </c>
      <c r="E24" s="12"/>
      <c r="F24" s="12"/>
    </row>
    <row r="25" spans="1:6">
      <c r="A25" s="132" t="s">
        <v>78</v>
      </c>
      <c r="B25" s="12">
        <f>B26-B23-B24</f>
        <v>5472</v>
      </c>
      <c r="C25" s="132" t="s">
        <v>79</v>
      </c>
      <c r="D25" s="12">
        <f>D26-D23-D24</f>
        <v>5557</v>
      </c>
      <c r="E25" s="12"/>
      <c r="F25" s="12"/>
    </row>
    <row r="26" spans="1:6">
      <c r="A26" s="132" t="s">
        <v>80</v>
      </c>
      <c r="B26" s="12">
        <v>5780</v>
      </c>
      <c r="C26" s="132" t="s">
        <v>81</v>
      </c>
      <c r="D26" s="12">
        <v>5780</v>
      </c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ht="19.95" customHeight="1" spans="1:14">
      <c r="A30" s="8" t="s">
        <v>91</v>
      </c>
      <c r="B30" s="8"/>
      <c r="C30" s="8" t="s">
        <v>92</v>
      </c>
      <c r="D30" s="12"/>
      <c r="E30" s="12"/>
      <c r="F30" s="12"/>
      <c r="N30" s="4"/>
    </row>
    <row r="31" ht="15.6" spans="1:14">
      <c r="A31" s="53">
        <v>44522</v>
      </c>
      <c r="B31" s="184">
        <v>70.33</v>
      </c>
      <c r="C31" s="196" t="s">
        <v>32</v>
      </c>
      <c r="D31" s="196"/>
      <c r="E31" s="196" t="s">
        <v>33</v>
      </c>
      <c r="F31" s="196"/>
      <c r="N31" s="4"/>
    </row>
    <row r="32" ht="15.6" spans="1:14">
      <c r="A32" s="53">
        <v>44523</v>
      </c>
      <c r="B32" s="184">
        <v>31.48</v>
      </c>
      <c r="C32" s="197" t="s">
        <v>14</v>
      </c>
      <c r="D32" s="197" t="s">
        <v>15</v>
      </c>
      <c r="E32" s="197" t="s">
        <v>14</v>
      </c>
      <c r="F32" s="197" t="s">
        <v>15</v>
      </c>
      <c r="N32" s="4"/>
    </row>
    <row r="33" ht="15.6" spans="1:14">
      <c r="A33" s="53">
        <v>44524</v>
      </c>
      <c r="B33" s="184">
        <v>38.89</v>
      </c>
      <c r="C33" s="198">
        <v>118</v>
      </c>
      <c r="D33" s="198">
        <v>29</v>
      </c>
      <c r="E33" s="198">
        <v>152</v>
      </c>
      <c r="F33" s="198">
        <v>9</v>
      </c>
      <c r="N33" s="4"/>
    </row>
    <row r="34" ht="15.6" spans="1:14">
      <c r="A34" s="53">
        <v>44525</v>
      </c>
      <c r="B34" s="184">
        <v>69.01</v>
      </c>
      <c r="C34" s="199">
        <v>90</v>
      </c>
      <c r="D34" s="199">
        <v>17</v>
      </c>
      <c r="E34" s="199">
        <v>116</v>
      </c>
      <c r="F34" s="199">
        <v>0</v>
      </c>
      <c r="N34" s="4"/>
    </row>
    <row r="35" ht="15.6" spans="1:14">
      <c r="A35" s="53">
        <v>44526</v>
      </c>
      <c r="B35" s="184">
        <v>77.51</v>
      </c>
      <c r="C35" s="198" t="s">
        <v>68</v>
      </c>
      <c r="D35" s="198">
        <f>C33+D33+E33+F33</f>
        <v>308</v>
      </c>
      <c r="E35" s="199" t="s">
        <v>69</v>
      </c>
      <c r="F35" s="199">
        <f>C34+D34+E34+F34</f>
        <v>223</v>
      </c>
      <c r="N35" s="4"/>
    </row>
    <row r="36" ht="15.6" spans="1:14">
      <c r="A36" s="53">
        <v>44527</v>
      </c>
      <c r="B36" s="184">
        <v>72.17</v>
      </c>
      <c r="C36" s="25" t="s">
        <v>106</v>
      </c>
      <c r="D36" s="134"/>
      <c r="E36" s="8" t="s">
        <v>97</v>
      </c>
      <c r="F36" s="8" t="s">
        <v>107</v>
      </c>
      <c r="N36" s="4"/>
    </row>
    <row r="37" ht="15.6" spans="1:14">
      <c r="A37" s="53">
        <v>44528</v>
      </c>
      <c r="B37" s="184">
        <v>104.73</v>
      </c>
      <c r="C37" s="200" t="s">
        <v>108</v>
      </c>
      <c r="D37" s="201"/>
      <c r="E37" s="202">
        <f>C45</f>
        <v>0</v>
      </c>
      <c r="F37" s="203">
        <v>0</v>
      </c>
      <c r="N37" s="4"/>
    </row>
    <row r="38" ht="15.6" spans="1:14">
      <c r="A38" s="53">
        <v>44529</v>
      </c>
      <c r="B38" s="184">
        <v>77.14</v>
      </c>
      <c r="C38" s="200" t="s">
        <v>109</v>
      </c>
      <c r="D38" s="201"/>
      <c r="E38" s="202">
        <v>0</v>
      </c>
      <c r="F38" s="203">
        <v>0</v>
      </c>
      <c r="N38" s="4"/>
    </row>
    <row r="39" ht="15.6" spans="1:14">
      <c r="A39" s="53">
        <v>44530</v>
      </c>
      <c r="B39" s="184">
        <v>90.41</v>
      </c>
      <c r="C39" s="200" t="s">
        <v>99</v>
      </c>
      <c r="D39" s="204"/>
      <c r="E39" s="202">
        <f>C43</f>
        <v>100</v>
      </c>
      <c r="F39" s="203">
        <v>1395</v>
      </c>
      <c r="N39" s="4"/>
    </row>
    <row r="40" ht="15.6" spans="1:14">
      <c r="A40" s="53">
        <v>44531</v>
      </c>
      <c r="B40" s="184">
        <v>96.34</v>
      </c>
      <c r="C40" s="205" t="s">
        <v>100</v>
      </c>
      <c r="D40" s="205"/>
      <c r="E40" s="206">
        <v>0</v>
      </c>
      <c r="F40" s="205">
        <v>41682</v>
      </c>
      <c r="N40" s="4"/>
    </row>
    <row r="41" spans="1:6">
      <c r="A41" s="212" t="s">
        <v>60</v>
      </c>
      <c r="B41" s="79" t="s">
        <v>110</v>
      </c>
      <c r="C41" s="79">
        <f>C11</f>
        <v>0</v>
      </c>
      <c r="D41" s="79">
        <f>E11</f>
        <v>2</v>
      </c>
      <c r="E41" s="79">
        <f>C12</f>
        <v>6</v>
      </c>
      <c r="F41" s="79">
        <f>E12</f>
        <v>1</v>
      </c>
    </row>
    <row r="42" spans="1:6">
      <c r="A42" s="151"/>
      <c r="B42" s="79" t="s">
        <v>111</v>
      </c>
      <c r="C42" s="79">
        <v>0</v>
      </c>
      <c r="D42" s="79">
        <v>1</v>
      </c>
      <c r="E42" s="79">
        <v>0</v>
      </c>
      <c r="F42" s="79">
        <v>0</v>
      </c>
    </row>
    <row r="43" spans="1:6">
      <c r="A43" s="151"/>
      <c r="B43" s="79" t="s">
        <v>112</v>
      </c>
      <c r="C43" s="79">
        <v>100</v>
      </c>
      <c r="D43" s="79"/>
      <c r="E43" s="79"/>
      <c r="F43" s="79"/>
    </row>
    <row r="44" spans="1:6">
      <c r="A44" s="151"/>
      <c r="B44" s="79" t="s">
        <v>113</v>
      </c>
      <c r="C44" s="148">
        <v>0</v>
      </c>
      <c r="D44" s="149"/>
      <c r="E44" s="149"/>
      <c r="F44" s="150"/>
    </row>
    <row r="45" spans="1:6">
      <c r="A45" s="152"/>
      <c r="B45" s="79" t="s">
        <v>114</v>
      </c>
      <c r="C45" s="148">
        <v>0</v>
      </c>
      <c r="D45" s="149"/>
      <c r="E45" s="149"/>
      <c r="F45" s="150"/>
    </row>
    <row r="46" ht="49.95" customHeight="1" spans="1:9">
      <c r="A46" s="82" t="str">
        <f>"ZCB1-19截止"&amp;I46&amp;"累计完成产值"&amp;E6&amp;"万元，
占总产值90284.4万元的"&amp;I5&amp;"，
100章临建完成"&amp;C7&amp;"万元，400章桥梁完成"&amp;D7&amp;"万元。"</f>
        <v>ZCB1-19截止2021年12月01日累计完成产值8240.26万元，
占总产值90284.4万元的9.13%，
100章临建完成5485.78万元，400章桥梁完成2754.478万元。</v>
      </c>
      <c r="B46" s="83"/>
      <c r="C46" s="83"/>
      <c r="D46" s="83"/>
      <c r="E46" s="83"/>
      <c r="F46" s="84"/>
      <c r="G46" s="4"/>
      <c r="I46" s="3" t="str">
        <f>TEXT(A3,"yyyy年mm月dd日")</f>
        <v>2021年12月01日</v>
      </c>
    </row>
    <row r="49" spans="3:3">
      <c r="C49" s="158"/>
    </row>
  </sheetData>
  <mergeCells count="25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36:D36"/>
    <mergeCell ref="C37:D37"/>
    <mergeCell ref="C38:D38"/>
    <mergeCell ref="C39:D39"/>
    <mergeCell ref="C40:D40"/>
    <mergeCell ref="C43:F43"/>
    <mergeCell ref="C44:F44"/>
    <mergeCell ref="C45:F45"/>
    <mergeCell ref="A46:F46"/>
    <mergeCell ref="A3:A7"/>
    <mergeCell ref="A9:A10"/>
    <mergeCell ref="A11:A14"/>
    <mergeCell ref="A41:A45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93" orientation="portrait" verticalDpi="1200"/>
  <headerFooter/>
  <rowBreaks count="1" manualBreakCount="1">
    <brk id="46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K23"/>
  <sheetViews>
    <sheetView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64" t="s">
        <v>3</v>
      </c>
      <c r="D2" s="264" t="s">
        <v>4</v>
      </c>
      <c r="E2" s="48" t="s">
        <v>5</v>
      </c>
      <c r="F2" s="48" t="s">
        <v>6</v>
      </c>
    </row>
    <row r="3" ht="15" customHeight="1" spans="1:6">
      <c r="A3" s="218">
        <v>44469</v>
      </c>
      <c r="B3" s="35" t="s">
        <v>7</v>
      </c>
      <c r="C3" s="35">
        <v>0</v>
      </c>
      <c r="D3" s="35">
        <f>D11+F11</f>
        <v>7.82</v>
      </c>
      <c r="E3" s="35">
        <f>C5+D5</f>
        <v>8.82</v>
      </c>
      <c r="F3" s="265" t="s">
        <v>27</v>
      </c>
    </row>
    <row r="4" ht="15" customHeight="1" spans="1:6">
      <c r="A4" s="35"/>
      <c r="B4" s="35" t="s">
        <v>9</v>
      </c>
      <c r="C4" s="35">
        <v>1</v>
      </c>
      <c r="D4" s="35">
        <f>D12+F12</f>
        <v>0</v>
      </c>
      <c r="E4" s="35"/>
      <c r="F4" s="266"/>
    </row>
    <row r="5" ht="15" customHeight="1" spans="1:11">
      <c r="A5" s="35"/>
      <c r="B5" s="48" t="s">
        <v>10</v>
      </c>
      <c r="C5" s="35">
        <f>SUM(C3:C4)</f>
        <v>1</v>
      </c>
      <c r="D5" s="35">
        <f>SUM(D3:D4)</f>
        <v>7.82</v>
      </c>
      <c r="E5" s="35"/>
      <c r="F5" s="266"/>
      <c r="H5"/>
      <c r="I5"/>
      <c r="J5"/>
      <c r="K5"/>
    </row>
    <row r="6" ht="15" customHeight="1" spans="1:11">
      <c r="A6" s="35"/>
      <c r="B6" s="48" t="s">
        <v>11</v>
      </c>
      <c r="C6" s="35">
        <f>E6-D6</f>
        <v>5447.78</v>
      </c>
      <c r="D6" s="35">
        <f>ROUND(229.687+7.82+0.1625,2)</f>
        <v>237.67</v>
      </c>
      <c r="E6" s="35">
        <f>5614.28+2+8.82+2+16.28+33.25+8.82</f>
        <v>5685.45</v>
      </c>
      <c r="F6" s="266"/>
      <c r="H6"/>
      <c r="I6"/>
      <c r="J6"/>
      <c r="K6"/>
    </row>
    <row r="7" ht="15" customHeight="1" spans="1:11">
      <c r="A7" s="35"/>
      <c r="B7" s="48" t="s">
        <v>12</v>
      </c>
      <c r="C7" s="35">
        <f>E7-D7</f>
        <v>5447.78</v>
      </c>
      <c r="D7" s="35">
        <f>ROUND(229.687+7.82+0.1625,2)</f>
        <v>237.67</v>
      </c>
      <c r="E7" s="35">
        <f>5614.28+2+8.82+2+16.28+33.25+8.82</f>
        <v>5685.45</v>
      </c>
      <c r="F7" s="266"/>
      <c r="H7"/>
      <c r="I7"/>
      <c r="J7"/>
      <c r="K7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67" t="s">
        <v>14</v>
      </c>
      <c r="D9" s="267"/>
      <c r="E9" s="267" t="s">
        <v>15</v>
      </c>
      <c r="F9" s="267"/>
    </row>
    <row r="10" spans="1:6">
      <c r="A10" s="48"/>
      <c r="B10" s="48"/>
      <c r="C10" s="267" t="s">
        <v>16</v>
      </c>
      <c r="D10" s="267" t="s">
        <v>17</v>
      </c>
      <c r="E10" s="267" t="s">
        <v>16</v>
      </c>
      <c r="F10" s="267" t="s">
        <v>17</v>
      </c>
    </row>
    <row r="11" spans="1:6">
      <c r="A11" s="218">
        <v>44469</v>
      </c>
      <c r="B11" s="35" t="s">
        <v>7</v>
      </c>
      <c r="C11" s="56">
        <v>1</v>
      </c>
      <c r="D11" s="224">
        <v>7.82</v>
      </c>
      <c r="E11" s="56"/>
      <c r="F11" s="224"/>
    </row>
    <row r="12" spans="1:6">
      <c r="A12" s="35"/>
      <c r="B12" s="35" t="s">
        <v>9</v>
      </c>
      <c r="C12" s="56"/>
      <c r="D12" s="224"/>
      <c r="E12" s="56"/>
      <c r="F12" s="224"/>
    </row>
    <row r="13" spans="1:6">
      <c r="A13" s="35"/>
      <c r="B13" s="35" t="s">
        <v>18</v>
      </c>
      <c r="C13" s="56">
        <f>C11+C12</f>
        <v>1</v>
      </c>
      <c r="D13" s="224">
        <f>ROUND(D11+D12,2)</f>
        <v>7.82</v>
      </c>
      <c r="E13" s="56">
        <f t="shared" ref="E13:F13" si="0">E11+E12</f>
        <v>0</v>
      </c>
      <c r="F13" s="224">
        <f t="shared" si="0"/>
        <v>0</v>
      </c>
    </row>
    <row r="14" spans="1:6">
      <c r="A14" s="35"/>
      <c r="B14" s="48" t="s">
        <v>5</v>
      </c>
      <c r="C14" s="94">
        <f>D13+F13</f>
        <v>7.82</v>
      </c>
      <c r="D14" s="94"/>
      <c r="E14" s="94"/>
      <c r="F14" s="94"/>
    </row>
    <row r="16" spans="2:2">
      <c r="B16" s="3" t="s">
        <v>20</v>
      </c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23" spans="3:11">
      <c r="C23"/>
      <c r="D23"/>
      <c r="E23"/>
      <c r="F23"/>
      <c r="G23"/>
      <c r="H23"/>
      <c r="I23"/>
      <c r="J23"/>
      <c r="K23"/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" formula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0"/>
  <dimension ref="A1:N52"/>
  <sheetViews>
    <sheetView view="pageBreakPreview" zoomScale="85" zoomScaleNormal="70" topLeftCell="A7" workbookViewId="0">
      <selection activeCell="I37" sqref="I3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44532</v>
      </c>
      <c r="B3" s="12" t="s">
        <v>7</v>
      </c>
      <c r="C3" s="12">
        <v>0</v>
      </c>
      <c r="D3" s="12">
        <f>ROUND(D11+D12,2)</f>
        <v>27.73</v>
      </c>
      <c r="E3" s="13">
        <f>ROUND(C5+D5,2)</f>
        <v>73.83</v>
      </c>
      <c r="F3" s="143" t="s">
        <v>130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ROUND(F11+F12,2)</f>
        <v>46.1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73.83</v>
      </c>
      <c r="E5" s="13"/>
      <c r="F5" s="144"/>
      <c r="I5" t="str">
        <f>ROUND(E6/90284.4*100,2)&amp;"%"</f>
        <v>9.21%</v>
      </c>
      <c r="J5"/>
      <c r="K5" s="3"/>
      <c r="L5" s="3"/>
    </row>
    <row r="6" ht="60" customHeight="1" spans="1:12">
      <c r="A6" s="132"/>
      <c r="B6" s="8" t="s">
        <v>11</v>
      </c>
      <c r="C6" s="20">
        <v>5485.78</v>
      </c>
      <c r="D6" s="20">
        <v>2828.308</v>
      </c>
      <c r="E6" s="8">
        <f>ROUND(C6+D6,2)</f>
        <v>8314.09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5485.78</v>
      </c>
      <c r="D7" s="20">
        <v>2828.308</v>
      </c>
      <c r="E7" s="8">
        <f>ROUND(C7+D7,2)</f>
        <v>8314.09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32" t="s">
        <v>132</v>
      </c>
      <c r="D9" s="32"/>
      <c r="E9" s="32" t="s">
        <v>133</v>
      </c>
      <c r="F9" s="32"/>
      <c r="H9"/>
      <c r="I9"/>
      <c r="J9"/>
      <c r="K9"/>
      <c r="L9"/>
      <c r="M9"/>
    </row>
    <row r="10" ht="15" customHeight="1" spans="1:13">
      <c r="A10" s="8"/>
      <c r="B10" s="8"/>
      <c r="C10" s="32" t="s">
        <v>16</v>
      </c>
      <c r="D10" s="32" t="s">
        <v>17</v>
      </c>
      <c r="E10" s="32" t="s">
        <v>16</v>
      </c>
      <c r="F10" s="32" t="s">
        <v>17</v>
      </c>
      <c r="H10" s="75"/>
      <c r="I10" s="75"/>
      <c r="J10"/>
      <c r="K10"/>
      <c r="L10"/>
      <c r="M10"/>
    </row>
    <row r="11" ht="15" customHeight="1" spans="1:13">
      <c r="A11" s="131">
        <v>44532</v>
      </c>
      <c r="B11" s="32" t="s">
        <v>14</v>
      </c>
      <c r="C11" s="32">
        <v>1</v>
      </c>
      <c r="D11" s="32">
        <v>11.69</v>
      </c>
      <c r="E11" s="32">
        <v>6</v>
      </c>
      <c r="F11" s="32">
        <v>46.1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2">
        <v>1</v>
      </c>
      <c r="D12" s="32">
        <v>16.036</v>
      </c>
      <c r="E12" s="32">
        <v>0</v>
      </c>
      <c r="F12" s="32">
        <v>0</v>
      </c>
      <c r="H12"/>
      <c r="I12"/>
      <c r="J12"/>
      <c r="K12"/>
      <c r="L12"/>
      <c r="M12"/>
    </row>
    <row r="13" ht="15" customHeight="1" spans="1:13">
      <c r="A13" s="132"/>
      <c r="B13" s="32" t="s">
        <v>112</v>
      </c>
      <c r="C13" s="33"/>
      <c r="D13" s="33"/>
      <c r="E13" s="207"/>
      <c r="F13" s="207"/>
      <c r="H13"/>
      <c r="I13"/>
      <c r="J13"/>
      <c r="K13"/>
      <c r="L13"/>
      <c r="M13"/>
    </row>
    <row r="14" ht="15" customHeight="1" spans="1:13">
      <c r="A14" s="132"/>
      <c r="B14" s="32" t="s">
        <v>113</v>
      </c>
      <c r="C14" s="33"/>
      <c r="D14" s="33"/>
      <c r="E14" s="207"/>
      <c r="F14" s="207"/>
      <c r="H14"/>
      <c r="I14"/>
      <c r="J14"/>
      <c r="K14"/>
      <c r="L14"/>
      <c r="M14"/>
    </row>
    <row r="15" ht="15" customHeight="1" spans="1:13">
      <c r="A15" s="132"/>
      <c r="B15" s="32" t="s">
        <v>114</v>
      </c>
      <c r="C15" s="33"/>
      <c r="D15" s="33"/>
      <c r="E15" s="207"/>
      <c r="F15" s="207"/>
      <c r="H15"/>
      <c r="I15"/>
      <c r="J15"/>
      <c r="K15"/>
      <c r="L15"/>
      <c r="M15"/>
    </row>
    <row r="16" ht="15" customHeight="1" spans="1:13">
      <c r="A16" s="132"/>
      <c r="B16" s="32" t="s">
        <v>134</v>
      </c>
      <c r="C16" s="208">
        <f>D11+D12+D13+D14+D15</f>
        <v>27.726</v>
      </c>
      <c r="D16" s="209"/>
      <c r="E16" s="210">
        <f>F11+F12+F13+F14+F15</f>
        <v>46.1</v>
      </c>
      <c r="F16" s="211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73.826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149</v>
      </c>
      <c r="D27" s="132" t="s">
        <v>75</v>
      </c>
      <c r="E27" s="12">
        <f>C37+D37</f>
        <v>110</v>
      </c>
      <c r="F27" s="12"/>
    </row>
    <row r="28" spans="1:6">
      <c r="A28" s="35"/>
      <c r="B28" s="132" t="s">
        <v>76</v>
      </c>
      <c r="C28" s="12">
        <f>E36+F36</f>
        <v>167</v>
      </c>
      <c r="D28" s="132" t="s">
        <v>77</v>
      </c>
      <c r="E28" s="12">
        <f>E37+F37</f>
        <v>116</v>
      </c>
      <c r="F28" s="12"/>
    </row>
    <row r="29" spans="1:6">
      <c r="A29" s="35"/>
      <c r="B29" s="132" t="s">
        <v>78</v>
      </c>
      <c r="C29" s="12">
        <f>C30-C27-C28</f>
        <v>5464</v>
      </c>
      <c r="D29" s="132" t="s">
        <v>79</v>
      </c>
      <c r="E29" s="12">
        <f>E30-E27-E28</f>
        <v>5554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44523</v>
      </c>
      <c r="B34" s="184">
        <v>31.48</v>
      </c>
      <c r="C34" s="196" t="s">
        <v>32</v>
      </c>
      <c r="D34" s="196"/>
      <c r="E34" s="196" t="s">
        <v>33</v>
      </c>
      <c r="F34" s="196"/>
      <c r="N34" s="4"/>
    </row>
    <row r="35" ht="15.6" spans="1:14">
      <c r="A35" s="53">
        <v>44524</v>
      </c>
      <c r="B35" s="184">
        <v>38.89</v>
      </c>
      <c r="C35" s="197" t="s">
        <v>14</v>
      </c>
      <c r="D35" s="197" t="s">
        <v>15</v>
      </c>
      <c r="E35" s="197" t="s">
        <v>14</v>
      </c>
      <c r="F35" s="197" t="s">
        <v>15</v>
      </c>
      <c r="N35" s="4"/>
    </row>
    <row r="36" ht="15.6" spans="1:14">
      <c r="A36" s="53">
        <v>44525</v>
      </c>
      <c r="B36" s="184">
        <v>69.01</v>
      </c>
      <c r="C36" s="198">
        <v>119</v>
      </c>
      <c r="D36" s="198">
        <v>30</v>
      </c>
      <c r="E36" s="198">
        <v>158</v>
      </c>
      <c r="F36" s="198">
        <v>9</v>
      </c>
      <c r="N36" s="4"/>
    </row>
    <row r="37" ht="15.6" spans="1:14">
      <c r="A37" s="53">
        <v>44526</v>
      </c>
      <c r="B37" s="184">
        <v>77.51</v>
      </c>
      <c r="C37" s="199">
        <v>90</v>
      </c>
      <c r="D37" s="199">
        <v>20</v>
      </c>
      <c r="E37" s="199">
        <v>116</v>
      </c>
      <c r="F37" s="199">
        <v>0</v>
      </c>
      <c r="N37" s="4"/>
    </row>
    <row r="38" ht="15.6" spans="1:14">
      <c r="A38" s="53">
        <v>44527</v>
      </c>
      <c r="B38" s="184">
        <v>72.17</v>
      </c>
      <c r="C38" s="198" t="s">
        <v>68</v>
      </c>
      <c r="D38" s="198">
        <f>C36+D36+E36+F36</f>
        <v>316</v>
      </c>
      <c r="E38" s="199" t="s">
        <v>69</v>
      </c>
      <c r="F38" s="199">
        <f>C37+D37+E37+F37</f>
        <v>226</v>
      </c>
      <c r="N38" s="4"/>
    </row>
    <row r="39" ht="15.6" spans="1:14">
      <c r="A39" s="53">
        <v>44528</v>
      </c>
      <c r="B39" s="184">
        <v>104.73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44529</v>
      </c>
      <c r="B40" s="184">
        <v>77.14</v>
      </c>
      <c r="C40" s="200" t="s">
        <v>108</v>
      </c>
      <c r="D40" s="201"/>
      <c r="E40" s="202">
        <f>C48</f>
        <v>0</v>
      </c>
      <c r="F40" s="203">
        <v>0</v>
      </c>
      <c r="N40" s="4"/>
    </row>
    <row r="41" ht="15.6" spans="1:14">
      <c r="A41" s="53">
        <v>44530</v>
      </c>
      <c r="B41" s="184">
        <v>90.41</v>
      </c>
      <c r="C41" s="200" t="s">
        <v>109</v>
      </c>
      <c r="D41" s="201"/>
      <c r="E41" s="202">
        <v>0</v>
      </c>
      <c r="F41" s="203">
        <v>0</v>
      </c>
      <c r="N41" s="4"/>
    </row>
    <row r="42" ht="15.6" spans="1:14">
      <c r="A42" s="53">
        <v>44531</v>
      </c>
      <c r="B42" s="184">
        <v>96.34</v>
      </c>
      <c r="C42" s="200" t="s">
        <v>99</v>
      </c>
      <c r="D42" s="204"/>
      <c r="E42" s="202">
        <f>C46</f>
        <v>100</v>
      </c>
      <c r="F42" s="203">
        <v>1495</v>
      </c>
      <c r="N42" s="4"/>
    </row>
    <row r="43" ht="15.6" spans="1:14">
      <c r="A43" s="53">
        <v>44532</v>
      </c>
      <c r="B43" s="184">
        <v>73.83</v>
      </c>
      <c r="C43" s="205" t="s">
        <v>100</v>
      </c>
      <c r="D43" s="205"/>
      <c r="E43" s="206">
        <v>0</v>
      </c>
      <c r="F43" s="205">
        <v>41682</v>
      </c>
      <c r="N43" s="4"/>
    </row>
    <row r="44" spans="1:6">
      <c r="A44" s="212" t="s">
        <v>60</v>
      </c>
      <c r="B44" s="79" t="s">
        <v>110</v>
      </c>
      <c r="C44" s="79">
        <f>C11</f>
        <v>1</v>
      </c>
      <c r="D44" s="79">
        <f>C12</f>
        <v>1</v>
      </c>
      <c r="E44" s="79">
        <f>E11</f>
        <v>6</v>
      </c>
      <c r="F44" s="79">
        <f>E12</f>
        <v>0</v>
      </c>
    </row>
    <row r="45" spans="1:6">
      <c r="A45" s="151"/>
      <c r="B45" s="79" t="s">
        <v>111</v>
      </c>
      <c r="C45" s="79">
        <v>0</v>
      </c>
      <c r="D45" s="79">
        <v>3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2021年12月02日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ZCB1-19截止2021年12月02日累计完成产值8314.09万元，
占总产值90284.4万元的9.21%，
100章临建完成5485.78万元，400章桥梁完成2828.308万元。</v>
      </c>
      <c r="B49" s="83"/>
      <c r="C49" s="83"/>
      <c r="D49" s="83"/>
      <c r="E49" s="83"/>
      <c r="F49" s="84"/>
      <c r="G49" s="4"/>
    </row>
    <row r="52" spans="3:3">
      <c r="C52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32" max="5" man="1"/>
    <brk id="49" max="16383" man="1"/>
  </rowBreaks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1"/>
  <dimension ref="A1:N52"/>
  <sheetViews>
    <sheetView view="pageBreakPreview" zoomScale="85" zoomScaleNormal="70" topLeftCell="A14" workbookViewId="0">
      <selection activeCell="J38" sqref="J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44533</v>
      </c>
      <c r="B3" s="12" t="s">
        <v>7</v>
      </c>
      <c r="C3" s="12">
        <v>0</v>
      </c>
      <c r="D3" s="12">
        <f>ROUND(D11+D12+D13+D14+D15,2)</f>
        <v>62.53</v>
      </c>
      <c r="E3" s="13">
        <f>ROUND(C5+D5,2)</f>
        <v>101.02</v>
      </c>
      <c r="F3" s="143" t="s">
        <v>137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38.49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101.02</v>
      </c>
      <c r="E5" s="13"/>
      <c r="F5" s="144"/>
      <c r="I5" t="str">
        <f>ROUND(E6/90284.4*100,2)&amp;"%"</f>
        <v>9.32%</v>
      </c>
      <c r="J5"/>
      <c r="K5" s="3"/>
      <c r="L5" s="3"/>
    </row>
    <row r="6" ht="60" customHeight="1" spans="1:12">
      <c r="A6" s="132"/>
      <c r="B6" s="8" t="s">
        <v>11</v>
      </c>
      <c r="C6" s="20">
        <v>5485.78</v>
      </c>
      <c r="D6" s="20">
        <f>2913.488+15.84</f>
        <v>2929.328</v>
      </c>
      <c r="E6" s="8">
        <f>ROUND(C6+D6,2)</f>
        <v>8415.11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5485.78</v>
      </c>
      <c r="D7" s="20">
        <f>2913.488+15.84</f>
        <v>2929.328</v>
      </c>
      <c r="E7" s="8">
        <f>ROUND(C7+D7,2)</f>
        <v>8415.11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44533</v>
      </c>
      <c r="B11" s="32" t="s">
        <v>14</v>
      </c>
      <c r="C11" s="33">
        <v>2</v>
      </c>
      <c r="D11" s="8">
        <v>16.22</v>
      </c>
      <c r="E11" s="33">
        <v>3</v>
      </c>
      <c r="F11" s="8">
        <v>23.21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30.47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165.6</v>
      </c>
      <c r="D14" s="8">
        <v>15.84</v>
      </c>
      <c r="E14" s="33"/>
      <c r="F14" s="8"/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62.53</v>
      </c>
      <c r="D16" s="134"/>
      <c r="E16" s="25">
        <f>F11+F12+F13+F14+F15</f>
        <v>38.49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101.02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153</v>
      </c>
      <c r="D27" s="132" t="s">
        <v>75</v>
      </c>
      <c r="E27" s="12">
        <f>C37+D37</f>
        <v>115</v>
      </c>
      <c r="F27" s="12"/>
    </row>
    <row r="28" spans="1:6">
      <c r="A28" s="35"/>
      <c r="B28" s="132" t="s">
        <v>76</v>
      </c>
      <c r="C28" s="12">
        <f>E36+F36</f>
        <v>171</v>
      </c>
      <c r="D28" s="132" t="s">
        <v>77</v>
      </c>
      <c r="E28" s="12">
        <f>E37+F37</f>
        <v>116</v>
      </c>
      <c r="F28" s="12"/>
    </row>
    <row r="29" spans="1:6">
      <c r="A29" s="35"/>
      <c r="B29" s="132" t="s">
        <v>78</v>
      </c>
      <c r="C29" s="12">
        <f>C30-C27-C28</f>
        <v>5456</v>
      </c>
      <c r="D29" s="132" t="s">
        <v>79</v>
      </c>
      <c r="E29" s="12">
        <f>E30-E27-E28</f>
        <v>5549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44524</v>
      </c>
      <c r="B34" s="184">
        <v>38.89</v>
      </c>
      <c r="C34" s="196" t="s">
        <v>32</v>
      </c>
      <c r="D34" s="196"/>
      <c r="E34" s="196" t="s">
        <v>33</v>
      </c>
      <c r="F34" s="196"/>
      <c r="N34" s="4"/>
    </row>
    <row r="35" ht="15.6" spans="1:14">
      <c r="A35" s="53">
        <v>44525</v>
      </c>
      <c r="B35" s="184">
        <v>69.01</v>
      </c>
      <c r="C35" s="197" t="s">
        <v>14</v>
      </c>
      <c r="D35" s="197" t="s">
        <v>15</v>
      </c>
      <c r="E35" s="197" t="s">
        <v>14</v>
      </c>
      <c r="F35" s="197" t="s">
        <v>15</v>
      </c>
      <c r="N35" s="4"/>
    </row>
    <row r="36" ht="15.6" spans="1:14">
      <c r="A36" s="53">
        <v>44526</v>
      </c>
      <c r="B36" s="184">
        <v>77.51</v>
      </c>
      <c r="C36" s="198">
        <v>121</v>
      </c>
      <c r="D36" s="198">
        <v>32</v>
      </c>
      <c r="E36" s="198">
        <v>161</v>
      </c>
      <c r="F36" s="198">
        <v>10</v>
      </c>
      <c r="N36" s="4"/>
    </row>
    <row r="37" ht="15.6" spans="1:14">
      <c r="A37" s="53">
        <v>44527</v>
      </c>
      <c r="B37" s="184">
        <v>72.17</v>
      </c>
      <c r="C37" s="199">
        <v>95</v>
      </c>
      <c r="D37" s="199">
        <v>20</v>
      </c>
      <c r="E37" s="199">
        <v>116</v>
      </c>
      <c r="F37" s="199">
        <v>0</v>
      </c>
      <c r="N37" s="4"/>
    </row>
    <row r="38" ht="15.6" spans="1:14">
      <c r="A38" s="53">
        <v>44528</v>
      </c>
      <c r="B38" s="184">
        <v>104.73</v>
      </c>
      <c r="C38" s="198" t="s">
        <v>68</v>
      </c>
      <c r="D38" s="198">
        <f>C36+D36+E36+F36</f>
        <v>324</v>
      </c>
      <c r="E38" s="199" t="s">
        <v>69</v>
      </c>
      <c r="F38" s="199">
        <f>C37+D37+E37+F37</f>
        <v>231</v>
      </c>
      <c r="N38" s="4"/>
    </row>
    <row r="39" ht="15.6" spans="1:14">
      <c r="A39" s="53">
        <v>44529</v>
      </c>
      <c r="B39" s="184">
        <v>77.14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44530</v>
      </c>
      <c r="B40" s="184">
        <v>90.41</v>
      </c>
      <c r="C40" s="200" t="s">
        <v>108</v>
      </c>
      <c r="D40" s="201"/>
      <c r="E40" s="202">
        <f>C48</f>
        <v>0</v>
      </c>
      <c r="F40" s="203">
        <v>0</v>
      </c>
      <c r="N40" s="4"/>
    </row>
    <row r="41" ht="15.6" spans="1:14">
      <c r="A41" s="53">
        <v>44531</v>
      </c>
      <c r="B41" s="184">
        <v>96.34</v>
      </c>
      <c r="C41" s="200" t="s">
        <v>109</v>
      </c>
      <c r="D41" s="201"/>
      <c r="E41" s="202">
        <v>165.5</v>
      </c>
      <c r="F41" s="203">
        <v>165.5</v>
      </c>
      <c r="N41" s="4"/>
    </row>
    <row r="42" ht="15.6" spans="1:14">
      <c r="A42" s="53">
        <v>44532</v>
      </c>
      <c r="B42" s="184">
        <v>73.83</v>
      </c>
      <c r="C42" s="200" t="s">
        <v>99</v>
      </c>
      <c r="D42" s="204"/>
      <c r="E42" s="202">
        <f>C46</f>
        <v>0</v>
      </c>
      <c r="F42" s="203">
        <v>1495</v>
      </c>
      <c r="N42" s="4"/>
    </row>
    <row r="43" ht="15.6" spans="1:14">
      <c r="A43" s="53">
        <v>44533</v>
      </c>
      <c r="B43" s="184">
        <v>101.02</v>
      </c>
      <c r="C43" s="205" t="s">
        <v>100</v>
      </c>
      <c r="D43" s="205"/>
      <c r="E43" s="206">
        <v>0</v>
      </c>
      <c r="F43" s="205">
        <v>41682</v>
      </c>
      <c r="N43" s="4"/>
    </row>
    <row r="44" spans="1:6">
      <c r="A44" s="147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3</v>
      </c>
      <c r="F44" s="79">
        <f>E12</f>
        <v>1</v>
      </c>
    </row>
    <row r="45" spans="1:6">
      <c r="A45" s="151"/>
      <c r="B45" s="79" t="s">
        <v>111</v>
      </c>
      <c r="C45" s="79">
        <v>5</v>
      </c>
      <c r="D45" s="79">
        <v>0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0</v>
      </c>
      <c r="D46" s="79"/>
      <c r="E46" s="79"/>
      <c r="F46" s="79"/>
    </row>
    <row r="47" spans="1:9">
      <c r="A47" s="151"/>
      <c r="B47" s="79" t="s">
        <v>113</v>
      </c>
      <c r="C47" s="148">
        <v>165.6</v>
      </c>
      <c r="D47" s="149"/>
      <c r="E47" s="149"/>
      <c r="F47" s="150"/>
      <c r="I47" s="3" t="str">
        <f>TEXT(A3,"yyyy年mm月dd日")</f>
        <v>2021年12月03日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ZCB1-19截止2021年12月03日累计完成产值8415.11万元，
占总产值90284.4万元的9.32%，
100章临建完成5485.78万元，400章桥梁完成2929.328万元。</v>
      </c>
      <c r="B49" s="83"/>
      <c r="C49" s="83"/>
      <c r="D49" s="83"/>
      <c r="E49" s="83"/>
      <c r="F49" s="84"/>
      <c r="G49" s="4"/>
    </row>
    <row r="52" spans="3:3">
      <c r="C52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2"/>
  <dimension ref="A1:N52"/>
  <sheetViews>
    <sheetView view="pageBreakPreview" zoomScale="85" zoomScaleNormal="70" topLeftCell="A24" workbookViewId="0">
      <selection activeCell="H41" sqref="H41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44534</v>
      </c>
      <c r="B3" s="12" t="s">
        <v>7</v>
      </c>
      <c r="C3" s="12">
        <v>0</v>
      </c>
      <c r="D3" s="12">
        <f>ROUND(D11+D12+D13+D14+D15,2)</f>
        <v>26.95</v>
      </c>
      <c r="E3" s="13">
        <f>ROUND(C5+D5,2)</f>
        <v>150.96</v>
      </c>
      <c r="F3" s="143" t="s">
        <v>139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124.01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150.96</v>
      </c>
      <c r="E5" s="13"/>
      <c r="F5" s="144"/>
      <c r="I5" t="str">
        <f>ROUND(E6/90284.4*100,2)&amp;"%"</f>
        <v>9.51%</v>
      </c>
      <c r="J5"/>
      <c r="K5" s="3"/>
      <c r="L5" s="3"/>
    </row>
    <row r="6" ht="60" customHeight="1" spans="1:12">
      <c r="A6" s="132"/>
      <c r="B6" s="8" t="s">
        <v>11</v>
      </c>
      <c r="C6" s="20">
        <v>5485.78</v>
      </c>
      <c r="D6" s="20">
        <v>3096.128</v>
      </c>
      <c r="E6" s="8">
        <f>ROUND(C6+D6,2)</f>
        <v>8581.91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5485.78</v>
      </c>
      <c r="D7" s="20">
        <v>3096.128</v>
      </c>
      <c r="E7" s="8">
        <f>ROUND(C7+D7,2)</f>
        <v>8581.91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44534</v>
      </c>
      <c r="B11" s="32" t="s">
        <v>14</v>
      </c>
      <c r="C11" s="33">
        <v>1</v>
      </c>
      <c r="D11" s="8">
        <v>7.64</v>
      </c>
      <c r="E11" s="33">
        <v>7</v>
      </c>
      <c r="F11" s="8">
        <v>53.97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1</v>
      </c>
      <c r="D12" s="8">
        <v>15.24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4.07</v>
      </c>
      <c r="E13" s="33">
        <v>1075</v>
      </c>
      <c r="F13" s="8">
        <v>39.47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/>
      <c r="F14" s="8"/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26.95</v>
      </c>
      <c r="D16" s="134"/>
      <c r="E16" s="25">
        <f>F11+F12+F13+F14+F15</f>
        <v>124.01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150.96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155</v>
      </c>
      <c r="D27" s="132" t="s">
        <v>75</v>
      </c>
      <c r="E27" s="12">
        <f>C37+D37</f>
        <v>115</v>
      </c>
      <c r="F27" s="12"/>
    </row>
    <row r="28" spans="1:6">
      <c r="A28" s="35"/>
      <c r="B28" s="132" t="s">
        <v>76</v>
      </c>
      <c r="C28" s="12">
        <f>E36+F36</f>
        <v>180</v>
      </c>
      <c r="D28" s="132" t="s">
        <v>77</v>
      </c>
      <c r="E28" s="12">
        <f>E37+F37</f>
        <v>116</v>
      </c>
      <c r="F28" s="12"/>
    </row>
    <row r="29" spans="1:6">
      <c r="A29" s="35"/>
      <c r="B29" s="132" t="s">
        <v>78</v>
      </c>
      <c r="C29" s="12">
        <f>C30-C27-C28</f>
        <v>5445</v>
      </c>
      <c r="D29" s="132" t="s">
        <v>79</v>
      </c>
      <c r="E29" s="12">
        <f>E30-E27-E28</f>
        <v>5549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44525</v>
      </c>
      <c r="B34" s="184">
        <v>69.01</v>
      </c>
      <c r="C34" s="196" t="s">
        <v>32</v>
      </c>
      <c r="D34" s="196"/>
      <c r="E34" s="196" t="s">
        <v>33</v>
      </c>
      <c r="F34" s="196"/>
      <c r="N34" s="4"/>
    </row>
    <row r="35" ht="15.6" spans="1:14">
      <c r="A35" s="53">
        <v>44526</v>
      </c>
      <c r="B35" s="184">
        <v>77.51</v>
      </c>
      <c r="C35" s="197" t="s">
        <v>14</v>
      </c>
      <c r="D35" s="197" t="s">
        <v>15</v>
      </c>
      <c r="E35" s="197" t="s">
        <v>14</v>
      </c>
      <c r="F35" s="197" t="s">
        <v>15</v>
      </c>
      <c r="N35" s="4"/>
    </row>
    <row r="36" ht="15.6" spans="1:14">
      <c r="A36" s="53">
        <v>44527</v>
      </c>
      <c r="B36" s="184">
        <v>72.17</v>
      </c>
      <c r="C36" s="198">
        <v>122</v>
      </c>
      <c r="D36" s="198">
        <v>33</v>
      </c>
      <c r="E36" s="198">
        <v>168</v>
      </c>
      <c r="F36" s="198">
        <v>12</v>
      </c>
      <c r="N36" s="4"/>
    </row>
    <row r="37" ht="15.6" spans="1:14">
      <c r="A37" s="53">
        <v>44528</v>
      </c>
      <c r="B37" s="184">
        <v>104.73</v>
      </c>
      <c r="C37" s="199">
        <v>95</v>
      </c>
      <c r="D37" s="199">
        <v>20</v>
      </c>
      <c r="E37" s="199">
        <v>116</v>
      </c>
      <c r="F37" s="199">
        <v>0</v>
      </c>
      <c r="N37" s="4"/>
    </row>
    <row r="38" ht="15.6" spans="1:14">
      <c r="A38" s="53">
        <v>44529</v>
      </c>
      <c r="B38" s="184">
        <v>77.14</v>
      </c>
      <c r="C38" s="198" t="s">
        <v>68</v>
      </c>
      <c r="D38" s="198">
        <f>C36+D36+E36+F36</f>
        <v>335</v>
      </c>
      <c r="E38" s="199" t="s">
        <v>69</v>
      </c>
      <c r="F38" s="199">
        <f>C37+D37+E37+F37</f>
        <v>231</v>
      </c>
      <c r="N38" s="4"/>
    </row>
    <row r="39" ht="15.6" spans="1:14">
      <c r="A39" s="53">
        <v>44530</v>
      </c>
      <c r="B39" s="184">
        <v>90.41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44531</v>
      </c>
      <c r="B40" s="184">
        <v>96.34</v>
      </c>
      <c r="C40" s="200" t="s">
        <v>108</v>
      </c>
      <c r="D40" s="201"/>
      <c r="E40" s="202">
        <f>C48</f>
        <v>0</v>
      </c>
      <c r="F40" s="203">
        <v>0</v>
      </c>
      <c r="N40" s="4"/>
    </row>
    <row r="41" ht="15.6" spans="1:14">
      <c r="A41" s="53">
        <v>44532</v>
      </c>
      <c r="B41" s="184">
        <v>73.83</v>
      </c>
      <c r="C41" s="200" t="s">
        <v>109</v>
      </c>
      <c r="D41" s="201"/>
      <c r="E41" s="202">
        <v>0</v>
      </c>
      <c r="F41" s="203">
        <v>165.5</v>
      </c>
      <c r="N41" s="4"/>
    </row>
    <row r="42" ht="15.6" spans="1:14">
      <c r="A42" s="53">
        <v>44533</v>
      </c>
      <c r="B42" s="184">
        <v>101.02</v>
      </c>
      <c r="C42" s="200" t="s">
        <v>99</v>
      </c>
      <c r="D42" s="204"/>
      <c r="E42" s="202">
        <f>C46</f>
        <v>1175</v>
      </c>
      <c r="F42" s="203">
        <v>2670</v>
      </c>
      <c r="N42" s="4"/>
    </row>
    <row r="43" ht="15.6" spans="1:14">
      <c r="A43" s="53">
        <v>44534</v>
      </c>
      <c r="B43" s="184">
        <v>150.96</v>
      </c>
      <c r="C43" s="205" t="s">
        <v>100</v>
      </c>
      <c r="D43" s="205"/>
      <c r="E43" s="206">
        <v>0</v>
      </c>
      <c r="F43" s="205">
        <v>41682</v>
      </c>
      <c r="N43" s="4"/>
    </row>
    <row r="44" spans="1:6">
      <c r="A44" s="147" t="s">
        <v>138</v>
      </c>
      <c r="B44" s="79" t="s">
        <v>110</v>
      </c>
      <c r="C44" s="79">
        <f>C11</f>
        <v>1</v>
      </c>
      <c r="D44" s="79">
        <f>C12</f>
        <v>1</v>
      </c>
      <c r="E44" s="79">
        <f>E11</f>
        <v>7</v>
      </c>
      <c r="F44" s="79">
        <f>E12</f>
        <v>2</v>
      </c>
    </row>
    <row r="45" spans="1:6">
      <c r="A45" s="151"/>
      <c r="B45" s="79" t="s">
        <v>111</v>
      </c>
      <c r="C45" s="79">
        <v>0</v>
      </c>
      <c r="D45" s="79">
        <v>0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1175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2021年12月04日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ZCB1-19截止2021年12月04日累计完成产值8581.91万元，
占总产值90284.4万元的9.51%，
100章临建完成5485.78万元，400章桥梁完成3096.128万元。</v>
      </c>
      <c r="B49" s="83"/>
      <c r="C49" s="83"/>
      <c r="D49" s="83"/>
      <c r="E49" s="83"/>
      <c r="F49" s="84"/>
      <c r="G49" s="4"/>
    </row>
    <row r="52" spans="3:3">
      <c r="C52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3"/>
  <dimension ref="A1:N52"/>
  <sheetViews>
    <sheetView view="pageBreakPreview" zoomScale="85" zoomScaleNormal="70" topLeftCell="A35" workbookViewId="0">
      <selection activeCell="A50" sqref="A50:F5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44535</v>
      </c>
      <c r="B3" s="12" t="s">
        <v>7</v>
      </c>
      <c r="C3" s="12">
        <v>0</v>
      </c>
      <c r="D3" s="12">
        <f>ROUND(D11+D12+D13+D14+D15,2)</f>
        <v>35.61</v>
      </c>
      <c r="E3" s="13">
        <f>ROUND(C5+D5,2)</f>
        <v>89.4</v>
      </c>
      <c r="F3" s="143" t="s">
        <v>140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53.79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89.4</v>
      </c>
      <c r="E5" s="13"/>
      <c r="F5" s="144"/>
      <c r="I5" t="str">
        <f>ROUND(E6/90284.4*100,2)&amp;"%"</f>
        <v>9.59%</v>
      </c>
      <c r="J5"/>
      <c r="K5" s="3"/>
      <c r="L5" s="3"/>
    </row>
    <row r="6" ht="60" customHeight="1" spans="1:12">
      <c r="A6" s="132"/>
      <c r="B6" s="8" t="s">
        <v>11</v>
      </c>
      <c r="C6" s="20">
        <v>5485.78</v>
      </c>
      <c r="D6" s="20">
        <v>3169.64</v>
      </c>
      <c r="E6" s="8">
        <f>ROUND(C6+D6,2)</f>
        <v>8655.42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5485.78</v>
      </c>
      <c r="D7" s="20">
        <v>3169.64</v>
      </c>
      <c r="E7" s="8">
        <f>ROUND(C7+D7,2)</f>
        <v>8655.42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44535</v>
      </c>
      <c r="B11" s="32" t="s">
        <v>14</v>
      </c>
      <c r="C11" s="33">
        <v>2</v>
      </c>
      <c r="D11" s="8">
        <v>16.06</v>
      </c>
      <c r="E11" s="33">
        <v>5</v>
      </c>
      <c r="F11" s="8">
        <v>38.55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1</v>
      </c>
      <c r="D12" s="8">
        <v>15.482</v>
      </c>
      <c r="E12" s="33">
        <v>1</v>
      </c>
      <c r="F12" s="8">
        <v>15.24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/>
      <c r="F14" s="8"/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35.612</v>
      </c>
      <c r="D16" s="134"/>
      <c r="E16" s="25">
        <f>F11+F12+F13+F14+F15</f>
        <v>53.79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89.402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158</v>
      </c>
      <c r="D27" s="132" t="s">
        <v>75</v>
      </c>
      <c r="E27" s="12">
        <f>C37+D37</f>
        <v>121</v>
      </c>
      <c r="F27" s="12"/>
    </row>
    <row r="28" spans="1:6">
      <c r="A28" s="35"/>
      <c r="B28" s="132" t="s">
        <v>76</v>
      </c>
      <c r="C28" s="12">
        <f>E36+F36</f>
        <v>186</v>
      </c>
      <c r="D28" s="132" t="s">
        <v>77</v>
      </c>
      <c r="E28" s="12">
        <f>E37+F37</f>
        <v>116</v>
      </c>
      <c r="F28" s="12"/>
    </row>
    <row r="29" spans="1:6">
      <c r="A29" s="35"/>
      <c r="B29" s="132" t="s">
        <v>78</v>
      </c>
      <c r="C29" s="12">
        <f>C30-C27-C28</f>
        <v>5436</v>
      </c>
      <c r="D29" s="132" t="s">
        <v>79</v>
      </c>
      <c r="E29" s="12">
        <f>E30-E27-E28</f>
        <v>5543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44526</v>
      </c>
      <c r="B34" s="184">
        <v>77.51</v>
      </c>
      <c r="C34" s="196" t="s">
        <v>32</v>
      </c>
      <c r="D34" s="196"/>
      <c r="E34" s="196" t="s">
        <v>33</v>
      </c>
      <c r="F34" s="196"/>
      <c r="N34" s="4"/>
    </row>
    <row r="35" ht="15.6" spans="1:14">
      <c r="A35" s="53">
        <v>44527</v>
      </c>
      <c r="B35" s="184">
        <v>72.17</v>
      </c>
      <c r="C35" s="197" t="s">
        <v>14</v>
      </c>
      <c r="D35" s="197" t="s">
        <v>15</v>
      </c>
      <c r="E35" s="197" t="s">
        <v>14</v>
      </c>
      <c r="F35" s="197" t="s">
        <v>15</v>
      </c>
      <c r="N35" s="4"/>
    </row>
    <row r="36" ht="15.6" spans="1:14">
      <c r="A36" s="53">
        <v>44528</v>
      </c>
      <c r="B36" s="184">
        <v>104.73</v>
      </c>
      <c r="C36" s="198">
        <v>124</v>
      </c>
      <c r="D36" s="198">
        <v>34</v>
      </c>
      <c r="E36" s="198">
        <v>173</v>
      </c>
      <c r="F36" s="198">
        <v>13</v>
      </c>
      <c r="N36" s="4"/>
    </row>
    <row r="37" ht="15.6" spans="1:14">
      <c r="A37" s="53">
        <v>44529</v>
      </c>
      <c r="B37" s="184">
        <v>77.14</v>
      </c>
      <c r="C37" s="199">
        <v>100</v>
      </c>
      <c r="D37" s="199">
        <v>21</v>
      </c>
      <c r="E37" s="199">
        <v>116</v>
      </c>
      <c r="F37" s="199">
        <v>0</v>
      </c>
      <c r="N37" s="4"/>
    </row>
    <row r="38" ht="15.6" spans="1:14">
      <c r="A38" s="53">
        <v>44530</v>
      </c>
      <c r="B38" s="184">
        <v>90.41</v>
      </c>
      <c r="C38" s="198" t="s">
        <v>68</v>
      </c>
      <c r="D38" s="198">
        <f>C36+D36+E36+F36</f>
        <v>344</v>
      </c>
      <c r="E38" s="199" t="s">
        <v>69</v>
      </c>
      <c r="F38" s="199">
        <f>C37+D37+E37+F37</f>
        <v>237</v>
      </c>
      <c r="N38" s="4"/>
    </row>
    <row r="39" ht="15.6" spans="1:14">
      <c r="A39" s="53">
        <v>44531</v>
      </c>
      <c r="B39" s="184">
        <v>96.34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44532</v>
      </c>
      <c r="B40" s="184">
        <v>73.83</v>
      </c>
      <c r="C40" s="200" t="s">
        <v>108</v>
      </c>
      <c r="D40" s="201"/>
      <c r="E40" s="202">
        <f>C48</f>
        <v>0</v>
      </c>
      <c r="F40" s="203">
        <v>0</v>
      </c>
      <c r="N40" s="4"/>
    </row>
    <row r="41" ht="15.6" spans="1:14">
      <c r="A41" s="53">
        <v>44533</v>
      </c>
      <c r="B41" s="184">
        <v>101.02</v>
      </c>
      <c r="C41" s="200" t="s">
        <v>109</v>
      </c>
      <c r="D41" s="201"/>
      <c r="E41" s="202">
        <v>0</v>
      </c>
      <c r="F41" s="203">
        <v>165.5</v>
      </c>
      <c r="N41" s="4"/>
    </row>
    <row r="42" ht="15.6" spans="1:14">
      <c r="A42" s="53">
        <v>44534</v>
      </c>
      <c r="B42" s="184">
        <v>150.96</v>
      </c>
      <c r="C42" s="200" t="s">
        <v>99</v>
      </c>
      <c r="D42" s="204"/>
      <c r="E42" s="202">
        <f>C46</f>
        <v>100</v>
      </c>
      <c r="F42" s="203">
        <v>2770</v>
      </c>
      <c r="N42" s="4"/>
    </row>
    <row r="43" ht="15.6" spans="1:14">
      <c r="A43" s="53">
        <v>44535</v>
      </c>
      <c r="B43" s="184">
        <v>89.4</v>
      </c>
      <c r="C43" s="205" t="s">
        <v>100</v>
      </c>
      <c r="D43" s="205"/>
      <c r="E43" s="206">
        <v>0</v>
      </c>
      <c r="F43" s="205">
        <v>41682</v>
      </c>
      <c r="N43" s="4"/>
    </row>
    <row r="44" spans="1:6">
      <c r="A44" s="147" t="s">
        <v>138</v>
      </c>
      <c r="B44" s="79" t="s">
        <v>110</v>
      </c>
      <c r="C44" s="79">
        <f>C11</f>
        <v>2</v>
      </c>
      <c r="D44" s="79">
        <f>C12</f>
        <v>1</v>
      </c>
      <c r="E44" s="79">
        <f>E11</f>
        <v>5</v>
      </c>
      <c r="F44" s="79">
        <f>E12</f>
        <v>1</v>
      </c>
    </row>
    <row r="45" spans="1:6">
      <c r="A45" s="151"/>
      <c r="B45" s="79" t="s">
        <v>111</v>
      </c>
      <c r="C45" s="79">
        <v>5</v>
      </c>
      <c r="D45" s="79">
        <v>1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2021年12月05日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ZCB1-19截止2021年12月05日累计完成产值8655.42万元，
占总产值90284.4万元的9.59%，
100章临建完成5485.78万元，400章桥梁完成3169.64万元。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141</v>
      </c>
      <c r="B50" s="129"/>
      <c r="C50" s="129"/>
      <c r="D50" s="129"/>
      <c r="E50" s="129"/>
      <c r="F50" s="129"/>
    </row>
    <row r="52" spans="3:3">
      <c r="C52" s="158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4"/>
  <dimension ref="A1:N52"/>
  <sheetViews>
    <sheetView view="pageBreakPreview" zoomScale="85" zoomScaleNormal="70" topLeftCell="A34" workbookViewId="0">
      <selection activeCell="E54" sqref="E54:E55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44536</v>
      </c>
      <c r="B3" s="12" t="s">
        <v>7</v>
      </c>
      <c r="C3" s="12">
        <v>0</v>
      </c>
      <c r="D3" s="12">
        <f>ROUND(D11+D12+D13+D14+D15,2)</f>
        <v>60.25</v>
      </c>
      <c r="E3" s="13">
        <f>ROUND(C5+D5,2)</f>
        <v>121.86</v>
      </c>
      <c r="F3" s="143" t="s">
        <v>142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61.61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121.86</v>
      </c>
      <c r="E5" s="13"/>
      <c r="F5" s="144"/>
      <c r="I5" t="str">
        <f>ROUND(E6/90284.4*100,2)&amp;"%"</f>
        <v>9.72%</v>
      </c>
      <c r="J5"/>
      <c r="K5" s="3"/>
      <c r="L5" s="3"/>
    </row>
    <row r="6" ht="60" customHeight="1" spans="1:12">
      <c r="A6" s="132"/>
      <c r="B6" s="8" t="s">
        <v>11</v>
      </c>
      <c r="C6" s="20">
        <v>5485.78</v>
      </c>
      <c r="D6" s="20">
        <f>3274.71+16.791</f>
        <v>3291.501</v>
      </c>
      <c r="E6" s="8">
        <f>ROUND(C6+D6,2)</f>
        <v>8777.28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5485.78</v>
      </c>
      <c r="D7" s="20">
        <f>3274.71+16.791</f>
        <v>3291.501</v>
      </c>
      <c r="E7" s="8">
        <f>ROUND(C7+D7,2)</f>
        <v>8777.28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44536</v>
      </c>
      <c r="B11" s="32" t="s">
        <v>14</v>
      </c>
      <c r="C11" s="33">
        <v>3</v>
      </c>
      <c r="D11" s="8">
        <v>23.91</v>
      </c>
      <c r="E11" s="33">
        <v>6</v>
      </c>
      <c r="F11" s="8">
        <v>46.38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1</v>
      </c>
      <c r="D12" s="8">
        <v>15.482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176.64</v>
      </c>
      <c r="D14" s="8">
        <v>16.791</v>
      </c>
      <c r="E14" s="33"/>
      <c r="F14" s="8"/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60.253</v>
      </c>
      <c r="D16" s="134"/>
      <c r="E16" s="25">
        <f>F11+F12+F13+F14+F15</f>
        <v>61.61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121.863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162</v>
      </c>
      <c r="D27" s="132" t="s">
        <v>75</v>
      </c>
      <c r="E27" s="12">
        <f>C37+D37</f>
        <v>127</v>
      </c>
      <c r="F27" s="12"/>
    </row>
    <row r="28" spans="1:6">
      <c r="A28" s="35"/>
      <c r="B28" s="132" t="s">
        <v>76</v>
      </c>
      <c r="C28" s="12">
        <f>E36+F36</f>
        <v>193</v>
      </c>
      <c r="D28" s="132" t="s">
        <v>77</v>
      </c>
      <c r="E28" s="12">
        <f>E37+F37</f>
        <v>116</v>
      </c>
      <c r="F28" s="12"/>
    </row>
    <row r="29" spans="1:6">
      <c r="A29" s="35"/>
      <c r="B29" s="132" t="s">
        <v>78</v>
      </c>
      <c r="C29" s="12">
        <f>C30-C27-C28</f>
        <v>5425</v>
      </c>
      <c r="D29" s="132" t="s">
        <v>79</v>
      </c>
      <c r="E29" s="12">
        <f>E30-E27-E28</f>
        <v>5537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44527</v>
      </c>
      <c r="B34" s="184">
        <v>72.17</v>
      </c>
      <c r="C34" s="196" t="s">
        <v>32</v>
      </c>
      <c r="D34" s="196"/>
      <c r="E34" s="196" t="s">
        <v>33</v>
      </c>
      <c r="F34" s="196"/>
      <c r="N34" s="4"/>
    </row>
    <row r="35" ht="15.6" spans="1:14">
      <c r="A35" s="53">
        <v>44528</v>
      </c>
      <c r="B35" s="184">
        <v>104.73</v>
      </c>
      <c r="C35" s="197" t="s">
        <v>14</v>
      </c>
      <c r="D35" s="197" t="s">
        <v>15</v>
      </c>
      <c r="E35" s="197" t="s">
        <v>14</v>
      </c>
      <c r="F35" s="197" t="s">
        <v>15</v>
      </c>
      <c r="N35" s="4"/>
    </row>
    <row r="36" ht="15.6" spans="1:14">
      <c r="A36" s="53">
        <v>44529</v>
      </c>
      <c r="B36" s="184">
        <v>77.14</v>
      </c>
      <c r="C36" s="198">
        <v>127</v>
      </c>
      <c r="D36" s="198">
        <v>35</v>
      </c>
      <c r="E36" s="198">
        <v>179</v>
      </c>
      <c r="F36" s="198">
        <v>14</v>
      </c>
      <c r="N36" s="4"/>
    </row>
    <row r="37" ht="15.6" spans="1:14">
      <c r="A37" s="53">
        <v>44530</v>
      </c>
      <c r="B37" s="184">
        <v>90.41</v>
      </c>
      <c r="C37" s="199">
        <v>105</v>
      </c>
      <c r="D37" s="199">
        <v>22</v>
      </c>
      <c r="E37" s="199">
        <v>116</v>
      </c>
      <c r="F37" s="199">
        <v>0</v>
      </c>
      <c r="N37" s="4"/>
    </row>
    <row r="38" ht="15.6" spans="1:14">
      <c r="A38" s="53">
        <v>44531</v>
      </c>
      <c r="B38" s="184">
        <v>96.34</v>
      </c>
      <c r="C38" s="198" t="s">
        <v>68</v>
      </c>
      <c r="D38" s="198">
        <f>C36+D36+E36+F36</f>
        <v>355</v>
      </c>
      <c r="E38" s="199" t="s">
        <v>69</v>
      </c>
      <c r="F38" s="199">
        <f>C37+D37+E37+F37</f>
        <v>243</v>
      </c>
      <c r="N38" s="4"/>
    </row>
    <row r="39" ht="15.6" spans="1:14">
      <c r="A39" s="53">
        <v>44532</v>
      </c>
      <c r="B39" s="184">
        <v>73.83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44533</v>
      </c>
      <c r="B40" s="184">
        <v>101.02</v>
      </c>
      <c r="C40" s="200" t="s">
        <v>108</v>
      </c>
      <c r="D40" s="201"/>
      <c r="E40" s="202">
        <f>C48</f>
        <v>0</v>
      </c>
      <c r="F40" s="203">
        <v>0</v>
      </c>
      <c r="N40" s="4"/>
    </row>
    <row r="41" ht="15.6" spans="1:14">
      <c r="A41" s="53">
        <v>44534</v>
      </c>
      <c r="B41" s="184">
        <v>150.96</v>
      </c>
      <c r="C41" s="200" t="s">
        <v>109</v>
      </c>
      <c r="D41" s="201"/>
      <c r="E41" s="202">
        <v>176.64</v>
      </c>
      <c r="F41" s="203">
        <f>165.5+176.64</f>
        <v>342.14</v>
      </c>
      <c r="N41" s="4"/>
    </row>
    <row r="42" ht="15.6" spans="1:14">
      <c r="A42" s="53">
        <v>44535</v>
      </c>
      <c r="B42" s="184">
        <v>89.4</v>
      </c>
      <c r="C42" s="200" t="s">
        <v>99</v>
      </c>
      <c r="D42" s="204"/>
      <c r="E42" s="202">
        <f>C46</f>
        <v>100</v>
      </c>
      <c r="F42" s="203">
        <v>2870</v>
      </c>
      <c r="N42" s="4"/>
    </row>
    <row r="43" ht="15.6" spans="1:14">
      <c r="A43" s="53">
        <v>44536</v>
      </c>
      <c r="B43" s="184">
        <v>121.86</v>
      </c>
      <c r="C43" s="205" t="s">
        <v>100</v>
      </c>
      <c r="D43" s="205"/>
      <c r="E43" s="206">
        <v>0</v>
      </c>
      <c r="F43" s="205">
        <v>41682</v>
      </c>
      <c r="N43" s="4"/>
    </row>
    <row r="44" spans="1:6">
      <c r="A44" s="147" t="s">
        <v>138</v>
      </c>
      <c r="B44" s="79" t="s">
        <v>110</v>
      </c>
      <c r="C44" s="79">
        <f>C11</f>
        <v>3</v>
      </c>
      <c r="D44" s="79">
        <f>C12</f>
        <v>1</v>
      </c>
      <c r="E44" s="79">
        <f>E11</f>
        <v>6</v>
      </c>
      <c r="F44" s="79">
        <f>E12</f>
        <v>1</v>
      </c>
    </row>
    <row r="45" spans="1:6">
      <c r="A45" s="151"/>
      <c r="B45" s="79" t="s">
        <v>111</v>
      </c>
      <c r="C45" s="79">
        <v>5</v>
      </c>
      <c r="D45" s="79">
        <v>1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176.64</v>
      </c>
      <c r="D47" s="149"/>
      <c r="E47" s="149"/>
      <c r="F47" s="150"/>
      <c r="I47" s="3" t="str">
        <f>TEXT(A3,"yyyy年mm月dd日")</f>
        <v>2021年12月06日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ZCB1-19截止2021年12月06日累计完成产值8777.28万元，
占总产值90284.4万元的9.72%，
100章临建完成5485.78万元，400章桥梁完成3291.501万元。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141</v>
      </c>
      <c r="B50" s="129"/>
      <c r="C50" s="129"/>
      <c r="D50" s="129"/>
      <c r="E50" s="129"/>
      <c r="F50" s="129"/>
    </row>
    <row r="52" spans="3:3">
      <c r="C52" s="158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5"/>
  <dimension ref="A1:N51"/>
  <sheetViews>
    <sheetView view="pageBreakPreview" zoomScale="85" zoomScaleNormal="70" topLeftCell="A2" workbookViewId="0">
      <selection activeCell="B14" sqref="$A14:$XFD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44537</v>
      </c>
      <c r="B3" s="12" t="s">
        <v>7</v>
      </c>
      <c r="C3" s="12">
        <v>0</v>
      </c>
      <c r="D3" s="12">
        <f>ROUND(D11+D12+D13+D14+D15,2)</f>
        <v>12.63</v>
      </c>
      <c r="E3" s="13">
        <f>ROUND(C5+D5,2)</f>
        <v>43.32</v>
      </c>
      <c r="F3" s="143" t="s">
        <v>143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30.69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43.32</v>
      </c>
      <c r="E5" s="13"/>
      <c r="F5" s="144"/>
      <c r="I5" t="str">
        <f>ROUND(E6/90284.4*100,2)&amp;"%"</f>
        <v>9.77%</v>
      </c>
      <c r="J5"/>
      <c r="K5" s="3"/>
      <c r="L5" s="3"/>
    </row>
    <row r="6" ht="60" customHeight="1" spans="1:12">
      <c r="A6" s="132"/>
      <c r="B6" s="8" t="s">
        <v>11</v>
      </c>
      <c r="C6" s="20">
        <v>5485.78</v>
      </c>
      <c r="D6" s="20">
        <f>3351.611-16.791</f>
        <v>3334.82</v>
      </c>
      <c r="E6" s="8">
        <f>ROUND(C6+D6,2)</f>
        <v>8820.6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5485.78</v>
      </c>
      <c r="D7" s="20">
        <f>3351.611-16.791</f>
        <v>3334.82</v>
      </c>
      <c r="E7" s="8">
        <f>ROUND(C7+D7,2)</f>
        <v>8820.6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44537</v>
      </c>
      <c r="B11" s="32" t="s">
        <v>14</v>
      </c>
      <c r="C11" s="33">
        <v>1</v>
      </c>
      <c r="D11" s="8">
        <v>7.802</v>
      </c>
      <c r="E11" s="33">
        <v>2</v>
      </c>
      <c r="F11" s="8">
        <v>15.46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0</v>
      </c>
      <c r="D12" s="8">
        <v>0.756</v>
      </c>
      <c r="E12" s="33">
        <v>1</v>
      </c>
      <c r="F12" s="8">
        <v>15.23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12.628</v>
      </c>
      <c r="D16" s="134"/>
      <c r="E16" s="25">
        <f>F11+F12+F13+F14+F15</f>
        <v>30.69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43.318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163</v>
      </c>
      <c r="D27" s="132" t="s">
        <v>75</v>
      </c>
      <c r="E27" s="12">
        <f>C37+D37</f>
        <v>131</v>
      </c>
      <c r="F27" s="12"/>
    </row>
    <row r="28" spans="1:6">
      <c r="A28" s="35"/>
      <c r="B28" s="132" t="s">
        <v>76</v>
      </c>
      <c r="C28" s="12">
        <f>E36+F36</f>
        <v>196</v>
      </c>
      <c r="D28" s="132" t="s">
        <v>77</v>
      </c>
      <c r="E28" s="12">
        <f>E37+F37</f>
        <v>116</v>
      </c>
      <c r="F28" s="12"/>
    </row>
    <row r="29" spans="1:6">
      <c r="A29" s="35"/>
      <c r="B29" s="132" t="s">
        <v>78</v>
      </c>
      <c r="C29" s="12">
        <f>C30-C27-C28</f>
        <v>5421</v>
      </c>
      <c r="D29" s="132" t="s">
        <v>79</v>
      </c>
      <c r="E29" s="12">
        <f>E30-E27-E28</f>
        <v>5533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44528</v>
      </c>
      <c r="B34" s="184">
        <v>104.73</v>
      </c>
      <c r="C34" s="196" t="s">
        <v>32</v>
      </c>
      <c r="D34" s="196"/>
      <c r="E34" s="196" t="s">
        <v>33</v>
      </c>
      <c r="F34" s="196"/>
      <c r="N34" s="4"/>
    </row>
    <row r="35" ht="15.6" spans="1:14">
      <c r="A35" s="53">
        <v>44529</v>
      </c>
      <c r="B35" s="184">
        <v>77.14</v>
      </c>
      <c r="C35" s="197" t="s">
        <v>14</v>
      </c>
      <c r="D35" s="197" t="s">
        <v>15</v>
      </c>
      <c r="E35" s="197" t="s">
        <v>14</v>
      </c>
      <c r="F35" s="197" t="s">
        <v>15</v>
      </c>
      <c r="N35" s="4"/>
    </row>
    <row r="36" ht="15.6" spans="1:14">
      <c r="A36" s="53">
        <v>44530</v>
      </c>
      <c r="B36" s="184">
        <v>90.41</v>
      </c>
      <c r="C36" s="198">
        <v>128</v>
      </c>
      <c r="D36" s="198">
        <v>35</v>
      </c>
      <c r="E36" s="198">
        <v>181</v>
      </c>
      <c r="F36" s="198">
        <v>15</v>
      </c>
      <c r="N36" s="4"/>
    </row>
    <row r="37" ht="15.6" spans="1:14">
      <c r="A37" s="53">
        <v>44531</v>
      </c>
      <c r="B37" s="184">
        <v>96.34</v>
      </c>
      <c r="C37" s="199">
        <v>106</v>
      </c>
      <c r="D37" s="199">
        <v>25</v>
      </c>
      <c r="E37" s="199">
        <v>116</v>
      </c>
      <c r="F37" s="199">
        <v>0</v>
      </c>
      <c r="N37" s="4"/>
    </row>
    <row r="38" ht="15.6" spans="1:14">
      <c r="A38" s="53">
        <v>44532</v>
      </c>
      <c r="B38" s="184">
        <v>73.83</v>
      </c>
      <c r="C38" s="198" t="s">
        <v>68</v>
      </c>
      <c r="D38" s="198">
        <f>C36+D36+E36+F36</f>
        <v>359</v>
      </c>
      <c r="E38" s="199" t="s">
        <v>69</v>
      </c>
      <c r="F38" s="199">
        <f>C37+D37+E37+F37</f>
        <v>247</v>
      </c>
      <c r="N38" s="4"/>
    </row>
    <row r="39" ht="15.6" spans="1:14">
      <c r="A39" s="53">
        <v>44533</v>
      </c>
      <c r="B39" s="184">
        <v>101.02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44534</v>
      </c>
      <c r="B40" s="184">
        <v>150.96</v>
      </c>
      <c r="C40" s="200" t="s">
        <v>108</v>
      </c>
      <c r="D40" s="201"/>
      <c r="E40" s="202">
        <f>C48</f>
        <v>0</v>
      </c>
      <c r="F40" s="203">
        <v>0</v>
      </c>
      <c r="N40" s="4"/>
    </row>
    <row r="41" ht="15.6" spans="1:14">
      <c r="A41" s="53">
        <v>44535</v>
      </c>
      <c r="B41" s="184">
        <v>89.4</v>
      </c>
      <c r="C41" s="200" t="s">
        <v>109</v>
      </c>
      <c r="D41" s="201"/>
      <c r="E41" s="202">
        <v>0</v>
      </c>
      <c r="F41" s="203">
        <f>165.5+176.64</f>
        <v>342.14</v>
      </c>
      <c r="N41" s="4"/>
    </row>
    <row r="42" ht="15.6" spans="1:14">
      <c r="A42" s="53">
        <v>44536</v>
      </c>
      <c r="B42" s="184">
        <v>121.86</v>
      </c>
      <c r="C42" s="200" t="s">
        <v>99</v>
      </c>
      <c r="D42" s="204"/>
      <c r="E42" s="202">
        <f>C46</f>
        <v>100</v>
      </c>
      <c r="F42" s="203">
        <v>2970</v>
      </c>
      <c r="N42" s="4"/>
    </row>
    <row r="43" ht="15.6" spans="1:14">
      <c r="A43" s="53">
        <v>44537</v>
      </c>
      <c r="B43" s="184">
        <v>43.32</v>
      </c>
      <c r="C43" s="205" t="s">
        <v>100</v>
      </c>
      <c r="D43" s="205"/>
      <c r="E43" s="206">
        <v>0</v>
      </c>
      <c r="F43" s="205">
        <v>41682</v>
      </c>
      <c r="N43" s="4"/>
    </row>
    <row r="44" spans="1:6">
      <c r="A44" s="147" t="s">
        <v>138</v>
      </c>
      <c r="B44" s="79" t="s">
        <v>110</v>
      </c>
      <c r="C44" s="79">
        <f>C11</f>
        <v>1</v>
      </c>
      <c r="D44" s="79">
        <f>C12</f>
        <v>0</v>
      </c>
      <c r="E44" s="79">
        <f>E11</f>
        <v>2</v>
      </c>
      <c r="F44" s="79">
        <f>E12</f>
        <v>1</v>
      </c>
    </row>
    <row r="45" spans="1:6">
      <c r="A45" s="151"/>
      <c r="B45" s="79" t="s">
        <v>111</v>
      </c>
      <c r="C45" s="79">
        <v>1</v>
      </c>
      <c r="D45" s="79">
        <v>3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2021年12月07日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ZCB1-19截止2021年12月07日累计完成产值8820.6万元，
占总产值90284.4万元的9.77%，
100章临建完成5485.78万元，400章桥梁完成3334.82万元。</v>
      </c>
      <c r="B49" s="83"/>
      <c r="C49" s="83"/>
      <c r="D49" s="83"/>
      <c r="E49" s="83"/>
      <c r="F49" s="84"/>
      <c r="G49" s="4"/>
    </row>
    <row r="51" spans="3:3">
      <c r="C51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6"/>
  <dimension ref="A1:N51"/>
  <sheetViews>
    <sheetView view="pageBreakPreview" zoomScale="85" zoomScaleNormal="70" topLeftCell="A29" workbookViewId="0">
      <selection activeCell="A50" sqref="A50:F5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44538</v>
      </c>
      <c r="B3" s="12" t="s">
        <v>7</v>
      </c>
      <c r="C3" s="12">
        <v>5</v>
      </c>
      <c r="D3" s="12">
        <f>ROUND(D11+D12+D13+D14+D15,2)</f>
        <v>53.99</v>
      </c>
      <c r="E3" s="13">
        <f>ROUND(C5+D5,2)</f>
        <v>131.25</v>
      </c>
      <c r="F3" s="143" t="s">
        <v>144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5</v>
      </c>
      <c r="D4" s="12">
        <f>ROUND(F11+F12+F13+F14+F15,2)</f>
        <v>67.26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10</v>
      </c>
      <c r="D5" s="12">
        <f>SUM(D3:D4)</f>
        <v>121.25</v>
      </c>
      <c r="E5" s="13"/>
      <c r="F5" s="144"/>
      <c r="I5" t="str">
        <f>ROUND(E6/90284.4*100,2)&amp;"%"</f>
        <v>9.92%</v>
      </c>
      <c r="J5"/>
      <c r="K5" s="3"/>
      <c r="L5" s="3"/>
    </row>
    <row r="6" ht="60" customHeight="1" spans="1:12">
      <c r="A6" s="132"/>
      <c r="B6" s="8" t="s">
        <v>11</v>
      </c>
      <c r="C6" s="20">
        <v>5495.78</v>
      </c>
      <c r="D6" s="20">
        <v>3456.07</v>
      </c>
      <c r="E6" s="8">
        <f>ROUND(C6+D6,2)</f>
        <v>8951.85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5495.78</v>
      </c>
      <c r="D7" s="20">
        <v>3456.07</v>
      </c>
      <c r="E7" s="8">
        <f>ROUND(C7+D7,2)</f>
        <v>8951.85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44538</v>
      </c>
      <c r="B11" s="32" t="s">
        <v>14</v>
      </c>
      <c r="C11" s="33">
        <v>1</v>
      </c>
      <c r="D11" s="8">
        <v>8.288</v>
      </c>
      <c r="E11" s="33">
        <v>6</v>
      </c>
      <c r="F11" s="8">
        <v>48.246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3</v>
      </c>
      <c r="D12" s="8">
        <v>45.7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0</v>
      </c>
      <c r="D13" s="8">
        <v>0</v>
      </c>
      <c r="E13" s="33">
        <v>525</v>
      </c>
      <c r="F13" s="8">
        <v>19.01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53.988</v>
      </c>
      <c r="D16" s="134"/>
      <c r="E16" s="25">
        <f>F11+F12+F13+F14+F15</f>
        <v>67.256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121.244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167</v>
      </c>
      <c r="D27" s="132" t="s">
        <v>75</v>
      </c>
      <c r="E27" s="12">
        <f>C37+D37</f>
        <v>135</v>
      </c>
      <c r="F27" s="12"/>
    </row>
    <row r="28" spans="1:6">
      <c r="A28" s="35"/>
      <c r="B28" s="132" t="s">
        <v>76</v>
      </c>
      <c r="C28" s="12">
        <f>E36+F36</f>
        <v>202</v>
      </c>
      <c r="D28" s="132" t="s">
        <v>77</v>
      </c>
      <c r="E28" s="12">
        <f>E37+F37</f>
        <v>129</v>
      </c>
      <c r="F28" s="12"/>
    </row>
    <row r="29" spans="1:6">
      <c r="A29" s="35"/>
      <c r="B29" s="132" t="s">
        <v>78</v>
      </c>
      <c r="C29" s="12">
        <f>C30-C27-C28</f>
        <v>5411</v>
      </c>
      <c r="D29" s="132" t="s">
        <v>79</v>
      </c>
      <c r="E29" s="12">
        <f>E30-E27-E28</f>
        <v>5516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44529</v>
      </c>
      <c r="B34" s="184">
        <v>77.14</v>
      </c>
      <c r="C34" s="196" t="s">
        <v>32</v>
      </c>
      <c r="D34" s="196"/>
      <c r="E34" s="196" t="s">
        <v>33</v>
      </c>
      <c r="F34" s="196"/>
      <c r="N34" s="4"/>
    </row>
    <row r="35" ht="15.6" spans="1:14">
      <c r="A35" s="53">
        <v>44530</v>
      </c>
      <c r="B35" s="184">
        <v>90.41</v>
      </c>
      <c r="C35" s="197" t="s">
        <v>14</v>
      </c>
      <c r="D35" s="197" t="s">
        <v>15</v>
      </c>
      <c r="E35" s="197" t="s">
        <v>14</v>
      </c>
      <c r="F35" s="197" t="s">
        <v>15</v>
      </c>
      <c r="N35" s="4"/>
    </row>
    <row r="36" ht="15.6" spans="1:14">
      <c r="A36" s="53">
        <v>44531</v>
      </c>
      <c r="B36" s="184">
        <v>96.34</v>
      </c>
      <c r="C36" s="198">
        <v>129</v>
      </c>
      <c r="D36" s="198">
        <v>38</v>
      </c>
      <c r="E36" s="198">
        <v>187</v>
      </c>
      <c r="F36" s="198">
        <v>15</v>
      </c>
      <c r="N36" s="4"/>
    </row>
    <row r="37" ht="15.6" spans="1:14">
      <c r="A37" s="53">
        <v>44532</v>
      </c>
      <c r="B37" s="184">
        <v>73.83</v>
      </c>
      <c r="C37" s="199">
        <v>110</v>
      </c>
      <c r="D37" s="199">
        <v>25</v>
      </c>
      <c r="E37" s="199">
        <v>129</v>
      </c>
      <c r="F37" s="199">
        <v>0</v>
      </c>
      <c r="N37" s="4"/>
    </row>
    <row r="38" ht="15.6" spans="1:14">
      <c r="A38" s="53">
        <v>44533</v>
      </c>
      <c r="B38" s="184">
        <v>101.02</v>
      </c>
      <c r="C38" s="198" t="s">
        <v>68</v>
      </c>
      <c r="D38" s="198">
        <f>C36+D36+E36+F36</f>
        <v>369</v>
      </c>
      <c r="E38" s="199" t="s">
        <v>69</v>
      </c>
      <c r="F38" s="199">
        <f>C37+D37+E37+F37</f>
        <v>264</v>
      </c>
      <c r="N38" s="4"/>
    </row>
    <row r="39" ht="15.6" spans="1:14">
      <c r="A39" s="53">
        <v>44534</v>
      </c>
      <c r="B39" s="184">
        <v>150.96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44535</v>
      </c>
      <c r="B40" s="184">
        <v>89.4</v>
      </c>
      <c r="C40" s="200" t="s">
        <v>108</v>
      </c>
      <c r="D40" s="201"/>
      <c r="E40" s="202">
        <f>C48</f>
        <v>0</v>
      </c>
      <c r="F40" s="203">
        <v>0</v>
      </c>
      <c r="N40" s="4"/>
    </row>
    <row r="41" ht="15.6" spans="1:14">
      <c r="A41" s="53">
        <v>44536</v>
      </c>
      <c r="B41" s="184">
        <v>121.86</v>
      </c>
      <c r="C41" s="200" t="s">
        <v>109</v>
      </c>
      <c r="D41" s="201"/>
      <c r="E41" s="202">
        <v>0</v>
      </c>
      <c r="F41" s="203">
        <v>342.14</v>
      </c>
      <c r="N41" s="4"/>
    </row>
    <row r="42" ht="15.6" spans="1:14">
      <c r="A42" s="53">
        <v>44537</v>
      </c>
      <c r="B42" s="184">
        <v>43.32</v>
      </c>
      <c r="C42" s="200" t="s">
        <v>99</v>
      </c>
      <c r="D42" s="204"/>
      <c r="E42" s="202">
        <f>C46</f>
        <v>525</v>
      </c>
      <c r="F42" s="203">
        <v>3495</v>
      </c>
      <c r="N42" s="4"/>
    </row>
    <row r="43" ht="15.6" spans="1:14">
      <c r="A43" s="53">
        <v>44538</v>
      </c>
      <c r="B43" s="184">
        <v>131.25</v>
      </c>
      <c r="C43" s="205" t="s">
        <v>100</v>
      </c>
      <c r="D43" s="205"/>
      <c r="E43" s="206">
        <v>0</v>
      </c>
      <c r="F43" s="205">
        <v>41682</v>
      </c>
      <c r="N43" s="4"/>
    </row>
    <row r="44" spans="1:6">
      <c r="A44" s="147" t="s">
        <v>138</v>
      </c>
      <c r="B44" s="79" t="s">
        <v>110</v>
      </c>
      <c r="C44" s="79">
        <f>C11</f>
        <v>1</v>
      </c>
      <c r="D44" s="79">
        <f>C12</f>
        <v>3</v>
      </c>
      <c r="E44" s="79">
        <f>E11</f>
        <v>6</v>
      </c>
      <c r="F44" s="79">
        <f>E12</f>
        <v>0</v>
      </c>
    </row>
    <row r="45" spans="1:6">
      <c r="A45" s="151"/>
      <c r="B45" s="79" t="s">
        <v>111</v>
      </c>
      <c r="C45" s="79">
        <v>4</v>
      </c>
      <c r="D45" s="79">
        <v>0</v>
      </c>
      <c r="E45" s="79">
        <v>13</v>
      </c>
      <c r="F45" s="79">
        <v>0</v>
      </c>
    </row>
    <row r="46" spans="1:6">
      <c r="A46" s="151"/>
      <c r="B46" s="79" t="s">
        <v>112</v>
      </c>
      <c r="C46" s="79">
        <v>525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2021年12月08日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ZCB1-19截止2021年12月08日累计完成产值8951.85万元，
占总产值90284.4万元的9.92%，
100章临建完成5495.78万元，400章桥梁完成3456.07万元。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145</v>
      </c>
      <c r="B50" s="129"/>
      <c r="C50" s="129"/>
      <c r="D50" s="129"/>
      <c r="E50" s="129"/>
      <c r="F50" s="129"/>
    </row>
    <row r="51" spans="3:3">
      <c r="C51" s="158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7"/>
  <dimension ref="A1:N50"/>
  <sheetViews>
    <sheetView view="pageBreakPreview" zoomScale="85" zoomScaleNormal="70" topLeftCell="A38" workbookViewId="0">
      <selection activeCell="J32" sqref="J3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44539</v>
      </c>
      <c r="B3" s="12" t="s">
        <v>7</v>
      </c>
      <c r="C3" s="12">
        <v>0</v>
      </c>
      <c r="D3" s="12">
        <f>ROUND(D11+D12+D13+D14+D15,2)</f>
        <v>47.24</v>
      </c>
      <c r="E3" s="13">
        <f>ROUND(C5+D5,2)</f>
        <v>87.96</v>
      </c>
      <c r="F3" s="143" t="s">
        <v>146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10</v>
      </c>
      <c r="D4" s="12">
        <f>ROUND(F11+F12+F13+F14+F15,2)</f>
        <v>30.72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10</v>
      </c>
      <c r="D5" s="12">
        <f>SUM(D3:D4)</f>
        <v>77.96</v>
      </c>
      <c r="E5" s="13"/>
      <c r="F5" s="144"/>
      <c r="I5" t="str">
        <f>ROUND(E6/90284.4*100,2)&amp;"%"</f>
        <v>10.01%</v>
      </c>
      <c r="J5"/>
      <c r="K5" s="3"/>
      <c r="L5" s="3"/>
    </row>
    <row r="6" ht="60" customHeight="1" spans="1:12">
      <c r="A6" s="132"/>
      <c r="B6" s="8" t="s">
        <v>11</v>
      </c>
      <c r="C6" s="20">
        <v>5505.78</v>
      </c>
      <c r="D6" s="20">
        <v>3534.03</v>
      </c>
      <c r="E6" s="8">
        <f>ROUND(C6+D6,2)</f>
        <v>9039.81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5505.78</v>
      </c>
      <c r="D7" s="20">
        <v>3534.03</v>
      </c>
      <c r="E7" s="8">
        <f>ROUND(C7+D7,2)</f>
        <v>9039.81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44539</v>
      </c>
      <c r="B11" s="32" t="s">
        <v>14</v>
      </c>
      <c r="C11" s="33">
        <v>2</v>
      </c>
      <c r="D11" s="8">
        <v>15.46</v>
      </c>
      <c r="E11" s="33">
        <v>2</v>
      </c>
      <c r="F11" s="8">
        <v>15.44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31.78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47.24</v>
      </c>
      <c r="D16" s="134"/>
      <c r="E16" s="25">
        <f>F11+F12+F13+F14+F15</f>
        <v>30.72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77.96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171</v>
      </c>
      <c r="D27" s="132" t="s">
        <v>75</v>
      </c>
      <c r="E27" s="12">
        <f>C37+D37</f>
        <v>140</v>
      </c>
      <c r="F27" s="12"/>
    </row>
    <row r="28" spans="1:6">
      <c r="A28" s="35"/>
      <c r="B28" s="132" t="s">
        <v>76</v>
      </c>
      <c r="C28" s="12">
        <f>E36+F36</f>
        <v>205</v>
      </c>
      <c r="D28" s="132" t="s">
        <v>77</v>
      </c>
      <c r="E28" s="12">
        <f>E37+F37</f>
        <v>129</v>
      </c>
      <c r="F28" s="12"/>
    </row>
    <row r="29" spans="1:6">
      <c r="A29" s="35"/>
      <c r="B29" s="132" t="s">
        <v>78</v>
      </c>
      <c r="C29" s="12">
        <f>C30-C27-C28</f>
        <v>5404</v>
      </c>
      <c r="D29" s="132" t="s">
        <v>79</v>
      </c>
      <c r="E29" s="12">
        <f>E30-E27-E28</f>
        <v>5511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44530</v>
      </c>
      <c r="B34" s="184">
        <v>90.41</v>
      </c>
      <c r="C34" s="196" t="s">
        <v>32</v>
      </c>
      <c r="D34" s="196"/>
      <c r="E34" s="196" t="s">
        <v>33</v>
      </c>
      <c r="F34" s="196"/>
      <c r="N34" s="4"/>
    </row>
    <row r="35" ht="15.6" spans="1:14">
      <c r="A35" s="53">
        <v>44531</v>
      </c>
      <c r="B35" s="184">
        <v>96.34</v>
      </c>
      <c r="C35" s="197" t="s">
        <v>14</v>
      </c>
      <c r="D35" s="197" t="s">
        <v>15</v>
      </c>
      <c r="E35" s="197" t="s">
        <v>14</v>
      </c>
      <c r="F35" s="197" t="s">
        <v>15</v>
      </c>
      <c r="N35" s="4"/>
    </row>
    <row r="36" ht="15.6" spans="1:14">
      <c r="A36" s="53">
        <v>44532</v>
      </c>
      <c r="B36" s="184">
        <v>73.83</v>
      </c>
      <c r="C36" s="198">
        <v>131</v>
      </c>
      <c r="D36" s="198">
        <v>40</v>
      </c>
      <c r="E36" s="198">
        <v>189</v>
      </c>
      <c r="F36" s="198">
        <v>16</v>
      </c>
      <c r="N36" s="4"/>
    </row>
    <row r="37" ht="15.6" spans="1:14">
      <c r="A37" s="53">
        <v>44533</v>
      </c>
      <c r="B37" s="184">
        <v>101.02</v>
      </c>
      <c r="C37" s="199">
        <v>110</v>
      </c>
      <c r="D37" s="199">
        <v>30</v>
      </c>
      <c r="E37" s="199">
        <v>129</v>
      </c>
      <c r="F37" s="199">
        <v>0</v>
      </c>
      <c r="N37" s="4"/>
    </row>
    <row r="38" ht="15.6" spans="1:14">
      <c r="A38" s="53">
        <v>44534</v>
      </c>
      <c r="B38" s="184">
        <v>150.96</v>
      </c>
      <c r="C38" s="198" t="s">
        <v>68</v>
      </c>
      <c r="D38" s="198">
        <f>C36+D36+E36+F36</f>
        <v>376</v>
      </c>
      <c r="E38" s="199" t="s">
        <v>69</v>
      </c>
      <c r="F38" s="199">
        <f>C37+D37+E37+F37</f>
        <v>269</v>
      </c>
      <c r="N38" s="4"/>
    </row>
    <row r="39" ht="15.6" spans="1:14">
      <c r="A39" s="53">
        <v>44535</v>
      </c>
      <c r="B39" s="184">
        <v>89.4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44536</v>
      </c>
      <c r="B40" s="184">
        <v>121.86</v>
      </c>
      <c r="C40" s="200" t="s">
        <v>108</v>
      </c>
      <c r="D40" s="201"/>
      <c r="E40" s="202">
        <f>C48</f>
        <v>0</v>
      </c>
      <c r="F40" s="203">
        <v>0</v>
      </c>
      <c r="N40" s="4"/>
    </row>
    <row r="41" ht="15.6" spans="1:14">
      <c r="A41" s="53">
        <v>44537</v>
      </c>
      <c r="B41" s="184">
        <v>43.32</v>
      </c>
      <c r="C41" s="200" t="s">
        <v>109</v>
      </c>
      <c r="D41" s="201"/>
      <c r="E41" s="202">
        <v>0</v>
      </c>
      <c r="F41" s="203">
        <v>342.14</v>
      </c>
      <c r="N41" s="4"/>
    </row>
    <row r="42" ht="15.6" spans="1:14">
      <c r="A42" s="53">
        <v>44538</v>
      </c>
      <c r="B42" s="184">
        <v>131.25</v>
      </c>
      <c r="C42" s="200" t="s">
        <v>99</v>
      </c>
      <c r="D42" s="204"/>
      <c r="E42" s="202">
        <f>C46</f>
        <v>0</v>
      </c>
      <c r="F42" s="203">
        <v>3495</v>
      </c>
      <c r="N42" s="4"/>
    </row>
    <row r="43" ht="15.6" spans="1:14">
      <c r="A43" s="53">
        <v>44539</v>
      </c>
      <c r="B43" s="184">
        <v>87.96</v>
      </c>
      <c r="C43" s="205" t="s">
        <v>100</v>
      </c>
      <c r="D43" s="205"/>
      <c r="E43" s="206">
        <v>0</v>
      </c>
      <c r="F43" s="205">
        <v>41682</v>
      </c>
      <c r="N43" s="4"/>
    </row>
    <row r="44" spans="1:6">
      <c r="A44" s="147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2</v>
      </c>
      <c r="F44" s="79">
        <f>E12</f>
        <v>1</v>
      </c>
    </row>
    <row r="45" spans="1:6">
      <c r="A45" s="151"/>
      <c r="B45" s="79" t="s">
        <v>111</v>
      </c>
      <c r="C45" s="79">
        <v>0</v>
      </c>
      <c r="D45" s="79">
        <v>5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2021年12月09日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ZCB1-19截止2021年12月09日累计完成产值9039.81万元，
占总产值90284.4万元的10.01%，
100章临建完成5505.78万元，400章桥梁完成3534.03万元。</v>
      </c>
      <c r="B49" s="83"/>
      <c r="C49" s="83"/>
      <c r="D49" s="83"/>
      <c r="E49" s="83"/>
      <c r="F49" s="84"/>
      <c r="G49" s="4"/>
    </row>
    <row r="50" spans="3:3">
      <c r="C50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A1:N50"/>
  <sheetViews>
    <sheetView view="pageBreakPreview" zoomScale="85" zoomScaleNormal="70" workbookViewId="0">
      <selection activeCell="O6" sqref="O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44540</v>
      </c>
      <c r="B3" s="12" t="s">
        <v>7</v>
      </c>
      <c r="C3" s="12">
        <v>0</v>
      </c>
      <c r="D3" s="12">
        <f>ROUND(D11+D12+D13+D14+D15,2)</f>
        <v>48.83</v>
      </c>
      <c r="E3" s="13">
        <f>ROUND(C5+D5,2)</f>
        <v>135.52</v>
      </c>
      <c r="F3" s="143" t="s">
        <v>147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10</v>
      </c>
      <c r="D4" s="12">
        <f>ROUND(F11+F12+F13+F14+F15,2)</f>
        <v>76.69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10</v>
      </c>
      <c r="D5" s="12">
        <f>SUM(D3:D4)</f>
        <v>125.52</v>
      </c>
      <c r="E5" s="13"/>
      <c r="F5" s="144"/>
      <c r="I5" t="str">
        <f>ROUND(E6/90284.4*100,2)&amp;"%"</f>
        <v>10.16%</v>
      </c>
      <c r="J5"/>
      <c r="K5" s="3"/>
      <c r="L5" s="3"/>
    </row>
    <row r="6" ht="60" customHeight="1" spans="1:12">
      <c r="A6" s="132"/>
      <c r="B6" s="8" t="s">
        <v>11</v>
      </c>
      <c r="C6" s="20">
        <v>5515.78</v>
      </c>
      <c r="D6" s="20">
        <v>3659.55</v>
      </c>
      <c r="E6" s="8">
        <f>ROUND(C6+D6,2)</f>
        <v>9175.33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5515.78</v>
      </c>
      <c r="D7" s="20">
        <v>3659.55</v>
      </c>
      <c r="E7" s="8">
        <f>ROUND(C7+D7,2)</f>
        <v>9175.33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44540</v>
      </c>
      <c r="B11" s="32" t="s">
        <v>14</v>
      </c>
      <c r="C11" s="33">
        <v>1</v>
      </c>
      <c r="D11" s="8">
        <v>8.45</v>
      </c>
      <c r="E11" s="33">
        <v>6</v>
      </c>
      <c r="F11" s="8">
        <v>46.12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1</v>
      </c>
      <c r="D12" s="8">
        <v>15.28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220.8</v>
      </c>
      <c r="D14" s="8">
        <v>21.03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48.83</v>
      </c>
      <c r="D16" s="134"/>
      <c r="E16" s="25">
        <f>F11+F12+F13+F14+F15</f>
        <v>76.69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125.52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173</v>
      </c>
      <c r="D27" s="132" t="s">
        <v>75</v>
      </c>
      <c r="E27" s="12">
        <f>C37+D37</f>
        <v>145</v>
      </c>
      <c r="F27" s="12"/>
    </row>
    <row r="28" spans="1:6">
      <c r="A28" s="35"/>
      <c r="B28" s="132" t="s">
        <v>76</v>
      </c>
      <c r="C28" s="12">
        <f>E36+F36</f>
        <v>213</v>
      </c>
      <c r="D28" s="132" t="s">
        <v>77</v>
      </c>
      <c r="E28" s="12">
        <f>E37+F37</f>
        <v>129</v>
      </c>
      <c r="F28" s="12"/>
    </row>
    <row r="29" spans="1:6">
      <c r="A29" s="35"/>
      <c r="B29" s="132" t="s">
        <v>78</v>
      </c>
      <c r="C29" s="12">
        <f>C30-C27-C28</f>
        <v>5394</v>
      </c>
      <c r="D29" s="132" t="s">
        <v>79</v>
      </c>
      <c r="E29" s="12">
        <f>E30-E27-E28</f>
        <v>5506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44531</v>
      </c>
      <c r="B34" s="184">
        <v>96.34</v>
      </c>
      <c r="C34" s="196" t="s">
        <v>32</v>
      </c>
      <c r="D34" s="196"/>
      <c r="E34" s="196" t="s">
        <v>33</v>
      </c>
      <c r="F34" s="196"/>
      <c r="N34" s="4"/>
    </row>
    <row r="35" ht="15.6" spans="1:14">
      <c r="A35" s="53">
        <v>44532</v>
      </c>
      <c r="B35" s="184">
        <v>73.83</v>
      </c>
      <c r="C35" s="197" t="s">
        <v>14</v>
      </c>
      <c r="D35" s="197" t="s">
        <v>15</v>
      </c>
      <c r="E35" s="197" t="s">
        <v>14</v>
      </c>
      <c r="F35" s="197" t="s">
        <v>15</v>
      </c>
      <c r="N35" s="4"/>
    </row>
    <row r="36" ht="15.6" spans="1:14">
      <c r="A36" s="53">
        <v>44533</v>
      </c>
      <c r="B36" s="184">
        <v>101.02</v>
      </c>
      <c r="C36" s="198">
        <v>132</v>
      </c>
      <c r="D36" s="198">
        <v>41</v>
      </c>
      <c r="E36" s="198">
        <v>195</v>
      </c>
      <c r="F36" s="198">
        <v>18</v>
      </c>
      <c r="N36" s="4"/>
    </row>
    <row r="37" ht="15.6" spans="1:14">
      <c r="A37" s="53">
        <v>44534</v>
      </c>
      <c r="B37" s="184">
        <v>150.96</v>
      </c>
      <c r="C37" s="199">
        <v>115</v>
      </c>
      <c r="D37" s="199">
        <v>30</v>
      </c>
      <c r="E37" s="199">
        <v>129</v>
      </c>
      <c r="F37" s="199">
        <v>0</v>
      </c>
      <c r="N37" s="4"/>
    </row>
    <row r="38" ht="15.6" spans="1:14">
      <c r="A38" s="53">
        <v>44535</v>
      </c>
      <c r="B38" s="184">
        <v>89.4</v>
      </c>
      <c r="C38" s="198" t="s">
        <v>68</v>
      </c>
      <c r="D38" s="198">
        <f>C36+D36+E36+F36</f>
        <v>386</v>
      </c>
      <c r="E38" s="199" t="s">
        <v>69</v>
      </c>
      <c r="F38" s="199">
        <f>C37+D37+E37+F37</f>
        <v>274</v>
      </c>
      <c r="N38" s="4"/>
    </row>
    <row r="39" ht="15.6" spans="1:14">
      <c r="A39" s="53">
        <v>44536</v>
      </c>
      <c r="B39" s="184">
        <v>121.86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44537</v>
      </c>
      <c r="B40" s="184">
        <v>43.32</v>
      </c>
      <c r="C40" s="200" t="s">
        <v>108</v>
      </c>
      <c r="D40" s="201"/>
      <c r="E40" s="202">
        <f>C48</f>
        <v>0</v>
      </c>
      <c r="F40" s="203">
        <v>0</v>
      </c>
      <c r="N40" s="4"/>
    </row>
    <row r="41" ht="15.6" spans="1:14">
      <c r="A41" s="53">
        <v>44538</v>
      </c>
      <c r="B41" s="184">
        <v>131.25</v>
      </c>
      <c r="C41" s="200" t="s">
        <v>109</v>
      </c>
      <c r="D41" s="201"/>
      <c r="E41" s="202">
        <f>C47</f>
        <v>220.8</v>
      </c>
      <c r="F41" s="203">
        <v>562.94</v>
      </c>
      <c r="N41" s="4"/>
    </row>
    <row r="42" ht="15.6" spans="1:14">
      <c r="A42" s="53">
        <v>44539</v>
      </c>
      <c r="B42" s="184">
        <v>87.96</v>
      </c>
      <c r="C42" s="200" t="s">
        <v>99</v>
      </c>
      <c r="D42" s="204"/>
      <c r="E42" s="202">
        <f>C46</f>
        <v>100</v>
      </c>
      <c r="F42" s="203">
        <v>3595</v>
      </c>
      <c r="N42" s="4"/>
    </row>
    <row r="43" ht="15.6" spans="1:14">
      <c r="A43" s="53">
        <v>44540</v>
      </c>
      <c r="B43" s="184">
        <v>135.52</v>
      </c>
      <c r="C43" s="205" t="s">
        <v>100</v>
      </c>
      <c r="D43" s="205"/>
      <c r="E43" s="206">
        <v>0</v>
      </c>
      <c r="F43" s="205">
        <v>41682</v>
      </c>
      <c r="N43" s="4"/>
    </row>
    <row r="44" spans="1:6">
      <c r="A44" s="147" t="s">
        <v>138</v>
      </c>
      <c r="B44" s="79" t="s">
        <v>110</v>
      </c>
      <c r="C44" s="79">
        <f>C11</f>
        <v>1</v>
      </c>
      <c r="D44" s="79">
        <f>C12</f>
        <v>1</v>
      </c>
      <c r="E44" s="79">
        <f>E11</f>
        <v>6</v>
      </c>
      <c r="F44" s="79">
        <f>E12</f>
        <v>2</v>
      </c>
    </row>
    <row r="45" spans="1:6">
      <c r="A45" s="151"/>
      <c r="B45" s="79" t="s">
        <v>111</v>
      </c>
      <c r="C45" s="79">
        <v>5</v>
      </c>
      <c r="D45" s="79">
        <v>0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220.8</v>
      </c>
      <c r="D47" s="149"/>
      <c r="E47" s="149"/>
      <c r="F47" s="150"/>
      <c r="I47" s="3" t="str">
        <f>TEXT(A3,"yyyy年mm月dd日")</f>
        <v>2021年12月10日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ZCB1-19截止2021年12月10日累计完成产值9175.33万元，
占总产值90284.4万元的10.16%，
100章临建完成5515.78万元，400章桥梁完成3659.55万元。</v>
      </c>
      <c r="B49" s="83"/>
      <c r="C49" s="83"/>
      <c r="D49" s="83"/>
      <c r="E49" s="83"/>
      <c r="F49" s="84"/>
      <c r="G49" s="4"/>
    </row>
    <row r="50" spans="3:3">
      <c r="C50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9"/>
  <dimension ref="A1:N50"/>
  <sheetViews>
    <sheetView view="pageBreakPreview" zoomScale="85" zoomScaleNormal="70" topLeftCell="A34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44541</v>
      </c>
      <c r="B3" s="12" t="s">
        <v>7</v>
      </c>
      <c r="C3" s="12">
        <v>0</v>
      </c>
      <c r="D3" s="12">
        <f>ROUND(D11+D12+D13+D14+D15,2)</f>
        <v>58.24</v>
      </c>
      <c r="E3" s="13">
        <f>ROUND(C5+D5,2)</f>
        <v>122.2</v>
      </c>
      <c r="F3" s="143" t="s">
        <v>148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10</v>
      </c>
      <c r="D4" s="12">
        <f>ROUND(F11+F12+F13+F14+F15,2)</f>
        <v>53.96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10</v>
      </c>
      <c r="D5" s="12">
        <f>SUM(D3:D4)</f>
        <v>112.2</v>
      </c>
      <c r="E5" s="13"/>
      <c r="F5" s="144"/>
      <c r="I5" t="str">
        <f>ROUND(E6/90284.4*100,2)&amp;"%"</f>
        <v>10.3%</v>
      </c>
      <c r="J5"/>
      <c r="K5" s="3"/>
      <c r="L5" s="3"/>
    </row>
    <row r="6" ht="60" customHeight="1" spans="1:12">
      <c r="A6" s="132"/>
      <c r="B6" s="8" t="s">
        <v>11</v>
      </c>
      <c r="C6" s="20">
        <v>5525.78</v>
      </c>
      <c r="D6" s="20">
        <v>3771.75</v>
      </c>
      <c r="E6" s="8">
        <f>ROUND(C6+D6,2)</f>
        <v>9297.53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5525.78</v>
      </c>
      <c r="D7" s="20">
        <v>3771.75</v>
      </c>
      <c r="E7" s="8">
        <f>ROUND(C7+D7,2)</f>
        <v>9297.53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44541</v>
      </c>
      <c r="B11" s="32" t="s">
        <v>14</v>
      </c>
      <c r="C11" s="33">
        <v>3</v>
      </c>
      <c r="D11" s="8">
        <v>23.1</v>
      </c>
      <c r="E11" s="33">
        <v>5</v>
      </c>
      <c r="F11" s="8">
        <v>38.67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31.074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58.244</v>
      </c>
      <c r="D16" s="134"/>
      <c r="E16" s="25">
        <f>F11+F12+F13+F14+F15</f>
        <v>53.96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112.204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178</v>
      </c>
      <c r="D27" s="132" t="s">
        <v>75</v>
      </c>
      <c r="E27" s="12">
        <f>C37+D37</f>
        <v>147</v>
      </c>
      <c r="F27" s="12"/>
    </row>
    <row r="28" spans="1:6">
      <c r="A28" s="35"/>
      <c r="B28" s="132" t="s">
        <v>76</v>
      </c>
      <c r="C28" s="12">
        <f>E36+F36</f>
        <v>219</v>
      </c>
      <c r="D28" s="132" t="s">
        <v>77</v>
      </c>
      <c r="E28" s="12">
        <f>E37+F37</f>
        <v>129</v>
      </c>
      <c r="F28" s="12"/>
    </row>
    <row r="29" spans="1:6">
      <c r="A29" s="35"/>
      <c r="B29" s="132" t="s">
        <v>78</v>
      </c>
      <c r="C29" s="12">
        <f>C30-C27-C28</f>
        <v>5383</v>
      </c>
      <c r="D29" s="132" t="s">
        <v>79</v>
      </c>
      <c r="E29" s="12">
        <f>E30-E27-E28</f>
        <v>5504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44532</v>
      </c>
      <c r="B34" s="184">
        <v>73.83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44533</v>
      </c>
      <c r="B35" s="184">
        <v>101.02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44534</v>
      </c>
      <c r="B36" s="184">
        <v>150.96</v>
      </c>
      <c r="C36" s="187">
        <v>135</v>
      </c>
      <c r="D36" s="187">
        <v>43</v>
      </c>
      <c r="E36" s="187">
        <v>200</v>
      </c>
      <c r="F36" s="187">
        <v>19</v>
      </c>
      <c r="N36" s="4"/>
    </row>
    <row r="37" ht="15.6" spans="1:14">
      <c r="A37" s="53">
        <v>44535</v>
      </c>
      <c r="B37" s="184">
        <v>89.4</v>
      </c>
      <c r="C37" s="188">
        <v>115</v>
      </c>
      <c r="D37" s="188">
        <v>32</v>
      </c>
      <c r="E37" s="188">
        <v>129</v>
      </c>
      <c r="F37" s="188">
        <v>0</v>
      </c>
      <c r="N37" s="4"/>
    </row>
    <row r="38" ht="15.6" spans="1:14">
      <c r="A38" s="53">
        <v>44536</v>
      </c>
      <c r="B38" s="184">
        <v>121.86</v>
      </c>
      <c r="C38" s="187" t="s">
        <v>68</v>
      </c>
      <c r="D38" s="187">
        <f>C36+D36+E36+F36</f>
        <v>397</v>
      </c>
      <c r="E38" s="188" t="s">
        <v>69</v>
      </c>
      <c r="F38" s="188">
        <f>C37+D37+E37+F37</f>
        <v>276</v>
      </c>
      <c r="N38" s="4"/>
    </row>
    <row r="39" ht="15.6" spans="1:14">
      <c r="A39" s="53">
        <v>44537</v>
      </c>
      <c r="B39" s="184">
        <v>43.32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44538</v>
      </c>
      <c r="B40" s="184">
        <v>131.25</v>
      </c>
      <c r="C40" s="189" t="s">
        <v>108</v>
      </c>
      <c r="D40" s="190"/>
      <c r="E40" s="194">
        <f>C48</f>
        <v>0</v>
      </c>
      <c r="F40" s="191">
        <v>0</v>
      </c>
      <c r="N40" s="4"/>
    </row>
    <row r="41" ht="15.6" spans="1:14">
      <c r="A41" s="53">
        <v>44539</v>
      </c>
      <c r="B41" s="184">
        <v>87.96</v>
      </c>
      <c r="C41" s="189" t="s">
        <v>109</v>
      </c>
      <c r="D41" s="190"/>
      <c r="E41" s="194">
        <f>C47</f>
        <v>0</v>
      </c>
      <c r="F41" s="191">
        <v>562.94</v>
      </c>
      <c r="N41" s="4"/>
    </row>
    <row r="42" ht="15.6" spans="1:14">
      <c r="A42" s="53">
        <v>44540</v>
      </c>
      <c r="B42" s="184">
        <v>135.52</v>
      </c>
      <c r="C42" s="189" t="s">
        <v>99</v>
      </c>
      <c r="D42" s="192"/>
      <c r="E42" s="194">
        <f>C46</f>
        <v>100</v>
      </c>
      <c r="F42" s="191">
        <v>3695</v>
      </c>
      <c r="N42" s="4"/>
    </row>
    <row r="43" ht="15.6" spans="1:14">
      <c r="A43" s="53">
        <v>44541</v>
      </c>
      <c r="B43" s="184">
        <v>122.2</v>
      </c>
      <c r="C43" s="193" t="s">
        <v>100</v>
      </c>
      <c r="D43" s="193"/>
      <c r="E43" s="195">
        <v>0</v>
      </c>
      <c r="F43" s="193">
        <v>41682</v>
      </c>
      <c r="N43" s="4"/>
    </row>
    <row r="44" spans="1:6">
      <c r="A44" s="147" t="s">
        <v>138</v>
      </c>
      <c r="B44" s="79" t="s">
        <v>110</v>
      </c>
      <c r="C44" s="79">
        <f>C11</f>
        <v>3</v>
      </c>
      <c r="D44" s="79">
        <f>C12</f>
        <v>2</v>
      </c>
      <c r="E44" s="79">
        <f>E11</f>
        <v>5</v>
      </c>
      <c r="F44" s="79">
        <f>E12</f>
        <v>1</v>
      </c>
    </row>
    <row r="45" spans="1:6">
      <c r="A45" s="151"/>
      <c r="B45" s="79" t="s">
        <v>111</v>
      </c>
      <c r="C45" s="79">
        <v>0</v>
      </c>
      <c r="D45" s="79">
        <v>2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2021年12月11日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ZCB1-19截止2021年12月11日累计完成产值9297.53万元，
占总产值90284.4万元的10.3%，
100章临建完成5525.78万元，400章桥梁完成3771.75万元。</v>
      </c>
      <c r="B49" s="83"/>
      <c r="C49" s="83"/>
      <c r="D49" s="83"/>
      <c r="E49" s="83"/>
      <c r="F49" s="84"/>
      <c r="G49" s="4"/>
    </row>
    <row r="50" spans="3:3">
      <c r="C50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K22"/>
  <sheetViews>
    <sheetView workbookViewId="0">
      <selection activeCell="H12" sqref="H12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264" t="s">
        <v>3</v>
      </c>
      <c r="D2" s="264" t="s">
        <v>4</v>
      </c>
      <c r="E2" s="48" t="s">
        <v>5</v>
      </c>
      <c r="F2" s="48" t="s">
        <v>6</v>
      </c>
    </row>
    <row r="3" ht="15" customHeight="1" spans="1:6">
      <c r="A3" s="218">
        <v>44470</v>
      </c>
      <c r="B3" s="35" t="s">
        <v>7</v>
      </c>
      <c r="C3" s="35">
        <v>1</v>
      </c>
      <c r="D3" s="35">
        <f>D11+F11</f>
        <v>23.1</v>
      </c>
      <c r="E3" s="35">
        <f>C5+D5</f>
        <v>24.1</v>
      </c>
      <c r="F3" s="265" t="s">
        <v>28</v>
      </c>
    </row>
    <row r="4" ht="15" customHeight="1" spans="1:6">
      <c r="A4" s="35"/>
      <c r="B4" s="35" t="s">
        <v>9</v>
      </c>
      <c r="C4" s="35">
        <v>0</v>
      </c>
      <c r="D4" s="35">
        <f>D12+F12</f>
        <v>0</v>
      </c>
      <c r="E4" s="35"/>
      <c r="F4" s="266"/>
    </row>
    <row r="5" ht="15" customHeight="1" spans="1:11">
      <c r="A5" s="35"/>
      <c r="B5" s="48" t="s">
        <v>10</v>
      </c>
      <c r="C5" s="35">
        <f>SUM(C3:C4)</f>
        <v>1</v>
      </c>
      <c r="D5" s="35">
        <f>SUM(D3:D4)</f>
        <v>23.1</v>
      </c>
      <c r="E5" s="35"/>
      <c r="F5" s="266"/>
      <c r="H5"/>
      <c r="I5"/>
      <c r="J5"/>
      <c r="K5"/>
    </row>
    <row r="6" ht="15" customHeight="1" spans="1:11">
      <c r="A6" s="35"/>
      <c r="B6" s="48" t="s">
        <v>11</v>
      </c>
      <c r="C6" s="35">
        <f>E6-D6</f>
        <v>5448.78</v>
      </c>
      <c r="D6" s="35">
        <f>ROUND(229.687+7.82+0.1625+23.1,2)</f>
        <v>260.77</v>
      </c>
      <c r="E6" s="35">
        <f>5614.28+2+8.82+2+16.28+33.25+8.82+24.1</f>
        <v>5709.55</v>
      </c>
      <c r="F6" s="266"/>
      <c r="H6"/>
      <c r="I6"/>
      <c r="J6"/>
      <c r="K6"/>
    </row>
    <row r="7" ht="30" customHeight="1" spans="1:11">
      <c r="A7" s="35"/>
      <c r="B7" s="48" t="s">
        <v>12</v>
      </c>
      <c r="C7" s="35">
        <f>E7-D7</f>
        <v>5448.78</v>
      </c>
      <c r="D7" s="35">
        <f>ROUND(229.687+7.82+0.1625+23.1,2)</f>
        <v>260.77</v>
      </c>
      <c r="E7" s="35">
        <f>5614.28+2+8.82+2+16.28+33.25+8.82+24.1</f>
        <v>5709.55</v>
      </c>
      <c r="F7" s="266"/>
      <c r="H7"/>
      <c r="I7"/>
      <c r="J7"/>
      <c r="K7"/>
    </row>
    <row r="8" ht="30" customHeight="1" spans="1:6">
      <c r="A8" s="40" t="s">
        <v>13</v>
      </c>
      <c r="B8" s="40"/>
      <c r="C8" s="40"/>
      <c r="D8" s="40"/>
      <c r="E8" s="40"/>
      <c r="F8" s="40"/>
    </row>
    <row r="9" spans="1:6">
      <c r="A9" s="48" t="s">
        <v>1</v>
      </c>
      <c r="B9" s="48" t="s">
        <v>2</v>
      </c>
      <c r="C9" s="267" t="s">
        <v>14</v>
      </c>
      <c r="D9" s="267"/>
      <c r="E9" s="267" t="s">
        <v>15</v>
      </c>
      <c r="F9" s="267"/>
    </row>
    <row r="10" spans="1:6">
      <c r="A10" s="48"/>
      <c r="B10" s="48"/>
      <c r="C10" s="267" t="s">
        <v>16</v>
      </c>
      <c r="D10" s="267" t="s">
        <v>17</v>
      </c>
      <c r="E10" s="267" t="s">
        <v>16</v>
      </c>
      <c r="F10" s="267" t="s">
        <v>17</v>
      </c>
    </row>
    <row r="11" spans="1:6">
      <c r="A11" s="218">
        <v>44470</v>
      </c>
      <c r="B11" s="35" t="s">
        <v>7</v>
      </c>
      <c r="C11" s="56">
        <v>1</v>
      </c>
      <c r="D11" s="224">
        <v>7.82</v>
      </c>
      <c r="E11" s="56">
        <v>1</v>
      </c>
      <c r="F11" s="224">
        <v>15.28</v>
      </c>
    </row>
    <row r="12" spans="1:6">
      <c r="A12" s="35"/>
      <c r="B12" s="35" t="s">
        <v>9</v>
      </c>
      <c r="C12" s="56"/>
      <c r="D12" s="224"/>
      <c r="E12" s="56"/>
      <c r="F12" s="224"/>
    </row>
    <row r="13" spans="1:6">
      <c r="A13" s="35"/>
      <c r="B13" s="35" t="s">
        <v>18</v>
      </c>
      <c r="C13" s="56">
        <f>C11+C12</f>
        <v>1</v>
      </c>
      <c r="D13" s="224">
        <f>ROUND(D11+D12,2)</f>
        <v>7.82</v>
      </c>
      <c r="E13" s="56">
        <f t="shared" ref="E13:F13" si="0">E11+E12</f>
        <v>1</v>
      </c>
      <c r="F13" s="224">
        <f t="shared" si="0"/>
        <v>15.28</v>
      </c>
    </row>
    <row r="14" spans="1:6">
      <c r="A14" s="35"/>
      <c r="B14" s="48" t="s">
        <v>5</v>
      </c>
      <c r="C14" s="94">
        <f>D13+F13</f>
        <v>23.1</v>
      </c>
      <c r="D14" s="94"/>
      <c r="E14" s="94"/>
      <c r="F14" s="94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</sheetData>
  <mergeCells count="11">
    <mergeCell ref="A1:F1"/>
    <mergeCell ref="A8:F8"/>
    <mergeCell ref="C9:D9"/>
    <mergeCell ref="E9:F9"/>
    <mergeCell ref="C14:F14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ignoredErrors>
    <ignoredError sqref="D13" formula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0"/>
  <dimension ref="A1:N50"/>
  <sheetViews>
    <sheetView view="pageBreakPreview" zoomScale="70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44542</v>
      </c>
      <c r="B3" s="12" t="s">
        <v>7</v>
      </c>
      <c r="C3" s="12">
        <v>25</v>
      </c>
      <c r="D3" s="12">
        <f>ROUND(D11+D12+D13+D14+D15,2)</f>
        <v>50.99</v>
      </c>
      <c r="E3" s="13">
        <f>ROUND(C5+D5,2)</f>
        <v>167.27</v>
      </c>
      <c r="F3" s="143" t="s">
        <v>149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30</v>
      </c>
      <c r="D4" s="12">
        <f>ROUND(F11+F12+F13+F14+F15,2)</f>
        <v>61.28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55</v>
      </c>
      <c r="D5" s="12">
        <f>SUM(D3:D4)</f>
        <v>112.27</v>
      </c>
      <c r="E5" s="13"/>
      <c r="F5" s="144"/>
      <c r="I5" t="str">
        <f>ROUND(E6/90284.4*100,2)&amp;"%"</f>
        <v>10.48%</v>
      </c>
      <c r="J5"/>
      <c r="K5" s="3"/>
      <c r="L5" s="3"/>
    </row>
    <row r="6" ht="60" customHeight="1" spans="1:12">
      <c r="A6" s="132"/>
      <c r="B6" s="8" t="s">
        <v>11</v>
      </c>
      <c r="C6" s="20">
        <v>5580.78</v>
      </c>
      <c r="D6" s="20">
        <v>3884.02</v>
      </c>
      <c r="E6" s="8">
        <f>ROUND(C6+D6,2)</f>
        <v>9464.8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5580.78</v>
      </c>
      <c r="D7" s="20">
        <v>3884.02</v>
      </c>
      <c r="E7" s="8">
        <f>ROUND(C7+D7,2)</f>
        <v>9464.8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44542</v>
      </c>
      <c r="B11" s="32" t="s">
        <v>14</v>
      </c>
      <c r="C11" s="33">
        <v>2</v>
      </c>
      <c r="D11" s="8">
        <v>16.09</v>
      </c>
      <c r="E11" s="33">
        <v>4</v>
      </c>
      <c r="F11" s="8">
        <v>30.71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30.832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50.992</v>
      </c>
      <c r="D16" s="134"/>
      <c r="E16" s="25">
        <f>F11+F12+F13+F14+F15</f>
        <v>61.28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112.272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182</v>
      </c>
      <c r="D27" s="132" t="s">
        <v>75</v>
      </c>
      <c r="E27" s="12">
        <f>C37+D37</f>
        <v>153</v>
      </c>
      <c r="F27" s="12"/>
    </row>
    <row r="28" spans="1:6">
      <c r="A28" s="35"/>
      <c r="B28" s="132" t="s">
        <v>76</v>
      </c>
      <c r="C28" s="12">
        <f>E36+F36</f>
        <v>225</v>
      </c>
      <c r="D28" s="132" t="s">
        <v>77</v>
      </c>
      <c r="E28" s="12">
        <f>E37+F37</f>
        <v>129</v>
      </c>
      <c r="F28" s="12"/>
    </row>
    <row r="29" spans="1:6">
      <c r="A29" s="35"/>
      <c r="B29" s="132" t="s">
        <v>78</v>
      </c>
      <c r="C29" s="12">
        <f>C30-C27-C28</f>
        <v>5373</v>
      </c>
      <c r="D29" s="132" t="s">
        <v>79</v>
      </c>
      <c r="E29" s="12">
        <f>E30-E27-E28</f>
        <v>5498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44533</v>
      </c>
      <c r="B34" s="184">
        <v>101.02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44534</v>
      </c>
      <c r="B35" s="184">
        <v>150.96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44535</v>
      </c>
      <c r="B36" s="184">
        <v>89.4</v>
      </c>
      <c r="C36" s="187">
        <v>137</v>
      </c>
      <c r="D36" s="187">
        <v>45</v>
      </c>
      <c r="E36" s="187">
        <v>204</v>
      </c>
      <c r="F36" s="187">
        <v>21</v>
      </c>
      <c r="N36" s="4"/>
    </row>
    <row r="37" ht="15.6" spans="1:14">
      <c r="A37" s="53">
        <v>44536</v>
      </c>
      <c r="B37" s="184">
        <v>121.86</v>
      </c>
      <c r="C37" s="188">
        <v>120</v>
      </c>
      <c r="D37" s="188">
        <v>33</v>
      </c>
      <c r="E37" s="188">
        <v>129</v>
      </c>
      <c r="F37" s="188">
        <v>0</v>
      </c>
      <c r="N37" s="4"/>
    </row>
    <row r="38" ht="15.6" spans="1:14">
      <c r="A38" s="53">
        <v>44537</v>
      </c>
      <c r="B38" s="184">
        <v>43.32</v>
      </c>
      <c r="C38" s="187" t="s">
        <v>68</v>
      </c>
      <c r="D38" s="187">
        <f>C36+D36+E36+F36</f>
        <v>407</v>
      </c>
      <c r="E38" s="188" t="s">
        <v>69</v>
      </c>
      <c r="F38" s="188">
        <f>C37+D37+E37+F37</f>
        <v>282</v>
      </c>
      <c r="N38" s="4"/>
    </row>
    <row r="39" ht="15.6" spans="1:14">
      <c r="A39" s="53">
        <v>44538</v>
      </c>
      <c r="B39" s="184">
        <v>131.25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44539</v>
      </c>
      <c r="B40" s="184">
        <v>87.96</v>
      </c>
      <c r="C40" s="189" t="s">
        <v>108</v>
      </c>
      <c r="D40" s="190"/>
      <c r="E40" s="194">
        <f>C48</f>
        <v>0</v>
      </c>
      <c r="F40" s="191">
        <v>0</v>
      </c>
      <c r="N40" s="4"/>
    </row>
    <row r="41" ht="15.6" spans="1:14">
      <c r="A41" s="53">
        <v>44540</v>
      </c>
      <c r="B41" s="184">
        <v>135.52</v>
      </c>
      <c r="C41" s="189" t="s">
        <v>109</v>
      </c>
      <c r="D41" s="190"/>
      <c r="E41" s="194">
        <f>C47</f>
        <v>0</v>
      </c>
      <c r="F41" s="191">
        <v>562.94</v>
      </c>
      <c r="N41" s="4"/>
    </row>
    <row r="42" ht="15.6" spans="1:14">
      <c r="A42" s="53">
        <v>44541</v>
      </c>
      <c r="B42" s="184">
        <v>122.2</v>
      </c>
      <c r="C42" s="189" t="s">
        <v>99</v>
      </c>
      <c r="D42" s="192"/>
      <c r="E42" s="194">
        <f>C46</f>
        <v>100</v>
      </c>
      <c r="F42" s="191">
        <v>3795</v>
      </c>
      <c r="N42" s="4"/>
    </row>
    <row r="43" ht="15.6" spans="1:14">
      <c r="A43" s="53">
        <v>44542</v>
      </c>
      <c r="B43" s="184">
        <v>167.27</v>
      </c>
      <c r="C43" s="193" t="s">
        <v>100</v>
      </c>
      <c r="D43" s="193"/>
      <c r="E43" s="195">
        <v>0</v>
      </c>
      <c r="F43" s="193">
        <v>41682</v>
      </c>
      <c r="N43" s="4"/>
    </row>
    <row r="44" spans="1:6">
      <c r="A44" s="147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4</v>
      </c>
      <c r="F44" s="79">
        <f>E12</f>
        <v>2</v>
      </c>
    </row>
    <row r="45" spans="1:6">
      <c r="A45" s="151"/>
      <c r="B45" s="79" t="s">
        <v>111</v>
      </c>
      <c r="C45" s="79">
        <v>5</v>
      </c>
      <c r="D45" s="79">
        <v>1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2021年12月12日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ZCB1-19截止2021年12月12日累计完成产值9464.8万元，
占总产值90284.4万元的10.48%，
100章临建完成5580.78万元，400章桥梁完成3884.02万元。</v>
      </c>
      <c r="B49" s="83"/>
      <c r="C49" s="83"/>
      <c r="D49" s="83"/>
      <c r="E49" s="83"/>
      <c r="F49" s="84"/>
      <c r="G49" s="4"/>
    </row>
    <row r="50" spans="3:3">
      <c r="C50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1"/>
  <dimension ref="A1:N50"/>
  <sheetViews>
    <sheetView view="pageBreakPreview" zoomScale="85" zoomScaleNormal="70" workbookViewId="0">
      <selection activeCell="J7" sqref="J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44543</v>
      </c>
      <c r="B3" s="12" t="s">
        <v>7</v>
      </c>
      <c r="C3" s="12">
        <v>25</v>
      </c>
      <c r="D3" s="12">
        <f>ROUND(D11+D12+D13+D14+D15,2)</f>
        <v>50.38</v>
      </c>
      <c r="E3" s="13">
        <f>ROUND(C5+D5,2)</f>
        <v>166.57</v>
      </c>
      <c r="F3" s="143" t="s">
        <v>150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45</v>
      </c>
      <c r="D4" s="12">
        <f>ROUND(F11+F12+F13+F14+F15,2)</f>
        <v>46.19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70</v>
      </c>
      <c r="D5" s="12">
        <f>SUM(D3:D4)</f>
        <v>96.57</v>
      </c>
      <c r="E5" s="13"/>
      <c r="F5" s="144"/>
      <c r="I5" t="str">
        <f>ROUND(E6/90284.4*100,2)&amp;"%"</f>
        <v>10.67%</v>
      </c>
      <c r="J5"/>
      <c r="K5" s="3"/>
      <c r="L5" s="3"/>
    </row>
    <row r="6" ht="60" customHeight="1" spans="1:12">
      <c r="A6" s="132"/>
      <c r="B6" s="8" t="s">
        <v>11</v>
      </c>
      <c r="C6" s="20">
        <v>5650.78</v>
      </c>
      <c r="D6" s="20">
        <v>3980.59</v>
      </c>
      <c r="E6" s="8">
        <f>ROUND(C6+D6,2)</f>
        <v>9631.37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5650.78</v>
      </c>
      <c r="D7" s="20">
        <v>3980.59</v>
      </c>
      <c r="E7" s="8">
        <f>ROUND(C7+D7,2)</f>
        <v>9631.37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44543</v>
      </c>
      <c r="B11" s="32" t="s">
        <v>14</v>
      </c>
      <c r="C11" s="33">
        <v>2</v>
      </c>
      <c r="D11" s="8">
        <v>15.28</v>
      </c>
      <c r="E11" s="33">
        <v>6</v>
      </c>
      <c r="F11" s="8">
        <v>46.19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31.034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50.384</v>
      </c>
      <c r="D16" s="134"/>
      <c r="E16" s="25">
        <f>F11+F12+F13+F14+F15</f>
        <v>46.19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96.574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186</v>
      </c>
      <c r="D27" s="132" t="s">
        <v>75</v>
      </c>
      <c r="E27" s="12">
        <f>C37+D37</f>
        <v>155</v>
      </c>
      <c r="F27" s="12"/>
    </row>
    <row r="28" spans="1:6">
      <c r="A28" s="35"/>
      <c r="B28" s="132" t="s">
        <v>76</v>
      </c>
      <c r="C28" s="12">
        <f>E36+F36</f>
        <v>231</v>
      </c>
      <c r="D28" s="132" t="s">
        <v>77</v>
      </c>
      <c r="E28" s="12">
        <f>E37+F37</f>
        <v>129</v>
      </c>
      <c r="F28" s="12"/>
    </row>
    <row r="29" spans="1:6">
      <c r="A29" s="35"/>
      <c r="B29" s="132" t="s">
        <v>78</v>
      </c>
      <c r="C29" s="12">
        <f>C30-C27-C28</f>
        <v>5363</v>
      </c>
      <c r="D29" s="132" t="s">
        <v>79</v>
      </c>
      <c r="E29" s="12">
        <f>E30-E27-E28</f>
        <v>5496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44534</v>
      </c>
      <c r="B34" s="184">
        <v>150.96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44535</v>
      </c>
      <c r="B35" s="184">
        <v>89.4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44536</v>
      </c>
      <c r="B36" s="184">
        <v>121.86</v>
      </c>
      <c r="C36" s="187">
        <v>139</v>
      </c>
      <c r="D36" s="187">
        <v>47</v>
      </c>
      <c r="E36" s="187">
        <v>210</v>
      </c>
      <c r="F36" s="187">
        <v>21</v>
      </c>
      <c r="N36" s="4"/>
    </row>
    <row r="37" ht="15.6" spans="1:14">
      <c r="A37" s="53">
        <v>44537</v>
      </c>
      <c r="B37" s="184">
        <v>43.32</v>
      </c>
      <c r="C37" s="188">
        <v>120</v>
      </c>
      <c r="D37" s="188">
        <v>35</v>
      </c>
      <c r="E37" s="188">
        <v>129</v>
      </c>
      <c r="F37" s="188">
        <v>0</v>
      </c>
      <c r="N37" s="4"/>
    </row>
    <row r="38" ht="15.6" spans="1:14">
      <c r="A38" s="53">
        <v>44538</v>
      </c>
      <c r="B38" s="184">
        <v>131.25</v>
      </c>
      <c r="C38" s="187" t="s">
        <v>68</v>
      </c>
      <c r="D38" s="187">
        <f>C36+D36+E36+F36</f>
        <v>417</v>
      </c>
      <c r="E38" s="188" t="s">
        <v>69</v>
      </c>
      <c r="F38" s="188">
        <f>C37+D37+E37+F37</f>
        <v>284</v>
      </c>
      <c r="N38" s="4"/>
    </row>
    <row r="39" ht="15.6" spans="1:14">
      <c r="A39" s="53">
        <v>44539</v>
      </c>
      <c r="B39" s="184">
        <v>87.96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44540</v>
      </c>
      <c r="B40" s="184">
        <v>135.52</v>
      </c>
      <c r="C40" s="189" t="s">
        <v>108</v>
      </c>
      <c r="D40" s="190"/>
      <c r="E40" s="194">
        <f>C48</f>
        <v>0</v>
      </c>
      <c r="F40" s="191">
        <v>0</v>
      </c>
      <c r="N40" s="4"/>
    </row>
    <row r="41" ht="15.6" spans="1:14">
      <c r="A41" s="53">
        <v>44541</v>
      </c>
      <c r="B41" s="184">
        <v>122.2</v>
      </c>
      <c r="C41" s="189" t="s">
        <v>109</v>
      </c>
      <c r="D41" s="190"/>
      <c r="E41" s="194">
        <f>C47</f>
        <v>0</v>
      </c>
      <c r="F41" s="191">
        <v>562.94</v>
      </c>
      <c r="N41" s="4"/>
    </row>
    <row r="42" ht="15.6" spans="1:14">
      <c r="A42" s="53">
        <v>44542</v>
      </c>
      <c r="B42" s="184">
        <v>167.27</v>
      </c>
      <c r="C42" s="189" t="s">
        <v>99</v>
      </c>
      <c r="D42" s="192"/>
      <c r="E42" s="194">
        <f>C46</f>
        <v>100</v>
      </c>
      <c r="F42" s="191">
        <v>3895</v>
      </c>
      <c r="N42" s="4"/>
    </row>
    <row r="43" ht="15.6" spans="1:14">
      <c r="A43" s="53">
        <v>44543</v>
      </c>
      <c r="B43" s="184">
        <v>166.57</v>
      </c>
      <c r="C43" s="193" t="s">
        <v>100</v>
      </c>
      <c r="D43" s="193"/>
      <c r="E43" s="195">
        <v>0</v>
      </c>
      <c r="F43" s="193">
        <v>41682</v>
      </c>
      <c r="N43" s="4"/>
    </row>
    <row r="44" spans="1:6">
      <c r="A44" s="147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6</v>
      </c>
      <c r="F44" s="79">
        <f>E12</f>
        <v>0</v>
      </c>
    </row>
    <row r="45" spans="1:6">
      <c r="A45" s="151"/>
      <c r="B45" s="79" t="s">
        <v>111</v>
      </c>
      <c r="C45" s="79">
        <v>0</v>
      </c>
      <c r="D45" s="79">
        <v>2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2021年12月13日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ZCB1-19截止2021年12月13日累计完成产值9631.37万元，
占总产值90284.4万元的10.67%，
100章临建完成5650.78万元，400章桥梁完成3980.59万元。</v>
      </c>
      <c r="B49" s="83"/>
      <c r="C49" s="83"/>
      <c r="D49" s="83"/>
      <c r="E49" s="83"/>
      <c r="F49" s="84"/>
      <c r="G49" s="4"/>
    </row>
    <row r="50" spans="3:3">
      <c r="C50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2"/>
  <dimension ref="A1:N50"/>
  <sheetViews>
    <sheetView view="pageBreakPreview" zoomScale="85" zoomScaleNormal="70" topLeftCell="A19" workbookViewId="0">
      <selection activeCell="H27" sqref="H2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44544</v>
      </c>
      <c r="B3" s="12" t="s">
        <v>7</v>
      </c>
      <c r="C3" s="12">
        <v>25</v>
      </c>
      <c r="D3" s="12">
        <f>ROUND(D11+D12+D13+D14+D15,2)</f>
        <v>70.34</v>
      </c>
      <c r="E3" s="13">
        <f>ROUND(C5+D5,2)</f>
        <v>244.13</v>
      </c>
      <c r="F3" s="143" t="s">
        <v>151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45</v>
      </c>
      <c r="D4" s="12">
        <f>ROUND(F11+F12+F13+F14+F15,2)</f>
        <v>103.79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70</v>
      </c>
      <c r="D5" s="12">
        <f>SUM(D3:D4)</f>
        <v>174.13</v>
      </c>
      <c r="E5" s="13"/>
      <c r="F5" s="144"/>
      <c r="I5" t="str">
        <f>ROUND(E6/90284.4*100,2)&amp;"%"</f>
        <v>10.94%</v>
      </c>
      <c r="J5"/>
      <c r="K5" s="3"/>
      <c r="L5" s="3"/>
    </row>
    <row r="6" ht="60" customHeight="1" spans="1:12">
      <c r="A6" s="132"/>
      <c r="B6" s="8" t="s">
        <v>11</v>
      </c>
      <c r="C6" s="20">
        <v>5720.78</v>
      </c>
      <c r="D6" s="20">
        <v>4154.72</v>
      </c>
      <c r="E6" s="8">
        <f>ROUND(C6+D6,2)</f>
        <v>9875.5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5720.78</v>
      </c>
      <c r="D7" s="20">
        <v>4154.72</v>
      </c>
      <c r="E7" s="8">
        <f>ROUND(C7+D7,2)</f>
        <v>9875.5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44544</v>
      </c>
      <c r="B11" s="32" t="s">
        <v>14</v>
      </c>
      <c r="C11" s="33">
        <v>2</v>
      </c>
      <c r="D11" s="8">
        <v>15.28</v>
      </c>
      <c r="E11" s="33">
        <v>6</v>
      </c>
      <c r="F11" s="8">
        <v>46.38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30.772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0</v>
      </c>
      <c r="D13" s="8">
        <v>0</v>
      </c>
      <c r="E13" s="33">
        <v>750</v>
      </c>
      <c r="F13" s="8">
        <v>26.84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248.4</v>
      </c>
      <c r="D14" s="8">
        <v>24.29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70.342</v>
      </c>
      <c r="D16" s="134"/>
      <c r="E16" s="25">
        <f>F11+F12+F13+F14+F15</f>
        <v>103.79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174.132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190</v>
      </c>
      <c r="D27" s="132" t="s">
        <v>75</v>
      </c>
      <c r="E27" s="12">
        <f>C37+D37</f>
        <v>156</v>
      </c>
      <c r="F27" s="12"/>
    </row>
    <row r="28" spans="1:6">
      <c r="A28" s="35"/>
      <c r="B28" s="132" t="s">
        <v>76</v>
      </c>
      <c r="C28" s="12">
        <f>E36+F36</f>
        <v>239</v>
      </c>
      <c r="D28" s="132" t="s">
        <v>77</v>
      </c>
      <c r="E28" s="12">
        <f>E37+F37</f>
        <v>129</v>
      </c>
      <c r="F28" s="12"/>
    </row>
    <row r="29" spans="1:6">
      <c r="A29" s="35"/>
      <c r="B29" s="132" t="s">
        <v>78</v>
      </c>
      <c r="C29" s="12">
        <f>C30-C27-C28</f>
        <v>5351</v>
      </c>
      <c r="D29" s="132" t="s">
        <v>79</v>
      </c>
      <c r="E29" s="12">
        <f>E30-E27-E28</f>
        <v>5495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44535</v>
      </c>
      <c r="B34" s="184">
        <v>89.4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44536</v>
      </c>
      <c r="B35" s="184">
        <v>121.86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44537</v>
      </c>
      <c r="B36" s="184">
        <v>43.32</v>
      </c>
      <c r="C36" s="187">
        <v>141</v>
      </c>
      <c r="D36" s="187">
        <v>49</v>
      </c>
      <c r="E36" s="187">
        <v>216</v>
      </c>
      <c r="F36" s="187">
        <v>23</v>
      </c>
      <c r="N36" s="4"/>
    </row>
    <row r="37" ht="15.6" spans="1:14">
      <c r="A37" s="53">
        <v>44538</v>
      </c>
      <c r="B37" s="184">
        <v>131.25</v>
      </c>
      <c r="C37" s="188">
        <v>120</v>
      </c>
      <c r="D37" s="188">
        <v>36</v>
      </c>
      <c r="E37" s="188">
        <v>129</v>
      </c>
      <c r="F37" s="188">
        <v>0</v>
      </c>
      <c r="N37" s="4"/>
    </row>
    <row r="38" ht="15.6" spans="1:14">
      <c r="A38" s="53">
        <v>44539</v>
      </c>
      <c r="B38" s="184">
        <v>87.96</v>
      </c>
      <c r="C38" s="187" t="s">
        <v>68</v>
      </c>
      <c r="D38" s="187">
        <f>C36+D36+E36+F36</f>
        <v>429</v>
      </c>
      <c r="E38" s="188" t="s">
        <v>69</v>
      </c>
      <c r="F38" s="188">
        <f>C37+D37+E37+F37</f>
        <v>285</v>
      </c>
      <c r="N38" s="4"/>
    </row>
    <row r="39" ht="15.6" spans="1:14">
      <c r="A39" s="53">
        <v>44540</v>
      </c>
      <c r="B39" s="184">
        <v>135.52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44541</v>
      </c>
      <c r="B40" s="184">
        <v>122.2</v>
      </c>
      <c r="C40" s="189" t="s">
        <v>108</v>
      </c>
      <c r="D40" s="190"/>
      <c r="E40" s="194">
        <f>C48</f>
        <v>0</v>
      </c>
      <c r="F40" s="191">
        <v>0</v>
      </c>
      <c r="N40" s="4"/>
    </row>
    <row r="41" ht="15.6" spans="1:14">
      <c r="A41" s="53">
        <v>44542</v>
      </c>
      <c r="B41" s="184">
        <v>167.27</v>
      </c>
      <c r="C41" s="189" t="s">
        <v>109</v>
      </c>
      <c r="D41" s="190"/>
      <c r="E41" s="194">
        <f>C47</f>
        <v>248.4</v>
      </c>
      <c r="F41" s="191">
        <v>811.34</v>
      </c>
      <c r="N41" s="4"/>
    </row>
    <row r="42" ht="15.6" spans="1:14">
      <c r="A42" s="53">
        <v>44543</v>
      </c>
      <c r="B42" s="184">
        <v>166.57</v>
      </c>
      <c r="C42" s="189" t="s">
        <v>99</v>
      </c>
      <c r="D42" s="192"/>
      <c r="E42" s="194">
        <f>C46</f>
        <v>750</v>
      </c>
      <c r="F42" s="191">
        <v>4645</v>
      </c>
      <c r="N42" s="4"/>
    </row>
    <row r="43" ht="15.6" spans="1:14">
      <c r="A43" s="53">
        <v>44544</v>
      </c>
      <c r="B43" s="184">
        <v>244.13</v>
      </c>
      <c r="C43" s="193" t="s">
        <v>100</v>
      </c>
      <c r="D43" s="193"/>
      <c r="E43" s="195">
        <v>0</v>
      </c>
      <c r="F43" s="193">
        <v>41682</v>
      </c>
      <c r="N43" s="4"/>
    </row>
    <row r="44" spans="1:6">
      <c r="A44" s="147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6</v>
      </c>
      <c r="F44" s="79">
        <f>E12</f>
        <v>2</v>
      </c>
    </row>
    <row r="45" spans="1:6">
      <c r="A45" s="151"/>
      <c r="B45" s="79" t="s">
        <v>111</v>
      </c>
      <c r="C45" s="79">
        <v>0</v>
      </c>
      <c r="D45" s="79">
        <v>1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750</v>
      </c>
      <c r="D46" s="79"/>
      <c r="E46" s="79"/>
      <c r="F46" s="79"/>
    </row>
    <row r="47" spans="1:9">
      <c r="A47" s="151"/>
      <c r="B47" s="79" t="s">
        <v>113</v>
      </c>
      <c r="C47" s="148">
        <v>248.4</v>
      </c>
      <c r="D47" s="149"/>
      <c r="E47" s="149"/>
      <c r="F47" s="150"/>
      <c r="I47" s="3" t="str">
        <f>TEXT(A3,"yyyy年mm月dd日")</f>
        <v>2021年12月14日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ZCB1-19截止2021年12月14日累计完成产值9875.5万元，
占总产值90284.4万元的10.94%，
100章临建完成5720.78万元，400章桥梁完成4154.72万元。</v>
      </c>
      <c r="B49" s="83"/>
      <c r="C49" s="83"/>
      <c r="D49" s="83"/>
      <c r="E49" s="83"/>
      <c r="F49" s="84"/>
      <c r="G49" s="4"/>
    </row>
    <row r="50" spans="3:3">
      <c r="C50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3"/>
  <dimension ref="A1:N50"/>
  <sheetViews>
    <sheetView view="pageBreakPreview" zoomScale="85" zoomScaleNormal="70" workbookViewId="0">
      <selection activeCell="E6" sqref="E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44545</v>
      </c>
      <c r="B3" s="12" t="s">
        <v>7</v>
      </c>
      <c r="C3" s="12">
        <v>25</v>
      </c>
      <c r="D3" s="12">
        <f>ROUND(D11+D12+D13+D14+D15,2)</f>
        <v>62.04</v>
      </c>
      <c r="E3" s="13">
        <f>ROUND(C5+D5,2)</f>
        <v>289.83</v>
      </c>
      <c r="F3" s="143" t="s">
        <v>152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45</v>
      </c>
      <c r="D4" s="12">
        <f>ROUND(F11+F12+F13+F14+F15,2)</f>
        <v>157.79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70</v>
      </c>
      <c r="D5" s="12">
        <f>SUM(D3:D4)</f>
        <v>219.83</v>
      </c>
      <c r="E5" s="13"/>
      <c r="F5" s="144"/>
      <c r="I5" t="str">
        <f>ROUND(E6/90284.4*100,2)&amp;"%"</f>
        <v>11.26%</v>
      </c>
      <c r="J5"/>
      <c r="K5" s="3"/>
      <c r="L5" s="3"/>
    </row>
    <row r="6" ht="60" customHeight="1" spans="1:12">
      <c r="A6" s="132"/>
      <c r="B6" s="8" t="s">
        <v>11</v>
      </c>
      <c r="C6" s="20">
        <v>5790.78</v>
      </c>
      <c r="D6" s="20">
        <v>4374.55</v>
      </c>
      <c r="E6" s="8">
        <f>ROUND(C6+D6,2)</f>
        <v>10165.33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5790.78</v>
      </c>
      <c r="D7" s="20">
        <v>4374.55</v>
      </c>
      <c r="E7" s="8">
        <f>ROUND(C7+D7,2)</f>
        <v>10165.33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44545</v>
      </c>
      <c r="B11" s="32" t="s">
        <v>14</v>
      </c>
      <c r="C11" s="33">
        <v>2</v>
      </c>
      <c r="D11" s="8">
        <v>15.25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3</v>
      </c>
      <c r="D12" s="8">
        <v>46.788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779</v>
      </c>
      <c r="F14" s="8">
        <v>104.14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62.038</v>
      </c>
      <c r="D16" s="134"/>
      <c r="E16" s="25">
        <f>F11+F12+F13+F14+F15</f>
        <v>157.79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219.828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195</v>
      </c>
      <c r="D27" s="132" t="s">
        <v>75</v>
      </c>
      <c r="E27" s="12">
        <f>C37+D37</f>
        <v>160</v>
      </c>
      <c r="F27" s="12"/>
    </row>
    <row r="28" spans="1:6">
      <c r="A28" s="35"/>
      <c r="B28" s="132" t="s">
        <v>76</v>
      </c>
      <c r="C28" s="12">
        <f>E36+F36</f>
        <v>245</v>
      </c>
      <c r="D28" s="132" t="s">
        <v>77</v>
      </c>
      <c r="E28" s="12">
        <f>E37+F37</f>
        <v>129</v>
      </c>
      <c r="F28" s="12"/>
    </row>
    <row r="29" spans="1:6">
      <c r="A29" s="35"/>
      <c r="B29" s="132" t="s">
        <v>78</v>
      </c>
      <c r="C29" s="12">
        <f>C30-C27-C28</f>
        <v>5340</v>
      </c>
      <c r="D29" s="132" t="s">
        <v>79</v>
      </c>
      <c r="E29" s="12">
        <f>E30-E27-E28</f>
        <v>5491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44536</v>
      </c>
      <c r="B34" s="184">
        <v>121.86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44537</v>
      </c>
      <c r="B35" s="184">
        <v>43.32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44538</v>
      </c>
      <c r="B36" s="184">
        <v>131.25</v>
      </c>
      <c r="C36" s="187">
        <v>143</v>
      </c>
      <c r="D36" s="187">
        <v>52</v>
      </c>
      <c r="E36" s="187">
        <v>221</v>
      </c>
      <c r="F36" s="187">
        <v>24</v>
      </c>
      <c r="N36" s="4"/>
    </row>
    <row r="37" ht="15.6" spans="1:14">
      <c r="A37" s="53">
        <v>44539</v>
      </c>
      <c r="B37" s="184">
        <v>87.96</v>
      </c>
      <c r="C37" s="188">
        <v>120</v>
      </c>
      <c r="D37" s="188">
        <v>40</v>
      </c>
      <c r="E37" s="188">
        <v>129</v>
      </c>
      <c r="F37" s="188">
        <v>0</v>
      </c>
      <c r="N37" s="4"/>
    </row>
    <row r="38" ht="15.6" spans="1:14">
      <c r="A38" s="53">
        <v>44540</v>
      </c>
      <c r="B38" s="184">
        <v>135.52</v>
      </c>
      <c r="C38" s="187" t="s">
        <v>68</v>
      </c>
      <c r="D38" s="187">
        <f>C36+D36+E36+F36</f>
        <v>440</v>
      </c>
      <c r="E38" s="188" t="s">
        <v>69</v>
      </c>
      <c r="F38" s="188">
        <f>C37+D37+E37+F37</f>
        <v>289</v>
      </c>
      <c r="N38" s="4"/>
    </row>
    <row r="39" ht="15.6" spans="1:14">
      <c r="A39" s="53">
        <v>44541</v>
      </c>
      <c r="B39" s="184">
        <v>122.2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44542</v>
      </c>
      <c r="B40" s="184">
        <v>167.27</v>
      </c>
      <c r="C40" s="189" t="s">
        <v>108</v>
      </c>
      <c r="D40" s="190"/>
      <c r="E40" s="194">
        <f>C48</f>
        <v>0</v>
      </c>
      <c r="F40" s="191">
        <v>0</v>
      </c>
      <c r="N40" s="4"/>
    </row>
    <row r="41" ht="15.6" spans="1:14">
      <c r="A41" s="53">
        <v>44543</v>
      </c>
      <c r="B41" s="184">
        <v>166.57</v>
      </c>
      <c r="C41" s="189" t="s">
        <v>109</v>
      </c>
      <c r="D41" s="190"/>
      <c r="E41" s="194">
        <f>C47</f>
        <v>779.000000000003</v>
      </c>
      <c r="F41" s="191">
        <v>1590.34</v>
      </c>
      <c r="N41" s="4"/>
    </row>
    <row r="42" ht="15.6" spans="1:14">
      <c r="A42" s="53">
        <v>44544</v>
      </c>
      <c r="B42" s="184">
        <v>244.13</v>
      </c>
      <c r="C42" s="189" t="s">
        <v>99</v>
      </c>
      <c r="D42" s="192"/>
      <c r="E42" s="194">
        <f>C46</f>
        <v>0</v>
      </c>
      <c r="F42" s="191">
        <v>4645</v>
      </c>
      <c r="N42" s="4"/>
    </row>
    <row r="43" ht="15.6" spans="1:14">
      <c r="A43" s="53">
        <v>44545</v>
      </c>
      <c r="B43" s="184">
        <v>289.83</v>
      </c>
      <c r="C43" s="193" t="s">
        <v>100</v>
      </c>
      <c r="D43" s="193"/>
      <c r="E43" s="195">
        <v>0</v>
      </c>
      <c r="F43" s="193">
        <v>41682</v>
      </c>
      <c r="N43" s="4"/>
    </row>
    <row r="44" spans="1:6">
      <c r="A44" s="147" t="s">
        <v>138</v>
      </c>
      <c r="B44" s="79" t="s">
        <v>110</v>
      </c>
      <c r="C44" s="79">
        <f>C11</f>
        <v>2</v>
      </c>
      <c r="D44" s="79">
        <f>C12</f>
        <v>3</v>
      </c>
      <c r="E44" s="79">
        <f>E11</f>
        <v>5</v>
      </c>
      <c r="F44" s="79">
        <f>E12</f>
        <v>1</v>
      </c>
    </row>
    <row r="45" spans="1:6">
      <c r="A45" s="151"/>
      <c r="B45" s="79" t="s">
        <v>111</v>
      </c>
      <c r="C45" s="79">
        <v>0</v>
      </c>
      <c r="D45" s="79">
        <v>4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0</v>
      </c>
      <c r="D46" s="79"/>
      <c r="E46" s="79"/>
      <c r="F46" s="79"/>
    </row>
    <row r="47" spans="1:9">
      <c r="A47" s="151"/>
      <c r="B47" s="79" t="s">
        <v>113</v>
      </c>
      <c r="C47" s="148">
        <v>779.000000000003</v>
      </c>
      <c r="D47" s="149"/>
      <c r="E47" s="149"/>
      <c r="F47" s="150"/>
      <c r="I47" s="3" t="str">
        <f>TEXT(A3,"yyyy年mm月dd日")</f>
        <v>2021年12月15日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ZCB1-19截止2021年12月15日累计完成产值10165.33万元，
占总产值90284.4万元的11.26%，
100章临建完成5790.78万元，400章桥梁完成4374.55万元。</v>
      </c>
      <c r="B49" s="83"/>
      <c r="C49" s="83"/>
      <c r="D49" s="83"/>
      <c r="E49" s="83"/>
      <c r="F49" s="84"/>
      <c r="G49" s="4"/>
    </row>
    <row r="50" spans="3:3">
      <c r="C50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4"/>
  <dimension ref="A1:N50"/>
  <sheetViews>
    <sheetView view="pageBreakPreview" zoomScale="85" zoomScaleNormal="70" workbookViewId="0">
      <selection activeCell="H39" sqref="H3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44546</v>
      </c>
      <c r="B3" s="12" t="s">
        <v>7</v>
      </c>
      <c r="C3" s="12">
        <v>0</v>
      </c>
      <c r="D3" s="12">
        <f>ROUND(D11+D12+D13+D14+D15,2)</f>
        <v>42.97</v>
      </c>
      <c r="E3" s="13">
        <f>ROUND(C5+D5,2)</f>
        <v>166.8</v>
      </c>
      <c r="F3" s="143" t="s">
        <v>153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70</v>
      </c>
      <c r="D4" s="12">
        <f>ROUND(F11+F12+F13+F14+F15,2)</f>
        <v>53.83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70</v>
      </c>
      <c r="D5" s="12">
        <f>SUM(D3:D4)</f>
        <v>96.8</v>
      </c>
      <c r="E5" s="13"/>
      <c r="F5" s="144"/>
      <c r="I5" t="str">
        <f>ROUND(E6/90284.4*100,2)&amp;"%"</f>
        <v>11.44%</v>
      </c>
      <c r="J5"/>
      <c r="K5" s="3"/>
      <c r="L5" s="3"/>
    </row>
    <row r="6" ht="60" customHeight="1" spans="1:12">
      <c r="A6" s="132"/>
      <c r="B6" s="8" t="s">
        <v>11</v>
      </c>
      <c r="C6" s="20">
        <v>5860.78</v>
      </c>
      <c r="D6" s="20">
        <v>4471.35</v>
      </c>
      <c r="E6" s="8">
        <f>ROUND(C6+D6,2)</f>
        <v>10332.13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5860.78</v>
      </c>
      <c r="D7" s="20">
        <v>4471.35</v>
      </c>
      <c r="E7" s="8">
        <f>ROUND(C7+D7,2)</f>
        <v>10332.13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44546</v>
      </c>
      <c r="B11" s="32" t="s">
        <v>14</v>
      </c>
      <c r="C11" s="33">
        <v>1</v>
      </c>
      <c r="D11" s="8">
        <v>8.43</v>
      </c>
      <c r="E11" s="33">
        <v>5</v>
      </c>
      <c r="F11" s="8">
        <v>38.55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30.47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42.97</v>
      </c>
      <c r="D16" s="134"/>
      <c r="E16" s="25">
        <f>F11+F12+F13+F14+F15</f>
        <v>53.83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96.8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198</v>
      </c>
      <c r="D27" s="132" t="s">
        <v>75</v>
      </c>
      <c r="E27" s="12">
        <f>C37+D37</f>
        <v>165</v>
      </c>
      <c r="F27" s="12"/>
    </row>
    <row r="28" spans="1:6">
      <c r="A28" s="35"/>
      <c r="B28" s="132" t="s">
        <v>76</v>
      </c>
      <c r="C28" s="12">
        <f>E36+F36</f>
        <v>251</v>
      </c>
      <c r="D28" s="132" t="s">
        <v>77</v>
      </c>
      <c r="E28" s="12">
        <f>E37+F37</f>
        <v>129</v>
      </c>
      <c r="F28" s="12"/>
    </row>
    <row r="29" spans="1:6">
      <c r="A29" s="35"/>
      <c r="B29" s="132" t="s">
        <v>78</v>
      </c>
      <c r="C29" s="12">
        <f>C30-C27-C28</f>
        <v>5331</v>
      </c>
      <c r="D29" s="132" t="s">
        <v>79</v>
      </c>
      <c r="E29" s="12">
        <f>E30-E27-E28</f>
        <v>5486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44537</v>
      </c>
      <c r="B34" s="184">
        <v>43.32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44538</v>
      </c>
      <c r="B35" s="184">
        <v>131.25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44539</v>
      </c>
      <c r="B36" s="184">
        <v>87.96</v>
      </c>
      <c r="C36" s="187">
        <v>144</v>
      </c>
      <c r="D36" s="187">
        <v>54</v>
      </c>
      <c r="E36" s="187">
        <v>226</v>
      </c>
      <c r="F36" s="187">
        <v>25</v>
      </c>
      <c r="N36" s="4"/>
    </row>
    <row r="37" ht="15.6" spans="1:14">
      <c r="A37" s="53">
        <v>44540</v>
      </c>
      <c r="B37" s="184">
        <v>135.52</v>
      </c>
      <c r="C37" s="188">
        <v>125</v>
      </c>
      <c r="D37" s="188">
        <v>40</v>
      </c>
      <c r="E37" s="188">
        <v>129</v>
      </c>
      <c r="F37" s="188">
        <v>0</v>
      </c>
      <c r="N37" s="4"/>
    </row>
    <row r="38" ht="15.6" spans="1:14">
      <c r="A38" s="53">
        <v>44541</v>
      </c>
      <c r="B38" s="184">
        <v>122.2</v>
      </c>
      <c r="C38" s="187" t="s">
        <v>68</v>
      </c>
      <c r="D38" s="187">
        <f>C36+D36+E36+F36</f>
        <v>449</v>
      </c>
      <c r="E38" s="188" t="s">
        <v>69</v>
      </c>
      <c r="F38" s="188">
        <f>C37+D37+E37+F37</f>
        <v>294</v>
      </c>
      <c r="N38" s="4"/>
    </row>
    <row r="39" ht="15.6" spans="1:14">
      <c r="A39" s="53">
        <v>44542</v>
      </c>
      <c r="B39" s="184">
        <v>167.27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44543</v>
      </c>
      <c r="B40" s="184">
        <v>166.57</v>
      </c>
      <c r="C40" s="189" t="s">
        <v>108</v>
      </c>
      <c r="D40" s="190"/>
      <c r="E40" s="194">
        <f>C48</f>
        <v>0</v>
      </c>
      <c r="F40" s="191">
        <v>0</v>
      </c>
      <c r="N40" s="4"/>
    </row>
    <row r="41" ht="15.6" spans="1:14">
      <c r="A41" s="53">
        <v>44544</v>
      </c>
      <c r="B41" s="184">
        <v>244.13</v>
      </c>
      <c r="C41" s="189" t="s">
        <v>109</v>
      </c>
      <c r="D41" s="190"/>
      <c r="E41" s="194">
        <f>C47</f>
        <v>0</v>
      </c>
      <c r="F41" s="191">
        <v>1590.34</v>
      </c>
      <c r="N41" s="4"/>
    </row>
    <row r="42" ht="15.6" spans="1:14">
      <c r="A42" s="53">
        <v>44545</v>
      </c>
      <c r="B42" s="184">
        <v>289.83</v>
      </c>
      <c r="C42" s="189" t="s">
        <v>99</v>
      </c>
      <c r="D42" s="192"/>
      <c r="E42" s="194">
        <f>C46</f>
        <v>100</v>
      </c>
      <c r="F42" s="191">
        <v>4745</v>
      </c>
      <c r="N42" s="4"/>
    </row>
    <row r="43" ht="15.6" spans="1:14">
      <c r="A43" s="53">
        <v>44546</v>
      </c>
      <c r="B43" s="184">
        <v>166.8</v>
      </c>
      <c r="C43" s="193" t="s">
        <v>100</v>
      </c>
      <c r="D43" s="193"/>
      <c r="E43" s="195">
        <v>0</v>
      </c>
      <c r="F43" s="193">
        <v>41682</v>
      </c>
      <c r="N43" s="4"/>
    </row>
    <row r="44" spans="1:6">
      <c r="A44" s="147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5</v>
      </c>
      <c r="F44" s="79">
        <f>E12</f>
        <v>1</v>
      </c>
    </row>
    <row r="45" spans="1:6">
      <c r="A45" s="151"/>
      <c r="B45" s="79" t="s">
        <v>111</v>
      </c>
      <c r="C45" s="79">
        <v>5</v>
      </c>
      <c r="D45" s="79">
        <v>0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2021年12月16日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ZCB1-19截止2021年12月16日累计完成产值10332.13万元，
占总产值90284.4万元的11.44%，
100章临建完成5860.78万元，400章桥梁完成4471.35万元。</v>
      </c>
      <c r="B49" s="83"/>
      <c r="C49" s="83"/>
      <c r="D49" s="83"/>
      <c r="E49" s="83"/>
      <c r="F49" s="84"/>
      <c r="G49" s="4"/>
    </row>
    <row r="50" spans="3:3">
      <c r="C50" s="158"/>
    </row>
  </sheetData>
  <mergeCells count="29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5"/>
  <dimension ref="A1:N50"/>
  <sheetViews>
    <sheetView view="pageBreakPreview" zoomScale="85" zoomScaleNormal="70" topLeftCell="A17" workbookViewId="0">
      <selection activeCell="E36" sqref="E36:F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44547</v>
      </c>
      <c r="B3" s="12" t="s">
        <v>7</v>
      </c>
      <c r="C3" s="12">
        <v>0</v>
      </c>
      <c r="D3" s="12">
        <f>ROUND(D11+D12+D13+D14+D15,2)</f>
        <v>54.38</v>
      </c>
      <c r="E3" s="13">
        <f>ROUND(C5+D5,2)</f>
        <v>180.68</v>
      </c>
      <c r="F3" s="143" t="s">
        <v>154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70</v>
      </c>
      <c r="D4" s="12">
        <f>ROUND(F11+F12+F13+F14+F15,2)</f>
        <v>56.3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70</v>
      </c>
      <c r="D5" s="12">
        <f>SUM(D3:D4)</f>
        <v>110.68</v>
      </c>
      <c r="E5" s="13"/>
      <c r="F5" s="144"/>
      <c r="I5" t="str">
        <f>ROUND(E6/90284.4*100,2)&amp;"%"</f>
        <v>11.64%</v>
      </c>
      <c r="J5"/>
      <c r="K5" s="3"/>
      <c r="L5" s="3"/>
    </row>
    <row r="6" ht="60" customHeight="1" spans="1:12">
      <c r="A6" s="132"/>
      <c r="B6" s="8" t="s">
        <v>11</v>
      </c>
      <c r="C6" s="20">
        <v>5930.78</v>
      </c>
      <c r="D6" s="20">
        <v>4582.03</v>
      </c>
      <c r="E6" s="8">
        <f>ROUND(C6+D6,2)</f>
        <v>10512.81</v>
      </c>
      <c r="F6" s="144"/>
      <c r="I6"/>
      <c r="J6" s="179"/>
      <c r="K6" s="3"/>
      <c r="L6" s="3"/>
    </row>
    <row r="7" ht="60" customHeight="1" spans="1:12">
      <c r="A7" s="132"/>
      <c r="B7" s="8" t="s">
        <v>12</v>
      </c>
      <c r="C7" s="20">
        <v>5930.78</v>
      </c>
      <c r="D7" s="20">
        <v>4582.03</v>
      </c>
      <c r="E7" s="8">
        <f>ROUND(C7+D7,2)</f>
        <v>10512.81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131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44547</v>
      </c>
      <c r="B11" s="32" t="s">
        <v>14</v>
      </c>
      <c r="C11" s="33">
        <v>5</v>
      </c>
      <c r="D11" s="8">
        <v>38.33</v>
      </c>
      <c r="E11" s="33">
        <v>7</v>
      </c>
      <c r="F11" s="8">
        <v>56.302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1</v>
      </c>
      <c r="D12" s="8">
        <v>16.046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54.376</v>
      </c>
      <c r="D16" s="134"/>
      <c r="E16" s="25">
        <f>F11+F12+F13+F14+F15</f>
        <v>56.302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110.678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204</v>
      </c>
      <c r="D27" s="132" t="s">
        <v>75</v>
      </c>
      <c r="E27" s="12">
        <f>C37+D37</f>
        <v>168</v>
      </c>
      <c r="F27" s="12"/>
    </row>
    <row r="28" spans="1:6">
      <c r="A28" s="35"/>
      <c r="B28" s="132" t="s">
        <v>76</v>
      </c>
      <c r="C28" s="12">
        <f>E36+F36</f>
        <v>258</v>
      </c>
      <c r="D28" s="132" t="s">
        <v>77</v>
      </c>
      <c r="E28" s="12">
        <f>E37+F37</f>
        <v>145</v>
      </c>
      <c r="F28" s="12"/>
    </row>
    <row r="29" spans="1:6">
      <c r="A29" s="35"/>
      <c r="B29" s="132" t="s">
        <v>78</v>
      </c>
      <c r="C29" s="12">
        <f>C30-C27-C28</f>
        <v>5318</v>
      </c>
      <c r="D29" s="132" t="s">
        <v>79</v>
      </c>
      <c r="E29" s="12">
        <f>E30-E27-E28</f>
        <v>5467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44538</v>
      </c>
      <c r="B34" s="184">
        <v>131.25</v>
      </c>
      <c r="C34" s="185" t="s">
        <v>32</v>
      </c>
      <c r="D34" s="185"/>
      <c r="E34" s="185" t="s">
        <v>33</v>
      </c>
      <c r="F34" s="185"/>
      <c r="N34" s="4"/>
    </row>
    <row r="35" ht="15.6" spans="1:14">
      <c r="A35" s="53">
        <v>44539</v>
      </c>
      <c r="B35" s="184">
        <v>87.96</v>
      </c>
      <c r="C35" s="186" t="s">
        <v>14</v>
      </c>
      <c r="D35" s="186" t="s">
        <v>15</v>
      </c>
      <c r="E35" s="186" t="s">
        <v>14</v>
      </c>
      <c r="F35" s="186" t="s">
        <v>15</v>
      </c>
      <c r="N35" s="4"/>
    </row>
    <row r="36" ht="15.6" spans="1:14">
      <c r="A36" s="53">
        <v>44540</v>
      </c>
      <c r="B36" s="184">
        <v>135.52</v>
      </c>
      <c r="C36" s="187">
        <v>149</v>
      </c>
      <c r="D36" s="187">
        <v>55</v>
      </c>
      <c r="E36" s="187">
        <v>233</v>
      </c>
      <c r="F36" s="187">
        <v>25</v>
      </c>
      <c r="N36" s="4"/>
    </row>
    <row r="37" ht="15.6" spans="1:14">
      <c r="A37" s="53">
        <v>44541</v>
      </c>
      <c r="B37" s="184">
        <v>122.2</v>
      </c>
      <c r="C37" s="188">
        <v>125</v>
      </c>
      <c r="D37" s="188">
        <v>43</v>
      </c>
      <c r="E37" s="188">
        <v>145</v>
      </c>
      <c r="F37" s="188">
        <v>0</v>
      </c>
      <c r="N37" s="4"/>
    </row>
    <row r="38" ht="15.6" spans="1:14">
      <c r="A38" s="53">
        <v>44542</v>
      </c>
      <c r="B38" s="184">
        <v>167.27</v>
      </c>
      <c r="C38" s="187" t="s">
        <v>68</v>
      </c>
      <c r="D38" s="187">
        <f>C36+D36+E36+F36</f>
        <v>462</v>
      </c>
      <c r="E38" s="188" t="s">
        <v>69</v>
      </c>
      <c r="F38" s="188">
        <f>C37+D37+E37+F37</f>
        <v>313</v>
      </c>
      <c r="N38" s="4"/>
    </row>
    <row r="39" ht="15.6" spans="1:14">
      <c r="A39" s="53">
        <v>44543</v>
      </c>
      <c r="B39" s="184">
        <v>166.57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44544</v>
      </c>
      <c r="B40" s="184">
        <v>244.13</v>
      </c>
      <c r="C40" s="189" t="s">
        <v>108</v>
      </c>
      <c r="D40" s="190"/>
      <c r="E40" s="194">
        <f>C48</f>
        <v>0</v>
      </c>
      <c r="F40" s="191">
        <v>0</v>
      </c>
      <c r="N40" s="4"/>
    </row>
    <row r="41" ht="15.6" spans="1:14">
      <c r="A41" s="53">
        <v>44545</v>
      </c>
      <c r="B41" s="184">
        <v>289.83</v>
      </c>
      <c r="C41" s="189" t="s">
        <v>109</v>
      </c>
      <c r="D41" s="190"/>
      <c r="E41" s="194">
        <f>C47</f>
        <v>0</v>
      </c>
      <c r="F41" s="191">
        <v>1590.34</v>
      </c>
      <c r="N41" s="4"/>
    </row>
    <row r="42" ht="15.6" spans="1:14">
      <c r="A42" s="53">
        <v>44546</v>
      </c>
      <c r="B42" s="184">
        <v>166.8</v>
      </c>
      <c r="C42" s="189" t="s">
        <v>99</v>
      </c>
      <c r="D42" s="192"/>
      <c r="E42" s="194">
        <f>C46</f>
        <v>0</v>
      </c>
      <c r="F42" s="191">
        <v>4745</v>
      </c>
      <c r="N42" s="4"/>
    </row>
    <row r="43" ht="15.6" spans="1:14">
      <c r="A43" s="53">
        <v>44547</v>
      </c>
      <c r="B43" s="184">
        <v>180.68</v>
      </c>
      <c r="C43" s="193" t="s">
        <v>100</v>
      </c>
      <c r="D43" s="193"/>
      <c r="E43" s="195">
        <v>0</v>
      </c>
      <c r="F43" s="193">
        <v>41682</v>
      </c>
      <c r="N43" s="4"/>
    </row>
    <row r="44" spans="1:6">
      <c r="A44" s="147" t="s">
        <v>138</v>
      </c>
      <c r="B44" s="79" t="s">
        <v>110</v>
      </c>
      <c r="C44" s="79">
        <f>C11</f>
        <v>5</v>
      </c>
      <c r="D44" s="79">
        <f>C12</f>
        <v>1</v>
      </c>
      <c r="E44" s="79">
        <f>E11</f>
        <v>7</v>
      </c>
      <c r="F44" s="79">
        <f>E12</f>
        <v>0</v>
      </c>
    </row>
    <row r="45" spans="1:6">
      <c r="A45" s="151"/>
      <c r="B45" s="79" t="s">
        <v>111</v>
      </c>
      <c r="C45" s="79">
        <v>0</v>
      </c>
      <c r="D45" s="79">
        <v>3</v>
      </c>
      <c r="E45" s="79">
        <v>16</v>
      </c>
      <c r="F45" s="79">
        <v>0</v>
      </c>
    </row>
    <row r="46" spans="1:6">
      <c r="A46" s="151"/>
      <c r="B46" s="79" t="s">
        <v>112</v>
      </c>
      <c r="C46" s="79">
        <v>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2021年12月17日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49.95" customHeight="1" spans="1:7">
      <c r="A49" s="82" t="str">
        <f>"ZCB1-19截止"&amp;I47&amp;"累计完成产值"&amp;E6&amp;"万元，
占总产值90284.4万元的"&amp;I5&amp;"，
100章临建完成"&amp;C7&amp;"万元，400章桥梁完成"&amp;D7&amp;"万元。"</f>
        <v>ZCB1-19截止2021年12月17日累计完成产值10512.81万元，
占总产值90284.4万元的11.64%，
100章临建完成5930.78万元，400章桥梁完成4582.03万元。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155</v>
      </c>
      <c r="B50" s="129"/>
      <c r="C50" s="129"/>
      <c r="D50" s="129"/>
      <c r="E50" s="129"/>
      <c r="F50" s="129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5" orientation="portrait" verticalDpi="1200"/>
  <headerFooter/>
  <rowBreaks count="2" manualBreakCount="2">
    <brk id="49" max="16383" man="1"/>
    <brk id="49" max="16383" man="1"/>
  </rowBreaks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6"/>
  <dimension ref="A1:N50"/>
  <sheetViews>
    <sheetView view="pageBreakPreview" zoomScale="85" zoomScaleNormal="70" topLeftCell="A15" workbookViewId="0">
      <selection activeCell="L38" sqref="L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44548</v>
      </c>
      <c r="B3" s="12" t="s">
        <v>7</v>
      </c>
      <c r="C3" s="12">
        <v>0</v>
      </c>
      <c r="D3" s="12">
        <f>ROUND(D11+D12+D13+D14+D15,2)</f>
        <v>50.46</v>
      </c>
      <c r="E3" s="13">
        <f>ROUND(C5+D5,2)</f>
        <v>178.07</v>
      </c>
      <c r="F3" s="143" t="s">
        <v>156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70</v>
      </c>
      <c r="D4" s="12">
        <f>ROUND(F11+F12+F13+F14+F15,2)</f>
        <v>57.61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70</v>
      </c>
      <c r="D5" s="12">
        <f>SUM(D3:D4)</f>
        <v>108.07</v>
      </c>
      <c r="E5" s="13"/>
      <c r="F5" s="144"/>
      <c r="I5" t="str">
        <f>ROUND(E6/90284.4*100,2)&amp;"%"</f>
        <v>11.84%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4690.1</v>
      </c>
      <c r="E6" s="8">
        <f>ROUND(C6+D6,2)</f>
        <v>10690.88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4690.1</v>
      </c>
      <c r="E7" s="8">
        <f>ROUND(C7+D7,2)</f>
        <v>10690.88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44548</v>
      </c>
      <c r="B11" s="32" t="s">
        <v>14</v>
      </c>
      <c r="C11" s="33">
        <v>2</v>
      </c>
      <c r="D11" s="8">
        <v>15.44</v>
      </c>
      <c r="E11" s="33">
        <v>5</v>
      </c>
      <c r="F11" s="8">
        <v>42.328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30.954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50.464</v>
      </c>
      <c r="D16" s="134"/>
      <c r="E16" s="25">
        <f>F11+F12+F13+F14+F15</f>
        <v>57.608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108.072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208</v>
      </c>
      <c r="D27" s="132" t="s">
        <v>75</v>
      </c>
      <c r="E27" s="12">
        <f>C37+D37</f>
        <v>170</v>
      </c>
      <c r="F27" s="12"/>
    </row>
    <row r="28" spans="1:6">
      <c r="A28" s="35"/>
      <c r="B28" s="132" t="s">
        <v>76</v>
      </c>
      <c r="C28" s="12">
        <f>E36+F36</f>
        <v>264</v>
      </c>
      <c r="D28" s="132" t="s">
        <v>77</v>
      </c>
      <c r="E28" s="12">
        <f>E37+F37</f>
        <v>169</v>
      </c>
      <c r="F28" s="12"/>
    </row>
    <row r="29" spans="1:6">
      <c r="A29" s="35"/>
      <c r="B29" s="132" t="s">
        <v>78</v>
      </c>
      <c r="C29" s="12">
        <f>C30-C27-C28</f>
        <v>5308</v>
      </c>
      <c r="D29" s="132" t="s">
        <v>79</v>
      </c>
      <c r="E29" s="12">
        <f>E30-E27-E28</f>
        <v>5441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44539</v>
      </c>
      <c r="B34" s="184">
        <v>87.96</v>
      </c>
      <c r="C34" s="185" t="s">
        <v>32</v>
      </c>
      <c r="D34" s="185"/>
      <c r="E34" s="185" t="s">
        <v>33</v>
      </c>
      <c r="F34" s="185"/>
      <c r="I34" s="3">
        <v>5913</v>
      </c>
      <c r="N34" s="4"/>
    </row>
    <row r="35" ht="15.6" spans="1:14">
      <c r="A35" s="53">
        <v>44540</v>
      </c>
      <c r="B35" s="184">
        <v>135.52</v>
      </c>
      <c r="C35" s="186" t="s">
        <v>14</v>
      </c>
      <c r="D35" s="186" t="s">
        <v>15</v>
      </c>
      <c r="E35" s="186" t="s">
        <v>14</v>
      </c>
      <c r="F35" s="186" t="s">
        <v>15</v>
      </c>
      <c r="I35" s="3">
        <v>5913</v>
      </c>
      <c r="N35" s="4"/>
    </row>
    <row r="36" ht="15.6" spans="1:14">
      <c r="A36" s="53">
        <v>44541</v>
      </c>
      <c r="B36" s="184">
        <v>122.2</v>
      </c>
      <c r="C36" s="187">
        <v>151</v>
      </c>
      <c r="D36" s="187">
        <v>57</v>
      </c>
      <c r="E36" s="187">
        <v>238</v>
      </c>
      <c r="F36" s="187">
        <v>26</v>
      </c>
      <c r="I36" s="3">
        <v>135185</v>
      </c>
      <c r="N36" s="4"/>
    </row>
    <row r="37" ht="15.6" spans="1:14">
      <c r="A37" s="53">
        <v>44542</v>
      </c>
      <c r="B37" s="184">
        <v>167.27</v>
      </c>
      <c r="C37" s="188">
        <v>125</v>
      </c>
      <c r="D37" s="188">
        <v>45</v>
      </c>
      <c r="E37" s="188">
        <v>169</v>
      </c>
      <c r="F37" s="188">
        <v>0</v>
      </c>
      <c r="I37" s="3">
        <v>67098.02</v>
      </c>
      <c r="N37" s="4"/>
    </row>
    <row r="38" ht="15.6" spans="1:14">
      <c r="A38" s="53">
        <v>44543</v>
      </c>
      <c r="B38" s="184">
        <v>166.57</v>
      </c>
      <c r="C38" s="187" t="s">
        <v>68</v>
      </c>
      <c r="D38" s="187">
        <f>C36+D36+E36+F36</f>
        <v>472</v>
      </c>
      <c r="E38" s="188" t="s">
        <v>69</v>
      </c>
      <c r="F38" s="188">
        <f>C37+D37+E37+F37</f>
        <v>339</v>
      </c>
      <c r="I38" s="3">
        <v>405202.2</v>
      </c>
      <c r="N38" s="4"/>
    </row>
    <row r="39" ht="15.6" spans="1:14">
      <c r="A39" s="53">
        <v>44544</v>
      </c>
      <c r="B39" s="184">
        <v>244.13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44545</v>
      </c>
      <c r="B40" s="184">
        <v>289.83</v>
      </c>
      <c r="C40" s="189" t="s">
        <v>108</v>
      </c>
      <c r="D40" s="190"/>
      <c r="E40" s="194">
        <f>C48</f>
        <v>0</v>
      </c>
      <c r="F40" s="191">
        <v>0</v>
      </c>
      <c r="I40" s="3" t="str">
        <f>ROUND(D38/I34*100,2)&amp;"%"</f>
        <v>7.98%</v>
      </c>
      <c r="N40" s="4"/>
    </row>
    <row r="41" ht="15.6" spans="1:14">
      <c r="A41" s="53">
        <v>44546</v>
      </c>
      <c r="B41" s="184">
        <v>166.8</v>
      </c>
      <c r="C41" s="189" t="s">
        <v>109</v>
      </c>
      <c r="D41" s="190"/>
      <c r="E41" s="194">
        <f>C47</f>
        <v>0</v>
      </c>
      <c r="F41" s="191">
        <v>1590.44</v>
      </c>
      <c r="I41" s="3" t="str">
        <f>ROUND(F38/I35*100,2)&amp;"%"</f>
        <v>5.73%</v>
      </c>
      <c r="N41" s="4"/>
    </row>
    <row r="42" ht="15.6" spans="1:14">
      <c r="A42" s="53">
        <v>44547</v>
      </c>
      <c r="B42" s="184">
        <v>180.68</v>
      </c>
      <c r="C42" s="189" t="s">
        <v>99</v>
      </c>
      <c r="D42" s="192"/>
      <c r="E42" s="194">
        <f>C46</f>
        <v>100</v>
      </c>
      <c r="F42" s="191">
        <v>4845</v>
      </c>
      <c r="I42" s="3" t="str">
        <f>ROUND(F42/I36*100,2)&amp;"%"</f>
        <v>3.58%</v>
      </c>
      <c r="N42" s="4"/>
    </row>
    <row r="43" ht="15.6" spans="1:14">
      <c r="A43" s="53">
        <v>44548</v>
      </c>
      <c r="B43" s="184">
        <v>178.07</v>
      </c>
      <c r="C43" s="193" t="s">
        <v>100</v>
      </c>
      <c r="D43" s="193"/>
      <c r="E43" s="195">
        <v>0</v>
      </c>
      <c r="F43" s="193">
        <v>41682</v>
      </c>
      <c r="I43" s="3" t="str">
        <f>ROUND(F41/I37*100,2)&amp;"%"</f>
        <v>2.37%</v>
      </c>
      <c r="N43" s="4"/>
    </row>
    <row r="44" spans="1:9">
      <c r="A44" s="147" t="s">
        <v>138</v>
      </c>
      <c r="B44" s="79" t="s">
        <v>110</v>
      </c>
      <c r="C44" s="79">
        <f>C11</f>
        <v>2</v>
      </c>
      <c r="D44" s="79">
        <f>C12</f>
        <v>2</v>
      </c>
      <c r="E44" s="79">
        <f>E11</f>
        <v>5</v>
      </c>
      <c r="F44" s="79">
        <f>E12</f>
        <v>1</v>
      </c>
      <c r="I44" s="3" t="str">
        <f>ROUND(F40/I38*100,2)&amp;"%"</f>
        <v>0%</v>
      </c>
    </row>
    <row r="45" spans="1:6">
      <c r="A45" s="151"/>
      <c r="B45" s="79" t="s">
        <v>111</v>
      </c>
      <c r="C45" s="79">
        <v>0</v>
      </c>
      <c r="D45" s="79">
        <v>2</v>
      </c>
      <c r="E45" s="79">
        <v>24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2021年12月18日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18日累计完成产值10690.88万元，占总产值90284.4万元的11.84%，100章临建完成6000.78万元，400章桥梁完成4690.1万元。已完成梁片预制472片，占设计量的7.98%；梁片安装339片，占设计量的5.73%；湿接缝4845米，占设计量的3.58%；防撞护栏1590.44，占设计量的2.37%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155</v>
      </c>
      <c r="B50" s="129"/>
      <c r="C50" s="129"/>
      <c r="D50" s="129"/>
      <c r="E50" s="129"/>
      <c r="F50" s="129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7"/>
  <dimension ref="A1:N50"/>
  <sheetViews>
    <sheetView view="pageBreakPreview" zoomScale="85" zoomScaleNormal="70" topLeftCell="A21" workbookViewId="0">
      <selection activeCell="C37" sqref="C3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44549</v>
      </c>
      <c r="B3" s="12" t="s">
        <v>7</v>
      </c>
      <c r="C3" s="12">
        <v>0</v>
      </c>
      <c r="D3" s="12">
        <f>ROUND(D11+D12+D13+D14+D15,2)</f>
        <v>50.72</v>
      </c>
      <c r="E3" s="13">
        <f>ROUND(C5+D5,2)</f>
        <v>123.13</v>
      </c>
      <c r="F3" s="143" t="s">
        <v>158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72.41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123.13</v>
      </c>
      <c r="E5" s="13"/>
      <c r="F5" s="144"/>
      <c r="I5" t="str">
        <f>ROUND(E6/90284.4*100,2)&amp;"%"</f>
        <v>11.98%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4813.23</v>
      </c>
      <c r="E6" s="8">
        <f>ROUND(C6+D6,2)</f>
        <v>10814.01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4813.23</v>
      </c>
      <c r="E7" s="8">
        <f>ROUND(C7+D7,2)</f>
        <v>10814.01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44549</v>
      </c>
      <c r="B11" s="32" t="s">
        <v>14</v>
      </c>
      <c r="C11" s="33">
        <v>0</v>
      </c>
      <c r="D11" s="8">
        <v>0.81</v>
      </c>
      <c r="E11" s="33">
        <v>5</v>
      </c>
      <c r="F11" s="8">
        <v>41.844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3</v>
      </c>
      <c r="D12" s="8">
        <v>45.84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4.07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50.72</v>
      </c>
      <c r="D16" s="134"/>
      <c r="E16" s="25">
        <f>F11+F12+F13+F14+F15</f>
        <v>72.414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123.134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210</v>
      </c>
      <c r="D27" s="132" t="s">
        <v>75</v>
      </c>
      <c r="E27" s="12">
        <f>C37+D37</f>
        <v>175</v>
      </c>
      <c r="F27" s="12"/>
    </row>
    <row r="28" spans="1:6">
      <c r="A28" s="35"/>
      <c r="B28" s="132" t="s">
        <v>76</v>
      </c>
      <c r="C28" s="12">
        <f>E36+F36</f>
        <v>272</v>
      </c>
      <c r="D28" s="132" t="s">
        <v>77</v>
      </c>
      <c r="E28" s="12">
        <f>E37+F37</f>
        <v>191</v>
      </c>
      <c r="F28" s="12"/>
    </row>
    <row r="29" spans="1:6">
      <c r="A29" s="35"/>
      <c r="B29" s="132" t="s">
        <v>78</v>
      </c>
      <c r="C29" s="12">
        <f>C30-C27-C28</f>
        <v>5298</v>
      </c>
      <c r="D29" s="132" t="s">
        <v>79</v>
      </c>
      <c r="E29" s="12">
        <f>E30-E27-E28</f>
        <v>5414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44540</v>
      </c>
      <c r="B34" s="184">
        <v>135.52</v>
      </c>
      <c r="C34" s="185" t="s">
        <v>32</v>
      </c>
      <c r="D34" s="185"/>
      <c r="E34" s="185" t="s">
        <v>33</v>
      </c>
      <c r="F34" s="185"/>
      <c r="I34" s="3">
        <v>5913</v>
      </c>
      <c r="N34" s="4"/>
    </row>
    <row r="35" ht="15.6" spans="1:14">
      <c r="A35" s="53">
        <v>44541</v>
      </c>
      <c r="B35" s="184">
        <v>122.2</v>
      </c>
      <c r="C35" s="186" t="s">
        <v>14</v>
      </c>
      <c r="D35" s="186" t="s">
        <v>15</v>
      </c>
      <c r="E35" s="186" t="s">
        <v>14</v>
      </c>
      <c r="F35" s="186" t="s">
        <v>15</v>
      </c>
      <c r="I35" s="3">
        <v>5913</v>
      </c>
      <c r="N35" s="4"/>
    </row>
    <row r="36" ht="15.6" spans="1:14">
      <c r="A36" s="53">
        <v>44542</v>
      </c>
      <c r="B36" s="184">
        <v>167.27</v>
      </c>
      <c r="C36" s="187">
        <v>150</v>
      </c>
      <c r="D36" s="187">
        <v>60</v>
      </c>
      <c r="E36" s="187">
        <v>244</v>
      </c>
      <c r="F36" s="187">
        <v>28</v>
      </c>
      <c r="I36" s="3">
        <v>135185</v>
      </c>
      <c r="N36" s="4"/>
    </row>
    <row r="37" ht="15.6" spans="1:14">
      <c r="A37" s="53">
        <v>44543</v>
      </c>
      <c r="B37" s="184">
        <v>166.57</v>
      </c>
      <c r="C37" s="188">
        <v>130</v>
      </c>
      <c r="D37" s="188">
        <v>45</v>
      </c>
      <c r="E37" s="188">
        <v>191</v>
      </c>
      <c r="F37" s="188">
        <v>0</v>
      </c>
      <c r="I37" s="3">
        <v>67098.02</v>
      </c>
      <c r="N37" s="4"/>
    </row>
    <row r="38" ht="15.6" spans="1:14">
      <c r="A38" s="53">
        <v>44544</v>
      </c>
      <c r="B38" s="184">
        <v>244.13</v>
      </c>
      <c r="C38" s="187" t="s">
        <v>68</v>
      </c>
      <c r="D38" s="187">
        <f>C36+D36+E36+F36</f>
        <v>482</v>
      </c>
      <c r="E38" s="188" t="s">
        <v>69</v>
      </c>
      <c r="F38" s="188">
        <f>C37+D37+E37+F37</f>
        <v>366</v>
      </c>
      <c r="I38" s="3">
        <v>405202.2</v>
      </c>
      <c r="N38" s="4"/>
    </row>
    <row r="39" ht="15.6" spans="1:14">
      <c r="A39" s="53">
        <v>44545</v>
      </c>
      <c r="B39" s="184">
        <v>289.83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44546</v>
      </c>
      <c r="B40" s="184">
        <v>166.8</v>
      </c>
      <c r="C40" s="189" t="s">
        <v>108</v>
      </c>
      <c r="D40" s="190"/>
      <c r="E40" s="194">
        <f>C48</f>
        <v>0</v>
      </c>
      <c r="F40" s="191">
        <v>0</v>
      </c>
      <c r="I40" s="3" t="str">
        <f>ROUND(D38/I34*100,2)&amp;"%"</f>
        <v>8.15%</v>
      </c>
      <c r="N40" s="4"/>
    </row>
    <row r="41" ht="15.6" spans="1:14">
      <c r="A41" s="53">
        <v>44547</v>
      </c>
      <c r="B41" s="184">
        <v>180.68</v>
      </c>
      <c r="C41" s="189" t="s">
        <v>109</v>
      </c>
      <c r="D41" s="190"/>
      <c r="E41" s="194">
        <f>C47</f>
        <v>0</v>
      </c>
      <c r="F41" s="191">
        <v>1590.44</v>
      </c>
      <c r="I41" s="3" t="str">
        <f>ROUND(F38/I35*100,2)&amp;"%"</f>
        <v>6.19%</v>
      </c>
      <c r="N41" s="4"/>
    </row>
    <row r="42" ht="15.6" spans="1:14">
      <c r="A42" s="53">
        <v>44548</v>
      </c>
      <c r="B42" s="184">
        <v>178.07</v>
      </c>
      <c r="C42" s="189" t="s">
        <v>99</v>
      </c>
      <c r="D42" s="192"/>
      <c r="E42" s="194">
        <f>C46</f>
        <v>100</v>
      </c>
      <c r="F42" s="191">
        <v>4945</v>
      </c>
      <c r="I42" s="3" t="str">
        <f>ROUND(F42/I36*100,2)&amp;"%"</f>
        <v>3.66%</v>
      </c>
      <c r="N42" s="4"/>
    </row>
    <row r="43" ht="15.6" spans="1:14">
      <c r="A43" s="53">
        <v>44549</v>
      </c>
      <c r="B43" s="184">
        <v>123.13</v>
      </c>
      <c r="C43" s="193" t="s">
        <v>100</v>
      </c>
      <c r="D43" s="193"/>
      <c r="E43" s="195">
        <v>0</v>
      </c>
      <c r="F43" s="193">
        <v>41682</v>
      </c>
      <c r="I43" s="3" t="str">
        <f>ROUND(F41/I37*100,2)&amp;"%"</f>
        <v>2.37%</v>
      </c>
      <c r="N43" s="4"/>
    </row>
    <row r="44" spans="1:9">
      <c r="A44" s="147" t="s">
        <v>138</v>
      </c>
      <c r="B44" s="79" t="s">
        <v>110</v>
      </c>
      <c r="C44" s="79">
        <f>C11</f>
        <v>0</v>
      </c>
      <c r="D44" s="79">
        <f>C12</f>
        <v>3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51"/>
      <c r="B45" s="79" t="s">
        <v>111</v>
      </c>
      <c r="C45" s="79">
        <v>5</v>
      </c>
      <c r="D45" s="79">
        <v>0</v>
      </c>
      <c r="E45" s="79">
        <v>22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2021年12月19日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19日累计完成产值10814.01万元，占总产值90284.4万元的11.98%，100章临建完成6000.78万元，400章桥梁完成4813.23万元。已完成梁片预制482片，占设计量的8.15%；梁片安装366片，占设计量的6.19%；湿接缝4945米，占设计量的3.66%；防撞护栏1590.44，占设计量的2.37%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155</v>
      </c>
      <c r="B50" s="129"/>
      <c r="C50" s="129"/>
      <c r="D50" s="129"/>
      <c r="E50" s="129"/>
      <c r="F50" s="129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8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44550</v>
      </c>
      <c r="B3" s="12" t="s">
        <v>7</v>
      </c>
      <c r="C3" s="12">
        <v>0</v>
      </c>
      <c r="D3" s="12">
        <f>ROUND(D11+D12+D13+D14+D15,2)</f>
        <v>48.12</v>
      </c>
      <c r="E3" s="13">
        <f>ROUND(C5+D5,2)</f>
        <v>73.94</v>
      </c>
      <c r="F3" s="143" t="s">
        <v>159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25.82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73.94</v>
      </c>
      <c r="E5" s="13"/>
      <c r="F5" s="144"/>
      <c r="I5" t="str">
        <f>ROUND(E6/90284.4*100,2)&amp;"%"</f>
        <v>12.06%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4887.17</v>
      </c>
      <c r="E6" s="8">
        <f>ROUND(C6+D6,2)</f>
        <v>10887.95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4887.17</v>
      </c>
      <c r="E7" s="8">
        <f>ROUND(C7+D7,2)</f>
        <v>10887.95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44550</v>
      </c>
      <c r="B11" s="32" t="s">
        <v>14</v>
      </c>
      <c r="C11" s="33">
        <v>1</v>
      </c>
      <c r="D11" s="8">
        <v>7.62</v>
      </c>
      <c r="E11" s="33">
        <v>3</v>
      </c>
      <c r="F11" s="8">
        <v>25.824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1</v>
      </c>
      <c r="D12" s="8">
        <v>15.532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100</v>
      </c>
      <c r="D13" s="8">
        <v>4.14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220.8</v>
      </c>
      <c r="D14" s="8">
        <v>20.83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48.122</v>
      </c>
      <c r="D16" s="134"/>
      <c r="E16" s="25">
        <f>F11+F12+F13+F14+F15</f>
        <v>25.824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73.946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212</v>
      </c>
      <c r="D27" s="132" t="s">
        <v>75</v>
      </c>
      <c r="E27" s="12">
        <f>C37+D37</f>
        <v>176</v>
      </c>
      <c r="F27" s="12"/>
    </row>
    <row r="28" spans="1:6">
      <c r="A28" s="35"/>
      <c r="B28" s="132" t="s">
        <v>76</v>
      </c>
      <c r="C28" s="12">
        <f>E36+F36</f>
        <v>275</v>
      </c>
      <c r="D28" s="132" t="s">
        <v>77</v>
      </c>
      <c r="E28" s="12">
        <f>E37+F37</f>
        <v>208</v>
      </c>
      <c r="F28" s="12"/>
    </row>
    <row r="29" spans="1:6">
      <c r="A29" s="35"/>
      <c r="B29" s="132" t="s">
        <v>78</v>
      </c>
      <c r="C29" s="12">
        <f>C30-C27-C28</f>
        <v>5293</v>
      </c>
      <c r="D29" s="132" t="s">
        <v>79</v>
      </c>
      <c r="E29" s="12">
        <f>E30-E27-E28</f>
        <v>5396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44541</v>
      </c>
      <c r="B34" s="184">
        <v>122.2</v>
      </c>
      <c r="C34" s="185" t="s">
        <v>32</v>
      </c>
      <c r="D34" s="185"/>
      <c r="E34" s="185" t="s">
        <v>33</v>
      </c>
      <c r="F34" s="185"/>
      <c r="I34" s="3">
        <v>5913</v>
      </c>
      <c r="N34" s="4"/>
    </row>
    <row r="35" ht="15.6" spans="1:14">
      <c r="A35" s="53">
        <v>44542</v>
      </c>
      <c r="B35" s="184">
        <v>167.27</v>
      </c>
      <c r="C35" s="186" t="s">
        <v>14</v>
      </c>
      <c r="D35" s="186" t="s">
        <v>15</v>
      </c>
      <c r="E35" s="186" t="s">
        <v>14</v>
      </c>
      <c r="F35" s="186" t="s">
        <v>15</v>
      </c>
      <c r="I35" s="3">
        <v>5913</v>
      </c>
      <c r="N35" s="4"/>
    </row>
    <row r="36" ht="15.6" spans="1:14">
      <c r="A36" s="53">
        <v>44543</v>
      </c>
      <c r="B36" s="184">
        <v>166.57</v>
      </c>
      <c r="C36" s="187">
        <v>151</v>
      </c>
      <c r="D36" s="187">
        <v>61</v>
      </c>
      <c r="E36" s="187">
        <v>247</v>
      </c>
      <c r="F36" s="187">
        <v>28</v>
      </c>
      <c r="I36" s="3">
        <v>135185</v>
      </c>
      <c r="N36" s="4"/>
    </row>
    <row r="37" ht="15.6" spans="1:14">
      <c r="A37" s="53">
        <v>44544</v>
      </c>
      <c r="B37" s="184">
        <v>244.13</v>
      </c>
      <c r="C37" s="188">
        <v>130</v>
      </c>
      <c r="D37" s="188">
        <v>46</v>
      </c>
      <c r="E37" s="188">
        <v>208</v>
      </c>
      <c r="F37" s="188">
        <v>0</v>
      </c>
      <c r="I37" s="3">
        <v>67098.02</v>
      </c>
      <c r="N37" s="4"/>
    </row>
    <row r="38" ht="15.6" spans="1:14">
      <c r="A38" s="53">
        <v>44545</v>
      </c>
      <c r="B38" s="184">
        <v>289.83</v>
      </c>
      <c r="C38" s="187" t="s">
        <v>68</v>
      </c>
      <c r="D38" s="187">
        <f>C36+D36+E36+F36</f>
        <v>487</v>
      </c>
      <c r="E38" s="188" t="s">
        <v>69</v>
      </c>
      <c r="F38" s="188">
        <f>C37+D37+E37+F37</f>
        <v>384</v>
      </c>
      <c r="I38" s="3">
        <v>405202.2</v>
      </c>
      <c r="N38" s="4"/>
    </row>
    <row r="39" ht="15.6" spans="1:14">
      <c r="A39" s="53">
        <v>44546</v>
      </c>
      <c r="B39" s="184">
        <v>166.8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44547</v>
      </c>
      <c r="B40" s="184">
        <v>180.68</v>
      </c>
      <c r="C40" s="189" t="s">
        <v>108</v>
      </c>
      <c r="D40" s="190"/>
      <c r="E40" s="194">
        <f>C48</f>
        <v>0</v>
      </c>
      <c r="F40" s="191">
        <v>0</v>
      </c>
      <c r="I40" s="3" t="str">
        <f>ROUND(D38/I34*100,2)&amp;"%"</f>
        <v>8.24%</v>
      </c>
      <c r="N40" s="4"/>
    </row>
    <row r="41" ht="15.6" spans="1:14">
      <c r="A41" s="53">
        <v>44548</v>
      </c>
      <c r="B41" s="184">
        <v>178.07</v>
      </c>
      <c r="C41" s="189" t="s">
        <v>109</v>
      </c>
      <c r="D41" s="190"/>
      <c r="E41" s="194">
        <f>C47</f>
        <v>220.8</v>
      </c>
      <c r="F41" s="191">
        <v>1811.24</v>
      </c>
      <c r="I41" s="3" t="str">
        <f>ROUND(F38/I35*100,2)&amp;"%"</f>
        <v>6.49%</v>
      </c>
      <c r="N41" s="4"/>
    </row>
    <row r="42" ht="15.6" spans="1:14">
      <c r="A42" s="53">
        <v>44549</v>
      </c>
      <c r="B42" s="184">
        <v>123.13</v>
      </c>
      <c r="C42" s="189" t="s">
        <v>99</v>
      </c>
      <c r="D42" s="192"/>
      <c r="E42" s="194">
        <f>C46</f>
        <v>100</v>
      </c>
      <c r="F42" s="191">
        <v>5045</v>
      </c>
      <c r="I42" s="3" t="str">
        <f>ROUND(F42/I36*100,2)&amp;"%"</f>
        <v>3.73%</v>
      </c>
      <c r="N42" s="4"/>
    </row>
    <row r="43" ht="15.6" spans="1:14">
      <c r="A43" s="53">
        <v>44550</v>
      </c>
      <c r="B43" s="184">
        <v>73.94</v>
      </c>
      <c r="C43" s="193" t="s">
        <v>100</v>
      </c>
      <c r="D43" s="193"/>
      <c r="E43" s="195">
        <v>0</v>
      </c>
      <c r="F43" s="193">
        <v>41682</v>
      </c>
      <c r="I43" s="3" t="str">
        <f>ROUND(F41/I37*100,2)&amp;"%"</f>
        <v>2.7%</v>
      </c>
      <c r="N43" s="4"/>
    </row>
    <row r="44" spans="1:9">
      <c r="A44" s="147" t="s">
        <v>138</v>
      </c>
      <c r="B44" s="79" t="s">
        <v>110</v>
      </c>
      <c r="C44" s="79">
        <f>C11</f>
        <v>1</v>
      </c>
      <c r="D44" s="79">
        <f>C12</f>
        <v>1</v>
      </c>
      <c r="E44" s="79">
        <f>E11</f>
        <v>3</v>
      </c>
      <c r="F44" s="79">
        <f>E12</f>
        <v>0</v>
      </c>
      <c r="I44" s="3" t="str">
        <f>ROUND(F40/I38*100,2)&amp;"%"</f>
        <v>0%</v>
      </c>
    </row>
    <row r="45" spans="1:6">
      <c r="A45" s="151"/>
      <c r="B45" s="79" t="s">
        <v>111</v>
      </c>
      <c r="C45" s="79">
        <v>0</v>
      </c>
      <c r="D45" s="79">
        <v>1</v>
      </c>
      <c r="E45" s="79">
        <v>17</v>
      </c>
      <c r="F45" s="79">
        <v>0</v>
      </c>
    </row>
    <row r="46" spans="1:6">
      <c r="A46" s="151"/>
      <c r="B46" s="79" t="s">
        <v>112</v>
      </c>
      <c r="C46" s="79">
        <v>100</v>
      </c>
      <c r="D46" s="79"/>
      <c r="E46" s="79"/>
      <c r="F46" s="79"/>
    </row>
    <row r="47" spans="1:9">
      <c r="A47" s="151"/>
      <c r="B47" s="79" t="s">
        <v>113</v>
      </c>
      <c r="C47" s="148">
        <v>220.8</v>
      </c>
      <c r="D47" s="149"/>
      <c r="E47" s="149"/>
      <c r="F47" s="150"/>
      <c r="I47" s="3" t="str">
        <f>TEXT(A3,"yyyy年mm月dd日")</f>
        <v>2021年12月20日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20日累计完成产值10887.95万元，占总产值90284.4万元的12.06%，100章临建完成6000.78万元，400章桥梁完成4887.17万元。已完成梁片预制487片，占设计量的8.24%；梁片安装384片，占设计量的6.49%；湿接缝5045米，占设计量的3.73%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155</v>
      </c>
      <c r="B50" s="129"/>
      <c r="C50" s="129"/>
      <c r="D50" s="129"/>
      <c r="E50" s="129"/>
      <c r="F50" s="129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44551</v>
      </c>
      <c r="B3" s="12" t="s">
        <v>7</v>
      </c>
      <c r="C3" s="12">
        <v>0</v>
      </c>
      <c r="D3" s="12">
        <f>ROUND(D11+D12+D13+D14+D15,2)</f>
        <v>45.88</v>
      </c>
      <c r="E3" s="13">
        <f>ROUND(C5+D5,2)</f>
        <v>122.65</v>
      </c>
      <c r="F3" s="143" t="s">
        <v>160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76.77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122.65</v>
      </c>
      <c r="E5" s="13"/>
      <c r="F5" s="144"/>
      <c r="I5" t="str">
        <f>ROUND(E6/90284.4*100,2)&amp;"%"</f>
        <v>12.2%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5009.82</v>
      </c>
      <c r="E6" s="8">
        <f>ROUND(C6+D6,2)</f>
        <v>11010.6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5009.82</v>
      </c>
      <c r="E7" s="8">
        <f>ROUND(C7+D7,2)</f>
        <v>11010.6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44551</v>
      </c>
      <c r="B11" s="32" t="s">
        <v>14</v>
      </c>
      <c r="C11" s="33">
        <v>1</v>
      </c>
      <c r="D11" s="8">
        <v>7.82</v>
      </c>
      <c r="E11" s="33">
        <v>8</v>
      </c>
      <c r="F11" s="8">
        <v>61.48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31.528</v>
      </c>
      <c r="E12" s="33">
        <v>1</v>
      </c>
      <c r="F12" s="8">
        <v>15.29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45.878</v>
      </c>
      <c r="D16" s="134"/>
      <c r="E16" s="25">
        <f>F11+F12+F13+F14+F15</f>
        <v>76.77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122.648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215</v>
      </c>
      <c r="D27" s="132" t="s">
        <v>75</v>
      </c>
      <c r="E27" s="12">
        <f>C37+D37</f>
        <v>180</v>
      </c>
      <c r="F27" s="12"/>
    </row>
    <row r="28" spans="1:6">
      <c r="A28" s="35"/>
      <c r="B28" s="132" t="s">
        <v>76</v>
      </c>
      <c r="C28" s="12">
        <f>E36+F36</f>
        <v>284</v>
      </c>
      <c r="D28" s="132" t="s">
        <v>77</v>
      </c>
      <c r="E28" s="12">
        <f>E37+F37</f>
        <v>208</v>
      </c>
      <c r="F28" s="12"/>
    </row>
    <row r="29" spans="1:6">
      <c r="A29" s="35"/>
      <c r="B29" s="132" t="s">
        <v>78</v>
      </c>
      <c r="C29" s="12">
        <f>C30-C27-C28</f>
        <v>5281</v>
      </c>
      <c r="D29" s="132" t="s">
        <v>79</v>
      </c>
      <c r="E29" s="12">
        <f>E30-E27-E28</f>
        <v>5392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44542</v>
      </c>
      <c r="B34" s="184">
        <v>167.27</v>
      </c>
      <c r="C34" s="185" t="s">
        <v>32</v>
      </c>
      <c r="D34" s="185"/>
      <c r="E34" s="185" t="s">
        <v>33</v>
      </c>
      <c r="F34" s="185"/>
      <c r="I34" s="3">
        <v>5913</v>
      </c>
      <c r="N34" s="4"/>
    </row>
    <row r="35" ht="15.6" spans="1:14">
      <c r="A35" s="53">
        <v>44543</v>
      </c>
      <c r="B35" s="184">
        <v>166.57</v>
      </c>
      <c r="C35" s="186" t="s">
        <v>14</v>
      </c>
      <c r="D35" s="186" t="s">
        <v>15</v>
      </c>
      <c r="E35" s="186" t="s">
        <v>14</v>
      </c>
      <c r="F35" s="186" t="s">
        <v>15</v>
      </c>
      <c r="I35" s="3">
        <v>5913</v>
      </c>
      <c r="N35" s="4"/>
    </row>
    <row r="36" ht="15.6" spans="1:14">
      <c r="A36" s="53">
        <v>44544</v>
      </c>
      <c r="B36" s="184">
        <v>244.13</v>
      </c>
      <c r="C36" s="187">
        <v>152</v>
      </c>
      <c r="D36" s="187">
        <v>63</v>
      </c>
      <c r="E36" s="187">
        <v>255</v>
      </c>
      <c r="F36" s="187">
        <v>29</v>
      </c>
      <c r="I36" s="3">
        <v>135185</v>
      </c>
      <c r="N36" s="4"/>
    </row>
    <row r="37" ht="15.6" spans="1:14">
      <c r="A37" s="53">
        <v>44545</v>
      </c>
      <c r="B37" s="184">
        <v>289.83</v>
      </c>
      <c r="C37" s="188">
        <v>130</v>
      </c>
      <c r="D37" s="188">
        <v>50</v>
      </c>
      <c r="E37" s="188">
        <v>208</v>
      </c>
      <c r="F37" s="188">
        <v>0</v>
      </c>
      <c r="I37" s="3">
        <v>67098.02</v>
      </c>
      <c r="N37" s="4"/>
    </row>
    <row r="38" ht="15.6" spans="1:14">
      <c r="A38" s="53">
        <v>44546</v>
      </c>
      <c r="B38" s="184">
        <v>166.8</v>
      </c>
      <c r="C38" s="187" t="s">
        <v>68</v>
      </c>
      <c r="D38" s="187">
        <f>C36+D36+E36+F36</f>
        <v>499</v>
      </c>
      <c r="E38" s="188" t="s">
        <v>69</v>
      </c>
      <c r="F38" s="188">
        <f>C37+D37+E37+F37</f>
        <v>388</v>
      </c>
      <c r="I38" s="3">
        <v>405202.2</v>
      </c>
      <c r="N38" s="4"/>
    </row>
    <row r="39" ht="15.6" spans="1:14">
      <c r="A39" s="53">
        <v>44547</v>
      </c>
      <c r="B39" s="184">
        <v>180.68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44548</v>
      </c>
      <c r="B40" s="184">
        <v>178.07</v>
      </c>
      <c r="C40" s="189" t="s">
        <v>108</v>
      </c>
      <c r="D40" s="190"/>
      <c r="E40" s="194">
        <f>C48</f>
        <v>0</v>
      </c>
      <c r="F40" s="191">
        <v>0</v>
      </c>
      <c r="I40" s="3" t="str">
        <f>ROUND(D38/I34*100,2)&amp;"%"</f>
        <v>8.44%</v>
      </c>
      <c r="N40" s="4"/>
    </row>
    <row r="41" ht="15.6" spans="1:14">
      <c r="A41" s="53">
        <v>44549</v>
      </c>
      <c r="B41" s="184">
        <v>123.13</v>
      </c>
      <c r="C41" s="189" t="s">
        <v>109</v>
      </c>
      <c r="D41" s="190"/>
      <c r="E41" s="194">
        <f>C47</f>
        <v>0</v>
      </c>
      <c r="F41" s="191">
        <v>1811.24</v>
      </c>
      <c r="I41" s="3" t="str">
        <f>ROUND(F38/I35*100,2)&amp;"%"</f>
        <v>6.56%</v>
      </c>
      <c r="N41" s="4"/>
    </row>
    <row r="42" ht="15.6" spans="1:14">
      <c r="A42" s="53">
        <v>44550</v>
      </c>
      <c r="B42" s="184">
        <v>73.94</v>
      </c>
      <c r="C42" s="189" t="s">
        <v>99</v>
      </c>
      <c r="D42" s="192"/>
      <c r="E42" s="194">
        <f>C46</f>
        <v>160</v>
      </c>
      <c r="F42" s="191">
        <v>5205</v>
      </c>
      <c r="I42" s="3" t="str">
        <f>ROUND(F42/I36*100,2)&amp;"%"</f>
        <v>3.85%</v>
      </c>
      <c r="N42" s="4"/>
    </row>
    <row r="43" ht="15.6" spans="1:14">
      <c r="A43" s="53">
        <v>44551</v>
      </c>
      <c r="B43" s="184">
        <v>122.65</v>
      </c>
      <c r="C43" s="193" t="s">
        <v>100</v>
      </c>
      <c r="D43" s="193"/>
      <c r="E43" s="195">
        <v>0</v>
      </c>
      <c r="F43" s="193">
        <v>41682</v>
      </c>
      <c r="I43" s="3" t="str">
        <f>ROUND(F41/I37*100,2)&amp;"%"</f>
        <v>2.7%</v>
      </c>
      <c r="N43" s="4"/>
    </row>
    <row r="44" spans="1:9">
      <c r="A44" s="147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8</v>
      </c>
      <c r="F44" s="79">
        <f>E12</f>
        <v>1</v>
      </c>
      <c r="I44" s="3" t="str">
        <f>ROUND(F40/I38*100,2)&amp;"%"</f>
        <v>0%</v>
      </c>
    </row>
    <row r="45" spans="1:6">
      <c r="A45" s="151"/>
      <c r="B45" s="79" t="s">
        <v>111</v>
      </c>
      <c r="C45" s="79">
        <v>0</v>
      </c>
      <c r="D45" s="79">
        <v>4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160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2021年12月21日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21日累计完成产值11010.6万元，占总产值90284.4万元的12.2%，100章临建完成6000.78万元，400章桥梁完成5009.82万元。已完成梁片预制499片，占设计量的8.44%；梁片安装388片，占设计量的6.56%；湿接缝5205米，占设计量的3.85%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155</v>
      </c>
      <c r="B50" s="129"/>
      <c r="C50" s="129"/>
      <c r="D50" s="129"/>
      <c r="E50" s="129"/>
      <c r="F50" s="129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0"/>
  <sheetViews>
    <sheetView topLeftCell="A22" workbookViewId="0">
      <selection activeCell="G39" sqref="G39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16384" width="8.88888888888889" style="3"/>
  </cols>
  <sheetData>
    <row r="1" s="1" customFormat="1" ht="40.05" customHeight="1" spans="1:6">
      <c r="A1" s="30" t="s">
        <v>22</v>
      </c>
      <c r="B1" s="40"/>
      <c r="C1" s="40"/>
      <c r="D1" s="40"/>
      <c r="E1" s="40"/>
      <c r="F1" s="40"/>
    </row>
    <row r="2" ht="15" customHeight="1" spans="1:6">
      <c r="A2" s="48" t="s">
        <v>1</v>
      </c>
      <c r="B2" s="48" t="s">
        <v>2</v>
      </c>
      <c r="C2" s="67" t="s">
        <v>3</v>
      </c>
      <c r="D2" s="67" t="s">
        <v>4</v>
      </c>
      <c r="E2" s="48" t="s">
        <v>5</v>
      </c>
      <c r="F2" s="48" t="s">
        <v>6</v>
      </c>
    </row>
    <row r="3" ht="15" customHeight="1" spans="1:6">
      <c r="A3" s="218">
        <v>44471</v>
      </c>
      <c r="B3" s="35" t="s">
        <v>7</v>
      </c>
      <c r="C3" s="35">
        <v>1</v>
      </c>
      <c r="D3" s="35">
        <f>D11+F11</f>
        <v>15.46</v>
      </c>
      <c r="E3" s="94">
        <f>C5+D5</f>
        <v>17.46</v>
      </c>
      <c r="F3" s="220" t="s">
        <v>29</v>
      </c>
    </row>
    <row r="4" ht="15" customHeight="1" spans="1:6">
      <c r="A4" s="35"/>
      <c r="B4" s="35" t="s">
        <v>9</v>
      </c>
      <c r="C4" s="35">
        <v>1</v>
      </c>
      <c r="D4" s="35">
        <f>D12+F12</f>
        <v>0</v>
      </c>
      <c r="E4" s="94"/>
      <c r="F4" s="221"/>
    </row>
    <row r="5" ht="15" customHeight="1" spans="1:11">
      <c r="A5" s="35"/>
      <c r="B5" s="48" t="s">
        <v>10</v>
      </c>
      <c r="C5" s="35">
        <f>SUM(C3:C4)</f>
        <v>2</v>
      </c>
      <c r="D5" s="35">
        <f>SUM(D3:D4)</f>
        <v>15.46</v>
      </c>
      <c r="E5" s="94"/>
      <c r="F5" s="221"/>
      <c r="H5"/>
      <c r="I5"/>
      <c r="J5"/>
      <c r="K5"/>
    </row>
    <row r="6" ht="15" customHeight="1" spans="1:11">
      <c r="A6" s="35"/>
      <c r="B6" s="48" t="s">
        <v>11</v>
      </c>
      <c r="C6" s="262">
        <v>5450.78</v>
      </c>
      <c r="D6" s="262">
        <f>ROUND(229.687+7.82+0.1625+23.1+15.46,2)</f>
        <v>276.23</v>
      </c>
      <c r="E6" s="48">
        <f>C6+D6</f>
        <v>5727.01</v>
      </c>
      <c r="F6" s="221"/>
      <c r="H6"/>
      <c r="I6"/>
      <c r="J6"/>
      <c r="K6"/>
    </row>
    <row r="7" ht="15" customHeight="1" spans="1:11">
      <c r="A7" s="35"/>
      <c r="B7" s="48" t="s">
        <v>12</v>
      </c>
      <c r="C7" s="262">
        <v>5450.78</v>
      </c>
      <c r="D7" s="262">
        <f>ROUND(229.687+7.82+0.1625+23.1+15.46,2)</f>
        <v>276.23</v>
      </c>
      <c r="E7" s="48">
        <f>C7+D7</f>
        <v>5727.01</v>
      </c>
      <c r="F7" s="221"/>
      <c r="H7"/>
      <c r="I7"/>
      <c r="J7"/>
      <c r="K7"/>
    </row>
    <row r="8" ht="30" customHeight="1" spans="1:9">
      <c r="A8" s="40" t="s">
        <v>13</v>
      </c>
      <c r="B8" s="40"/>
      <c r="C8" s="40"/>
      <c r="D8" s="40"/>
      <c r="E8" s="40"/>
      <c r="F8" s="40"/>
      <c r="I8" s="1"/>
    </row>
    <row r="9" spans="1:6">
      <c r="A9" s="48" t="s">
        <v>1</v>
      </c>
      <c r="B9" s="48" t="s">
        <v>2</v>
      </c>
      <c r="C9" s="263" t="s">
        <v>14</v>
      </c>
      <c r="D9" s="263"/>
      <c r="E9" s="263" t="s">
        <v>15</v>
      </c>
      <c r="F9" s="263"/>
    </row>
    <row r="10" spans="1:6">
      <c r="A10" s="48"/>
      <c r="B10" s="48"/>
      <c r="C10" s="263" t="s">
        <v>16</v>
      </c>
      <c r="D10" s="263" t="s">
        <v>17</v>
      </c>
      <c r="E10" s="263" t="s">
        <v>16</v>
      </c>
      <c r="F10" s="263" t="s">
        <v>17</v>
      </c>
    </row>
    <row r="11" spans="1:6">
      <c r="A11" s="218">
        <v>44471</v>
      </c>
      <c r="B11" s="35" t="s">
        <v>7</v>
      </c>
      <c r="C11" s="56">
        <v>2</v>
      </c>
      <c r="D11" s="224">
        <f>7.82+7.64</f>
        <v>15.46</v>
      </c>
      <c r="E11" s="56"/>
      <c r="F11" s="224"/>
    </row>
    <row r="12" spans="1:6">
      <c r="A12" s="35"/>
      <c r="B12" s="35" t="s">
        <v>9</v>
      </c>
      <c r="C12" s="56"/>
      <c r="D12" s="224"/>
      <c r="E12" s="56"/>
      <c r="F12" s="224"/>
    </row>
    <row r="13" spans="1:6">
      <c r="A13" s="35"/>
      <c r="B13" s="35" t="s">
        <v>18</v>
      </c>
      <c r="C13" s="56">
        <f>C11+C12</f>
        <v>2</v>
      </c>
      <c r="D13" s="224">
        <f>ROUND(D11+D12,2)</f>
        <v>15.46</v>
      </c>
      <c r="E13" s="56">
        <f t="shared" ref="E13" si="0">E11+E12</f>
        <v>0</v>
      </c>
      <c r="F13" s="224">
        <f>ROUND(F11+F12,2)</f>
        <v>0</v>
      </c>
    </row>
    <row r="14" spans="1:6">
      <c r="A14" s="35"/>
      <c r="B14" s="48" t="s">
        <v>5</v>
      </c>
      <c r="C14" s="94">
        <f>D13+F13</f>
        <v>15.46</v>
      </c>
      <c r="D14" s="94"/>
      <c r="E14" s="94"/>
      <c r="F14" s="94"/>
    </row>
    <row r="16" spans="2:2">
      <c r="B16" s="3" t="s">
        <v>20</v>
      </c>
    </row>
    <row r="17" spans="3:11">
      <c r="C17"/>
      <c r="D17"/>
      <c r="E17"/>
      <c r="F17"/>
      <c r="G17"/>
      <c r="H17"/>
      <c r="I17"/>
      <c r="J17"/>
      <c r="K17"/>
    </row>
    <row r="18" spans="3:11">
      <c r="C18"/>
      <c r="D18"/>
      <c r="E18"/>
      <c r="F18"/>
      <c r="G18"/>
      <c r="H18"/>
      <c r="I18"/>
      <c r="J18"/>
      <c r="K18"/>
    </row>
    <row r="19" spans="3:11">
      <c r="C19"/>
      <c r="D19"/>
      <c r="E19"/>
      <c r="F19"/>
      <c r="G19"/>
      <c r="H19"/>
      <c r="I19"/>
      <c r="J19"/>
      <c r="K19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30" spans="1:6">
      <c r="A30" s="48" t="s">
        <v>30</v>
      </c>
      <c r="B30" s="48"/>
      <c r="C30" s="48" t="s">
        <v>31</v>
      </c>
      <c r="D30" s="35"/>
      <c r="E30" s="35"/>
      <c r="F30" s="35"/>
    </row>
    <row r="31" ht="15.6" spans="1:6">
      <c r="A31" s="53">
        <v>44462</v>
      </c>
      <c r="B31" s="235">
        <v>5</v>
      </c>
      <c r="C31" s="231" t="s">
        <v>32</v>
      </c>
      <c r="D31" s="231"/>
      <c r="E31" s="231" t="s">
        <v>33</v>
      </c>
      <c r="F31" s="231"/>
    </row>
    <row r="32" ht="15.6" spans="1:6">
      <c r="A32" s="53">
        <v>44463</v>
      </c>
      <c r="B32" s="235">
        <v>17.28</v>
      </c>
      <c r="C32" s="40" t="s">
        <v>14</v>
      </c>
      <c r="D32" s="40" t="s">
        <v>15</v>
      </c>
      <c r="E32" s="40" t="s">
        <v>14</v>
      </c>
      <c r="F32" s="40" t="s">
        <v>15</v>
      </c>
    </row>
    <row r="33" ht="15.6" spans="1:6">
      <c r="A33" s="53">
        <v>44464</v>
      </c>
      <c r="B33" s="235">
        <v>2</v>
      </c>
      <c r="C33" s="35">
        <v>19</v>
      </c>
      <c r="D33" s="35">
        <v>4</v>
      </c>
      <c r="E33" s="35">
        <v>9</v>
      </c>
      <c r="F33" s="35">
        <v>0</v>
      </c>
    </row>
    <row r="34" ht="15.6" spans="1:6">
      <c r="A34" s="53">
        <v>44465</v>
      </c>
      <c r="B34" s="235">
        <v>8.82</v>
      </c>
      <c r="C34" s="35"/>
      <c r="D34" s="35"/>
      <c r="E34" s="35">
        <v>450</v>
      </c>
      <c r="F34" s="35">
        <v>37582</v>
      </c>
    </row>
    <row r="35" ht="15.6" spans="1:6">
      <c r="A35" s="53">
        <v>44466</v>
      </c>
      <c r="B35" s="235">
        <v>2</v>
      </c>
      <c r="C35" s="35"/>
      <c r="D35" s="35"/>
      <c r="E35" s="35"/>
      <c r="F35" s="35"/>
    </row>
    <row r="36" ht="15.6" spans="1:6">
      <c r="A36" s="53">
        <v>44467</v>
      </c>
      <c r="B36" s="235">
        <v>16.28</v>
      </c>
      <c r="C36" s="35"/>
      <c r="D36" s="35"/>
      <c r="E36" s="35"/>
      <c r="F36" s="35"/>
    </row>
    <row r="37" ht="15.6" spans="1:6">
      <c r="A37" s="53">
        <v>44468</v>
      </c>
      <c r="B37" s="235">
        <v>33.25</v>
      </c>
      <c r="C37" s="35"/>
      <c r="D37" s="35"/>
      <c r="E37" s="35"/>
      <c r="F37" s="35"/>
    </row>
    <row r="38" ht="15.6" spans="1:6">
      <c r="A38" s="53">
        <v>44469</v>
      </c>
      <c r="B38" s="235">
        <v>8.82</v>
      </c>
      <c r="C38" s="35"/>
      <c r="D38" s="35"/>
      <c r="E38" s="35"/>
      <c r="F38" s="35"/>
    </row>
    <row r="39" ht="15.6" spans="1:6">
      <c r="A39" s="53">
        <v>44470</v>
      </c>
      <c r="B39" s="235">
        <v>24.1</v>
      </c>
      <c r="C39" s="35"/>
      <c r="D39" s="35"/>
      <c r="E39" s="35"/>
      <c r="F39" s="35"/>
    </row>
    <row r="40" ht="15.6" spans="1:6">
      <c r="A40" s="53">
        <v>44471</v>
      </c>
      <c r="B40" s="235">
        <v>17.46</v>
      </c>
      <c r="C40" s="104">
        <f>C33+D33+E33+F33</f>
        <v>32</v>
      </c>
      <c r="D40" s="259"/>
      <c r="E40" s="259"/>
      <c r="F40" s="105"/>
    </row>
  </sheetData>
  <mergeCells count="16">
    <mergeCell ref="A1:F1"/>
    <mergeCell ref="A8:F8"/>
    <mergeCell ref="C9:D9"/>
    <mergeCell ref="E9:F9"/>
    <mergeCell ref="C14:F14"/>
    <mergeCell ref="A30:B30"/>
    <mergeCell ref="C30:F30"/>
    <mergeCell ref="C31:D31"/>
    <mergeCell ref="E31:F31"/>
    <mergeCell ref="C40:F40"/>
    <mergeCell ref="A3:A7"/>
    <mergeCell ref="A9:A10"/>
    <mergeCell ref="A11:A14"/>
    <mergeCell ref="B9:B10"/>
    <mergeCell ref="E3:E5"/>
    <mergeCell ref="F3:F7"/>
  </mergeCells>
  <pageMargins left="0.7" right="0.7" top="0.75" bottom="0.75" header="0.3" footer="0.3"/>
  <pageSetup paperSize="9" orientation="portrait" verticalDpi="1200"/>
  <headerFooter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0"/>
  <dimension ref="A1:N50"/>
  <sheetViews>
    <sheetView view="pageBreakPreview" zoomScale="85" zoomScaleNormal="70" topLeftCell="A21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44552</v>
      </c>
      <c r="B3" s="12" t="s">
        <v>7</v>
      </c>
      <c r="C3" s="12">
        <v>0</v>
      </c>
      <c r="D3" s="12">
        <f>ROUND(D11+D12+D13+D14+D15,2)</f>
        <v>31.02</v>
      </c>
      <c r="E3" s="13">
        <f>ROUND(C5+D5,2)</f>
        <v>85.34</v>
      </c>
      <c r="F3" s="143" t="s">
        <v>161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54.32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85.34</v>
      </c>
      <c r="E5" s="13"/>
      <c r="F5" s="144"/>
      <c r="I5" t="str">
        <f>ROUND(E6/90284.4*100,2)&amp;"%"</f>
        <v>12.29%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5095.16</v>
      </c>
      <c r="E6" s="8">
        <f>ROUND(C6+D6,2)</f>
        <v>11095.94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5095.16</v>
      </c>
      <c r="E7" s="8">
        <f>ROUND(C7+D7,2)</f>
        <v>11095.94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44552</v>
      </c>
      <c r="B11" s="32" t="s">
        <v>14</v>
      </c>
      <c r="C11" s="33">
        <v>2</v>
      </c>
      <c r="D11" s="8">
        <v>15.28</v>
      </c>
      <c r="E11" s="33">
        <v>3</v>
      </c>
      <c r="F11" s="8">
        <v>23.822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1</v>
      </c>
      <c r="D12" s="8">
        <v>15.744</v>
      </c>
      <c r="E12" s="33">
        <v>2</v>
      </c>
      <c r="F12" s="8">
        <v>30.5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31.024</v>
      </c>
      <c r="D16" s="134"/>
      <c r="E16" s="25">
        <f>F11+F12+F13+F14+F15</f>
        <v>54.322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85.346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218</v>
      </c>
      <c r="D27" s="132" t="s">
        <v>75</v>
      </c>
      <c r="E27" s="12">
        <f>C37+D37</f>
        <v>182</v>
      </c>
      <c r="F27" s="12"/>
    </row>
    <row r="28" spans="1:6">
      <c r="A28" s="35"/>
      <c r="B28" s="132" t="s">
        <v>76</v>
      </c>
      <c r="C28" s="12">
        <f>E36+F36</f>
        <v>289</v>
      </c>
      <c r="D28" s="132" t="s">
        <v>77</v>
      </c>
      <c r="E28" s="12">
        <f>E37+F37</f>
        <v>214</v>
      </c>
      <c r="F28" s="12"/>
    </row>
    <row r="29" spans="1:6">
      <c r="A29" s="35"/>
      <c r="B29" s="132" t="s">
        <v>78</v>
      </c>
      <c r="C29" s="12">
        <f>C30-C27-C28</f>
        <v>5273</v>
      </c>
      <c r="D29" s="132" t="s">
        <v>79</v>
      </c>
      <c r="E29" s="12">
        <f>E30-E27-E28</f>
        <v>5384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44543</v>
      </c>
      <c r="B34" s="184">
        <v>166.57</v>
      </c>
      <c r="C34" s="185" t="s">
        <v>32</v>
      </c>
      <c r="D34" s="185"/>
      <c r="E34" s="185" t="s">
        <v>33</v>
      </c>
      <c r="F34" s="185"/>
      <c r="I34" s="3">
        <v>5913</v>
      </c>
      <c r="N34" s="4"/>
    </row>
    <row r="35" ht="15.6" spans="1:14">
      <c r="A35" s="53">
        <v>44544</v>
      </c>
      <c r="B35" s="184">
        <v>244.13</v>
      </c>
      <c r="C35" s="186" t="s">
        <v>14</v>
      </c>
      <c r="D35" s="186" t="s">
        <v>15</v>
      </c>
      <c r="E35" s="186" t="s">
        <v>14</v>
      </c>
      <c r="F35" s="186" t="s">
        <v>15</v>
      </c>
      <c r="I35" s="3">
        <v>5913</v>
      </c>
      <c r="N35" s="4"/>
    </row>
    <row r="36" ht="15.6" spans="1:14">
      <c r="A36" s="53">
        <v>44545</v>
      </c>
      <c r="B36" s="184">
        <v>289.83</v>
      </c>
      <c r="C36" s="187">
        <v>154</v>
      </c>
      <c r="D36" s="187">
        <v>64</v>
      </c>
      <c r="E36" s="187">
        <v>258</v>
      </c>
      <c r="F36" s="187">
        <v>31</v>
      </c>
      <c r="I36" s="3">
        <v>135185</v>
      </c>
      <c r="N36" s="4"/>
    </row>
    <row r="37" ht="15.6" spans="1:14">
      <c r="A37" s="53">
        <v>44546</v>
      </c>
      <c r="B37" s="184">
        <v>166.8</v>
      </c>
      <c r="C37" s="188">
        <v>130</v>
      </c>
      <c r="D37" s="188">
        <v>52</v>
      </c>
      <c r="E37" s="188">
        <v>214</v>
      </c>
      <c r="F37" s="188">
        <v>0</v>
      </c>
      <c r="I37" s="3">
        <v>67098.02</v>
      </c>
      <c r="N37" s="4"/>
    </row>
    <row r="38" ht="15.6" spans="1:14">
      <c r="A38" s="53">
        <v>44547</v>
      </c>
      <c r="B38" s="184">
        <v>180.68</v>
      </c>
      <c r="C38" s="187" t="s">
        <v>68</v>
      </c>
      <c r="D38" s="187">
        <f>C36+D36+E36+F36</f>
        <v>507</v>
      </c>
      <c r="E38" s="188" t="s">
        <v>69</v>
      </c>
      <c r="F38" s="188">
        <f>C37+D37+E37+F37</f>
        <v>396</v>
      </c>
      <c r="I38" s="3">
        <v>405202.2</v>
      </c>
      <c r="N38" s="4"/>
    </row>
    <row r="39" ht="15.6" spans="1:14">
      <c r="A39" s="53">
        <v>44548</v>
      </c>
      <c r="B39" s="184">
        <v>178.07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44549</v>
      </c>
      <c r="B40" s="184">
        <v>123.13</v>
      </c>
      <c r="C40" s="189" t="s">
        <v>108</v>
      </c>
      <c r="D40" s="190"/>
      <c r="E40" s="194">
        <f>C48</f>
        <v>0</v>
      </c>
      <c r="F40" s="191">
        <v>0</v>
      </c>
      <c r="I40" s="3" t="str">
        <f>ROUND(D38/I34*100,2)&amp;"%"</f>
        <v>8.57%</v>
      </c>
      <c r="N40" s="4"/>
    </row>
    <row r="41" ht="15.6" spans="1:14">
      <c r="A41" s="53">
        <v>44550</v>
      </c>
      <c r="B41" s="184">
        <v>73.94</v>
      </c>
      <c r="C41" s="189" t="s">
        <v>109</v>
      </c>
      <c r="D41" s="190"/>
      <c r="E41" s="194">
        <f>C47</f>
        <v>0</v>
      </c>
      <c r="F41" s="191">
        <v>1811.24</v>
      </c>
      <c r="I41" s="3" t="str">
        <f>ROUND(F38/I35*100,2)&amp;"%"</f>
        <v>6.7%</v>
      </c>
      <c r="N41" s="4"/>
    </row>
    <row r="42" ht="15.6" spans="1:14">
      <c r="A42" s="53">
        <v>44551</v>
      </c>
      <c r="B42" s="184">
        <v>122.65</v>
      </c>
      <c r="C42" s="189" t="s">
        <v>99</v>
      </c>
      <c r="D42" s="192"/>
      <c r="E42" s="194">
        <f>C46</f>
        <v>0</v>
      </c>
      <c r="F42" s="191">
        <v>5205</v>
      </c>
      <c r="I42" s="3" t="str">
        <f>ROUND(F42/I36*100,2)&amp;"%"</f>
        <v>3.85%</v>
      </c>
      <c r="N42" s="4"/>
    </row>
    <row r="43" ht="15.6" spans="1:14">
      <c r="A43" s="53">
        <v>44552</v>
      </c>
      <c r="B43" s="184">
        <v>85.34</v>
      </c>
      <c r="C43" s="193" t="s">
        <v>100</v>
      </c>
      <c r="D43" s="193"/>
      <c r="E43" s="195">
        <v>0</v>
      </c>
      <c r="F43" s="193">
        <v>41682</v>
      </c>
      <c r="I43" s="3" t="str">
        <f>ROUND(F41/I37*100,2)&amp;"%"</f>
        <v>2.7%</v>
      </c>
      <c r="N43" s="4"/>
    </row>
    <row r="44" spans="1:9">
      <c r="A44" s="147" t="s">
        <v>138</v>
      </c>
      <c r="B44" s="79" t="s">
        <v>110</v>
      </c>
      <c r="C44" s="79">
        <f>C11</f>
        <v>2</v>
      </c>
      <c r="D44" s="79">
        <f>C12</f>
        <v>1</v>
      </c>
      <c r="E44" s="79">
        <f>E11</f>
        <v>3</v>
      </c>
      <c r="F44" s="79">
        <f>E12</f>
        <v>2</v>
      </c>
      <c r="I44" s="3" t="str">
        <f>ROUND(F40/I38*100,2)&amp;"%"</f>
        <v>0%</v>
      </c>
    </row>
    <row r="45" spans="1:6">
      <c r="A45" s="151"/>
      <c r="B45" s="79" t="s">
        <v>111</v>
      </c>
      <c r="C45" s="79">
        <v>0</v>
      </c>
      <c r="D45" s="79">
        <v>2</v>
      </c>
      <c r="E45" s="79">
        <v>6</v>
      </c>
      <c r="F45" s="79">
        <v>0</v>
      </c>
    </row>
    <row r="46" spans="1:6">
      <c r="A46" s="151"/>
      <c r="B46" s="79" t="s">
        <v>112</v>
      </c>
      <c r="C46" s="79">
        <v>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2021年12月22日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22日累计完成产值11095.94万元，占总产值90284.4万元的12.29%，100章临建完成6000.78万元，400章桥梁完成5095.16万元。已完成梁片预制507片，占设计量的8.57%；梁片安装396片，占设计量的6.7%；湿接缝5205米，占设计量的3.85%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155</v>
      </c>
      <c r="B50" s="129"/>
      <c r="C50" s="129"/>
      <c r="D50" s="129"/>
      <c r="E50" s="129"/>
      <c r="F50" s="129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1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44553</v>
      </c>
      <c r="B3" s="12" t="s">
        <v>7</v>
      </c>
      <c r="C3" s="12">
        <v>0</v>
      </c>
      <c r="D3" s="12">
        <f>ROUND(D11+D12+D13+D14+D15,2)</f>
        <v>22.52</v>
      </c>
      <c r="E3" s="13">
        <f>ROUND(C5+D5,2)</f>
        <v>91.5</v>
      </c>
      <c r="F3" s="143" t="s">
        <v>162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68.98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91.5</v>
      </c>
      <c r="E5" s="13"/>
      <c r="F5" s="144"/>
      <c r="I5" t="str">
        <f>ROUND(E6/90284.4*100,2)&amp;"%"</f>
        <v>12.39%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5186.66</v>
      </c>
      <c r="E6" s="8">
        <f>ROUND(C6+D6,2)</f>
        <v>11187.44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5186.66</v>
      </c>
      <c r="E7" s="8">
        <f>ROUND(C7+D7,2)</f>
        <v>11187.44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44553</v>
      </c>
      <c r="B11" s="32" t="s">
        <v>14</v>
      </c>
      <c r="C11" s="33">
        <v>0</v>
      </c>
      <c r="D11" s="8">
        <v>0</v>
      </c>
      <c r="E11" s="33">
        <v>5</v>
      </c>
      <c r="F11" s="8">
        <v>38.51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1</v>
      </c>
      <c r="D12" s="8">
        <v>15.986</v>
      </c>
      <c r="E12" s="33">
        <v>2</v>
      </c>
      <c r="F12" s="8">
        <v>30.47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22.516</v>
      </c>
      <c r="D16" s="134"/>
      <c r="E16" s="25">
        <f>F11+F12+F13+F14+F15</f>
        <v>68.98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91.496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219</v>
      </c>
      <c r="D27" s="132" t="s">
        <v>75</v>
      </c>
      <c r="E27" s="12">
        <f>C37+D37</f>
        <v>185</v>
      </c>
      <c r="F27" s="12"/>
    </row>
    <row r="28" spans="1:6">
      <c r="A28" s="35"/>
      <c r="B28" s="132" t="s">
        <v>76</v>
      </c>
      <c r="C28" s="12">
        <f>E36+F36</f>
        <v>296</v>
      </c>
      <c r="D28" s="132" t="s">
        <v>77</v>
      </c>
      <c r="E28" s="12">
        <f>E37+F37</f>
        <v>214</v>
      </c>
      <c r="F28" s="12"/>
    </row>
    <row r="29" spans="1:6">
      <c r="A29" s="35"/>
      <c r="B29" s="132" t="s">
        <v>78</v>
      </c>
      <c r="C29" s="12">
        <f>C30-C27-C28</f>
        <v>5265</v>
      </c>
      <c r="D29" s="132" t="s">
        <v>79</v>
      </c>
      <c r="E29" s="12">
        <f>E30-E27-E28</f>
        <v>5381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44544</v>
      </c>
      <c r="B34" s="184">
        <v>244.13</v>
      </c>
      <c r="C34" s="185" t="s">
        <v>32</v>
      </c>
      <c r="D34" s="185"/>
      <c r="E34" s="185" t="s">
        <v>33</v>
      </c>
      <c r="F34" s="185"/>
      <c r="I34" s="3">
        <v>5913</v>
      </c>
      <c r="N34" s="4"/>
    </row>
    <row r="35" ht="15.6" spans="1:14">
      <c r="A35" s="53">
        <v>44545</v>
      </c>
      <c r="B35" s="184">
        <v>289.83</v>
      </c>
      <c r="C35" s="186" t="s">
        <v>14</v>
      </c>
      <c r="D35" s="186" t="s">
        <v>15</v>
      </c>
      <c r="E35" s="186" t="s">
        <v>14</v>
      </c>
      <c r="F35" s="186" t="s">
        <v>15</v>
      </c>
      <c r="I35" s="3">
        <v>5913</v>
      </c>
      <c r="N35" s="4"/>
    </row>
    <row r="36" ht="15.6" spans="1:14">
      <c r="A36" s="53">
        <v>44546</v>
      </c>
      <c r="B36" s="184">
        <v>166.8</v>
      </c>
      <c r="C36" s="187">
        <v>154</v>
      </c>
      <c r="D36" s="187">
        <v>65</v>
      </c>
      <c r="E36" s="187">
        <v>263</v>
      </c>
      <c r="F36" s="187">
        <v>33</v>
      </c>
      <c r="I36" s="3">
        <v>135185</v>
      </c>
      <c r="N36" s="4"/>
    </row>
    <row r="37" ht="15.6" spans="1:14">
      <c r="A37" s="53">
        <v>44547</v>
      </c>
      <c r="B37" s="184">
        <v>180.68</v>
      </c>
      <c r="C37" s="188">
        <v>130</v>
      </c>
      <c r="D37" s="188">
        <v>55</v>
      </c>
      <c r="E37" s="188">
        <v>214</v>
      </c>
      <c r="F37" s="188">
        <v>0</v>
      </c>
      <c r="I37" s="3">
        <v>67098.02</v>
      </c>
      <c r="N37" s="4"/>
    </row>
    <row r="38" ht="15.6" spans="1:14">
      <c r="A38" s="53">
        <v>44548</v>
      </c>
      <c r="B38" s="184">
        <v>178.07</v>
      </c>
      <c r="C38" s="187" t="s">
        <v>68</v>
      </c>
      <c r="D38" s="187">
        <f>C36+D36+E36+F36</f>
        <v>515</v>
      </c>
      <c r="E38" s="188" t="s">
        <v>69</v>
      </c>
      <c r="F38" s="188">
        <f>C37+D37+E37+F37</f>
        <v>399</v>
      </c>
      <c r="I38" s="3">
        <v>405202.2</v>
      </c>
      <c r="N38" s="4"/>
    </row>
    <row r="39" ht="15.6" spans="1:14">
      <c r="A39" s="53">
        <v>44549</v>
      </c>
      <c r="B39" s="184">
        <v>123.13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44550</v>
      </c>
      <c r="B40" s="184">
        <v>73.94</v>
      </c>
      <c r="C40" s="189" t="s">
        <v>108</v>
      </c>
      <c r="D40" s="190"/>
      <c r="E40" s="194">
        <f>C48</f>
        <v>0</v>
      </c>
      <c r="F40" s="191">
        <v>0</v>
      </c>
      <c r="I40" s="3" t="str">
        <f>ROUND(D38/I34*100,2)&amp;"%"</f>
        <v>8.71%</v>
      </c>
      <c r="N40" s="4"/>
    </row>
    <row r="41" ht="15.6" spans="1:14">
      <c r="A41" s="53">
        <v>44551</v>
      </c>
      <c r="B41" s="184">
        <v>122.65</v>
      </c>
      <c r="C41" s="189" t="s">
        <v>109</v>
      </c>
      <c r="D41" s="190"/>
      <c r="E41" s="194">
        <f>C47</f>
        <v>0</v>
      </c>
      <c r="F41" s="191">
        <v>1811.24</v>
      </c>
      <c r="I41" s="3" t="str">
        <f>ROUND(F38/I35*100,2)&amp;"%"</f>
        <v>6.75%</v>
      </c>
      <c r="N41" s="4"/>
    </row>
    <row r="42" ht="15.6" spans="1:14">
      <c r="A42" s="53">
        <v>44552</v>
      </c>
      <c r="B42" s="184">
        <v>85.34</v>
      </c>
      <c r="C42" s="189" t="s">
        <v>99</v>
      </c>
      <c r="D42" s="192"/>
      <c r="E42" s="194">
        <f>C46</f>
        <v>160</v>
      </c>
      <c r="F42" s="191">
        <v>5365</v>
      </c>
      <c r="I42" s="3" t="str">
        <f>ROUND(F42/I36*100,2)&amp;"%"</f>
        <v>3.97%</v>
      </c>
      <c r="N42" s="4"/>
    </row>
    <row r="43" ht="15.6" spans="1:14">
      <c r="A43" s="53">
        <v>44553</v>
      </c>
      <c r="B43" s="184">
        <v>91.5</v>
      </c>
      <c r="C43" s="193" t="s">
        <v>100</v>
      </c>
      <c r="D43" s="193"/>
      <c r="E43" s="195">
        <v>0</v>
      </c>
      <c r="F43" s="193">
        <v>41682</v>
      </c>
      <c r="I43" s="3" t="str">
        <f>ROUND(F41/I37*100,2)&amp;"%"</f>
        <v>2.7%</v>
      </c>
      <c r="N43" s="4"/>
    </row>
    <row r="44" spans="1:9">
      <c r="A44" s="147" t="s">
        <v>138</v>
      </c>
      <c r="B44" s="79" t="s">
        <v>110</v>
      </c>
      <c r="C44" s="79">
        <f>C11</f>
        <v>0</v>
      </c>
      <c r="D44" s="79">
        <f>C12</f>
        <v>1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51"/>
      <c r="B45" s="79" t="s">
        <v>111</v>
      </c>
      <c r="C45" s="79">
        <v>0</v>
      </c>
      <c r="D45" s="79">
        <v>3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160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2021年12月23日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23日累计完成产值11187.44万元，占总产值90284.4万元的12.39%，100章临建完成6000.78万元，400章桥梁完成5186.66万元。已完成梁片预制515片，占设计量的8.71%；梁片安装399片，占设计量的6.75%；湿接缝5365米，占设计量的3.97%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155</v>
      </c>
      <c r="B50" s="129"/>
      <c r="C50" s="129"/>
      <c r="D50" s="129"/>
      <c r="E50" s="129"/>
      <c r="F50" s="129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2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44554</v>
      </c>
      <c r="B3" s="12" t="s">
        <v>7</v>
      </c>
      <c r="C3" s="12">
        <v>0</v>
      </c>
      <c r="D3" s="12">
        <f>ROUND(D11+D12+D13+D14+D15,2)</f>
        <v>38.21</v>
      </c>
      <c r="E3" s="13">
        <f>ROUND(C5+D5,2)</f>
        <v>108.53</v>
      </c>
      <c r="F3" s="143" t="s">
        <v>163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70.32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108.53</v>
      </c>
      <c r="E5" s="13"/>
      <c r="F5" s="144"/>
      <c r="I5" t="str">
        <f>ROUND(E6/90284.4*100,2)&amp;"%"</f>
        <v>12.51%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5295.19</v>
      </c>
      <c r="E6" s="8">
        <f>ROUND(C6+D6,2)</f>
        <v>11295.97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5295.19</v>
      </c>
      <c r="E7" s="8">
        <f>ROUND(C7+D7,2)</f>
        <v>11295.97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44554</v>
      </c>
      <c r="B11" s="32" t="s">
        <v>14</v>
      </c>
      <c r="C11" s="33">
        <v>1</v>
      </c>
      <c r="D11" s="8">
        <v>7.64</v>
      </c>
      <c r="E11" s="33">
        <v>5</v>
      </c>
      <c r="F11" s="8">
        <v>39.846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30.57</v>
      </c>
      <c r="E12" s="33">
        <v>2</v>
      </c>
      <c r="F12" s="8">
        <v>30.47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38.21</v>
      </c>
      <c r="D16" s="134"/>
      <c r="E16" s="25">
        <f>F11+F12+F13+F14+F15</f>
        <v>70.316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108.526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222</v>
      </c>
      <c r="D27" s="132" t="s">
        <v>75</v>
      </c>
      <c r="E27" s="12">
        <f>C37+D37</f>
        <v>185</v>
      </c>
      <c r="F27" s="12"/>
    </row>
    <row r="28" spans="1:6">
      <c r="A28" s="35"/>
      <c r="B28" s="132" t="s">
        <v>76</v>
      </c>
      <c r="C28" s="12">
        <f>E36+F36</f>
        <v>303</v>
      </c>
      <c r="D28" s="132" t="s">
        <v>77</v>
      </c>
      <c r="E28" s="12">
        <f>E37+F37</f>
        <v>222</v>
      </c>
      <c r="F28" s="12"/>
    </row>
    <row r="29" spans="1:6">
      <c r="A29" s="35"/>
      <c r="B29" s="132" t="s">
        <v>78</v>
      </c>
      <c r="C29" s="12">
        <f>C30-C27-C28</f>
        <v>5255</v>
      </c>
      <c r="D29" s="132" t="s">
        <v>79</v>
      </c>
      <c r="E29" s="12">
        <f>E30-E27-E28</f>
        <v>5373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44545</v>
      </c>
      <c r="B34" s="184">
        <v>289.83</v>
      </c>
      <c r="C34" s="185" t="s">
        <v>32</v>
      </c>
      <c r="D34" s="185"/>
      <c r="E34" s="185" t="s">
        <v>33</v>
      </c>
      <c r="F34" s="185"/>
      <c r="I34" s="3">
        <v>5913</v>
      </c>
      <c r="N34" s="4"/>
    </row>
    <row r="35" ht="15.6" spans="1:14">
      <c r="A35" s="53">
        <v>44546</v>
      </c>
      <c r="B35" s="184">
        <v>166.8</v>
      </c>
      <c r="C35" s="186" t="s">
        <v>14</v>
      </c>
      <c r="D35" s="186" t="s">
        <v>15</v>
      </c>
      <c r="E35" s="186" t="s">
        <v>14</v>
      </c>
      <c r="F35" s="186" t="s">
        <v>15</v>
      </c>
      <c r="I35" s="3">
        <v>5913</v>
      </c>
      <c r="N35" s="4"/>
    </row>
    <row r="36" ht="15.6" spans="1:14">
      <c r="A36" s="53">
        <v>44547</v>
      </c>
      <c r="B36" s="184">
        <v>180.68</v>
      </c>
      <c r="C36" s="187">
        <v>155</v>
      </c>
      <c r="D36" s="187">
        <v>67</v>
      </c>
      <c r="E36" s="187">
        <v>268</v>
      </c>
      <c r="F36" s="187">
        <v>35</v>
      </c>
      <c r="I36" s="3">
        <v>135185</v>
      </c>
      <c r="N36" s="4"/>
    </row>
    <row r="37" ht="15.6" spans="1:14">
      <c r="A37" s="53">
        <v>44548</v>
      </c>
      <c r="B37" s="184">
        <v>178.07</v>
      </c>
      <c r="C37" s="188">
        <v>130</v>
      </c>
      <c r="D37" s="188">
        <v>55</v>
      </c>
      <c r="E37" s="188">
        <v>222</v>
      </c>
      <c r="F37" s="188">
        <v>0</v>
      </c>
      <c r="I37" s="3">
        <v>67098.02</v>
      </c>
      <c r="N37" s="4"/>
    </row>
    <row r="38" ht="15.6" spans="1:14">
      <c r="A38" s="53">
        <v>44549</v>
      </c>
      <c r="B38" s="184">
        <v>123.13</v>
      </c>
      <c r="C38" s="187" t="s">
        <v>68</v>
      </c>
      <c r="D38" s="187">
        <f>C36+D36+E36+F36</f>
        <v>525</v>
      </c>
      <c r="E38" s="188" t="s">
        <v>69</v>
      </c>
      <c r="F38" s="188">
        <f>C37+D37+E37+F37</f>
        <v>407</v>
      </c>
      <c r="I38" s="3">
        <v>405202.2</v>
      </c>
      <c r="N38" s="4"/>
    </row>
    <row r="39" ht="15.6" spans="1:14">
      <c r="A39" s="53">
        <v>44550</v>
      </c>
      <c r="B39" s="184">
        <v>73.94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44551</v>
      </c>
      <c r="B40" s="184">
        <v>122.65</v>
      </c>
      <c r="C40" s="189" t="s">
        <v>108</v>
      </c>
      <c r="D40" s="190"/>
      <c r="E40" s="194">
        <f>C48</f>
        <v>0</v>
      </c>
      <c r="F40" s="191">
        <v>0</v>
      </c>
      <c r="I40" s="3" t="str">
        <f>ROUND(D38/I34*100,2)&amp;"%"</f>
        <v>8.88%</v>
      </c>
      <c r="N40" s="4"/>
    </row>
    <row r="41" ht="15.6" spans="1:14">
      <c r="A41" s="53">
        <v>44552</v>
      </c>
      <c r="B41" s="184">
        <v>85.34</v>
      </c>
      <c r="C41" s="189" t="s">
        <v>109</v>
      </c>
      <c r="D41" s="190"/>
      <c r="E41" s="194">
        <f>C47</f>
        <v>0</v>
      </c>
      <c r="F41" s="191">
        <v>1811.24</v>
      </c>
      <c r="I41" s="3" t="str">
        <f>ROUND(F38/I35*100,2)&amp;"%"</f>
        <v>6.88%</v>
      </c>
      <c r="N41" s="4"/>
    </row>
    <row r="42" ht="15.6" spans="1:14">
      <c r="A42" s="53">
        <v>44553</v>
      </c>
      <c r="B42" s="184">
        <v>91.5</v>
      </c>
      <c r="C42" s="189" t="s">
        <v>99</v>
      </c>
      <c r="D42" s="192"/>
      <c r="E42" s="194">
        <f>C46</f>
        <v>0</v>
      </c>
      <c r="F42" s="191">
        <v>5365</v>
      </c>
      <c r="I42" s="3" t="str">
        <f>ROUND(F42/I36*100,2)&amp;"%"</f>
        <v>3.97%</v>
      </c>
      <c r="N42" s="4"/>
    </row>
    <row r="43" ht="15.6" spans="1:14">
      <c r="A43" s="53">
        <v>44554</v>
      </c>
      <c r="B43" s="184">
        <v>108.53</v>
      </c>
      <c r="C43" s="193" t="s">
        <v>100</v>
      </c>
      <c r="D43" s="193"/>
      <c r="E43" s="195">
        <v>0</v>
      </c>
      <c r="F43" s="193">
        <v>41682</v>
      </c>
      <c r="I43" s="3" t="str">
        <f>ROUND(F41/I37*100,2)&amp;"%"</f>
        <v>2.7%</v>
      </c>
      <c r="N43" s="4"/>
    </row>
    <row r="44" spans="1:9">
      <c r="A44" s="147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51"/>
      <c r="B45" s="79" t="s">
        <v>111</v>
      </c>
      <c r="C45" s="79">
        <v>0</v>
      </c>
      <c r="D45" s="79">
        <v>0</v>
      </c>
      <c r="E45" s="79">
        <v>8</v>
      </c>
      <c r="F45" s="79">
        <v>0</v>
      </c>
    </row>
    <row r="46" spans="1:6">
      <c r="A46" s="151"/>
      <c r="B46" s="79" t="s">
        <v>112</v>
      </c>
      <c r="C46" s="79">
        <v>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2021年12月24日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24日累计完成产值11295.97万元，占总产值90284.4万元的12.51%，100章临建完成6000.78万元，400章桥梁完成5295.19万元。已完成梁片预制525片，占设计量的8.88%；梁片安装407片，占设计量的6.88%；湿接缝5365米，占设计量的3.97%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155</v>
      </c>
      <c r="B50" s="129"/>
      <c r="C50" s="129"/>
      <c r="D50" s="129"/>
      <c r="E50" s="129"/>
      <c r="F50" s="129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3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44555</v>
      </c>
      <c r="B3" s="12" t="s">
        <v>7</v>
      </c>
      <c r="C3" s="12">
        <v>0</v>
      </c>
      <c r="D3" s="12">
        <f>ROUND(D11+D12+D13+D14+D15,2)</f>
        <v>44.74</v>
      </c>
      <c r="E3" s="13">
        <f>ROUND(C5+D5,2)</f>
        <v>121.36</v>
      </c>
      <c r="F3" s="143" t="s">
        <v>164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76.62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121.36</v>
      </c>
      <c r="E5" s="13"/>
      <c r="F5" s="144"/>
      <c r="I5" t="str">
        <f>ROUND(E6/90284.4*100,2)&amp;"%"</f>
        <v>12.65%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5416.55</v>
      </c>
      <c r="E6" s="8">
        <f>ROUND(C6+D6,2)</f>
        <v>11417.33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5416.55</v>
      </c>
      <c r="E7" s="8">
        <f>ROUND(C7+D7,2)</f>
        <v>11417.33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44555</v>
      </c>
      <c r="B11" s="32" t="s">
        <v>14</v>
      </c>
      <c r="C11" s="33">
        <v>1</v>
      </c>
      <c r="D11" s="8">
        <v>7.64</v>
      </c>
      <c r="E11" s="33">
        <v>6</v>
      </c>
      <c r="F11" s="8">
        <v>46.172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30.57</v>
      </c>
      <c r="E12" s="33">
        <v>2</v>
      </c>
      <c r="F12" s="8">
        <v>30.45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44.74</v>
      </c>
      <c r="D16" s="134"/>
      <c r="E16" s="25">
        <f>F11+F12+F13+F14+F15</f>
        <v>76.622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121.362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225</v>
      </c>
      <c r="D27" s="132" t="s">
        <v>75</v>
      </c>
      <c r="E27" s="12">
        <f>C37+D37</f>
        <v>185</v>
      </c>
      <c r="F27" s="12"/>
    </row>
    <row r="28" spans="1:6">
      <c r="A28" s="35"/>
      <c r="B28" s="132" t="s">
        <v>76</v>
      </c>
      <c r="C28" s="12">
        <f>E36+F36</f>
        <v>311</v>
      </c>
      <c r="D28" s="132" t="s">
        <v>77</v>
      </c>
      <c r="E28" s="12">
        <f>E37+F37</f>
        <v>223</v>
      </c>
      <c r="F28" s="12"/>
    </row>
    <row r="29" spans="1:6">
      <c r="A29" s="35"/>
      <c r="B29" s="132" t="s">
        <v>78</v>
      </c>
      <c r="C29" s="12">
        <f>C30-C27-C28</f>
        <v>5244</v>
      </c>
      <c r="D29" s="132" t="s">
        <v>79</v>
      </c>
      <c r="E29" s="12">
        <f>E30-E27-E28</f>
        <v>5372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44546</v>
      </c>
      <c r="B34" s="184">
        <v>166.8</v>
      </c>
      <c r="C34" s="185" t="s">
        <v>32</v>
      </c>
      <c r="D34" s="185"/>
      <c r="E34" s="185" t="s">
        <v>33</v>
      </c>
      <c r="F34" s="185"/>
      <c r="I34" s="3">
        <v>5913</v>
      </c>
      <c r="N34" s="4"/>
    </row>
    <row r="35" ht="15.6" spans="1:14">
      <c r="A35" s="53">
        <v>44547</v>
      </c>
      <c r="B35" s="184">
        <v>180.68</v>
      </c>
      <c r="C35" s="186" t="s">
        <v>14</v>
      </c>
      <c r="D35" s="186" t="s">
        <v>15</v>
      </c>
      <c r="E35" s="186" t="s">
        <v>14</v>
      </c>
      <c r="F35" s="186" t="s">
        <v>15</v>
      </c>
      <c r="I35" s="3">
        <v>5913</v>
      </c>
      <c r="N35" s="4"/>
    </row>
    <row r="36" ht="15.6" spans="1:14">
      <c r="A36" s="53">
        <v>44548</v>
      </c>
      <c r="B36" s="184">
        <v>178.07</v>
      </c>
      <c r="C36" s="187">
        <v>156</v>
      </c>
      <c r="D36" s="187">
        <v>69</v>
      </c>
      <c r="E36" s="187">
        <v>274</v>
      </c>
      <c r="F36" s="187">
        <v>37</v>
      </c>
      <c r="I36" s="3">
        <v>135185</v>
      </c>
      <c r="N36" s="4"/>
    </row>
    <row r="37" ht="15.6" spans="1:14">
      <c r="A37" s="53">
        <v>44549</v>
      </c>
      <c r="B37" s="184">
        <v>123.13</v>
      </c>
      <c r="C37" s="188">
        <v>130</v>
      </c>
      <c r="D37" s="188">
        <v>55</v>
      </c>
      <c r="E37" s="188">
        <v>223</v>
      </c>
      <c r="F37" s="188">
        <v>0</v>
      </c>
      <c r="I37" s="3">
        <v>67098.02</v>
      </c>
      <c r="N37" s="4"/>
    </row>
    <row r="38" ht="15.6" spans="1:14">
      <c r="A38" s="53">
        <v>44550</v>
      </c>
      <c r="B38" s="184">
        <v>73.94</v>
      </c>
      <c r="C38" s="187" t="s">
        <v>68</v>
      </c>
      <c r="D38" s="187">
        <f>C36+D36+E36+F36</f>
        <v>536</v>
      </c>
      <c r="E38" s="188" t="s">
        <v>69</v>
      </c>
      <c r="F38" s="188">
        <f>C37+D37+E37+F37</f>
        <v>408</v>
      </c>
      <c r="I38" s="3">
        <v>405202.2</v>
      </c>
      <c r="N38" s="4"/>
    </row>
    <row r="39" ht="15.6" spans="1:14">
      <c r="A39" s="53">
        <v>44551</v>
      </c>
      <c r="B39" s="184">
        <v>122.65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44552</v>
      </c>
      <c r="B40" s="184">
        <v>85.34</v>
      </c>
      <c r="C40" s="189" t="s">
        <v>108</v>
      </c>
      <c r="D40" s="190"/>
      <c r="E40" s="194">
        <f>C48</f>
        <v>0</v>
      </c>
      <c r="F40" s="191">
        <v>0</v>
      </c>
      <c r="I40" s="3" t="str">
        <f>ROUND(D38/I34*100,2)&amp;"%"</f>
        <v>9.06%</v>
      </c>
      <c r="N40" s="4"/>
    </row>
    <row r="41" ht="15.6" spans="1:14">
      <c r="A41" s="53">
        <v>44553</v>
      </c>
      <c r="B41" s="184">
        <v>91.5</v>
      </c>
      <c r="C41" s="189" t="s">
        <v>109</v>
      </c>
      <c r="D41" s="190"/>
      <c r="E41" s="194">
        <f>C47</f>
        <v>0</v>
      </c>
      <c r="F41" s="191">
        <v>1811.24</v>
      </c>
      <c r="I41" s="3" t="str">
        <f>ROUND(F38/I35*100,2)&amp;"%"</f>
        <v>6.9%</v>
      </c>
      <c r="N41" s="4"/>
    </row>
    <row r="42" ht="15.6" spans="1:14">
      <c r="A42" s="53">
        <v>44554</v>
      </c>
      <c r="B42" s="184">
        <v>108.53</v>
      </c>
      <c r="C42" s="189" t="s">
        <v>99</v>
      </c>
      <c r="D42" s="192"/>
      <c r="E42" s="194">
        <f>C46</f>
        <v>160</v>
      </c>
      <c r="F42" s="191">
        <v>5525</v>
      </c>
      <c r="I42" s="3" t="str">
        <f>ROUND(F42/I36*100,2)&amp;"%"</f>
        <v>4.09%</v>
      </c>
      <c r="N42" s="4"/>
    </row>
    <row r="43" ht="15.6" spans="1:14">
      <c r="A43" s="53">
        <v>44555</v>
      </c>
      <c r="B43" s="184">
        <v>121.36</v>
      </c>
      <c r="C43" s="193" t="s">
        <v>100</v>
      </c>
      <c r="D43" s="193"/>
      <c r="E43" s="195">
        <v>0</v>
      </c>
      <c r="F43" s="193">
        <v>41682</v>
      </c>
      <c r="I43" s="3" t="str">
        <f>ROUND(F41/I37*100,2)&amp;"%"</f>
        <v>2.7%</v>
      </c>
      <c r="N43" s="4"/>
    </row>
    <row r="44" spans="1:9">
      <c r="A44" s="147" t="s">
        <v>138</v>
      </c>
      <c r="B44" s="79" t="s">
        <v>110</v>
      </c>
      <c r="C44" s="79">
        <f>C11</f>
        <v>1</v>
      </c>
      <c r="D44" s="79">
        <f>C12</f>
        <v>2</v>
      </c>
      <c r="E44" s="79">
        <f>E11</f>
        <v>6</v>
      </c>
      <c r="F44" s="79">
        <f>E12</f>
        <v>2</v>
      </c>
      <c r="I44" s="3" t="str">
        <f>ROUND(F40/I38*100,2)&amp;"%"</f>
        <v>0%</v>
      </c>
    </row>
    <row r="45" spans="1:6">
      <c r="A45" s="151"/>
      <c r="B45" s="79" t="s">
        <v>111</v>
      </c>
      <c r="C45" s="79">
        <v>0</v>
      </c>
      <c r="D45" s="79">
        <v>0</v>
      </c>
      <c r="E45" s="79">
        <v>1</v>
      </c>
      <c r="F45" s="79">
        <v>0</v>
      </c>
    </row>
    <row r="46" spans="1:6">
      <c r="A46" s="151"/>
      <c r="B46" s="79" t="s">
        <v>112</v>
      </c>
      <c r="C46" s="79">
        <v>160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2021年12月25日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25日累计完成产值11417.33万元，占总产值90284.4万元的12.65%，100章临建完成6000.78万元，400章桥梁完成5416.55万元。已完成梁片预制536片，占设计量的9.06%；梁片安装408片，占设计量的6.9%；湿接缝5525米，占设计量的4.09%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155</v>
      </c>
      <c r="B50" s="129"/>
      <c r="C50" s="129"/>
      <c r="D50" s="129"/>
      <c r="E50" s="129"/>
      <c r="F50" s="129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4"/>
  <dimension ref="A1:N50"/>
  <sheetViews>
    <sheetView view="pageBreakPreview" zoomScale="85" zoomScaleNormal="70" topLeftCell="A9" workbookViewId="0">
      <selection activeCell="H20" sqref="H20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44556</v>
      </c>
      <c r="B3" s="12" t="s">
        <v>7</v>
      </c>
      <c r="C3" s="12">
        <v>0</v>
      </c>
      <c r="D3" s="12">
        <f>ROUND(D11+D12+D13+D14+D15,2)</f>
        <v>61.19</v>
      </c>
      <c r="E3" s="13">
        <f>ROUND(C5+D5,2)</f>
        <v>109.49</v>
      </c>
      <c r="F3" s="143" t="s">
        <v>165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48.3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109.49</v>
      </c>
      <c r="E5" s="13"/>
      <c r="F5" s="144"/>
      <c r="I5" t="str">
        <f>ROUND(E6/90284.4*100,2)&amp;"%"</f>
        <v>12.77%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5526.04</v>
      </c>
      <c r="E6" s="8">
        <f>ROUND(C6+D6,2)</f>
        <v>11526.82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5526.04</v>
      </c>
      <c r="E7" s="8">
        <f>ROUND(C7+D7,2)</f>
        <v>11526.82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44556</v>
      </c>
      <c r="B11" s="32" t="s">
        <v>14</v>
      </c>
      <c r="C11" s="33">
        <v>2</v>
      </c>
      <c r="D11" s="8">
        <v>15.43</v>
      </c>
      <c r="E11" s="33">
        <v>6</v>
      </c>
      <c r="F11" s="8">
        <v>48.296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3</v>
      </c>
      <c r="D12" s="8">
        <v>45.76</v>
      </c>
      <c r="E12" s="33">
        <v>0</v>
      </c>
      <c r="F12" s="8">
        <v>0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0</v>
      </c>
      <c r="D13" s="8">
        <v>0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0</v>
      </c>
      <c r="D14" s="8">
        <v>0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61.19</v>
      </c>
      <c r="D16" s="134"/>
      <c r="E16" s="25">
        <f>F11+F12+F13+F14+F15</f>
        <v>48.296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109.486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230</v>
      </c>
      <c r="D27" s="132" t="s">
        <v>75</v>
      </c>
      <c r="E27" s="12">
        <f>C37+D37</f>
        <v>185</v>
      </c>
      <c r="F27" s="12"/>
    </row>
    <row r="28" spans="1:6">
      <c r="A28" s="35"/>
      <c r="B28" s="132" t="s">
        <v>76</v>
      </c>
      <c r="C28" s="12">
        <f>E36+F36</f>
        <v>317</v>
      </c>
      <c r="D28" s="132" t="s">
        <v>77</v>
      </c>
      <c r="E28" s="12">
        <f>E37+F37</f>
        <v>236</v>
      </c>
      <c r="F28" s="12"/>
    </row>
    <row r="29" spans="1:6">
      <c r="A29" s="35"/>
      <c r="B29" s="132" t="s">
        <v>78</v>
      </c>
      <c r="C29" s="12">
        <f>C30-C27-C28</f>
        <v>5233</v>
      </c>
      <c r="D29" s="132" t="s">
        <v>79</v>
      </c>
      <c r="E29" s="12">
        <f>E30-E27-E28</f>
        <v>5359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44547</v>
      </c>
      <c r="B34" s="184">
        <v>180.68</v>
      </c>
      <c r="C34" s="185" t="s">
        <v>32</v>
      </c>
      <c r="D34" s="185"/>
      <c r="E34" s="185" t="s">
        <v>33</v>
      </c>
      <c r="F34" s="185"/>
      <c r="I34" s="3">
        <v>5913</v>
      </c>
      <c r="N34" s="4"/>
    </row>
    <row r="35" ht="15.6" spans="1:14">
      <c r="A35" s="53">
        <v>44548</v>
      </c>
      <c r="B35" s="184">
        <v>178.07</v>
      </c>
      <c r="C35" s="186" t="s">
        <v>14</v>
      </c>
      <c r="D35" s="186" t="s">
        <v>15</v>
      </c>
      <c r="E35" s="186" t="s">
        <v>14</v>
      </c>
      <c r="F35" s="186" t="s">
        <v>15</v>
      </c>
      <c r="I35" s="3">
        <v>5913</v>
      </c>
      <c r="N35" s="4"/>
    </row>
    <row r="36" ht="15.6" spans="1:14">
      <c r="A36" s="53">
        <v>44549</v>
      </c>
      <c r="B36" s="184">
        <v>123.13</v>
      </c>
      <c r="C36" s="187">
        <v>158</v>
      </c>
      <c r="D36" s="187">
        <v>72</v>
      </c>
      <c r="E36" s="187">
        <v>280</v>
      </c>
      <c r="F36" s="187">
        <v>37</v>
      </c>
      <c r="I36" s="3">
        <v>135185</v>
      </c>
      <c r="N36" s="4"/>
    </row>
    <row r="37" ht="15.6" spans="1:14">
      <c r="A37" s="53">
        <v>44550</v>
      </c>
      <c r="B37" s="184">
        <v>73.94</v>
      </c>
      <c r="C37" s="188">
        <v>130</v>
      </c>
      <c r="D37" s="188">
        <v>55</v>
      </c>
      <c r="E37" s="188">
        <v>236</v>
      </c>
      <c r="F37" s="188">
        <v>0</v>
      </c>
      <c r="I37" s="3">
        <v>67098.02</v>
      </c>
      <c r="N37" s="4"/>
    </row>
    <row r="38" ht="15.6" spans="1:14">
      <c r="A38" s="53">
        <v>44551</v>
      </c>
      <c r="B38" s="184">
        <v>122.65</v>
      </c>
      <c r="C38" s="187" t="s">
        <v>68</v>
      </c>
      <c r="D38" s="187">
        <f>C36+D36+E36+F36</f>
        <v>547</v>
      </c>
      <c r="E38" s="188" t="s">
        <v>69</v>
      </c>
      <c r="F38" s="188">
        <f>C37+D37+E37+F37</f>
        <v>421</v>
      </c>
      <c r="I38" s="3">
        <v>405202.2</v>
      </c>
      <c r="N38" s="4"/>
    </row>
    <row r="39" ht="15.6" spans="1:14">
      <c r="A39" s="53">
        <v>44552</v>
      </c>
      <c r="B39" s="184">
        <v>85.34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44553</v>
      </c>
      <c r="B40" s="184">
        <v>91.5</v>
      </c>
      <c r="C40" s="189" t="s">
        <v>108</v>
      </c>
      <c r="D40" s="190"/>
      <c r="E40" s="194">
        <f>C48</f>
        <v>0</v>
      </c>
      <c r="F40" s="191">
        <v>0</v>
      </c>
      <c r="I40" s="3" t="str">
        <f>ROUND(D38/I34*100,2)&amp;"%"</f>
        <v>9.25%</v>
      </c>
      <c r="N40" s="4"/>
    </row>
    <row r="41" ht="15.6" spans="1:14">
      <c r="A41" s="53">
        <v>44554</v>
      </c>
      <c r="B41" s="184">
        <v>108.53</v>
      </c>
      <c r="C41" s="189" t="s">
        <v>109</v>
      </c>
      <c r="D41" s="190"/>
      <c r="E41" s="194">
        <f>C47</f>
        <v>0</v>
      </c>
      <c r="F41" s="191">
        <v>1811.24</v>
      </c>
      <c r="I41" s="3" t="str">
        <f>ROUND(F38/I35*100,2)&amp;"%"</f>
        <v>7.12%</v>
      </c>
      <c r="N41" s="4"/>
    </row>
    <row r="42" ht="15.6" spans="1:14">
      <c r="A42" s="53">
        <v>44555</v>
      </c>
      <c r="B42" s="184">
        <v>121.36</v>
      </c>
      <c r="C42" s="189" t="s">
        <v>99</v>
      </c>
      <c r="D42" s="192"/>
      <c r="E42" s="194">
        <f>C46</f>
        <v>0</v>
      </c>
      <c r="F42" s="191">
        <v>5525</v>
      </c>
      <c r="I42" s="3" t="str">
        <f>ROUND(F42/I36*100,2)&amp;"%"</f>
        <v>4.09%</v>
      </c>
      <c r="N42" s="4"/>
    </row>
    <row r="43" ht="15.6" spans="1:14">
      <c r="A43" s="53">
        <v>44556</v>
      </c>
      <c r="B43" s="184">
        <v>109.49</v>
      </c>
      <c r="C43" s="193" t="s">
        <v>100</v>
      </c>
      <c r="D43" s="193"/>
      <c r="E43" s="195">
        <v>0</v>
      </c>
      <c r="F43" s="193">
        <v>41682</v>
      </c>
      <c r="I43" s="3" t="str">
        <f>ROUND(F41/I37*100,2)&amp;"%"</f>
        <v>2.7%</v>
      </c>
      <c r="N43" s="4"/>
    </row>
    <row r="44" spans="1:9">
      <c r="A44" s="147" t="s">
        <v>138</v>
      </c>
      <c r="B44" s="79" t="s">
        <v>110</v>
      </c>
      <c r="C44" s="79">
        <f>C11</f>
        <v>2</v>
      </c>
      <c r="D44" s="79">
        <f>C12</f>
        <v>3</v>
      </c>
      <c r="E44" s="79">
        <f>E11</f>
        <v>6</v>
      </c>
      <c r="F44" s="79">
        <f>E12</f>
        <v>0</v>
      </c>
      <c r="I44" s="3" t="str">
        <f>ROUND(F40/I38*100,2)&amp;"%"</f>
        <v>0%</v>
      </c>
    </row>
    <row r="45" spans="1:6">
      <c r="A45" s="151"/>
      <c r="B45" s="79" t="s">
        <v>111</v>
      </c>
      <c r="C45" s="79">
        <v>0</v>
      </c>
      <c r="D45" s="79">
        <v>0</v>
      </c>
      <c r="E45" s="79">
        <v>13</v>
      </c>
      <c r="F45" s="79">
        <v>0</v>
      </c>
    </row>
    <row r="46" spans="1:6">
      <c r="A46" s="151"/>
      <c r="B46" s="79" t="s">
        <v>112</v>
      </c>
      <c r="C46" s="79">
        <v>0</v>
      </c>
      <c r="D46" s="79"/>
      <c r="E46" s="79"/>
      <c r="F46" s="79"/>
    </row>
    <row r="47" spans="1:9">
      <c r="A47" s="151"/>
      <c r="B47" s="79" t="s">
        <v>113</v>
      </c>
      <c r="C47" s="148">
        <v>0</v>
      </c>
      <c r="D47" s="149"/>
      <c r="E47" s="149"/>
      <c r="F47" s="150"/>
      <c r="I47" s="3" t="str">
        <f>TEXT(A3,"yyyy年mm月dd日")</f>
        <v>2021年12月26日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26日累计完成产值11526.82万元，占总产值90284.4万元的12.77%，100章临建完成6000.78万元，400章桥梁完成5526.04万元。已完成梁片预制547片，占设计量的9.25%；梁片安装421片，占设计量的7.12%；湿接缝5525米，占设计量的4.09%；防撞护栏1811.24，占设计量的2.7%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155</v>
      </c>
      <c r="B50" s="129"/>
      <c r="C50" s="129"/>
      <c r="D50" s="129"/>
      <c r="E50" s="129"/>
      <c r="F50" s="129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5"/>
  <dimension ref="A1:N50"/>
  <sheetViews>
    <sheetView view="pageBreakPreview" zoomScale="85" zoomScaleNormal="70" topLeftCell="A21" workbookViewId="0">
      <selection activeCell="K37" sqref="K37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44557</v>
      </c>
      <c r="B3" s="12" t="s">
        <v>7</v>
      </c>
      <c r="C3" s="12">
        <v>0</v>
      </c>
      <c r="D3" s="12">
        <f>ROUND(D11+D12+D13+D14+D15,2)</f>
        <v>65.77</v>
      </c>
      <c r="E3" s="13">
        <f>ROUND(C5+D5,2)</f>
        <v>134.71</v>
      </c>
      <c r="F3" s="143" t="s">
        <v>166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ROUND(F11+F12+F13+F14+F15,2)</f>
        <v>68.94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134.71</v>
      </c>
      <c r="E5" s="13"/>
      <c r="F5" s="144"/>
      <c r="I5" t="str">
        <f>ROUND(E6/90284.4*100,2)&amp;"%"</f>
        <v>12.92%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5660.75</v>
      </c>
      <c r="E6" s="8">
        <f>ROUND(C6+D6,2)</f>
        <v>11661.53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5660.75</v>
      </c>
      <c r="E7" s="8">
        <f>ROUND(C7+D7,2)</f>
        <v>11661.53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44557</v>
      </c>
      <c r="B11" s="32" t="s">
        <v>14</v>
      </c>
      <c r="C11" s="33">
        <v>3</v>
      </c>
      <c r="D11" s="8">
        <v>23.07</v>
      </c>
      <c r="E11" s="33">
        <v>5</v>
      </c>
      <c r="F11" s="8">
        <v>38.37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1</v>
      </c>
      <c r="D12" s="8">
        <v>15.28</v>
      </c>
      <c r="E12" s="33">
        <v>2</v>
      </c>
      <c r="F12" s="8">
        <v>30.57</v>
      </c>
      <c r="H12"/>
      <c r="I12"/>
      <c r="J12"/>
      <c r="K12"/>
      <c r="L12"/>
      <c r="M12"/>
    </row>
    <row r="13" ht="15" customHeight="1" spans="1:13">
      <c r="A13" s="132"/>
      <c r="B13" s="34" t="s">
        <v>112</v>
      </c>
      <c r="C13" s="33">
        <v>160</v>
      </c>
      <c r="D13" s="8">
        <v>6.53</v>
      </c>
      <c r="E13" s="33">
        <v>0</v>
      </c>
      <c r="F13" s="8">
        <v>0</v>
      </c>
      <c r="H13"/>
      <c r="I13"/>
      <c r="J13"/>
      <c r="K13"/>
      <c r="L13"/>
      <c r="M13"/>
    </row>
    <row r="14" ht="15" customHeight="1" spans="1:13">
      <c r="A14" s="132"/>
      <c r="B14" s="34" t="s">
        <v>113</v>
      </c>
      <c r="C14" s="33">
        <v>220.8</v>
      </c>
      <c r="D14" s="8">
        <v>20.89</v>
      </c>
      <c r="E14" s="33">
        <v>0</v>
      </c>
      <c r="F14" s="8">
        <v>0</v>
      </c>
      <c r="H14"/>
      <c r="I14"/>
      <c r="J14"/>
      <c r="K14"/>
      <c r="L14"/>
      <c r="M14"/>
    </row>
    <row r="15" ht="15" customHeight="1" spans="1:13">
      <c r="A15" s="132"/>
      <c r="B15" s="34" t="s">
        <v>114</v>
      </c>
      <c r="C15" s="33"/>
      <c r="D15" s="8"/>
      <c r="E15" s="33"/>
      <c r="F15" s="8"/>
      <c r="H15"/>
      <c r="I15"/>
      <c r="J15"/>
      <c r="K15"/>
      <c r="L15"/>
      <c r="M15"/>
    </row>
    <row r="16" ht="15" customHeight="1" spans="1:13">
      <c r="A16" s="132"/>
      <c r="B16" s="8" t="s">
        <v>134</v>
      </c>
      <c r="C16" s="25">
        <f>D11+D12+D13+D14+D15</f>
        <v>65.77</v>
      </c>
      <c r="D16" s="134"/>
      <c r="E16" s="25">
        <f>F11+F12+F13+F14+F15</f>
        <v>68.94</v>
      </c>
      <c r="F16" s="134"/>
      <c r="H16"/>
      <c r="I16"/>
      <c r="J16"/>
      <c r="K16"/>
      <c r="L16"/>
      <c r="M16"/>
    </row>
    <row r="17" ht="30" customHeight="1" spans="1:13">
      <c r="A17" s="132"/>
      <c r="B17" s="8" t="s">
        <v>5</v>
      </c>
      <c r="C17" s="6">
        <f>C16+E16</f>
        <v>134.71</v>
      </c>
      <c r="D17" s="6"/>
      <c r="E17" s="6"/>
      <c r="F17" s="6"/>
      <c r="H17"/>
      <c r="I17"/>
      <c r="J17"/>
      <c r="K17"/>
      <c r="L17"/>
      <c r="M17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 t="s">
        <v>20</v>
      </c>
      <c r="C19" s="12"/>
      <c r="D19" s="12"/>
      <c r="E19" s="12"/>
      <c r="F19" s="12"/>
    </row>
    <row r="20" spans="1:8">
      <c r="A20" s="12"/>
      <c r="B20" s="12"/>
      <c r="C20" s="135"/>
      <c r="D20" s="135"/>
      <c r="E20" s="135"/>
      <c r="F20" s="135"/>
      <c r="G20"/>
      <c r="H20"/>
    </row>
    <row r="21" spans="1:8">
      <c r="A21" s="12"/>
      <c r="B21" s="12"/>
      <c r="C21" s="135"/>
      <c r="D21" s="135"/>
      <c r="E21" s="135"/>
      <c r="F21" s="135"/>
      <c r="G21"/>
      <c r="H21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10">
      <c r="A24" s="12"/>
      <c r="B24" s="12"/>
      <c r="C24" s="135"/>
      <c r="D24" s="135"/>
      <c r="E24" s="135"/>
      <c r="F24" s="135"/>
      <c r="G24"/>
      <c r="H24"/>
      <c r="J24" s="1"/>
    </row>
    <row r="25" spans="1:8">
      <c r="A25" s="12"/>
      <c r="B25" s="12"/>
      <c r="C25" s="135"/>
      <c r="D25" s="135"/>
      <c r="E25" s="135"/>
      <c r="F25" s="135"/>
      <c r="G25"/>
      <c r="H25"/>
    </row>
    <row r="26" spans="1:6">
      <c r="A26" s="35"/>
      <c r="B26" s="136" t="s">
        <v>135</v>
      </c>
      <c r="C26" s="137"/>
      <c r="D26" s="136" t="s">
        <v>136</v>
      </c>
      <c r="E26" s="138"/>
      <c r="F26" s="12"/>
    </row>
    <row r="27" spans="1:6">
      <c r="A27" s="35"/>
      <c r="B27" s="132" t="s">
        <v>74</v>
      </c>
      <c r="C27" s="12">
        <f>C36+D36</f>
        <v>234</v>
      </c>
      <c r="D27" s="132" t="s">
        <v>75</v>
      </c>
      <c r="E27" s="12">
        <f>C37+D37</f>
        <v>185</v>
      </c>
      <c r="F27" s="12"/>
    </row>
    <row r="28" spans="1:6">
      <c r="A28" s="35"/>
      <c r="B28" s="132" t="s">
        <v>76</v>
      </c>
      <c r="C28" s="12">
        <f>E36+F36</f>
        <v>324</v>
      </c>
      <c r="D28" s="132" t="s">
        <v>77</v>
      </c>
      <c r="E28" s="12">
        <f>E37+F37</f>
        <v>236</v>
      </c>
      <c r="F28" s="12"/>
    </row>
    <row r="29" spans="1:6">
      <c r="A29" s="35"/>
      <c r="B29" s="132" t="s">
        <v>78</v>
      </c>
      <c r="C29" s="12">
        <f>C30-C27-C28</f>
        <v>5222</v>
      </c>
      <c r="D29" s="132" t="s">
        <v>79</v>
      </c>
      <c r="E29" s="12">
        <f>E30-E27-E28</f>
        <v>5359</v>
      </c>
      <c r="F29" s="12"/>
    </row>
    <row r="30" spans="1:6">
      <c r="A30" s="12"/>
      <c r="B30" s="132" t="s">
        <v>80</v>
      </c>
      <c r="C30" s="12">
        <v>5780</v>
      </c>
      <c r="D30" s="132" t="s">
        <v>81</v>
      </c>
      <c r="E30" s="12">
        <v>5780</v>
      </c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ht="19.95" customHeight="1" spans="1:14">
      <c r="A33" s="8" t="s">
        <v>91</v>
      </c>
      <c r="B33" s="8"/>
      <c r="C33" s="8" t="s">
        <v>92</v>
      </c>
      <c r="D33" s="12"/>
      <c r="E33" s="12"/>
      <c r="F33" s="12"/>
      <c r="N33" s="4"/>
    </row>
    <row r="34" ht="15.6" spans="1:14">
      <c r="A34" s="53">
        <v>44548</v>
      </c>
      <c r="B34" s="184">
        <v>178.07</v>
      </c>
      <c r="C34" s="185" t="s">
        <v>32</v>
      </c>
      <c r="D34" s="185"/>
      <c r="E34" s="185" t="s">
        <v>33</v>
      </c>
      <c r="F34" s="185"/>
      <c r="I34" s="3">
        <v>5913</v>
      </c>
      <c r="N34" s="4"/>
    </row>
    <row r="35" ht="15.6" spans="1:14">
      <c r="A35" s="53">
        <v>44549</v>
      </c>
      <c r="B35" s="184">
        <v>123.13</v>
      </c>
      <c r="C35" s="186" t="s">
        <v>14</v>
      </c>
      <c r="D35" s="186" t="s">
        <v>15</v>
      </c>
      <c r="E35" s="186" t="s">
        <v>14</v>
      </c>
      <c r="F35" s="186" t="s">
        <v>15</v>
      </c>
      <c r="I35" s="3">
        <v>5913</v>
      </c>
      <c r="N35" s="4"/>
    </row>
    <row r="36" ht="15.6" spans="1:14">
      <c r="A36" s="53">
        <v>44550</v>
      </c>
      <c r="B36" s="184">
        <v>73.94</v>
      </c>
      <c r="C36" s="187">
        <v>161</v>
      </c>
      <c r="D36" s="187">
        <v>73</v>
      </c>
      <c r="E36" s="187">
        <v>285</v>
      </c>
      <c r="F36" s="187">
        <v>39</v>
      </c>
      <c r="I36" s="3">
        <v>135185</v>
      </c>
      <c r="N36" s="4"/>
    </row>
    <row r="37" ht="15.6" spans="1:14">
      <c r="A37" s="53">
        <v>44551</v>
      </c>
      <c r="B37" s="184">
        <v>122.65</v>
      </c>
      <c r="C37" s="188">
        <v>130</v>
      </c>
      <c r="D37" s="188">
        <v>55</v>
      </c>
      <c r="E37" s="188">
        <v>236</v>
      </c>
      <c r="F37" s="188">
        <v>0</v>
      </c>
      <c r="I37" s="3">
        <v>67098.02</v>
      </c>
      <c r="N37" s="4"/>
    </row>
    <row r="38" ht="15.6" spans="1:14">
      <c r="A38" s="53">
        <v>44552</v>
      </c>
      <c r="B38" s="184">
        <v>85.34</v>
      </c>
      <c r="C38" s="187" t="s">
        <v>68</v>
      </c>
      <c r="D38" s="187">
        <f>C36+D36+E36+F36</f>
        <v>558</v>
      </c>
      <c r="E38" s="188" t="s">
        <v>69</v>
      </c>
      <c r="F38" s="188">
        <f>C37+D37+E37+F37</f>
        <v>421</v>
      </c>
      <c r="I38" s="3">
        <v>405202.2</v>
      </c>
      <c r="N38" s="4"/>
    </row>
    <row r="39" ht="15.6" spans="1:14">
      <c r="A39" s="53">
        <v>44553</v>
      </c>
      <c r="B39" s="184">
        <v>91.5</v>
      </c>
      <c r="C39" s="25" t="s">
        <v>106</v>
      </c>
      <c r="D39" s="134"/>
      <c r="E39" s="8" t="s">
        <v>97</v>
      </c>
      <c r="F39" s="8" t="s">
        <v>107</v>
      </c>
      <c r="N39" s="4"/>
    </row>
    <row r="40" ht="15.6" spans="1:14">
      <c r="A40" s="53">
        <v>44554</v>
      </c>
      <c r="B40" s="184">
        <v>108.53</v>
      </c>
      <c r="C40" s="189" t="s">
        <v>108</v>
      </c>
      <c r="D40" s="190"/>
      <c r="E40" s="194">
        <f>C48</f>
        <v>0</v>
      </c>
      <c r="F40" s="191">
        <v>0</v>
      </c>
      <c r="I40" s="3" t="str">
        <f>ROUND(D38/I34*100,2)&amp;"%"</f>
        <v>9.44%</v>
      </c>
      <c r="N40" s="4"/>
    </row>
    <row r="41" ht="15.6" spans="1:14">
      <c r="A41" s="53">
        <v>44555</v>
      </c>
      <c r="B41" s="184">
        <v>121.36</v>
      </c>
      <c r="C41" s="189" t="s">
        <v>109</v>
      </c>
      <c r="D41" s="190"/>
      <c r="E41" s="194">
        <f>C47</f>
        <v>220.8</v>
      </c>
      <c r="F41" s="191">
        <v>2032.04</v>
      </c>
      <c r="I41" s="3" t="str">
        <f>ROUND(F38/I35*100,2)&amp;"%"</f>
        <v>7.12%</v>
      </c>
      <c r="N41" s="4"/>
    </row>
    <row r="42" ht="15.6" spans="1:14">
      <c r="A42" s="53">
        <v>44556</v>
      </c>
      <c r="B42" s="184">
        <v>109.49</v>
      </c>
      <c r="C42" s="189" t="s">
        <v>99</v>
      </c>
      <c r="D42" s="192"/>
      <c r="E42" s="194">
        <f>C46</f>
        <v>160</v>
      </c>
      <c r="F42" s="191">
        <v>5685</v>
      </c>
      <c r="I42" s="3" t="str">
        <f>ROUND(F42/I36*100,2)&amp;"%"</f>
        <v>4.21%</v>
      </c>
      <c r="N42" s="4"/>
    </row>
    <row r="43" ht="15.6" spans="1:14">
      <c r="A43" s="53">
        <v>44557</v>
      </c>
      <c r="B43" s="184">
        <v>134.71</v>
      </c>
      <c r="C43" s="193" t="s">
        <v>100</v>
      </c>
      <c r="D43" s="193"/>
      <c r="E43" s="195">
        <v>0</v>
      </c>
      <c r="F43" s="193">
        <v>41682</v>
      </c>
      <c r="I43" s="3" t="str">
        <f>ROUND(F41/I37*100,2)&amp;"%"</f>
        <v>3.03%</v>
      </c>
      <c r="N43" s="4"/>
    </row>
    <row r="44" spans="1:9">
      <c r="A44" s="147" t="s">
        <v>138</v>
      </c>
      <c r="B44" s="79" t="s">
        <v>110</v>
      </c>
      <c r="C44" s="79">
        <f>C11</f>
        <v>3</v>
      </c>
      <c r="D44" s="79">
        <f>C12</f>
        <v>1</v>
      </c>
      <c r="E44" s="79">
        <f>E11</f>
        <v>5</v>
      </c>
      <c r="F44" s="79">
        <f>E12</f>
        <v>2</v>
      </c>
      <c r="I44" s="3" t="str">
        <f>ROUND(F40/I38*100,2)&amp;"%"</f>
        <v>0%</v>
      </c>
    </row>
    <row r="45" spans="1:6">
      <c r="A45" s="151"/>
      <c r="B45" s="79" t="s">
        <v>111</v>
      </c>
      <c r="C45" s="79">
        <v>0</v>
      </c>
      <c r="D45" s="79">
        <v>0</v>
      </c>
      <c r="E45" s="79">
        <v>0</v>
      </c>
      <c r="F45" s="79">
        <v>0</v>
      </c>
    </row>
    <row r="46" spans="1:6">
      <c r="A46" s="151"/>
      <c r="B46" s="79" t="s">
        <v>112</v>
      </c>
      <c r="C46" s="79">
        <v>160</v>
      </c>
      <c r="D46" s="79"/>
      <c r="E46" s="79"/>
      <c r="F46" s="79"/>
    </row>
    <row r="47" spans="1:9">
      <c r="A47" s="151"/>
      <c r="B47" s="79" t="s">
        <v>113</v>
      </c>
      <c r="C47" s="148">
        <v>220.8</v>
      </c>
      <c r="D47" s="149"/>
      <c r="E47" s="149"/>
      <c r="F47" s="150"/>
      <c r="I47" s="3" t="str">
        <f>TEXT(A3,"yyyy年mm月dd日")</f>
        <v>2021年12月27日</v>
      </c>
    </row>
    <row r="48" spans="1:6">
      <c r="A48" s="152"/>
      <c r="B48" s="79" t="s">
        <v>114</v>
      </c>
      <c r="C48" s="148">
        <v>0</v>
      </c>
      <c r="D48" s="149"/>
      <c r="E48" s="149"/>
      <c r="F48" s="150"/>
    </row>
    <row r="49" ht="60" customHeight="1" spans="1:7">
      <c r="A49" s="82" t="str">
        <f>"ZCB1-19截止"&amp;I47&amp;"累计完成产值"&amp;E6&amp;"万元，占总产值90284.4万元的"&amp;I5&amp;"，100章临建完成"&amp;C7&amp;"万元，400章桥梁完成"&amp;D7&amp;"万元。已完成梁片预制"&amp;D38&amp;"片，占设计量的"&amp;I40&amp;"；梁片安装"&amp;F38&amp;"片，占设计量的"&amp;I41&amp;"；湿接缝"&amp;F42&amp;"米，占设计量的"&amp;I42&amp;"；防撞护栏"&amp;F41&amp;"，占设计量的"&amp;I43&amp;"；桥面铺装"&amp;F40&amp;"米，占设计量的"&amp;I44&amp;"。"</f>
        <v>ZCB1-19截止2021年12月27日累计完成产值11661.53万元，占总产值90284.4万元的12.92%，100章临建完成6000.78万元，400章桥梁完成5660.75万元。已完成梁片预制558片，占设计量的9.44%；梁片安装421片，占设计量的7.12%；湿接缝5685米，占设计量的4.21%；防撞护栏2032.04，占设计量的3.03%；桥面铺装0米，占设计量的0%。</v>
      </c>
      <c r="B49" s="83"/>
      <c r="C49" s="83"/>
      <c r="D49" s="83"/>
      <c r="E49" s="83"/>
      <c r="F49" s="84"/>
      <c r="G49" s="4"/>
    </row>
    <row r="50" ht="30" customHeight="1" spans="1:6">
      <c r="A50" s="129" t="s">
        <v>155</v>
      </c>
      <c r="B50" s="129"/>
      <c r="C50" s="129"/>
      <c r="D50" s="129"/>
      <c r="E50" s="129"/>
      <c r="F50" s="129"/>
    </row>
  </sheetData>
  <mergeCells count="30">
    <mergeCell ref="A1:F1"/>
    <mergeCell ref="A8:F8"/>
    <mergeCell ref="C9:D9"/>
    <mergeCell ref="E9:F9"/>
    <mergeCell ref="C16:D16"/>
    <mergeCell ref="E16:F16"/>
    <mergeCell ref="C17:F17"/>
    <mergeCell ref="B26:C26"/>
    <mergeCell ref="D26:E26"/>
    <mergeCell ref="A33:B33"/>
    <mergeCell ref="C33:F33"/>
    <mergeCell ref="C34:D34"/>
    <mergeCell ref="E34:F34"/>
    <mergeCell ref="C39:D39"/>
    <mergeCell ref="C40:D40"/>
    <mergeCell ref="C41:D41"/>
    <mergeCell ref="C42:D42"/>
    <mergeCell ref="C43:D43"/>
    <mergeCell ref="C46:F46"/>
    <mergeCell ref="C47:F47"/>
    <mergeCell ref="C48:F48"/>
    <mergeCell ref="A49:F49"/>
    <mergeCell ref="A50:F50"/>
    <mergeCell ref="A3:A7"/>
    <mergeCell ref="A9:A10"/>
    <mergeCell ref="A11:A17"/>
    <mergeCell ref="A44:A48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0" max="16383" man="1"/>
    <brk id="50" max="16383" man="1"/>
    <brk id="50" max="16383" man="1"/>
  </rowBreaks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6"/>
  <dimension ref="A1:N52"/>
  <sheetViews>
    <sheetView view="pageBreakPreview" zoomScale="85" zoomScaleNormal="70" workbookViewId="0">
      <selection activeCell="D6" sqref="D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44558</v>
      </c>
      <c r="B3" s="12" t="s">
        <v>7</v>
      </c>
      <c r="C3" s="12">
        <v>0</v>
      </c>
      <c r="D3" s="12">
        <f>ROUND(D11+D12+D15+D16+D17,2)</f>
        <v>53.67</v>
      </c>
      <c r="E3" s="13">
        <f>ROUND(C5+D5,2)</f>
        <v>124.05</v>
      </c>
      <c r="F3" s="143" t="s">
        <v>167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ROUND(F11+F12+F15+F16+F17,2)</f>
        <v>70.38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124.05</v>
      </c>
      <c r="E5" s="13"/>
      <c r="F5" s="144"/>
      <c r="I5" t="str">
        <f>ROUND(E6/90284.4*100,2)&amp;"%"</f>
        <v>13.05%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5784.8</v>
      </c>
      <c r="E6" s="8">
        <f>ROUND(C6+D6,2)</f>
        <v>11785.58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5784.8</v>
      </c>
      <c r="E7" s="8">
        <f>ROUND(C7+D7,2)</f>
        <v>11785.58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44558</v>
      </c>
      <c r="B11" s="32" t="s">
        <v>14</v>
      </c>
      <c r="C11" s="33">
        <v>2</v>
      </c>
      <c r="D11" s="8">
        <v>15.28</v>
      </c>
      <c r="E11" s="33">
        <v>5</v>
      </c>
      <c r="F11" s="8">
        <v>39.828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31.74</v>
      </c>
      <c r="E12" s="33">
        <v>2</v>
      </c>
      <c r="F12" s="8">
        <v>30.55</v>
      </c>
      <c r="H12"/>
      <c r="I12"/>
      <c r="J12"/>
      <c r="K12"/>
      <c r="L12"/>
      <c r="M12"/>
    </row>
    <row r="13" ht="15" customHeight="1" spans="1:13">
      <c r="A13" s="132"/>
      <c r="B13" s="32"/>
      <c r="C13" s="33"/>
      <c r="D13" s="8"/>
      <c r="E13" s="33"/>
      <c r="F13" s="8"/>
      <c r="H13"/>
      <c r="I13"/>
      <c r="J13"/>
      <c r="K13"/>
      <c r="L13"/>
      <c r="M13"/>
    </row>
    <row r="14" ht="15" customHeight="1" spans="1:13">
      <c r="A14" s="132"/>
      <c r="B14" s="32"/>
      <c r="C14" s="33"/>
      <c r="D14" s="8"/>
      <c r="E14" s="33"/>
      <c r="F14" s="8"/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160</v>
      </c>
      <c r="D15" s="8">
        <v>6.65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D11+D12+D15+D16+D17</f>
        <v>53.67</v>
      </c>
      <c r="D18" s="134"/>
      <c r="E18" s="25">
        <f>F11+F12+F15+F16+F17</f>
        <v>70.378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124.048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238</v>
      </c>
      <c r="D29" s="132" t="s">
        <v>75</v>
      </c>
      <c r="E29" s="12">
        <f>C39+D39</f>
        <v>190</v>
      </c>
      <c r="F29" s="12"/>
    </row>
    <row r="30" spans="1:6">
      <c r="A30" s="35"/>
      <c r="B30" s="132" t="s">
        <v>76</v>
      </c>
      <c r="C30" s="12">
        <f>E38+F38</f>
        <v>331</v>
      </c>
      <c r="D30" s="132" t="s">
        <v>77</v>
      </c>
      <c r="E30" s="12">
        <f>E39+F39</f>
        <v>245</v>
      </c>
      <c r="F30" s="12"/>
    </row>
    <row r="31" spans="1:6">
      <c r="A31" s="35"/>
      <c r="B31" s="132" t="s">
        <v>78</v>
      </c>
      <c r="C31" s="12">
        <f>C32-C29-C30</f>
        <v>5211</v>
      </c>
      <c r="D31" s="132" t="s">
        <v>79</v>
      </c>
      <c r="E31" s="12">
        <f>E32-E29-E30</f>
        <v>5345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44549</v>
      </c>
      <c r="B36" s="184">
        <v>123.13</v>
      </c>
      <c r="C36" s="185" t="s">
        <v>32</v>
      </c>
      <c r="D36" s="185"/>
      <c r="E36" s="185" t="s">
        <v>33</v>
      </c>
      <c r="F36" s="185"/>
      <c r="I36" s="3">
        <v>5913</v>
      </c>
      <c r="N36" s="4"/>
    </row>
    <row r="37" ht="15.6" spans="1:14">
      <c r="A37" s="53">
        <v>44550</v>
      </c>
      <c r="B37" s="184">
        <v>73.94</v>
      </c>
      <c r="C37" s="186" t="s">
        <v>14</v>
      </c>
      <c r="D37" s="186" t="s">
        <v>15</v>
      </c>
      <c r="E37" s="186" t="s">
        <v>14</v>
      </c>
      <c r="F37" s="186" t="s">
        <v>15</v>
      </c>
      <c r="I37" s="3">
        <v>5913</v>
      </c>
      <c r="N37" s="4"/>
    </row>
    <row r="38" ht="15.6" spans="1:14">
      <c r="A38" s="53">
        <v>44551</v>
      </c>
      <c r="B38" s="184">
        <v>122.65</v>
      </c>
      <c r="C38" s="187">
        <v>163</v>
      </c>
      <c r="D38" s="187">
        <v>75</v>
      </c>
      <c r="E38" s="187">
        <v>290</v>
      </c>
      <c r="F38" s="187">
        <v>41</v>
      </c>
      <c r="I38" s="3">
        <v>135185</v>
      </c>
      <c r="N38" s="4"/>
    </row>
    <row r="39" ht="15.6" spans="1:14">
      <c r="A39" s="53">
        <v>44552</v>
      </c>
      <c r="B39" s="184">
        <v>85.34</v>
      </c>
      <c r="C39" s="188">
        <v>130</v>
      </c>
      <c r="D39" s="188">
        <v>60</v>
      </c>
      <c r="E39" s="188">
        <v>245</v>
      </c>
      <c r="F39" s="188">
        <v>0</v>
      </c>
      <c r="I39" s="3">
        <v>67098.02</v>
      </c>
      <c r="N39" s="4"/>
    </row>
    <row r="40" ht="15.6" spans="1:14">
      <c r="A40" s="53">
        <v>44553</v>
      </c>
      <c r="B40" s="184">
        <v>91.5</v>
      </c>
      <c r="C40" s="187" t="s">
        <v>68</v>
      </c>
      <c r="D40" s="187">
        <f>C38+D38+E38+F38</f>
        <v>569</v>
      </c>
      <c r="E40" s="188" t="s">
        <v>69</v>
      </c>
      <c r="F40" s="188">
        <f>C39+D39+E39+F39</f>
        <v>435</v>
      </c>
      <c r="I40" s="3">
        <v>405202.2</v>
      </c>
      <c r="N40" s="4"/>
    </row>
    <row r="41" ht="15.6" spans="1:14">
      <c r="A41" s="53">
        <v>44554</v>
      </c>
      <c r="B41" s="184">
        <v>108.53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44555</v>
      </c>
      <c r="B42" s="184">
        <v>121.36</v>
      </c>
      <c r="C42" s="189" t="s">
        <v>108</v>
      </c>
      <c r="D42" s="190"/>
      <c r="E42" s="194">
        <f>C50</f>
        <v>0</v>
      </c>
      <c r="F42" s="191">
        <v>0</v>
      </c>
      <c r="I42" s="3" t="str">
        <f>ROUND(D40/I36*100,2)&amp;"%"</f>
        <v>9.62%</v>
      </c>
      <c r="N42" s="4"/>
    </row>
    <row r="43" ht="15.6" spans="1:14">
      <c r="A43" s="53">
        <v>44556</v>
      </c>
      <c r="B43" s="184">
        <v>109.49</v>
      </c>
      <c r="C43" s="189" t="s">
        <v>109</v>
      </c>
      <c r="D43" s="190"/>
      <c r="E43" s="194">
        <f>C49</f>
        <v>0</v>
      </c>
      <c r="F43" s="191">
        <v>2032.04</v>
      </c>
      <c r="I43" s="3" t="str">
        <f>ROUND(F40/I37*100,2)&amp;"%"</f>
        <v>7.36%</v>
      </c>
      <c r="N43" s="4"/>
    </row>
    <row r="44" ht="15.6" spans="1:14">
      <c r="A44" s="53">
        <v>44557</v>
      </c>
      <c r="B44" s="184">
        <v>134.71</v>
      </c>
      <c r="C44" s="189" t="s">
        <v>99</v>
      </c>
      <c r="D44" s="192"/>
      <c r="E44" s="194">
        <f>C48</f>
        <v>160</v>
      </c>
      <c r="F44" s="191">
        <v>5845</v>
      </c>
      <c r="I44" s="3" t="str">
        <f>ROUND(F44/I38*100,2)&amp;"%"</f>
        <v>4.32%</v>
      </c>
      <c r="N44" s="4"/>
    </row>
    <row r="45" ht="15.6" spans="1:14">
      <c r="A45" s="53">
        <v>44558</v>
      </c>
      <c r="B45" s="184">
        <v>124.05</v>
      </c>
      <c r="C45" s="193" t="s">
        <v>100</v>
      </c>
      <c r="D45" s="193"/>
      <c r="E45" s="195">
        <v>0</v>
      </c>
      <c r="F45" s="193">
        <v>41682</v>
      </c>
      <c r="I45" s="3" t="str">
        <f>ROUND(F43/I39*100,2)&amp;"%"</f>
        <v>3.03%</v>
      </c>
      <c r="N45" s="4"/>
    </row>
    <row r="46" spans="1:9">
      <c r="A46" s="147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5</v>
      </c>
      <c r="F46" s="79">
        <f>E12</f>
        <v>2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5</v>
      </c>
      <c r="E47" s="79">
        <v>9</v>
      </c>
      <c r="F47" s="79">
        <v>0</v>
      </c>
    </row>
    <row r="48" spans="1:6">
      <c r="A48" s="151"/>
      <c r="B48" s="79" t="s">
        <v>112</v>
      </c>
      <c r="C48" s="79">
        <v>160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2021年12月28日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28日累计完成产值11785.58万元，占总产值90284.4万元的13.05%，100章临建完成6000.78万元，400章桥梁完成5784.8万元。已完成梁片预制569片，占设计量的9.62%；梁片安装435片，占设计量的7.36%；湿接缝5845米，占设计量的4.32%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7"/>
  <dimension ref="A1:N52"/>
  <sheetViews>
    <sheetView view="pageBreakPreview" zoomScale="85" zoomScaleNormal="70" topLeftCell="A9" workbookViewId="0">
      <selection activeCell="L36" sqref="L36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44559</v>
      </c>
      <c r="B3" s="12" t="s">
        <v>7</v>
      </c>
      <c r="C3" s="12">
        <v>0</v>
      </c>
      <c r="D3" s="12">
        <f>ROUND(D11+D12+D15+D16+D17+D13+D14,2)</f>
        <v>53.19</v>
      </c>
      <c r="E3" s="13">
        <f>ROUND(C5+D5,2)</f>
        <v>108.03</v>
      </c>
      <c r="F3" s="143" t="s">
        <v>168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54.84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108.03</v>
      </c>
      <c r="E5" s="13"/>
      <c r="F5" s="144"/>
      <c r="I5" t="str">
        <f>ROUND(E6/90284.4*100,2)&amp;"%"</f>
        <v>13.17%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5892.83</v>
      </c>
      <c r="E6" s="8">
        <f>ROUND(C6+D6,2)</f>
        <v>11893.61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5892.83</v>
      </c>
      <c r="E7" s="8">
        <f>ROUND(C7+D7,2)</f>
        <v>11893.61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44559</v>
      </c>
      <c r="B11" s="32" t="s">
        <v>14</v>
      </c>
      <c r="C11" s="33">
        <v>2</v>
      </c>
      <c r="D11" s="8">
        <v>15.23</v>
      </c>
      <c r="E11" s="33">
        <v>3</v>
      </c>
      <c r="F11" s="8">
        <v>23.1</v>
      </c>
      <c r="H11"/>
      <c r="I11"/>
      <c r="J11"/>
      <c r="K11"/>
      <c r="L11"/>
      <c r="M11"/>
    </row>
    <row r="12" ht="15" customHeight="1" spans="1:13">
      <c r="A12" s="132"/>
      <c r="B12" s="32" t="s">
        <v>15</v>
      </c>
      <c r="C12" s="33">
        <v>2</v>
      </c>
      <c r="D12" s="8">
        <v>30.55</v>
      </c>
      <c r="E12" s="33">
        <v>2</v>
      </c>
      <c r="F12" s="8">
        <v>30.52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/>
      <c r="E13" s="33">
        <v>6</v>
      </c>
      <c r="F13" s="8">
        <v>0.972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3</v>
      </c>
      <c r="D14" s="8">
        <v>0.756</v>
      </c>
      <c r="E14" s="33">
        <v>1</v>
      </c>
      <c r="F14" s="8">
        <v>0.252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160</v>
      </c>
      <c r="D15" s="8">
        <v>6.65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D11+D12+D15+D16+D17+D13+D14</f>
        <v>53.186</v>
      </c>
      <c r="D18" s="134"/>
      <c r="E18" s="25">
        <f>F11+F12+F15+F16+F17+F13+F14</f>
        <v>54.844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108.03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242</v>
      </c>
      <c r="D29" s="132" t="s">
        <v>75</v>
      </c>
      <c r="E29" s="12">
        <f>C39+D39</f>
        <v>193</v>
      </c>
      <c r="F29" s="12"/>
    </row>
    <row r="30" spans="1:6">
      <c r="A30" s="35"/>
      <c r="B30" s="132" t="s">
        <v>76</v>
      </c>
      <c r="C30" s="12">
        <f>E38+F38</f>
        <v>336</v>
      </c>
      <c r="D30" s="132" t="s">
        <v>77</v>
      </c>
      <c r="E30" s="12">
        <f>E39+F39</f>
        <v>252</v>
      </c>
      <c r="F30" s="12"/>
    </row>
    <row r="31" spans="1:6">
      <c r="A31" s="35"/>
      <c r="B31" s="132" t="s">
        <v>78</v>
      </c>
      <c r="C31" s="12">
        <f>C32-C29-C30</f>
        <v>5202</v>
      </c>
      <c r="D31" s="132" t="s">
        <v>79</v>
      </c>
      <c r="E31" s="12">
        <f>E32-E29-E30</f>
        <v>5335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44550</v>
      </c>
      <c r="B36" s="184">
        <v>73.94</v>
      </c>
      <c r="C36" s="185" t="s">
        <v>32</v>
      </c>
      <c r="D36" s="185"/>
      <c r="E36" s="185" t="s">
        <v>33</v>
      </c>
      <c r="F36" s="185"/>
      <c r="I36" s="3">
        <v>5913</v>
      </c>
      <c r="N36" s="4"/>
    </row>
    <row r="37" ht="15.6" spans="1:14">
      <c r="A37" s="53">
        <v>44551</v>
      </c>
      <c r="B37" s="184">
        <v>122.65</v>
      </c>
      <c r="C37" s="186" t="s">
        <v>14</v>
      </c>
      <c r="D37" s="186" t="s">
        <v>15</v>
      </c>
      <c r="E37" s="186" t="s">
        <v>14</v>
      </c>
      <c r="F37" s="186" t="s">
        <v>15</v>
      </c>
      <c r="I37" s="3">
        <v>5913</v>
      </c>
      <c r="N37" s="4"/>
    </row>
    <row r="38" ht="15.6" spans="1:14">
      <c r="A38" s="53">
        <v>44552</v>
      </c>
      <c r="B38" s="184">
        <v>85.34</v>
      </c>
      <c r="C38" s="187">
        <v>165</v>
      </c>
      <c r="D38" s="187">
        <v>77</v>
      </c>
      <c r="E38" s="187">
        <v>293</v>
      </c>
      <c r="F38" s="187">
        <v>43</v>
      </c>
      <c r="I38" s="3">
        <v>135185</v>
      </c>
      <c r="N38" s="4"/>
    </row>
    <row r="39" ht="15.6" spans="1:14">
      <c r="A39" s="53">
        <v>44553</v>
      </c>
      <c r="B39" s="184">
        <v>91.5</v>
      </c>
      <c r="C39" s="188">
        <v>130</v>
      </c>
      <c r="D39" s="188">
        <v>63</v>
      </c>
      <c r="E39" s="188">
        <v>251</v>
      </c>
      <c r="F39" s="188">
        <v>1</v>
      </c>
      <c r="I39" s="3">
        <v>67098.02</v>
      </c>
      <c r="N39" s="4"/>
    </row>
    <row r="40" ht="15.6" spans="1:14">
      <c r="A40" s="53">
        <v>44554</v>
      </c>
      <c r="B40" s="184">
        <v>108.53</v>
      </c>
      <c r="C40" s="187" t="s">
        <v>68</v>
      </c>
      <c r="D40" s="187">
        <f>C38+D38+E38+F38</f>
        <v>578</v>
      </c>
      <c r="E40" s="188" t="s">
        <v>69</v>
      </c>
      <c r="F40" s="188">
        <f>C39+D39+E39+F39</f>
        <v>445</v>
      </c>
      <c r="I40" s="3">
        <v>405202.2</v>
      </c>
      <c r="N40" s="4"/>
    </row>
    <row r="41" ht="15.6" spans="1:14">
      <c r="A41" s="53">
        <v>44555</v>
      </c>
      <c r="B41" s="184">
        <v>121.36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44556</v>
      </c>
      <c r="B42" s="184">
        <v>109.49</v>
      </c>
      <c r="C42" s="189" t="s">
        <v>108</v>
      </c>
      <c r="D42" s="190"/>
      <c r="E42" s="194">
        <f>C50</f>
        <v>0</v>
      </c>
      <c r="F42" s="191">
        <v>0</v>
      </c>
      <c r="I42" s="3" t="str">
        <f>ROUND(D40/I36*100,2)&amp;"%"</f>
        <v>9.78%</v>
      </c>
      <c r="N42" s="4"/>
    </row>
    <row r="43" ht="15.6" spans="1:14">
      <c r="A43" s="53">
        <v>44557</v>
      </c>
      <c r="B43" s="184">
        <v>134.71</v>
      </c>
      <c r="C43" s="189" t="s">
        <v>109</v>
      </c>
      <c r="D43" s="190"/>
      <c r="E43" s="194">
        <f>C49</f>
        <v>0</v>
      </c>
      <c r="F43" s="191">
        <v>2032.04</v>
      </c>
      <c r="I43" s="3" t="str">
        <f>ROUND(F40/I37*100,2)&amp;"%"</f>
        <v>7.53%</v>
      </c>
      <c r="N43" s="4"/>
    </row>
    <row r="44" ht="15.6" spans="1:14">
      <c r="A44" s="53">
        <v>44558</v>
      </c>
      <c r="B44" s="184">
        <v>124.05</v>
      </c>
      <c r="C44" s="189" t="s">
        <v>99</v>
      </c>
      <c r="D44" s="192"/>
      <c r="E44" s="194">
        <f>C48</f>
        <v>160</v>
      </c>
      <c r="F44" s="191">
        <v>6005</v>
      </c>
      <c r="I44" s="3" t="str">
        <f>ROUND(F44/I38*100,2)&amp;"%"</f>
        <v>4.44%</v>
      </c>
      <c r="N44" s="4"/>
    </row>
    <row r="45" ht="15.6" spans="1:14">
      <c r="A45" s="53">
        <v>44559</v>
      </c>
      <c r="B45" s="184">
        <v>108.03</v>
      </c>
      <c r="C45" s="193" t="s">
        <v>100</v>
      </c>
      <c r="D45" s="193"/>
      <c r="E45" s="195">
        <v>0</v>
      </c>
      <c r="F45" s="193">
        <v>41682</v>
      </c>
      <c r="I45" s="3" t="str">
        <f>ROUND(F43/I39*100,2)&amp;"%"</f>
        <v>3.03%</v>
      </c>
      <c r="N45" s="4"/>
    </row>
    <row r="46" spans="1:9">
      <c r="A46" s="147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3</v>
      </c>
      <c r="F46" s="79">
        <f>E12</f>
        <v>2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3</v>
      </c>
      <c r="E47" s="79">
        <v>6</v>
      </c>
      <c r="F47" s="79">
        <v>1</v>
      </c>
    </row>
    <row r="48" spans="1:6">
      <c r="A48" s="151"/>
      <c r="B48" s="79" t="s">
        <v>112</v>
      </c>
      <c r="C48" s="79">
        <v>160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2021年12月29日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29日累计完成产值11893.61万元，占总产值90284.4万元的13.17%，100章临建完成6000.78万元，400章桥梁完成5892.83万元。已完成梁片预制578片，占设计量的9.78%；梁片安装445片，占设计量的7.53%；湿接缝6005米，占设计量的4.44%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topLeftCell="A2" workbookViewId="0">
      <selection activeCell="M14" sqref="M14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44560</v>
      </c>
      <c r="B3" s="12" t="s">
        <v>7</v>
      </c>
      <c r="C3" s="12">
        <v>0</v>
      </c>
      <c r="D3" s="12">
        <f>ROUND(D11+D12+D15+D16+D17+D13+D14,2)</f>
        <v>46.21</v>
      </c>
      <c r="E3" s="13">
        <f>ROUND(C5+D5,2)</f>
        <v>109.25</v>
      </c>
      <c r="F3" s="143" t="s">
        <v>171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63.04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109.25</v>
      </c>
      <c r="E5" s="13"/>
      <c r="F5" s="144"/>
      <c r="I5" t="str">
        <f>ROUND(E6/90284.4*100,2)&amp;"%"</f>
        <v>13.29%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6002.08</v>
      </c>
      <c r="E6" s="8">
        <f>ROUND(C6+D6,2)</f>
        <v>12002.86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6002.08</v>
      </c>
      <c r="E7" s="8">
        <f>ROUND(C7+D7,2)</f>
        <v>12002.86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44560</v>
      </c>
      <c r="B11" s="32" t="s">
        <v>172</v>
      </c>
      <c r="C11" s="33">
        <v>2</v>
      </c>
      <c r="D11" s="8">
        <v>15.44</v>
      </c>
      <c r="E11" s="33">
        <v>6</v>
      </c>
      <c r="F11" s="8">
        <v>46.19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30.52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/>
      <c r="E13" s="33">
        <v>5</v>
      </c>
      <c r="F13" s="8">
        <v>0.81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1</v>
      </c>
      <c r="D14" s="8">
        <v>0.252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0</v>
      </c>
      <c r="D15" s="8">
        <v>0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D11+D12+D15+D16+D17+D13+D14</f>
        <v>46.212</v>
      </c>
      <c r="D18" s="134"/>
      <c r="E18" s="25">
        <f>F11+F12+F15+F16+F17+F13+F14</f>
        <v>63.036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109.248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246</v>
      </c>
      <c r="D29" s="132" t="s">
        <v>75</v>
      </c>
      <c r="E29" s="12">
        <f>C39+D39</f>
        <v>194</v>
      </c>
      <c r="F29" s="12"/>
    </row>
    <row r="30" spans="1:6">
      <c r="A30" s="35"/>
      <c r="B30" s="132" t="s">
        <v>76</v>
      </c>
      <c r="C30" s="12">
        <f>E38+F38</f>
        <v>343</v>
      </c>
      <c r="D30" s="132" t="s">
        <v>77</v>
      </c>
      <c r="E30" s="12">
        <f>E39+F39</f>
        <v>260</v>
      </c>
      <c r="F30" s="12"/>
    </row>
    <row r="31" spans="1:6">
      <c r="A31" s="35"/>
      <c r="B31" s="132" t="s">
        <v>78</v>
      </c>
      <c r="C31" s="12">
        <f>C32-C29-C30</f>
        <v>5191</v>
      </c>
      <c r="D31" s="132" t="s">
        <v>79</v>
      </c>
      <c r="E31" s="12">
        <f>E32-E29-E30</f>
        <v>5326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44551</v>
      </c>
      <c r="B36" s="184">
        <v>122.65</v>
      </c>
      <c r="C36" s="185" t="s">
        <v>32</v>
      </c>
      <c r="D36" s="185"/>
      <c r="E36" s="185" t="s">
        <v>33</v>
      </c>
      <c r="F36" s="185"/>
      <c r="I36" s="3">
        <v>5913</v>
      </c>
      <c r="N36" s="4"/>
    </row>
    <row r="37" ht="15.6" spans="1:14">
      <c r="A37" s="53">
        <v>44552</v>
      </c>
      <c r="B37" s="184">
        <v>85.34</v>
      </c>
      <c r="C37" s="186" t="s">
        <v>14</v>
      </c>
      <c r="D37" s="186" t="s">
        <v>15</v>
      </c>
      <c r="E37" s="186" t="s">
        <v>14</v>
      </c>
      <c r="F37" s="186" t="s">
        <v>15</v>
      </c>
      <c r="I37" s="3">
        <v>5913</v>
      </c>
      <c r="N37" s="4"/>
    </row>
    <row r="38" ht="15.6" spans="1:14">
      <c r="A38" s="53">
        <v>44553</v>
      </c>
      <c r="B38" s="184">
        <v>91.5</v>
      </c>
      <c r="C38" s="187">
        <v>167</v>
      </c>
      <c r="D38" s="187">
        <v>79</v>
      </c>
      <c r="E38" s="187">
        <v>299</v>
      </c>
      <c r="F38" s="187">
        <v>44</v>
      </c>
      <c r="I38" s="3">
        <v>135185</v>
      </c>
      <c r="N38" s="4"/>
    </row>
    <row r="39" ht="15.6" spans="1:14">
      <c r="A39" s="53">
        <v>44554</v>
      </c>
      <c r="B39" s="184">
        <v>108.53</v>
      </c>
      <c r="C39" s="188">
        <v>130</v>
      </c>
      <c r="D39" s="188">
        <v>64</v>
      </c>
      <c r="E39" s="188">
        <v>256</v>
      </c>
      <c r="F39" s="188">
        <v>4</v>
      </c>
      <c r="I39" s="3">
        <v>67098.02</v>
      </c>
      <c r="N39" s="4"/>
    </row>
    <row r="40" ht="15.6" spans="1:14">
      <c r="A40" s="53">
        <v>44555</v>
      </c>
      <c r="B40" s="184">
        <v>121.36</v>
      </c>
      <c r="C40" s="187" t="s">
        <v>68</v>
      </c>
      <c r="D40" s="187">
        <f>C38+D38+E38+F38</f>
        <v>589</v>
      </c>
      <c r="E40" s="188" t="s">
        <v>69</v>
      </c>
      <c r="F40" s="188">
        <f>C39+D39+E39+F39</f>
        <v>454</v>
      </c>
      <c r="I40" s="3">
        <v>405202.2</v>
      </c>
      <c r="N40" s="4"/>
    </row>
    <row r="41" ht="15.6" spans="1:14">
      <c r="A41" s="53">
        <v>44556</v>
      </c>
      <c r="B41" s="184">
        <v>109.49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44557</v>
      </c>
      <c r="B42" s="184">
        <v>134.71</v>
      </c>
      <c r="C42" s="189" t="s">
        <v>108</v>
      </c>
      <c r="D42" s="190"/>
      <c r="E42" s="194">
        <f>C50</f>
        <v>0</v>
      </c>
      <c r="F42" s="191">
        <v>0</v>
      </c>
      <c r="I42" s="3" t="str">
        <f>ROUND(D40/I36*100,2)&amp;"%"</f>
        <v>9.96%</v>
      </c>
      <c r="N42" s="4"/>
    </row>
    <row r="43" ht="15.6" spans="1:14">
      <c r="A43" s="53">
        <v>44558</v>
      </c>
      <c r="B43" s="184">
        <v>124.05</v>
      </c>
      <c r="C43" s="189" t="s">
        <v>109</v>
      </c>
      <c r="D43" s="190"/>
      <c r="E43" s="194">
        <f>C49</f>
        <v>0</v>
      </c>
      <c r="F43" s="191">
        <v>2032.04</v>
      </c>
      <c r="I43" s="3" t="str">
        <f>ROUND(F40/I37*100,2)&amp;"%"</f>
        <v>7.68%</v>
      </c>
      <c r="N43" s="4"/>
    </row>
    <row r="44" ht="15.6" spans="1:14">
      <c r="A44" s="53">
        <v>44559</v>
      </c>
      <c r="B44" s="184">
        <v>108.03</v>
      </c>
      <c r="C44" s="189" t="s">
        <v>99</v>
      </c>
      <c r="D44" s="192"/>
      <c r="E44" s="194">
        <f>C48</f>
        <v>0</v>
      </c>
      <c r="F44" s="191">
        <v>6005</v>
      </c>
      <c r="I44" s="3" t="str">
        <f>ROUND(F44/I38*100,2)&amp;"%"</f>
        <v>4.44%</v>
      </c>
      <c r="N44" s="4"/>
    </row>
    <row r="45" ht="15.6" spans="1:14">
      <c r="A45" s="53">
        <v>44560</v>
      </c>
      <c r="B45" s="184">
        <v>109.25</v>
      </c>
      <c r="C45" s="193" t="s">
        <v>100</v>
      </c>
      <c r="D45" s="193"/>
      <c r="E45" s="195">
        <v>0</v>
      </c>
      <c r="F45" s="193">
        <v>41682</v>
      </c>
      <c r="I45" s="3" t="str">
        <f>ROUND(F43/I39*100,2)&amp;"%"</f>
        <v>3.03%</v>
      </c>
      <c r="N45" s="4"/>
    </row>
    <row r="46" spans="1:9">
      <c r="A46" s="147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6</v>
      </c>
      <c r="F46" s="79">
        <f>E12</f>
        <v>1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1</v>
      </c>
      <c r="E47" s="79">
        <v>5</v>
      </c>
      <c r="F47" s="79">
        <v>3</v>
      </c>
    </row>
    <row r="48" spans="1:6">
      <c r="A48" s="151"/>
      <c r="B48" s="79" t="s">
        <v>112</v>
      </c>
      <c r="C48" s="79">
        <v>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2021年12月30日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30日累计完成产值12002.86万元，占总产值90284.4万元的13.29%，100章临建完成6000.78万元，400章桥梁完成6002.08万元。已完成梁片预制589片，占设计量的9.96%；梁片安装454片，占设计量的7.68%；湿接缝6005米，占设计量的4.44%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showZeros="0" view="pageBreakPreview" zoomScale="85" zoomScaleNormal="70" topLeftCell="A23" workbookViewId="0">
      <selection activeCell="C38" sqref="C38:F38"/>
    </sheetView>
  </sheetViews>
  <sheetFormatPr defaultColWidth="8.88888888888889" defaultRowHeight="13.8"/>
  <cols>
    <col min="1" max="1" width="12.7777777777778" style="3" customWidth="1"/>
    <col min="2" max="2" width="16.1111111111111" style="3" customWidth="1"/>
    <col min="3" max="6" width="12.7777777777778" style="3" customWidth="1"/>
    <col min="7" max="7" width="8.88888888888889" style="3"/>
    <col min="8" max="8" width="12.7777777777778" style="3" customWidth="1"/>
    <col min="9" max="9" width="12.7777777777778" style="3" hidden="1" customWidth="1"/>
    <col min="10" max="10" width="12.7777777777778" style="3" customWidth="1"/>
    <col min="11" max="12" width="12.7777777777778" style="4" customWidth="1"/>
    <col min="13" max="13" width="12.7777777777778" style="3" customWidth="1"/>
    <col min="14" max="16384" width="8.88888888888889" style="3"/>
  </cols>
  <sheetData>
    <row r="1" s="1" customFormat="1" ht="40.05" customHeight="1" spans="1:12">
      <c r="A1" s="5" t="s">
        <v>129</v>
      </c>
      <c r="B1" s="6"/>
      <c r="C1" s="6"/>
      <c r="D1" s="6"/>
      <c r="E1" s="6"/>
      <c r="F1" s="6"/>
      <c r="G1" s="3"/>
      <c r="H1" s="3"/>
      <c r="I1" s="4"/>
      <c r="J1" s="4"/>
      <c r="K1" s="3"/>
      <c r="L1" s="3"/>
    </row>
    <row r="2" ht="19.95" customHeight="1" spans="1:12">
      <c r="A2" s="8" t="s">
        <v>1</v>
      </c>
      <c r="B2" s="8" t="s">
        <v>2</v>
      </c>
      <c r="C2" s="9" t="s">
        <v>3</v>
      </c>
      <c r="D2" s="9" t="s">
        <v>4</v>
      </c>
      <c r="E2" s="8" t="s">
        <v>5</v>
      </c>
      <c r="F2" s="8" t="s">
        <v>6</v>
      </c>
      <c r="I2"/>
      <c r="J2"/>
      <c r="K2" s="3"/>
      <c r="L2" s="3"/>
    </row>
    <row r="3" ht="15" customHeight="1" spans="1:12">
      <c r="A3" s="131">
        <v>44561</v>
      </c>
      <c r="B3" s="12" t="s">
        <v>7</v>
      </c>
      <c r="C3" s="12">
        <v>0</v>
      </c>
      <c r="D3" s="12">
        <f>ROUND(D11+D12+D15+D16+D17+D13+D14,2)</f>
        <v>50.3</v>
      </c>
      <c r="E3" s="13">
        <f>ROUND(C5+D5,2)</f>
        <v>89.94</v>
      </c>
      <c r="F3" s="143" t="s">
        <v>174</v>
      </c>
      <c r="I3"/>
      <c r="J3"/>
      <c r="K3" s="3"/>
      <c r="L3" s="3"/>
    </row>
    <row r="4" ht="15" customHeight="1" spans="1:12">
      <c r="A4" s="132"/>
      <c r="B4" s="12" t="s">
        <v>9</v>
      </c>
      <c r="C4" s="12">
        <v>0</v>
      </c>
      <c r="D4" s="12">
        <f>ROUND(F11+F12+F15+F16+F17+F13+F14,2)</f>
        <v>39.64</v>
      </c>
      <c r="E4" s="13"/>
      <c r="F4" s="144"/>
      <c r="I4"/>
      <c r="J4"/>
      <c r="K4" s="3"/>
      <c r="L4" s="3"/>
    </row>
    <row r="5" ht="15" customHeight="1" spans="1:12">
      <c r="A5" s="132"/>
      <c r="B5" s="8" t="s">
        <v>10</v>
      </c>
      <c r="C5" s="12">
        <f>SUM(C3:C4)</f>
        <v>0</v>
      </c>
      <c r="D5" s="12">
        <f>SUM(D3:D4)</f>
        <v>89.94</v>
      </c>
      <c r="E5" s="13"/>
      <c r="F5" s="144"/>
      <c r="I5" t="str">
        <f>ROUND(E6/90284.4*100,2)&amp;"%"</f>
        <v>13.39%</v>
      </c>
      <c r="J5"/>
      <c r="K5" s="3"/>
      <c r="L5" s="3"/>
    </row>
    <row r="6" ht="70.05" customHeight="1" spans="1:12">
      <c r="A6" s="132"/>
      <c r="B6" s="8" t="s">
        <v>11</v>
      </c>
      <c r="C6" s="20">
        <v>6000.78</v>
      </c>
      <c r="D6" s="20">
        <v>6092.02</v>
      </c>
      <c r="E6" s="8">
        <f>ROUND(C6+D6,2)</f>
        <v>12092.8</v>
      </c>
      <c r="F6" s="144"/>
      <c r="I6"/>
      <c r="J6" s="179"/>
      <c r="K6" s="3"/>
      <c r="L6" s="3"/>
    </row>
    <row r="7" ht="70.05" customHeight="1" spans="1:12">
      <c r="A7" s="132"/>
      <c r="B7" s="8" t="s">
        <v>12</v>
      </c>
      <c r="C7" s="20">
        <v>6000.78</v>
      </c>
      <c r="D7" s="20">
        <v>6092.02</v>
      </c>
      <c r="E7" s="8">
        <f>ROUND(C7+D7,2)</f>
        <v>12092.8</v>
      </c>
      <c r="F7" s="144"/>
      <c r="I7"/>
      <c r="J7"/>
      <c r="K7" s="3"/>
      <c r="L7" s="3"/>
    </row>
    <row r="8" ht="30" customHeight="1" spans="1:13">
      <c r="A8" s="6" t="s">
        <v>13</v>
      </c>
      <c r="B8" s="6"/>
      <c r="C8" s="6"/>
      <c r="D8" s="6"/>
      <c r="E8" s="6"/>
      <c r="F8" s="6"/>
      <c r="H8"/>
      <c r="I8"/>
      <c r="J8"/>
      <c r="K8"/>
      <c r="L8"/>
      <c r="M8"/>
    </row>
    <row r="9" ht="15" customHeight="1" spans="1:13">
      <c r="A9" s="8" t="s">
        <v>1</v>
      </c>
      <c r="B9" s="8" t="s">
        <v>157</v>
      </c>
      <c r="C9" s="28" t="s">
        <v>132</v>
      </c>
      <c r="D9" s="28"/>
      <c r="E9" s="28" t="s">
        <v>133</v>
      </c>
      <c r="F9" s="28"/>
      <c r="H9"/>
      <c r="I9"/>
      <c r="J9"/>
      <c r="K9"/>
      <c r="L9"/>
      <c r="M9"/>
    </row>
    <row r="10" ht="15" customHeight="1" spans="1:13">
      <c r="A10" s="8"/>
      <c r="B10" s="8"/>
      <c r="C10" s="28" t="s">
        <v>16</v>
      </c>
      <c r="D10" s="28" t="s">
        <v>17</v>
      </c>
      <c r="E10" s="28" t="s">
        <v>16</v>
      </c>
      <c r="F10" s="28" t="s">
        <v>17</v>
      </c>
      <c r="H10" s="75"/>
      <c r="I10" s="75"/>
      <c r="J10"/>
      <c r="K10"/>
      <c r="L10"/>
      <c r="M10"/>
    </row>
    <row r="11" ht="15" customHeight="1" spans="1:13">
      <c r="A11" s="131">
        <v>44561</v>
      </c>
      <c r="B11" s="32" t="s">
        <v>172</v>
      </c>
      <c r="C11" s="33">
        <v>2</v>
      </c>
      <c r="D11" s="8">
        <v>15.46</v>
      </c>
      <c r="E11" s="33">
        <v>3</v>
      </c>
      <c r="F11" s="8">
        <v>23.28</v>
      </c>
      <c r="H11"/>
      <c r="I11"/>
      <c r="J11"/>
      <c r="K11"/>
      <c r="L11"/>
      <c r="M11"/>
    </row>
    <row r="12" ht="15" customHeight="1" spans="1:13">
      <c r="A12" s="132"/>
      <c r="B12" s="32" t="s">
        <v>173</v>
      </c>
      <c r="C12" s="33">
        <v>2</v>
      </c>
      <c r="D12" s="8">
        <v>30.45</v>
      </c>
      <c r="E12" s="33">
        <v>1</v>
      </c>
      <c r="F12" s="8">
        <v>15.28</v>
      </c>
      <c r="H12"/>
      <c r="I12"/>
      <c r="J12"/>
      <c r="K12"/>
      <c r="L12"/>
      <c r="M12"/>
    </row>
    <row r="13" ht="15" customHeight="1" spans="1:13">
      <c r="A13" s="132"/>
      <c r="B13" s="34" t="s">
        <v>169</v>
      </c>
      <c r="C13" s="33">
        <v>0</v>
      </c>
      <c r="D13" s="8"/>
      <c r="E13" s="33">
        <v>2</v>
      </c>
      <c r="F13" s="8">
        <v>0.324</v>
      </c>
      <c r="H13"/>
      <c r="I13"/>
      <c r="J13"/>
      <c r="K13"/>
      <c r="L13"/>
      <c r="M13"/>
    </row>
    <row r="14" ht="15" customHeight="1" spans="1:13">
      <c r="A14" s="132"/>
      <c r="B14" s="34" t="s">
        <v>170</v>
      </c>
      <c r="C14" s="33">
        <v>1</v>
      </c>
      <c r="D14" s="8">
        <v>0.252</v>
      </c>
      <c r="E14" s="33">
        <v>3</v>
      </c>
      <c r="F14" s="8">
        <v>0.756</v>
      </c>
      <c r="H14"/>
      <c r="I14"/>
      <c r="J14"/>
      <c r="K14"/>
      <c r="L14"/>
      <c r="M14"/>
    </row>
    <row r="15" ht="15" customHeight="1" spans="1:13">
      <c r="A15" s="132"/>
      <c r="B15" s="34" t="s">
        <v>112</v>
      </c>
      <c r="C15" s="33">
        <v>100</v>
      </c>
      <c r="D15" s="8">
        <v>4.14</v>
      </c>
      <c r="E15" s="33">
        <v>0</v>
      </c>
      <c r="F15" s="8">
        <v>0</v>
      </c>
      <c r="H15"/>
      <c r="I15"/>
      <c r="J15"/>
      <c r="K15"/>
      <c r="L15"/>
      <c r="M15"/>
    </row>
    <row r="16" ht="15" customHeight="1" spans="1:13">
      <c r="A16" s="132"/>
      <c r="B16" s="34" t="s">
        <v>113</v>
      </c>
      <c r="C16" s="33">
        <v>0</v>
      </c>
      <c r="D16" s="8">
        <v>0</v>
      </c>
      <c r="E16" s="33">
        <v>0</v>
      </c>
      <c r="F16" s="8">
        <v>0</v>
      </c>
      <c r="H16"/>
      <c r="I16"/>
      <c r="J16"/>
      <c r="K16"/>
      <c r="L16"/>
      <c r="M16"/>
    </row>
    <row r="17" ht="15" customHeight="1" spans="1:13">
      <c r="A17" s="132"/>
      <c r="B17" s="34" t="s">
        <v>114</v>
      </c>
      <c r="C17" s="33"/>
      <c r="D17" s="8"/>
      <c r="E17" s="33"/>
      <c r="F17" s="8"/>
      <c r="H17"/>
      <c r="I17"/>
      <c r="J17"/>
      <c r="K17"/>
      <c r="L17"/>
      <c r="M17"/>
    </row>
    <row r="18" ht="15" customHeight="1" spans="1:13">
      <c r="A18" s="132"/>
      <c r="B18" s="8" t="s">
        <v>134</v>
      </c>
      <c r="C18" s="25">
        <f>D11+D12+D15+D16+D17+D13+D14</f>
        <v>50.302</v>
      </c>
      <c r="D18" s="134"/>
      <c r="E18" s="25">
        <f>F11+F12+F15+F16+F17+F13+F14</f>
        <v>39.64</v>
      </c>
      <c r="F18" s="134"/>
      <c r="H18"/>
      <c r="I18"/>
      <c r="J18"/>
      <c r="K18"/>
      <c r="L18"/>
      <c r="M18"/>
    </row>
    <row r="19" ht="30" customHeight="1" spans="1:13">
      <c r="A19" s="132"/>
      <c r="B19" s="8" t="s">
        <v>5</v>
      </c>
      <c r="C19" s="6">
        <f>C18+E18</f>
        <v>89.942</v>
      </c>
      <c r="D19" s="6"/>
      <c r="E19" s="6"/>
      <c r="F19" s="6"/>
      <c r="H19"/>
      <c r="I19"/>
      <c r="J19"/>
      <c r="K19"/>
      <c r="L19"/>
      <c r="M19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 t="s">
        <v>20</v>
      </c>
      <c r="C21" s="12"/>
      <c r="D21" s="12"/>
      <c r="E21" s="12"/>
      <c r="F21" s="12"/>
    </row>
    <row r="22" spans="1:8">
      <c r="A22" s="12"/>
      <c r="B22" s="12"/>
      <c r="C22" s="135"/>
      <c r="D22" s="135"/>
      <c r="E22" s="135"/>
      <c r="F22" s="135"/>
      <c r="G22"/>
      <c r="H22"/>
    </row>
    <row r="23" spans="1:8">
      <c r="A23" s="12"/>
      <c r="B23" s="12"/>
      <c r="C23" s="135"/>
      <c r="D23" s="135"/>
      <c r="E23" s="135"/>
      <c r="F23" s="135"/>
      <c r="G23"/>
      <c r="H23"/>
    </row>
    <row r="24" spans="1:8">
      <c r="A24" s="12"/>
      <c r="B24" s="12"/>
      <c r="C24" s="135"/>
      <c r="D24" s="135"/>
      <c r="E24" s="135"/>
      <c r="F24" s="135"/>
      <c r="G24"/>
      <c r="H24"/>
    </row>
    <row r="25" spans="1:8">
      <c r="A25" s="12"/>
      <c r="B25" s="12"/>
      <c r="C25" s="135"/>
      <c r="D25" s="135"/>
      <c r="E25" s="135"/>
      <c r="F25" s="135"/>
      <c r="G25"/>
      <c r="H25"/>
    </row>
    <row r="26" spans="1:10">
      <c r="A26" s="12"/>
      <c r="B26" s="12"/>
      <c r="C26" s="135"/>
      <c r="D26" s="135"/>
      <c r="E26" s="135"/>
      <c r="F26" s="135"/>
      <c r="G26"/>
      <c r="H26"/>
      <c r="J26" s="1"/>
    </row>
    <row r="27" spans="1:8">
      <c r="A27" s="12"/>
      <c r="B27" s="12"/>
      <c r="C27" s="135"/>
      <c r="D27" s="135"/>
      <c r="E27" s="135"/>
      <c r="F27" s="135"/>
      <c r="G27"/>
      <c r="H27"/>
    </row>
    <row r="28" spans="1:6">
      <c r="A28" s="35"/>
      <c r="B28" s="136" t="s">
        <v>135</v>
      </c>
      <c r="C28" s="137"/>
      <c r="D28" s="136" t="s">
        <v>136</v>
      </c>
      <c r="E28" s="138"/>
      <c r="F28" s="12"/>
    </row>
    <row r="29" spans="1:6">
      <c r="A29" s="35"/>
      <c r="B29" s="132" t="s">
        <v>74</v>
      </c>
      <c r="C29" s="12">
        <f>C38+D38</f>
        <v>250</v>
      </c>
      <c r="D29" s="132" t="s">
        <v>75</v>
      </c>
      <c r="E29" s="12">
        <f>C39+D39</f>
        <v>195</v>
      </c>
      <c r="F29" s="12"/>
    </row>
    <row r="30" spans="1:6">
      <c r="A30" s="35"/>
      <c r="B30" s="132" t="s">
        <v>76</v>
      </c>
      <c r="C30" s="12">
        <f>E38+F38</f>
        <v>347</v>
      </c>
      <c r="D30" s="132" t="s">
        <v>77</v>
      </c>
      <c r="E30" s="12">
        <f>E39+F39</f>
        <v>265</v>
      </c>
      <c r="F30" s="12"/>
    </row>
    <row r="31" spans="1:6">
      <c r="A31" s="35"/>
      <c r="B31" s="132" t="s">
        <v>78</v>
      </c>
      <c r="C31" s="12">
        <f>C32-C29-C30</f>
        <v>5183</v>
      </c>
      <c r="D31" s="132" t="s">
        <v>79</v>
      </c>
      <c r="E31" s="12">
        <f>E32-E29-E30</f>
        <v>5320</v>
      </c>
      <c r="F31" s="12"/>
    </row>
    <row r="32" spans="1:6">
      <c r="A32" s="12"/>
      <c r="B32" s="132" t="s">
        <v>80</v>
      </c>
      <c r="C32" s="12">
        <v>5780</v>
      </c>
      <c r="D32" s="132" t="s">
        <v>81</v>
      </c>
      <c r="E32" s="12">
        <v>5780</v>
      </c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ht="19.95" customHeight="1" spans="1:14">
      <c r="A35" s="8" t="s">
        <v>91</v>
      </c>
      <c r="B35" s="8"/>
      <c r="C35" s="8" t="s">
        <v>92</v>
      </c>
      <c r="D35" s="12"/>
      <c r="E35" s="12"/>
      <c r="F35" s="12"/>
      <c r="N35" s="4"/>
    </row>
    <row r="36" ht="15.6" spans="1:14">
      <c r="A36" s="53">
        <v>44552</v>
      </c>
      <c r="B36" s="184">
        <v>85.34</v>
      </c>
      <c r="C36" s="185" t="s">
        <v>32</v>
      </c>
      <c r="D36" s="185"/>
      <c r="E36" s="185" t="s">
        <v>33</v>
      </c>
      <c r="F36" s="185"/>
      <c r="I36" s="3">
        <v>5913</v>
      </c>
      <c r="N36" s="4"/>
    </row>
    <row r="37" ht="15.6" spans="1:14">
      <c r="A37" s="53">
        <v>44553</v>
      </c>
      <c r="B37" s="184">
        <v>91.5</v>
      </c>
      <c r="C37" s="186" t="s">
        <v>14</v>
      </c>
      <c r="D37" s="186" t="s">
        <v>15</v>
      </c>
      <c r="E37" s="186" t="s">
        <v>14</v>
      </c>
      <c r="F37" s="186" t="s">
        <v>15</v>
      </c>
      <c r="I37" s="3">
        <v>5913</v>
      </c>
      <c r="N37" s="4"/>
    </row>
    <row r="38" ht="15.6" spans="1:14">
      <c r="A38" s="53">
        <v>44554</v>
      </c>
      <c r="B38" s="184">
        <v>108.53</v>
      </c>
      <c r="C38" s="187">
        <v>169</v>
      </c>
      <c r="D38" s="187">
        <v>81</v>
      </c>
      <c r="E38" s="187">
        <v>302</v>
      </c>
      <c r="F38" s="187">
        <v>45</v>
      </c>
      <c r="I38" s="3">
        <v>135185</v>
      </c>
      <c r="N38" s="4"/>
    </row>
    <row r="39" ht="15.6" spans="1:14">
      <c r="A39" s="53">
        <v>44555</v>
      </c>
      <c r="B39" s="184">
        <v>121.36</v>
      </c>
      <c r="C39" s="188">
        <v>130</v>
      </c>
      <c r="D39" s="188">
        <v>65</v>
      </c>
      <c r="E39" s="188">
        <v>258</v>
      </c>
      <c r="F39" s="188">
        <v>7</v>
      </c>
      <c r="I39" s="3">
        <v>67098.02</v>
      </c>
      <c r="N39" s="4"/>
    </row>
    <row r="40" ht="15.6" spans="1:14">
      <c r="A40" s="53">
        <v>44556</v>
      </c>
      <c r="B40" s="184">
        <v>109.49</v>
      </c>
      <c r="C40" s="187" t="s">
        <v>68</v>
      </c>
      <c r="D40" s="187">
        <f>C38+D38+E38+F38</f>
        <v>597</v>
      </c>
      <c r="E40" s="188" t="s">
        <v>69</v>
      </c>
      <c r="F40" s="188">
        <f>C39+D39+E39+F39</f>
        <v>460</v>
      </c>
      <c r="I40" s="3">
        <v>405202.2</v>
      </c>
      <c r="N40" s="4"/>
    </row>
    <row r="41" ht="15.6" spans="1:14">
      <c r="A41" s="53">
        <v>44557</v>
      </c>
      <c r="B41" s="184">
        <v>134.71</v>
      </c>
      <c r="C41" s="25" t="s">
        <v>106</v>
      </c>
      <c r="D41" s="134"/>
      <c r="E41" s="8" t="s">
        <v>97</v>
      </c>
      <c r="F41" s="8" t="s">
        <v>107</v>
      </c>
      <c r="N41" s="4"/>
    </row>
    <row r="42" ht="15.6" spans="1:14">
      <c r="A42" s="53">
        <v>44558</v>
      </c>
      <c r="B42" s="184">
        <v>124.05</v>
      </c>
      <c r="C42" s="189" t="s">
        <v>108</v>
      </c>
      <c r="D42" s="190"/>
      <c r="E42" s="194">
        <f>C50</f>
        <v>0</v>
      </c>
      <c r="F42" s="191">
        <v>0</v>
      </c>
      <c r="I42" s="3" t="str">
        <f>ROUND(D40/I36*100,2)&amp;"%"</f>
        <v>10.1%</v>
      </c>
      <c r="N42" s="4"/>
    </row>
    <row r="43" ht="15.6" spans="1:14">
      <c r="A43" s="53">
        <v>44559</v>
      </c>
      <c r="B43" s="184">
        <v>108.03</v>
      </c>
      <c r="C43" s="189" t="s">
        <v>109</v>
      </c>
      <c r="D43" s="190"/>
      <c r="E43" s="194">
        <f>C49</f>
        <v>0</v>
      </c>
      <c r="F43" s="191">
        <v>2032.04</v>
      </c>
      <c r="I43" s="3" t="str">
        <f>ROUND(F40/I37*100,2)&amp;"%"</f>
        <v>7.78%</v>
      </c>
      <c r="N43" s="4"/>
    </row>
    <row r="44" ht="15.6" spans="1:14">
      <c r="A44" s="53">
        <v>44560</v>
      </c>
      <c r="B44" s="184">
        <v>109.25</v>
      </c>
      <c r="C44" s="189" t="s">
        <v>99</v>
      </c>
      <c r="D44" s="192"/>
      <c r="E44" s="194">
        <f>C48</f>
        <v>100</v>
      </c>
      <c r="F44" s="191">
        <v>6105</v>
      </c>
      <c r="I44" s="3" t="str">
        <f>ROUND(F44/I38*100,2)&amp;"%"</f>
        <v>4.52%</v>
      </c>
      <c r="N44" s="4"/>
    </row>
    <row r="45" ht="15.6" spans="1:14">
      <c r="A45" s="53">
        <v>44561</v>
      </c>
      <c r="B45" s="184">
        <v>89.94</v>
      </c>
      <c r="C45" s="193" t="s">
        <v>100</v>
      </c>
      <c r="D45" s="193"/>
      <c r="E45" s="195">
        <v>0</v>
      </c>
      <c r="F45" s="193">
        <v>41682</v>
      </c>
      <c r="I45" s="3" t="str">
        <f>ROUND(F43/I39*100,2)&amp;"%"</f>
        <v>3.03%</v>
      </c>
      <c r="N45" s="4"/>
    </row>
    <row r="46" spans="1:9">
      <c r="A46" s="147" t="s">
        <v>138</v>
      </c>
      <c r="B46" s="79" t="s">
        <v>110</v>
      </c>
      <c r="C46" s="79">
        <f>C11</f>
        <v>2</v>
      </c>
      <c r="D46" s="79">
        <f>C12</f>
        <v>2</v>
      </c>
      <c r="E46" s="79">
        <f>E11</f>
        <v>3</v>
      </c>
      <c r="F46" s="79">
        <f>E12</f>
        <v>1</v>
      </c>
      <c r="I46" s="3" t="str">
        <f>ROUND(F42/I40*100,2)&amp;"%"</f>
        <v>0%</v>
      </c>
    </row>
    <row r="47" spans="1:6">
      <c r="A47" s="151"/>
      <c r="B47" s="79" t="s">
        <v>111</v>
      </c>
      <c r="C47" s="79">
        <v>0</v>
      </c>
      <c r="D47" s="79">
        <v>1</v>
      </c>
      <c r="E47" s="79">
        <v>2</v>
      </c>
      <c r="F47" s="79">
        <v>3</v>
      </c>
    </row>
    <row r="48" spans="1:6">
      <c r="A48" s="151"/>
      <c r="B48" s="79" t="s">
        <v>112</v>
      </c>
      <c r="C48" s="79">
        <v>100</v>
      </c>
      <c r="D48" s="79"/>
      <c r="E48" s="79"/>
      <c r="F48" s="79"/>
    </row>
    <row r="49" spans="1:9">
      <c r="A49" s="151"/>
      <c r="B49" s="79" t="s">
        <v>113</v>
      </c>
      <c r="C49" s="148">
        <v>0</v>
      </c>
      <c r="D49" s="149"/>
      <c r="E49" s="149"/>
      <c r="F49" s="150"/>
      <c r="I49" s="3" t="str">
        <f>TEXT(A3,"yyyy年mm月dd日")</f>
        <v>2021年12月31日</v>
      </c>
    </row>
    <row r="50" spans="1:6">
      <c r="A50" s="152"/>
      <c r="B50" s="79" t="s">
        <v>114</v>
      </c>
      <c r="C50" s="148">
        <v>0</v>
      </c>
      <c r="D50" s="149"/>
      <c r="E50" s="149"/>
      <c r="F50" s="150"/>
    </row>
    <row r="51" ht="60" customHeight="1" spans="1:7">
      <c r="A51" s="82" t="str">
        <f>"ZCB1-19截止"&amp;I49&amp;"累计完成产值"&amp;E6&amp;"万元，占总产值90284.4万元的"&amp;I5&amp;"，100章临建完成"&amp;C7&amp;"万元，400章桥梁完成"&amp;D7&amp;"万元。已完成梁片预制"&amp;D40&amp;"片，占设计量的"&amp;I42&amp;"；梁片安装"&amp;F40&amp;"片，占设计量的"&amp;I43&amp;"；湿接缝"&amp;F44&amp;"米，占设计量的"&amp;I44&amp;"；防撞护栏"&amp;F43&amp;"，占设计量的"&amp;I45&amp;"；桥面铺装"&amp;F42&amp;"米，占设计量的"&amp;I46&amp;"。"</f>
        <v>ZCB1-19截止2021年12月31日累计完成产值12092.8万元，占总产值90284.4万元的13.39%，100章临建完成6000.78万元，400章桥梁完成6092.02万元。已完成梁片预制597片，占设计量的10.1%；梁片安装460片，占设计量的7.78%；湿接缝6105米，占设计量的4.52%；防撞护栏2032.04，占设计量的3.03%；桥面铺装0米，占设计量的0%。</v>
      </c>
      <c r="B51" s="83"/>
      <c r="C51" s="83"/>
      <c r="D51" s="83"/>
      <c r="E51" s="83"/>
      <c r="F51" s="84"/>
      <c r="G51" s="4"/>
    </row>
    <row r="52" ht="30" customHeight="1" spans="1:6">
      <c r="A52" s="129" t="s">
        <v>155</v>
      </c>
      <c r="B52" s="129"/>
      <c r="C52" s="129"/>
      <c r="D52" s="129"/>
      <c r="E52" s="129"/>
      <c r="F52" s="129"/>
    </row>
  </sheetData>
  <mergeCells count="30">
    <mergeCell ref="A1:F1"/>
    <mergeCell ref="A8:F8"/>
    <mergeCell ref="C9:D9"/>
    <mergeCell ref="E9:F9"/>
    <mergeCell ref="C18:D18"/>
    <mergeCell ref="E18:F18"/>
    <mergeCell ref="C19:F19"/>
    <mergeCell ref="B28:C28"/>
    <mergeCell ref="D28:E28"/>
    <mergeCell ref="A35:B35"/>
    <mergeCell ref="C35:F35"/>
    <mergeCell ref="C36:D36"/>
    <mergeCell ref="E36:F36"/>
    <mergeCell ref="C41:D41"/>
    <mergeCell ref="C42:D42"/>
    <mergeCell ref="C43:D43"/>
    <mergeCell ref="C44:D44"/>
    <mergeCell ref="C45:D45"/>
    <mergeCell ref="C48:F48"/>
    <mergeCell ref="C49:F49"/>
    <mergeCell ref="C50:F50"/>
    <mergeCell ref="A51:F51"/>
    <mergeCell ref="A52:F52"/>
    <mergeCell ref="A3:A7"/>
    <mergeCell ref="A9:A10"/>
    <mergeCell ref="A11:A19"/>
    <mergeCell ref="A46:A50"/>
    <mergeCell ref="B9:B10"/>
    <mergeCell ref="E3:E5"/>
    <mergeCell ref="F3:F7"/>
  </mergeCells>
  <pageMargins left="0.708661417322835" right="0.708661417322835" top="0.748031496062992" bottom="0.748031496062992" header="0.31496062992126" footer="0.31496062992126"/>
  <pageSetup paperSize="9" scale="82" orientation="portrait" verticalDpi="1200"/>
  <headerFooter/>
  <rowBreaks count="3" manualBreakCount="3">
    <brk id="52" max="16383" man="1"/>
    <brk id="52" max="16383" man="1"/>
    <brk id="52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185</vt:i4>
      </vt:variant>
    </vt:vector>
  </HeadingPairs>
  <TitlesOfParts>
    <vt:vector size="185" baseType="lpstr">
      <vt:lpstr>2021.9.24</vt:lpstr>
      <vt:lpstr>2021.9.25</vt:lpstr>
      <vt:lpstr>2021.9.26</vt:lpstr>
      <vt:lpstr>2021.9.27</vt:lpstr>
      <vt:lpstr>2021.9.28</vt:lpstr>
      <vt:lpstr>2021.9.29</vt:lpstr>
      <vt:lpstr>2021.9.30</vt:lpstr>
      <vt:lpstr>2021.10.1</vt:lpstr>
      <vt:lpstr>2021.10.2</vt:lpstr>
      <vt:lpstr>2021.10.3</vt:lpstr>
      <vt:lpstr>2021.10.4</vt:lpstr>
      <vt:lpstr>2021.10.5</vt:lpstr>
      <vt:lpstr>2021.10.6</vt:lpstr>
      <vt:lpstr>2021.10.7</vt:lpstr>
      <vt:lpstr>2021.10.8</vt:lpstr>
      <vt:lpstr>2021.10.9</vt:lpstr>
      <vt:lpstr>2021.10.10</vt:lpstr>
      <vt:lpstr>2021.10.11</vt:lpstr>
      <vt:lpstr>2021.10.12</vt:lpstr>
      <vt:lpstr>2021.10.13</vt:lpstr>
      <vt:lpstr>2021.10.14</vt:lpstr>
      <vt:lpstr>2021.10.15</vt:lpstr>
      <vt:lpstr>2021.10.16</vt:lpstr>
      <vt:lpstr>2021.10.17</vt:lpstr>
      <vt:lpstr>2021.10.18</vt:lpstr>
      <vt:lpstr>2021.10.19</vt:lpstr>
      <vt:lpstr>2021.10.20</vt:lpstr>
      <vt:lpstr>2021.10.21</vt:lpstr>
      <vt:lpstr>2021.10.22</vt:lpstr>
      <vt:lpstr>2021.10.23</vt:lpstr>
      <vt:lpstr>2021.10.24</vt:lpstr>
      <vt:lpstr>2021.10.25</vt:lpstr>
      <vt:lpstr>2021.10.26</vt:lpstr>
      <vt:lpstr>2021.10.27</vt:lpstr>
      <vt:lpstr>2021.10.28</vt:lpstr>
      <vt:lpstr>2021.10.29</vt:lpstr>
      <vt:lpstr>2021.10.30</vt:lpstr>
      <vt:lpstr>2021.10.31</vt:lpstr>
      <vt:lpstr>2021.11.1</vt:lpstr>
      <vt:lpstr>2021.11.2</vt:lpstr>
      <vt:lpstr>2021.11.3</vt:lpstr>
      <vt:lpstr>2021.11.4</vt:lpstr>
      <vt:lpstr>2021.11.5</vt:lpstr>
      <vt:lpstr>2021.11.6</vt:lpstr>
      <vt:lpstr>2021.11.7</vt:lpstr>
      <vt:lpstr>2021.11.8</vt:lpstr>
      <vt:lpstr>2021.11.9</vt:lpstr>
      <vt:lpstr>2021.11.10</vt:lpstr>
      <vt:lpstr>2021.11.11</vt:lpstr>
      <vt:lpstr>2021.11.12</vt:lpstr>
      <vt:lpstr>2021.11.13</vt:lpstr>
      <vt:lpstr>2021.11.14</vt:lpstr>
      <vt:lpstr>2021.11.15</vt:lpstr>
      <vt:lpstr>2021.11.16</vt:lpstr>
      <vt:lpstr>2021.11.17</vt:lpstr>
      <vt:lpstr>2021.11.18</vt:lpstr>
      <vt:lpstr>2021.11.19</vt:lpstr>
      <vt:lpstr>2021.11.20</vt:lpstr>
      <vt:lpstr>2021.11.21</vt:lpstr>
      <vt:lpstr>2021.11.22</vt:lpstr>
      <vt:lpstr>2021.11.23</vt:lpstr>
      <vt:lpstr>2021.11.24</vt:lpstr>
      <vt:lpstr>2021.11.25</vt:lpstr>
      <vt:lpstr>2021.11.26</vt:lpstr>
      <vt:lpstr>2021.11.27</vt:lpstr>
      <vt:lpstr>2021.11.28</vt:lpstr>
      <vt:lpstr>2021.11.29</vt:lpstr>
      <vt:lpstr>2021.11.30</vt:lpstr>
      <vt:lpstr>2021.12.1</vt:lpstr>
      <vt:lpstr>2021.12.2</vt:lpstr>
      <vt:lpstr>2021.12.3</vt:lpstr>
      <vt:lpstr>2021.12.4</vt:lpstr>
      <vt:lpstr>2021.12.5</vt:lpstr>
      <vt:lpstr>2021.12.6</vt:lpstr>
      <vt:lpstr>2021.12.7</vt:lpstr>
      <vt:lpstr>2021.12.8</vt:lpstr>
      <vt:lpstr>2021.12.9</vt:lpstr>
      <vt:lpstr>2021.12.10</vt:lpstr>
      <vt:lpstr>2021.12.11</vt:lpstr>
      <vt:lpstr>2021.12.12</vt:lpstr>
      <vt:lpstr>2021.12.13</vt:lpstr>
      <vt:lpstr>2021.12.14</vt:lpstr>
      <vt:lpstr>2021.12.15</vt:lpstr>
      <vt:lpstr>2021.12.16</vt:lpstr>
      <vt:lpstr>2021.12.17</vt:lpstr>
      <vt:lpstr>2021.12.18</vt:lpstr>
      <vt:lpstr>2021.12.19</vt:lpstr>
      <vt:lpstr>2021.12.20</vt:lpstr>
      <vt:lpstr>2021.12.21</vt:lpstr>
      <vt:lpstr>2021.12.22</vt:lpstr>
      <vt:lpstr>2021.12.23</vt:lpstr>
      <vt:lpstr>2021.12.24</vt:lpstr>
      <vt:lpstr>2021.12.25</vt:lpstr>
      <vt:lpstr>2021.12.26</vt:lpstr>
      <vt:lpstr>2021.12.27</vt:lpstr>
      <vt:lpstr>2021.12.28</vt:lpstr>
      <vt:lpstr>2021.12.29</vt:lpstr>
      <vt:lpstr>2021.12.30</vt:lpstr>
      <vt:lpstr>2021.12.31</vt:lpstr>
      <vt:lpstr>2022.1.1</vt:lpstr>
      <vt:lpstr>2022.1.2</vt:lpstr>
      <vt:lpstr>2022.1.3</vt:lpstr>
      <vt:lpstr>2022.1.4</vt:lpstr>
      <vt:lpstr>2022.1.5</vt:lpstr>
      <vt:lpstr>2022.1.6</vt:lpstr>
      <vt:lpstr>2022.1.7</vt:lpstr>
      <vt:lpstr>2022.1.8</vt:lpstr>
      <vt:lpstr>2022.1.9</vt:lpstr>
      <vt:lpstr>2022.1.10</vt:lpstr>
      <vt:lpstr>2022.1.11</vt:lpstr>
      <vt:lpstr>2022.1.12</vt:lpstr>
      <vt:lpstr>2022.1.13</vt:lpstr>
      <vt:lpstr>2022.1.14</vt:lpstr>
      <vt:lpstr>2022.1.15</vt:lpstr>
      <vt:lpstr>2022.1.16</vt:lpstr>
      <vt:lpstr>2022.1.17</vt:lpstr>
      <vt:lpstr>2022.1.18</vt:lpstr>
      <vt:lpstr>2022.1.19</vt:lpstr>
      <vt:lpstr>2022.1.20</vt:lpstr>
      <vt:lpstr>2022.1.21</vt:lpstr>
      <vt:lpstr>2022.1.22</vt:lpstr>
      <vt:lpstr>2022.2.9</vt:lpstr>
      <vt:lpstr>2022.2.10</vt:lpstr>
      <vt:lpstr>2022.2.11</vt:lpstr>
      <vt:lpstr>2022.2.12</vt:lpstr>
      <vt:lpstr>2022.2.13</vt:lpstr>
      <vt:lpstr>2022.2.14</vt:lpstr>
      <vt:lpstr>2022.2.15</vt:lpstr>
      <vt:lpstr>2022.2.16</vt:lpstr>
      <vt:lpstr>2022.2.17</vt:lpstr>
      <vt:lpstr>2022.2.18</vt:lpstr>
      <vt:lpstr>2022.2.19</vt:lpstr>
      <vt:lpstr>2022.2.20</vt:lpstr>
      <vt:lpstr>2022.2.21</vt:lpstr>
      <vt:lpstr>2022.2.22</vt:lpstr>
      <vt:lpstr>2022.2.23</vt:lpstr>
      <vt:lpstr>2022.2.24</vt:lpstr>
      <vt:lpstr>2022.2.25</vt:lpstr>
      <vt:lpstr>2022.2.26</vt:lpstr>
      <vt:lpstr>2022.2.27</vt:lpstr>
      <vt:lpstr>2022.2.28</vt:lpstr>
      <vt:lpstr>2022.3.1</vt:lpstr>
      <vt:lpstr>2022.3.2</vt:lpstr>
      <vt:lpstr>2022.3.3</vt:lpstr>
      <vt:lpstr>2022.3.4</vt:lpstr>
      <vt:lpstr>2022.3.5</vt:lpstr>
      <vt:lpstr>2022.3.6</vt:lpstr>
      <vt:lpstr>2022.3.7</vt:lpstr>
      <vt:lpstr>2022.3.8</vt:lpstr>
      <vt:lpstr>2022.3.9</vt:lpstr>
      <vt:lpstr>2022.3.10</vt:lpstr>
      <vt:lpstr>2022.3.11</vt:lpstr>
      <vt:lpstr>2022.3.12</vt:lpstr>
      <vt:lpstr>2022.3.13</vt:lpstr>
      <vt:lpstr>2022.3.14</vt:lpstr>
      <vt:lpstr>2022.3.15</vt:lpstr>
      <vt:lpstr>2022.3.16</vt:lpstr>
      <vt:lpstr>2022.3.17</vt:lpstr>
      <vt:lpstr>2022.3.18</vt:lpstr>
      <vt:lpstr>2022.3.19</vt:lpstr>
      <vt:lpstr>2022.3.20</vt:lpstr>
      <vt:lpstr>2022.3.21</vt:lpstr>
      <vt:lpstr>2022.3.22</vt:lpstr>
      <vt:lpstr>2022.3.23</vt:lpstr>
      <vt:lpstr>2022.3.24</vt:lpstr>
      <vt:lpstr>2022.3.25</vt:lpstr>
      <vt:lpstr>2022.3.26</vt:lpstr>
      <vt:lpstr>2022.3.27</vt:lpstr>
      <vt:lpstr>2022.3.28</vt:lpstr>
      <vt:lpstr>2022.3.29</vt:lpstr>
      <vt:lpstr>2022.3.30</vt:lpstr>
      <vt:lpstr>2022.3.31</vt:lpstr>
      <vt:lpstr>2022.4.1</vt:lpstr>
      <vt:lpstr>2022.4.2</vt:lpstr>
      <vt:lpstr>2022.4.3</vt:lpstr>
      <vt:lpstr>2022.4.4</vt:lpstr>
      <vt:lpstr>2022.4.5</vt:lpstr>
      <vt:lpstr>2022.4.6</vt:lpstr>
      <vt:lpstr>2022.4.7</vt:lpstr>
      <vt:lpstr>2022.4.8</vt:lpstr>
      <vt:lpstr>2022.4.9</vt:lpstr>
      <vt:lpstr>2022.4.10</vt:lpstr>
      <vt:lpstr>2022.4.11</vt:lpstr>
      <vt:lpstr>2022.4.12</vt:lpstr>
      <vt:lpstr>2022.4.13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Federal Sadler</dc:creator>
  <cp:lastModifiedBy>FasterThanLight</cp:lastModifiedBy>
  <dcterms:created xsi:type="dcterms:W3CDTF">2015-06-05T18:19:00Z</dcterms:created>
  <cp:lastPrinted>2021-10-08T00:31:00Z</cp:lastPrinted>
  <dcterms:modified xsi:type="dcterms:W3CDTF">2022-04-14T01:51:12Z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80313117F36A4F9D9D8E9D14EEB0A95E</vt:lpwstr>
  </property>
  <property fmtid="{D5CDD505-2E9C-101B-9397-08002B2CF9AE}" pid="3" name="KSOProductBuildVer">
    <vt:lpwstr>2052-11.8.2.10912</vt:lpwstr>
  </property>
</Properties>
</file>