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E\Co-digestion of HE, CM, PM, SM\"/>
    </mc:Choice>
  </mc:AlternateContent>
  <xr:revisionPtr revIDLastSave="0" documentId="13_ncr:1_{520A3D37-C01A-41DF-AA03-C488B640CBF0}" xr6:coauthVersionLast="36" xr6:coauthVersionMax="36" xr10:uidLastSave="{00000000-0000-0000-0000-000000000000}"/>
  <bookViews>
    <workbookView xWindow="0" yWindow="0" windowWidth="23040" windowHeight="9060" activeTab="1" xr2:uid="{9111F4DB-23CD-4710-B81D-0FA11975267D}"/>
  </bookViews>
  <sheets>
    <sheet name="Test HBPM" sheetId="17" r:id="rId1"/>
    <sheet name="BMP test results" sheetId="19" r:id="rId2"/>
    <sheet name="VS reduction" sheetId="69" r:id="rId3"/>
    <sheet name="VS reduction graph" sheetId="73" r:id="rId4"/>
    <sheet name="C-N ratio" sheetId="21" r:id="rId5"/>
    <sheet name="BMP test compil" sheetId="24" r:id="rId6"/>
    <sheet name="BMP test compil_daily" sheetId="82" r:id="rId7"/>
    <sheet name="Monodigestion_daily" sheetId="83" r:id="rId8"/>
    <sheet name="Codigestion_daily" sheetId="84" r:id="rId9"/>
    <sheet name="Tridigestion_daily" sheetId="85" r:id="rId10"/>
    <sheet name="Quadridigestion_daily" sheetId="86" r:id="rId11"/>
    <sheet name="BMP test compil_cumulative" sheetId="75" r:id="rId12"/>
    <sheet name="SI" sheetId="64" r:id="rId13"/>
    <sheet name="SI (2)" sheetId="57" r:id="rId14"/>
    <sheet name="Synergy Index" sheetId="65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32" i="82" l="1"/>
  <c r="CM31" i="82"/>
  <c r="CM30" i="82"/>
  <c r="CM29" i="82"/>
  <c r="CM28" i="82"/>
  <c r="CM24" i="82"/>
  <c r="CM23" i="82"/>
  <c r="CM22" i="82"/>
  <c r="CM21" i="82"/>
  <c r="CM16" i="82"/>
  <c r="CM15" i="82"/>
  <c r="CM14" i="82"/>
  <c r="CM13" i="82"/>
  <c r="CM12" i="82"/>
  <c r="CM11" i="82"/>
  <c r="CM7" i="82"/>
  <c r="CM6" i="82"/>
  <c r="CM5" i="82"/>
  <c r="CM4" i="82"/>
  <c r="CM23" i="75" l="1"/>
  <c r="CM22" i="75"/>
  <c r="CM21" i="75"/>
  <c r="CM20" i="75"/>
  <c r="CM16" i="75"/>
  <c r="CM15" i="75"/>
  <c r="CM14" i="75"/>
  <c r="CM13" i="75"/>
  <c r="CM12" i="75"/>
  <c r="CM11" i="75"/>
  <c r="CM7" i="75"/>
  <c r="CM6" i="75"/>
  <c r="CM5" i="75"/>
  <c r="CM4" i="75"/>
  <c r="CN90" i="24"/>
  <c r="CM16" i="24"/>
  <c r="P10" i="57" l="1"/>
  <c r="P14" i="57"/>
  <c r="N22" i="17" l="1"/>
  <c r="M22" i="17"/>
  <c r="K22" i="17"/>
  <c r="H22" i="17"/>
  <c r="L22" i="17"/>
  <c r="L23" i="17"/>
  <c r="I22" i="17"/>
  <c r="F22" i="17" s="1"/>
  <c r="I23" i="17"/>
  <c r="F23" i="17" s="1"/>
  <c r="J22" i="17" l="1"/>
  <c r="G22" i="17"/>
  <c r="L91" i="24" l="1"/>
  <c r="J11" i="57" l="1"/>
  <c r="P11" i="57"/>
  <c r="J26" i="57" l="1"/>
  <c r="J25" i="57"/>
  <c r="CM23" i="24"/>
  <c r="CM22" i="24"/>
  <c r="CM17" i="24" l="1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AM19" i="24"/>
  <c r="AN19" i="24"/>
  <c r="AO19" i="24"/>
  <c r="AP19" i="24"/>
  <c r="AQ19" i="24"/>
  <c r="AR19" i="24"/>
  <c r="AS19" i="24"/>
  <c r="AT19" i="24"/>
  <c r="AU19" i="24"/>
  <c r="AV19" i="24"/>
  <c r="AW19" i="24"/>
  <c r="AX19" i="24"/>
  <c r="AY19" i="24"/>
  <c r="AZ19" i="24"/>
  <c r="BA19" i="24"/>
  <c r="BB19" i="24"/>
  <c r="BC19" i="24"/>
  <c r="BD19" i="24"/>
  <c r="BE19" i="24"/>
  <c r="BF19" i="24"/>
  <c r="BG19" i="24"/>
  <c r="BH19" i="24"/>
  <c r="BI19" i="24"/>
  <c r="BJ19" i="24"/>
  <c r="BK19" i="24"/>
  <c r="BL19" i="24"/>
  <c r="BM19" i="24"/>
  <c r="BN19" i="24"/>
  <c r="BO19" i="24"/>
  <c r="BP19" i="24"/>
  <c r="BQ19" i="24"/>
  <c r="BR19" i="24"/>
  <c r="BS19" i="24"/>
  <c r="BT19" i="24"/>
  <c r="BU19" i="24"/>
  <c r="BV19" i="24"/>
  <c r="BW19" i="24"/>
  <c r="BX19" i="24"/>
  <c r="BY19" i="24"/>
  <c r="I19" i="24"/>
  <c r="CM18" i="24"/>
  <c r="AR16" i="24"/>
  <c r="AS99" i="24" s="1"/>
  <c r="AS16" i="24"/>
  <c r="AT99" i="24" s="1"/>
  <c r="AT16" i="24"/>
  <c r="AU99" i="24" s="1"/>
  <c r="AU16" i="24"/>
  <c r="AV99" i="24" s="1"/>
  <c r="AV16" i="24"/>
  <c r="AW99" i="24" s="1"/>
  <c r="AW16" i="24"/>
  <c r="AX99" i="24" s="1"/>
  <c r="AX16" i="24"/>
  <c r="AY99" i="24" s="1"/>
  <c r="AY16" i="24"/>
  <c r="AZ99" i="24" s="1"/>
  <c r="CM15" i="24"/>
  <c r="CM14" i="24"/>
  <c r="CM19" i="24" l="1"/>
  <c r="J100" i="24"/>
  <c r="I16" i="24" l="1"/>
  <c r="J99" i="24" l="1"/>
  <c r="F33" i="57" l="1"/>
  <c r="C34" i="57"/>
  <c r="C35" i="57"/>
  <c r="C36" i="57"/>
  <c r="C37" i="57"/>
  <c r="C33" i="57"/>
  <c r="C27" i="57"/>
  <c r="C28" i="57"/>
  <c r="C29" i="57"/>
  <c r="C26" i="57"/>
  <c r="B27" i="57"/>
  <c r="B28" i="57"/>
  <c r="B29" i="57"/>
  <c r="B30" i="57"/>
  <c r="B26" i="57"/>
  <c r="E27" i="57"/>
  <c r="E28" i="57"/>
  <c r="E29" i="57"/>
  <c r="E30" i="57"/>
  <c r="D27" i="57"/>
  <c r="D28" i="57"/>
  <c r="D29" i="57"/>
  <c r="D30" i="57"/>
  <c r="E26" i="57"/>
  <c r="D26" i="57"/>
  <c r="C30" i="57"/>
  <c r="T11" i="57"/>
  <c r="J12" i="57"/>
  <c r="T8" i="57"/>
  <c r="T10" i="57"/>
  <c r="T22" i="57"/>
  <c r="T23" i="57"/>
  <c r="HP30" i="19"/>
  <c r="HO30" i="19"/>
  <c r="HO9" i="19"/>
  <c r="Q8" i="64"/>
  <c r="Q16" i="64"/>
  <c r="K33" i="64"/>
  <c r="K32" i="64"/>
  <c r="K31" i="64"/>
  <c r="K30" i="64"/>
  <c r="K29" i="64"/>
  <c r="K28" i="64"/>
  <c r="K27" i="64"/>
  <c r="K26" i="64"/>
  <c r="M25" i="64"/>
  <c r="K25" i="64"/>
  <c r="O25" i="64" s="1"/>
  <c r="K24" i="64"/>
  <c r="K23" i="64"/>
  <c r="M22" i="64"/>
  <c r="O22" i="64" s="1"/>
  <c r="K22" i="64"/>
  <c r="K20" i="64"/>
  <c r="M19" i="64"/>
  <c r="K19" i="64"/>
  <c r="O19" i="64" s="1"/>
  <c r="K18" i="64"/>
  <c r="K17" i="64"/>
  <c r="M16" i="64"/>
  <c r="O16" i="64" s="1"/>
  <c r="K16" i="64"/>
  <c r="K15" i="64"/>
  <c r="Q15" i="64" s="1"/>
  <c r="M14" i="64"/>
  <c r="K14" i="64"/>
  <c r="O14" i="64" s="1"/>
  <c r="K13" i="64"/>
  <c r="K12" i="64"/>
  <c r="M11" i="64"/>
  <c r="K11" i="64"/>
  <c r="K10" i="64"/>
  <c r="Q10" i="64" s="1"/>
  <c r="Q9" i="64"/>
  <c r="M9" i="64"/>
  <c r="O9" i="64" s="1"/>
  <c r="K9" i="64"/>
  <c r="K8" i="64"/>
  <c r="K7" i="64"/>
  <c r="K6" i="64"/>
  <c r="M18" i="64" s="1"/>
  <c r="O18" i="64" s="1"/>
  <c r="K5" i="64"/>
  <c r="M33" i="64" s="1"/>
  <c r="O11" i="64" l="1"/>
  <c r="O28" i="64"/>
  <c r="O31" i="64"/>
  <c r="O26" i="64"/>
  <c r="O33" i="64"/>
  <c r="M29" i="64"/>
  <c r="O29" i="64" s="1"/>
  <c r="M32" i="64"/>
  <c r="O32" i="64" s="1"/>
  <c r="M28" i="64"/>
  <c r="M12" i="64"/>
  <c r="O12" i="64" s="1"/>
  <c r="M23" i="64"/>
  <c r="O23" i="64" s="1"/>
  <c r="M31" i="64"/>
  <c r="M10" i="64"/>
  <c r="M15" i="64"/>
  <c r="M17" i="64"/>
  <c r="O17" i="64" s="1"/>
  <c r="M26" i="64"/>
  <c r="O10" i="64"/>
  <c r="O15" i="64"/>
  <c r="M20" i="64"/>
  <c r="O20" i="64" s="1"/>
  <c r="M13" i="64"/>
  <c r="O13" i="64" s="1"/>
  <c r="M24" i="64"/>
  <c r="O24" i="64" s="1"/>
  <c r="M27" i="64"/>
  <c r="O27" i="64" s="1"/>
  <c r="M30" i="64"/>
  <c r="O30" i="64" s="1"/>
  <c r="K7" i="57"/>
  <c r="K6" i="57"/>
  <c r="K10" i="57"/>
  <c r="K5" i="57"/>
  <c r="K8" i="57"/>
  <c r="K9" i="57"/>
  <c r="K13" i="57"/>
  <c r="K14" i="57"/>
  <c r="CM41" i="24"/>
  <c r="CM37" i="24"/>
  <c r="M9" i="57" l="1"/>
  <c r="O9" i="57" s="1"/>
  <c r="M15" i="57"/>
  <c r="L29" i="57"/>
  <c r="L28" i="57"/>
  <c r="L32" i="57"/>
  <c r="L31" i="57"/>
  <c r="M20" i="57"/>
  <c r="O20" i="57" s="1"/>
  <c r="M19" i="57"/>
  <c r="CM60" i="24"/>
  <c r="CM59" i="24"/>
  <c r="CM58" i="24"/>
  <c r="CM57" i="24"/>
  <c r="CM42" i="24"/>
  <c r="CM38" i="24"/>
  <c r="AD10" i="19" l="1"/>
  <c r="AX10" i="19"/>
  <c r="AY10" i="19"/>
  <c r="BI10" i="19"/>
  <c r="BJ10" i="19"/>
  <c r="BK10" i="19"/>
  <c r="BL10" i="19"/>
  <c r="BM10" i="19"/>
  <c r="BN10" i="19"/>
  <c r="BO10" i="19"/>
  <c r="BY10" i="19"/>
  <c r="BZ10" i="19"/>
  <c r="CA10" i="19"/>
  <c r="CB10" i="19"/>
  <c r="CC10" i="19"/>
  <c r="CD10" i="19"/>
  <c r="CE10" i="19"/>
  <c r="CO10" i="19"/>
  <c r="CP10" i="19"/>
  <c r="CQ10" i="19"/>
  <c r="CR10" i="19"/>
  <c r="CS10" i="19"/>
  <c r="CU10" i="19"/>
  <c r="DE10" i="19"/>
  <c r="DF10" i="19"/>
  <c r="DG10" i="19"/>
  <c r="DH10" i="19"/>
  <c r="DI10" i="19"/>
  <c r="DJ10" i="19"/>
  <c r="DK10" i="19"/>
  <c r="EA10" i="19"/>
  <c r="DZ10" i="19"/>
  <c r="DY10" i="19"/>
  <c r="DX10" i="19"/>
  <c r="J82" i="24" l="1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AJ82" i="24"/>
  <c r="AK82" i="24"/>
  <c r="AL82" i="24"/>
  <c r="AM82" i="24"/>
  <c r="AN82" i="24"/>
  <c r="AO82" i="24"/>
  <c r="AP82" i="24"/>
  <c r="AQ82" i="24"/>
  <c r="AR82" i="24"/>
  <c r="AS82" i="24"/>
  <c r="AT82" i="24"/>
  <c r="AU82" i="24"/>
  <c r="AV82" i="24"/>
  <c r="AW82" i="24"/>
  <c r="AX82" i="24"/>
  <c r="AY82" i="24"/>
  <c r="AZ82" i="24"/>
  <c r="BA82" i="24"/>
  <c r="BB82" i="24"/>
  <c r="I82" i="24"/>
  <c r="CM74" i="24"/>
  <c r="CM75" i="24"/>
  <c r="CM71" i="24"/>
  <c r="CM72" i="24"/>
  <c r="CM68" i="24"/>
  <c r="CM69" i="24"/>
  <c r="AL66" i="24"/>
  <c r="AL81" i="24" s="1"/>
  <c r="CM64" i="24"/>
  <c r="CM65" i="24"/>
  <c r="BO104" i="19"/>
  <c r="EL110" i="19"/>
  <c r="DY110" i="19"/>
  <c r="DX110" i="19"/>
  <c r="DW10" i="19"/>
  <c r="DW110" i="19" s="1"/>
  <c r="DV10" i="19"/>
  <c r="DV110" i="19" s="1"/>
  <c r="DU10" i="19"/>
  <c r="DU110" i="19" s="1"/>
  <c r="DH110" i="19"/>
  <c r="EM110" i="19"/>
  <c r="EK110" i="19"/>
  <c r="DZ110" i="19"/>
  <c r="EA110" i="19"/>
  <c r="DF110" i="19"/>
  <c r="DG110" i="19"/>
  <c r="DI110" i="19"/>
  <c r="DJ110" i="19"/>
  <c r="DK110" i="19"/>
  <c r="DE110" i="19"/>
  <c r="CP110" i="19"/>
  <c r="CQ110" i="19"/>
  <c r="CR110" i="19"/>
  <c r="CS110" i="19"/>
  <c r="CT110" i="19"/>
  <c r="CU110" i="19"/>
  <c r="CO110" i="19"/>
  <c r="BZ110" i="19"/>
  <c r="CA110" i="19"/>
  <c r="CB110" i="19"/>
  <c r="CC110" i="19"/>
  <c r="CD110" i="19"/>
  <c r="CE110" i="19"/>
  <c r="BY110" i="19"/>
  <c r="BJ110" i="19"/>
  <c r="BK110" i="19"/>
  <c r="BL110" i="19"/>
  <c r="BM110" i="19"/>
  <c r="BN110" i="19"/>
  <c r="BO110" i="19"/>
  <c r="BI110" i="19"/>
  <c r="AC110" i="19"/>
  <c r="AD110" i="19"/>
  <c r="GN10" i="19"/>
  <c r="FX10" i="19"/>
  <c r="FH10" i="19"/>
  <c r="ER10" i="19"/>
  <c r="EB10" i="19"/>
  <c r="DL10" i="19"/>
  <c r="CV10" i="19"/>
  <c r="BP10" i="19"/>
  <c r="CM82" i="24" l="1"/>
  <c r="CQ133" i="19"/>
  <c r="CV35" i="19"/>
  <c r="BM135" i="19"/>
  <c r="BO135" i="19"/>
  <c r="AA11" i="21" l="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AA39" i="21"/>
  <c r="AA40" i="21"/>
  <c r="AA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37" i="21"/>
  <c r="Z38" i="21"/>
  <c r="Z39" i="21"/>
  <c r="Z40" i="21"/>
  <c r="Z10" i="21"/>
  <c r="Y11" i="21"/>
  <c r="Y12" i="21"/>
  <c r="AB12" i="21" s="1"/>
  <c r="Y13" i="21"/>
  <c r="Y14" i="21"/>
  <c r="Y15" i="21"/>
  <c r="Y16" i="21"/>
  <c r="Y17" i="21"/>
  <c r="Y18" i="21"/>
  <c r="Y19" i="21"/>
  <c r="Y20" i="21"/>
  <c r="AB20" i="21" s="1"/>
  <c r="Y21" i="21"/>
  <c r="Y22" i="21"/>
  <c r="Y23" i="21"/>
  <c r="Y24" i="21"/>
  <c r="Y25" i="21"/>
  <c r="Y26" i="21"/>
  <c r="Y27" i="21"/>
  <c r="Y28" i="21"/>
  <c r="AB28" i="21" s="1"/>
  <c r="Y29" i="21"/>
  <c r="Y30" i="21"/>
  <c r="Y31" i="21"/>
  <c r="Y32" i="21"/>
  <c r="Y33" i="21"/>
  <c r="Y34" i="21"/>
  <c r="Y35" i="21"/>
  <c r="Y36" i="21"/>
  <c r="Y37" i="21"/>
  <c r="Y38" i="21"/>
  <c r="Y39" i="21"/>
  <c r="Y40" i="21"/>
  <c r="Y10" i="21"/>
  <c r="X11" i="21"/>
  <c r="X12" i="21"/>
  <c r="X13" i="21"/>
  <c r="X14" i="21"/>
  <c r="X15" i="21"/>
  <c r="X16" i="21"/>
  <c r="X17" i="21"/>
  <c r="X18" i="21"/>
  <c r="X19" i="21"/>
  <c r="X20" i="21"/>
  <c r="X21" i="21"/>
  <c r="X22" i="21"/>
  <c r="X23" i="21"/>
  <c r="AB23" i="21" s="1"/>
  <c r="X24" i="21"/>
  <c r="X25" i="21"/>
  <c r="AB25" i="21" s="1"/>
  <c r="X26" i="21"/>
  <c r="X27" i="21"/>
  <c r="X28" i="21"/>
  <c r="X29" i="21"/>
  <c r="X30" i="21"/>
  <c r="X31" i="21"/>
  <c r="X32" i="21"/>
  <c r="X33" i="21"/>
  <c r="AB33" i="21" s="1"/>
  <c r="X34" i="21"/>
  <c r="X35" i="21"/>
  <c r="X36" i="21"/>
  <c r="X37" i="21"/>
  <c r="X38" i="21"/>
  <c r="X39" i="21"/>
  <c r="X40" i="21"/>
  <c r="X10" i="21"/>
  <c r="AB17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40" i="21"/>
  <c r="R10" i="21"/>
  <c r="Q11" i="21"/>
  <c r="Q12" i="21"/>
  <c r="Q13" i="21"/>
  <c r="Q14" i="21"/>
  <c r="Q15" i="21"/>
  <c r="U15" i="21" s="1"/>
  <c r="Q16" i="21"/>
  <c r="U16" i="21" s="1"/>
  <c r="Q17" i="21"/>
  <c r="U17" i="21" s="1"/>
  <c r="G17" i="21" s="1"/>
  <c r="Q18" i="21"/>
  <c r="Q19" i="21"/>
  <c r="Q20" i="21"/>
  <c r="Q21" i="21"/>
  <c r="Q22" i="21"/>
  <c r="U22" i="21" s="1"/>
  <c r="Q23" i="21"/>
  <c r="U23" i="21" s="1"/>
  <c r="G23" i="21" s="1"/>
  <c r="Q24" i="21"/>
  <c r="U24" i="21" s="1"/>
  <c r="Q25" i="21"/>
  <c r="U25" i="21" s="1"/>
  <c r="G25" i="21" s="1"/>
  <c r="Q26" i="21"/>
  <c r="Q27" i="21"/>
  <c r="Q28" i="21"/>
  <c r="Q29" i="21"/>
  <c r="Q30" i="21"/>
  <c r="U30" i="21" s="1"/>
  <c r="Q31" i="21"/>
  <c r="U31" i="21" s="1"/>
  <c r="Q32" i="21"/>
  <c r="U32" i="21" s="1"/>
  <c r="Q33" i="21"/>
  <c r="U33" i="21" s="1"/>
  <c r="G33" i="21" s="1"/>
  <c r="Q34" i="21"/>
  <c r="Q35" i="21"/>
  <c r="U35" i="21" s="1"/>
  <c r="Q36" i="21"/>
  <c r="Q37" i="21"/>
  <c r="Q38" i="21"/>
  <c r="U38" i="21" s="1"/>
  <c r="Q39" i="21"/>
  <c r="U39" i="21" s="1"/>
  <c r="Q40" i="21"/>
  <c r="U40" i="21" s="1"/>
  <c r="Q10" i="21"/>
  <c r="U10" i="21" s="1"/>
  <c r="U14" i="21" l="1"/>
  <c r="U29" i="21"/>
  <c r="U21" i="21"/>
  <c r="U13" i="21"/>
  <c r="AB36" i="21"/>
  <c r="U37" i="21"/>
  <c r="U36" i="21"/>
  <c r="G36" i="21" s="1"/>
  <c r="U28" i="21"/>
  <c r="G28" i="21" s="1"/>
  <c r="U20" i="21"/>
  <c r="G20" i="21" s="1"/>
  <c r="U12" i="21"/>
  <c r="G12" i="21" s="1"/>
  <c r="U19" i="21"/>
  <c r="U34" i="21"/>
  <c r="U26" i="21"/>
  <c r="U18" i="21"/>
  <c r="AB40" i="21"/>
  <c r="G40" i="21" s="1"/>
  <c r="AB32" i="21"/>
  <c r="G32" i="21" s="1"/>
  <c r="AB16" i="21"/>
  <c r="U11" i="21"/>
  <c r="AB31" i="21"/>
  <c r="AB15" i="21"/>
  <c r="U27" i="21"/>
  <c r="AB14" i="21"/>
  <c r="G14" i="21" s="1"/>
  <c r="G27" i="21"/>
  <c r="G16" i="21"/>
  <c r="G31" i="21"/>
  <c r="AB39" i="21"/>
  <c r="G39" i="21" s="1"/>
  <c r="AB38" i="21"/>
  <c r="G38" i="21" s="1"/>
  <c r="AB30" i="21"/>
  <c r="G30" i="21" s="1"/>
  <c r="AB22" i="21"/>
  <c r="G22" i="21" s="1"/>
  <c r="G15" i="21"/>
  <c r="AB27" i="21"/>
  <c r="AB11" i="21"/>
  <c r="G11" i="21" s="1"/>
  <c r="AB35" i="21"/>
  <c r="G35" i="21" s="1"/>
  <c r="AB19" i="21"/>
  <c r="G19" i="21" s="1"/>
  <c r="AB26" i="21"/>
  <c r="G26" i="21" s="1"/>
  <c r="AB18" i="21"/>
  <c r="AB10" i="21"/>
  <c r="G10" i="21" s="1"/>
  <c r="AB34" i="21"/>
  <c r="AB37" i="21"/>
  <c r="AB21" i="21"/>
  <c r="G21" i="21" s="1"/>
  <c r="AB13" i="21"/>
  <c r="G13" i="21" s="1"/>
  <c r="AB24" i="21"/>
  <c r="G24" i="21" s="1"/>
  <c r="AB29" i="21"/>
  <c r="G29" i="21" s="1"/>
  <c r="G34" i="21" l="1"/>
  <c r="G37" i="21"/>
  <c r="G18" i="21"/>
  <c r="DF134" i="19"/>
  <c r="AT134" i="19"/>
  <c r="AS124" i="19"/>
  <c r="Q14" i="19" l="1"/>
  <c r="K16" i="57"/>
  <c r="K18" i="57"/>
  <c r="K17" i="57"/>
  <c r="K15" i="57"/>
  <c r="O15" i="57" s="1"/>
  <c r="M11" i="57" l="1"/>
  <c r="O11" i="57" s="1"/>
  <c r="M21" i="57"/>
  <c r="O21" i="57" s="1"/>
  <c r="M23" i="57"/>
  <c r="O23" i="57" s="1"/>
  <c r="M22" i="57"/>
  <c r="O22" i="57" s="1"/>
  <c r="O19" i="57"/>
  <c r="M12" i="57"/>
  <c r="O12" i="57" s="1"/>
  <c r="M13" i="57"/>
  <c r="O13" i="57" s="1"/>
  <c r="M14" i="57"/>
  <c r="O14" i="57" s="1"/>
  <c r="M17" i="57"/>
  <c r="O17" i="57" s="1"/>
  <c r="M18" i="57"/>
  <c r="O18" i="57" s="1"/>
  <c r="M16" i="57"/>
  <c r="O16" i="57" s="1"/>
  <c r="M10" i="57"/>
  <c r="O10" i="57" s="1"/>
  <c r="I128" i="24" l="1"/>
  <c r="H128" i="24"/>
  <c r="I127" i="24"/>
  <c r="H127" i="24"/>
  <c r="I126" i="24"/>
  <c r="H126" i="24"/>
  <c r="BE125" i="24"/>
  <c r="BD125" i="24"/>
  <c r="BC125" i="24"/>
  <c r="BB125" i="24"/>
  <c r="BA125" i="24"/>
  <c r="AZ125" i="24"/>
  <c r="AY125" i="24"/>
  <c r="AX125" i="24"/>
  <c r="AW125" i="24"/>
  <c r="AV125" i="24"/>
  <c r="AU125" i="24"/>
  <c r="AT125" i="24"/>
  <c r="AS125" i="24"/>
  <c r="AR125" i="24"/>
  <c r="AQ125" i="24"/>
  <c r="AP125" i="24"/>
  <c r="AO125" i="24"/>
  <c r="AN125" i="24"/>
  <c r="AM125" i="24"/>
  <c r="AL125" i="24"/>
  <c r="AK125" i="24"/>
  <c r="AJ125" i="24"/>
  <c r="AI125" i="24"/>
  <c r="AH125" i="24"/>
  <c r="AG125" i="24"/>
  <c r="AF125" i="24"/>
  <c r="AE125" i="24"/>
  <c r="AD125" i="24"/>
  <c r="AC125" i="24"/>
  <c r="AB125" i="24"/>
  <c r="AA125" i="24"/>
  <c r="Z125" i="24"/>
  <c r="Y125" i="24"/>
  <c r="X125" i="24"/>
  <c r="W125" i="24"/>
  <c r="V125" i="24"/>
  <c r="U125" i="24"/>
  <c r="T125" i="24"/>
  <c r="S125" i="24"/>
  <c r="R125" i="24"/>
  <c r="Q125" i="24"/>
  <c r="P125" i="24"/>
  <c r="O125" i="24"/>
  <c r="N125" i="24"/>
  <c r="M125" i="24"/>
  <c r="L125" i="24"/>
  <c r="K125" i="24"/>
  <c r="J125" i="24"/>
  <c r="I125" i="24"/>
  <c r="H125" i="24"/>
  <c r="I124" i="24"/>
  <c r="H124" i="24"/>
  <c r="BE120" i="24"/>
  <c r="BD120" i="24"/>
  <c r="BC120" i="24"/>
  <c r="BB120" i="24"/>
  <c r="BA120" i="24"/>
  <c r="AZ120" i="24"/>
  <c r="AY120" i="24"/>
  <c r="AX120" i="24"/>
  <c r="AW120" i="24"/>
  <c r="AV120" i="24"/>
  <c r="AU120" i="24"/>
  <c r="AT120" i="24"/>
  <c r="AS120" i="24"/>
  <c r="AR120" i="24"/>
  <c r="AQ120" i="24"/>
  <c r="AP120" i="24"/>
  <c r="AO120" i="24"/>
  <c r="AN120" i="24"/>
  <c r="AM120" i="24"/>
  <c r="AL120" i="24"/>
  <c r="AK120" i="24"/>
  <c r="AJ120" i="24"/>
  <c r="AI120" i="24"/>
  <c r="AH120" i="24"/>
  <c r="AG120" i="24"/>
  <c r="AF120" i="24"/>
  <c r="AE120" i="24"/>
  <c r="AD120" i="24"/>
  <c r="AC120" i="24"/>
  <c r="AB120" i="24"/>
  <c r="AA120" i="24"/>
  <c r="Z120" i="24"/>
  <c r="Y120" i="24"/>
  <c r="X120" i="24"/>
  <c r="W120" i="24"/>
  <c r="V120" i="24"/>
  <c r="U120" i="24"/>
  <c r="T120" i="24"/>
  <c r="S120" i="24"/>
  <c r="R120" i="24"/>
  <c r="Q120" i="24"/>
  <c r="P120" i="24"/>
  <c r="O120" i="24"/>
  <c r="N120" i="24"/>
  <c r="M120" i="24"/>
  <c r="L120" i="24"/>
  <c r="K120" i="24"/>
  <c r="J120" i="24"/>
  <c r="I120" i="24"/>
  <c r="H120" i="24"/>
  <c r="BW119" i="24"/>
  <c r="BV119" i="24"/>
  <c r="BU119" i="24"/>
  <c r="BT119" i="24"/>
  <c r="BS119" i="24"/>
  <c r="BR119" i="24"/>
  <c r="BQ119" i="24"/>
  <c r="BP119" i="24"/>
  <c r="BO119" i="24"/>
  <c r="BN119" i="24"/>
  <c r="BM119" i="24"/>
  <c r="BL119" i="24"/>
  <c r="BK119" i="24"/>
  <c r="BJ119" i="24"/>
  <c r="BI119" i="24"/>
  <c r="BH119" i="24"/>
  <c r="BG119" i="24"/>
  <c r="BF119" i="24"/>
  <c r="BE119" i="24"/>
  <c r="BD119" i="24"/>
  <c r="BC119" i="24"/>
  <c r="BB119" i="24"/>
  <c r="BA119" i="24"/>
  <c r="AZ119" i="24"/>
  <c r="AY119" i="24"/>
  <c r="AX119" i="24"/>
  <c r="AW119" i="24"/>
  <c r="AV119" i="24"/>
  <c r="AU119" i="24"/>
  <c r="AT119" i="24"/>
  <c r="AS119" i="24"/>
  <c r="AR119" i="24"/>
  <c r="AQ119" i="24"/>
  <c r="AP119" i="24"/>
  <c r="AO119" i="24"/>
  <c r="AN119" i="24"/>
  <c r="AM119" i="24"/>
  <c r="AL119" i="24"/>
  <c r="AK119" i="24"/>
  <c r="AJ119" i="24"/>
  <c r="AI119" i="24"/>
  <c r="AH119" i="24"/>
  <c r="AG119" i="24"/>
  <c r="AF119" i="24"/>
  <c r="AE119" i="24"/>
  <c r="AD119" i="24"/>
  <c r="AC119" i="24"/>
  <c r="AB119" i="24"/>
  <c r="AA119" i="24"/>
  <c r="Z119" i="24"/>
  <c r="Y119" i="24"/>
  <c r="X119" i="24"/>
  <c r="W119" i="24"/>
  <c r="V119" i="24"/>
  <c r="U119" i="24"/>
  <c r="T119" i="24"/>
  <c r="S119" i="24"/>
  <c r="R119" i="24"/>
  <c r="Q119" i="24"/>
  <c r="P119" i="24"/>
  <c r="O119" i="24"/>
  <c r="N119" i="24"/>
  <c r="M119" i="24"/>
  <c r="L119" i="24"/>
  <c r="K119" i="24"/>
  <c r="J119" i="24"/>
  <c r="I119" i="24"/>
  <c r="H119" i="24"/>
  <c r="BZ117" i="24"/>
  <c r="BY117" i="24"/>
  <c r="BX117" i="24"/>
  <c r="BW117" i="24"/>
  <c r="BV117" i="24"/>
  <c r="BU117" i="24"/>
  <c r="BT117" i="24"/>
  <c r="BS117" i="24"/>
  <c r="BR117" i="24"/>
  <c r="BQ117" i="24"/>
  <c r="BP117" i="24"/>
  <c r="BO117" i="24"/>
  <c r="BN117" i="24"/>
  <c r="BM117" i="24"/>
  <c r="BL117" i="24"/>
  <c r="BK117" i="24"/>
  <c r="BJ117" i="24"/>
  <c r="BI117" i="24"/>
  <c r="BH117" i="24"/>
  <c r="BG117" i="24"/>
  <c r="BF117" i="24"/>
  <c r="BE117" i="24"/>
  <c r="BD117" i="24"/>
  <c r="BC117" i="24"/>
  <c r="BB117" i="24"/>
  <c r="BA117" i="24"/>
  <c r="AZ117" i="24"/>
  <c r="AY117" i="24"/>
  <c r="AX117" i="24"/>
  <c r="AW117" i="24"/>
  <c r="AV117" i="24"/>
  <c r="AU117" i="24"/>
  <c r="AT117" i="24"/>
  <c r="AS117" i="24"/>
  <c r="AR117" i="24"/>
  <c r="AQ117" i="24"/>
  <c r="AP117" i="24"/>
  <c r="AO117" i="24"/>
  <c r="AN117" i="24"/>
  <c r="AM117" i="24"/>
  <c r="AL117" i="24"/>
  <c r="AK117" i="24"/>
  <c r="AJ117" i="24"/>
  <c r="AI117" i="24"/>
  <c r="AH117" i="24"/>
  <c r="AG117" i="24"/>
  <c r="AF117" i="24"/>
  <c r="AE117" i="24"/>
  <c r="AD117" i="24"/>
  <c r="AC117" i="24"/>
  <c r="AB117" i="24"/>
  <c r="AA117" i="24"/>
  <c r="Z117" i="24"/>
  <c r="Y117" i="24"/>
  <c r="X117" i="24"/>
  <c r="W117" i="24"/>
  <c r="V117" i="24"/>
  <c r="U117" i="24"/>
  <c r="T117" i="24"/>
  <c r="S117" i="24"/>
  <c r="R117" i="24"/>
  <c r="Q117" i="24"/>
  <c r="P117" i="24"/>
  <c r="O117" i="24"/>
  <c r="N117" i="24"/>
  <c r="M117" i="24"/>
  <c r="L117" i="24"/>
  <c r="K117" i="24"/>
  <c r="J117" i="24"/>
  <c r="I117" i="24"/>
  <c r="H117" i="24"/>
  <c r="BE116" i="24"/>
  <c r="BD116" i="24"/>
  <c r="BC116" i="24"/>
  <c r="BB116" i="24"/>
  <c r="BA116" i="24"/>
  <c r="AZ116" i="24"/>
  <c r="AY116" i="24"/>
  <c r="AX116" i="24"/>
  <c r="AW116" i="24"/>
  <c r="AV116" i="24"/>
  <c r="AU116" i="24"/>
  <c r="AT116" i="24"/>
  <c r="AS116" i="24"/>
  <c r="AR116" i="24"/>
  <c r="AQ116" i="24"/>
  <c r="AP116" i="24"/>
  <c r="AO116" i="24"/>
  <c r="AN116" i="24"/>
  <c r="AM116" i="24"/>
  <c r="AL116" i="24"/>
  <c r="AK116" i="24"/>
  <c r="AJ116" i="24"/>
  <c r="AI116" i="24"/>
  <c r="AH116" i="24"/>
  <c r="AG116" i="24"/>
  <c r="AF116" i="24"/>
  <c r="AE116" i="24"/>
  <c r="AD116" i="24"/>
  <c r="AC116" i="24"/>
  <c r="AB116" i="24"/>
  <c r="AA116" i="24"/>
  <c r="Z116" i="24"/>
  <c r="Y116" i="24"/>
  <c r="X116" i="24"/>
  <c r="W116" i="24"/>
  <c r="V116" i="24"/>
  <c r="U116" i="24"/>
  <c r="T116" i="24"/>
  <c r="S116" i="24"/>
  <c r="R116" i="24"/>
  <c r="Q116" i="24"/>
  <c r="P116" i="24"/>
  <c r="O116" i="24"/>
  <c r="N116" i="24"/>
  <c r="M116" i="24"/>
  <c r="L116" i="24"/>
  <c r="K116" i="24"/>
  <c r="J116" i="24"/>
  <c r="I116" i="24"/>
  <c r="H116" i="24"/>
  <c r="BX115" i="24"/>
  <c r="BW115" i="24"/>
  <c r="BV115" i="24"/>
  <c r="BU115" i="24"/>
  <c r="BT115" i="24"/>
  <c r="BS115" i="24"/>
  <c r="BR115" i="24"/>
  <c r="BQ115" i="24"/>
  <c r="BP115" i="24"/>
  <c r="BO115" i="24"/>
  <c r="BN115" i="24"/>
  <c r="BM115" i="24"/>
  <c r="BL115" i="24"/>
  <c r="BK115" i="24"/>
  <c r="BJ115" i="24"/>
  <c r="BI115" i="24"/>
  <c r="BH115" i="24"/>
  <c r="BG115" i="24"/>
  <c r="BF115" i="24"/>
  <c r="BE115" i="24"/>
  <c r="BD115" i="24"/>
  <c r="BC115" i="24"/>
  <c r="BB115" i="24"/>
  <c r="BA115" i="24"/>
  <c r="AZ115" i="24"/>
  <c r="AY115" i="24"/>
  <c r="AX115" i="24"/>
  <c r="AW115" i="24"/>
  <c r="AV115" i="24"/>
  <c r="AU115" i="24"/>
  <c r="AT115" i="24"/>
  <c r="AS115" i="24"/>
  <c r="AR115" i="24"/>
  <c r="AQ115" i="24"/>
  <c r="AP115" i="24"/>
  <c r="AO115" i="24"/>
  <c r="AN115" i="24"/>
  <c r="AM115" i="24"/>
  <c r="AL115" i="24"/>
  <c r="AK115" i="24"/>
  <c r="AJ115" i="24"/>
  <c r="AI115" i="24"/>
  <c r="AH115" i="24"/>
  <c r="AG115" i="24"/>
  <c r="AF115" i="24"/>
  <c r="AE115" i="24"/>
  <c r="AD115" i="24"/>
  <c r="AC115" i="24"/>
  <c r="AB115" i="24"/>
  <c r="AA115" i="24"/>
  <c r="Z115" i="24"/>
  <c r="Y115" i="24"/>
  <c r="X115" i="24"/>
  <c r="W115" i="24"/>
  <c r="V115" i="24"/>
  <c r="U115" i="24"/>
  <c r="T115" i="24"/>
  <c r="S115" i="24"/>
  <c r="R115" i="24"/>
  <c r="Q115" i="24"/>
  <c r="P115" i="24"/>
  <c r="O115" i="24"/>
  <c r="N115" i="24"/>
  <c r="M115" i="24"/>
  <c r="L115" i="24"/>
  <c r="K115" i="24"/>
  <c r="J115" i="24"/>
  <c r="I115" i="24"/>
  <c r="H115" i="24"/>
  <c r="CH113" i="24"/>
  <c r="CG113" i="24"/>
  <c r="CF113" i="24"/>
  <c r="CE113" i="24"/>
  <c r="CD113" i="24"/>
  <c r="CC113" i="24"/>
  <c r="CB113" i="24"/>
  <c r="CA113" i="24"/>
  <c r="BZ113" i="24"/>
  <c r="BY113" i="24"/>
  <c r="BX113" i="24"/>
  <c r="BW113" i="24"/>
  <c r="BV113" i="24"/>
  <c r="BU113" i="24"/>
  <c r="BT113" i="24"/>
  <c r="BS113" i="24"/>
  <c r="BR113" i="24"/>
  <c r="BQ113" i="24"/>
  <c r="BP113" i="24"/>
  <c r="BO113" i="24"/>
  <c r="BN113" i="24"/>
  <c r="BM113" i="24"/>
  <c r="BL113" i="24"/>
  <c r="BK113" i="24"/>
  <c r="BJ113" i="24"/>
  <c r="BI113" i="24"/>
  <c r="BH113" i="24"/>
  <c r="BG113" i="24"/>
  <c r="BF113" i="24"/>
  <c r="BE113" i="24"/>
  <c r="BD113" i="24"/>
  <c r="BC113" i="24"/>
  <c r="BB113" i="24"/>
  <c r="BA113" i="24"/>
  <c r="AZ113" i="24"/>
  <c r="AY113" i="24"/>
  <c r="AX113" i="24"/>
  <c r="AW113" i="24"/>
  <c r="AV113" i="24"/>
  <c r="AU113" i="24"/>
  <c r="AT113" i="24"/>
  <c r="AS113" i="24"/>
  <c r="AR113" i="24"/>
  <c r="AQ113" i="24"/>
  <c r="AP113" i="24"/>
  <c r="AO113" i="24"/>
  <c r="AN113" i="24"/>
  <c r="AM113" i="24"/>
  <c r="AL113" i="24"/>
  <c r="AK113" i="24"/>
  <c r="AJ113" i="24"/>
  <c r="AI113" i="24"/>
  <c r="AH113" i="24"/>
  <c r="AG113" i="24"/>
  <c r="AF113" i="24"/>
  <c r="AE113" i="24"/>
  <c r="AD113" i="24"/>
  <c r="AC113" i="24"/>
  <c r="AB113" i="24"/>
  <c r="AA113" i="24"/>
  <c r="Z113" i="24"/>
  <c r="Y113" i="24"/>
  <c r="X113" i="24"/>
  <c r="W113" i="24"/>
  <c r="V113" i="24"/>
  <c r="U113" i="24"/>
  <c r="T113" i="24"/>
  <c r="S113" i="24"/>
  <c r="R113" i="24"/>
  <c r="Q113" i="24"/>
  <c r="P113" i="24"/>
  <c r="O113" i="24"/>
  <c r="N113" i="24"/>
  <c r="M113" i="24"/>
  <c r="L113" i="24"/>
  <c r="K113" i="24"/>
  <c r="J113" i="24"/>
  <c r="I113" i="24"/>
  <c r="H113" i="24"/>
  <c r="BE109" i="24"/>
  <c r="BD109" i="24"/>
  <c r="BC109" i="24"/>
  <c r="BB109" i="24"/>
  <c r="BA109" i="24"/>
  <c r="AZ109" i="24"/>
  <c r="AY109" i="24"/>
  <c r="AX109" i="24"/>
  <c r="AW109" i="24"/>
  <c r="AV109" i="24"/>
  <c r="AU109" i="24"/>
  <c r="AT109" i="24"/>
  <c r="AS109" i="24"/>
  <c r="AR109" i="24"/>
  <c r="AQ109" i="24"/>
  <c r="AP109" i="24"/>
  <c r="AO109" i="24"/>
  <c r="AN109" i="24"/>
  <c r="AM109" i="24"/>
  <c r="AL109" i="24"/>
  <c r="AK109" i="24"/>
  <c r="AJ109" i="24"/>
  <c r="AI109" i="24"/>
  <c r="AH109" i="24"/>
  <c r="AG109" i="24"/>
  <c r="AF109" i="24"/>
  <c r="AE109" i="24"/>
  <c r="AD109" i="24"/>
  <c r="AC109" i="24"/>
  <c r="AB109" i="24"/>
  <c r="AA109" i="24"/>
  <c r="Z109" i="24"/>
  <c r="Y109" i="24"/>
  <c r="X109" i="24"/>
  <c r="W109" i="24"/>
  <c r="V109" i="24"/>
  <c r="U109" i="24"/>
  <c r="T109" i="24"/>
  <c r="S109" i="24"/>
  <c r="R109" i="24"/>
  <c r="Q109" i="24"/>
  <c r="P109" i="24"/>
  <c r="O109" i="24"/>
  <c r="N109" i="24"/>
  <c r="M109" i="24"/>
  <c r="L109" i="24"/>
  <c r="K109" i="24"/>
  <c r="J109" i="24"/>
  <c r="I109" i="24"/>
  <c r="H109" i="24"/>
  <c r="BX108" i="24"/>
  <c r="BW108" i="24"/>
  <c r="BV108" i="24"/>
  <c r="BU108" i="24"/>
  <c r="BT108" i="24"/>
  <c r="BS108" i="24"/>
  <c r="BR108" i="24"/>
  <c r="BQ108" i="24"/>
  <c r="BP108" i="24"/>
  <c r="BO108" i="24"/>
  <c r="BN108" i="24"/>
  <c r="BM108" i="24"/>
  <c r="BL108" i="24"/>
  <c r="BK108" i="24"/>
  <c r="BJ108" i="24"/>
  <c r="BI108" i="24"/>
  <c r="BH108" i="24"/>
  <c r="BG108" i="24"/>
  <c r="BF108" i="24"/>
  <c r="BE108" i="24"/>
  <c r="BD108" i="24"/>
  <c r="BC108" i="24"/>
  <c r="BB108" i="24"/>
  <c r="BA108" i="24"/>
  <c r="AZ108" i="24"/>
  <c r="AY108" i="24"/>
  <c r="AX108" i="24"/>
  <c r="AW108" i="24"/>
  <c r="AV108" i="24"/>
  <c r="AU108" i="24"/>
  <c r="AT108" i="24"/>
  <c r="AS108" i="24"/>
  <c r="AR108" i="24"/>
  <c r="AQ108" i="24"/>
  <c r="AP108" i="24"/>
  <c r="AO108" i="24"/>
  <c r="AN108" i="24"/>
  <c r="AM108" i="24"/>
  <c r="AL108" i="24"/>
  <c r="AK108" i="24"/>
  <c r="AJ108" i="24"/>
  <c r="AI108" i="24"/>
  <c r="AH108" i="24"/>
  <c r="AG108" i="24"/>
  <c r="AF108" i="24"/>
  <c r="AE108" i="24"/>
  <c r="AD108" i="24"/>
  <c r="AC108" i="24"/>
  <c r="AB108" i="24"/>
  <c r="AA108" i="24"/>
  <c r="Z108" i="24"/>
  <c r="Y108" i="24"/>
  <c r="X108" i="24"/>
  <c r="W108" i="24"/>
  <c r="V108" i="24"/>
  <c r="U108" i="24"/>
  <c r="T108" i="24"/>
  <c r="S108" i="24"/>
  <c r="R108" i="24"/>
  <c r="Q108" i="24"/>
  <c r="P108" i="24"/>
  <c r="O108" i="24"/>
  <c r="N108" i="24"/>
  <c r="M108" i="24"/>
  <c r="L108" i="24"/>
  <c r="K108" i="24"/>
  <c r="J108" i="24"/>
  <c r="I108" i="24"/>
  <c r="H108" i="24"/>
  <c r="BZ106" i="24"/>
  <c r="BY106" i="24"/>
  <c r="BX106" i="24"/>
  <c r="BW106" i="24"/>
  <c r="BV106" i="24"/>
  <c r="BU106" i="24"/>
  <c r="BT106" i="24"/>
  <c r="BS106" i="24"/>
  <c r="BR106" i="24"/>
  <c r="BQ106" i="24"/>
  <c r="BP106" i="24"/>
  <c r="BO106" i="24"/>
  <c r="BN106" i="24"/>
  <c r="BM106" i="24"/>
  <c r="BL106" i="24"/>
  <c r="BK106" i="24"/>
  <c r="BJ106" i="24"/>
  <c r="BI106" i="24"/>
  <c r="BH106" i="24"/>
  <c r="BG106" i="24"/>
  <c r="BF106" i="24"/>
  <c r="BE106" i="24"/>
  <c r="BD106" i="24"/>
  <c r="BC106" i="24"/>
  <c r="BB106" i="24"/>
  <c r="BA106" i="24"/>
  <c r="AZ106" i="24"/>
  <c r="AY106" i="24"/>
  <c r="AX106" i="24"/>
  <c r="AW106" i="24"/>
  <c r="AV106" i="24"/>
  <c r="AU106" i="24"/>
  <c r="AT106" i="24"/>
  <c r="AS106" i="24"/>
  <c r="AR106" i="24"/>
  <c r="AQ106" i="24"/>
  <c r="AP106" i="24"/>
  <c r="AO106" i="24"/>
  <c r="AN106" i="24"/>
  <c r="AM106" i="24"/>
  <c r="AL106" i="24"/>
  <c r="AK106" i="24"/>
  <c r="AJ106" i="24"/>
  <c r="AI106" i="24"/>
  <c r="AH106" i="24"/>
  <c r="AG106" i="24"/>
  <c r="AF106" i="24"/>
  <c r="AE106" i="24"/>
  <c r="AD106" i="24"/>
  <c r="AC106" i="24"/>
  <c r="AB106" i="24"/>
  <c r="AA106" i="24"/>
  <c r="Z106" i="24"/>
  <c r="Y106" i="24"/>
  <c r="X106" i="24"/>
  <c r="W106" i="24"/>
  <c r="V106" i="24"/>
  <c r="U106" i="24"/>
  <c r="T106" i="24"/>
  <c r="S106" i="24"/>
  <c r="R106" i="24"/>
  <c r="Q106" i="24"/>
  <c r="P106" i="24"/>
  <c r="O106" i="24"/>
  <c r="N106" i="24"/>
  <c r="M106" i="24"/>
  <c r="L106" i="24"/>
  <c r="K106" i="24"/>
  <c r="J106" i="24"/>
  <c r="I106" i="24"/>
  <c r="H106" i="24"/>
  <c r="CB105" i="24"/>
  <c r="CA105" i="24"/>
  <c r="BZ105" i="24"/>
  <c r="BY105" i="24"/>
  <c r="BX105" i="24"/>
  <c r="BW105" i="24"/>
  <c r="BV105" i="24"/>
  <c r="BU105" i="24"/>
  <c r="BT105" i="24"/>
  <c r="BS105" i="24"/>
  <c r="BR105" i="24"/>
  <c r="BQ105" i="24"/>
  <c r="BP105" i="24"/>
  <c r="BO105" i="24"/>
  <c r="BN105" i="24"/>
  <c r="BM105" i="24"/>
  <c r="BL105" i="24"/>
  <c r="BK105" i="24"/>
  <c r="BJ105" i="24"/>
  <c r="BI105" i="24"/>
  <c r="BH105" i="24"/>
  <c r="BG105" i="24"/>
  <c r="BF105" i="24"/>
  <c r="BE105" i="24"/>
  <c r="BD105" i="24"/>
  <c r="BC105" i="24"/>
  <c r="BB105" i="24"/>
  <c r="BA105" i="24"/>
  <c r="AZ105" i="24"/>
  <c r="AY105" i="24"/>
  <c r="AX105" i="24"/>
  <c r="AW105" i="24"/>
  <c r="AV105" i="24"/>
  <c r="AU105" i="24"/>
  <c r="AT105" i="24"/>
  <c r="AS105" i="24"/>
  <c r="AR105" i="24"/>
  <c r="AQ105" i="24"/>
  <c r="AP105" i="24"/>
  <c r="AO105" i="24"/>
  <c r="AN105" i="24"/>
  <c r="AM105" i="24"/>
  <c r="AL105" i="24"/>
  <c r="AK105" i="24"/>
  <c r="AJ105" i="24"/>
  <c r="AI105" i="24"/>
  <c r="AH105" i="24"/>
  <c r="AG105" i="24"/>
  <c r="AF105" i="24"/>
  <c r="AE105" i="24"/>
  <c r="AD105" i="24"/>
  <c r="AC105" i="24"/>
  <c r="AB105" i="24"/>
  <c r="AA105" i="24"/>
  <c r="Z105" i="24"/>
  <c r="Y105" i="24"/>
  <c r="X105" i="24"/>
  <c r="W105" i="24"/>
  <c r="V105" i="24"/>
  <c r="U105" i="24"/>
  <c r="T105" i="24"/>
  <c r="S105" i="24"/>
  <c r="R105" i="24"/>
  <c r="Q105" i="24"/>
  <c r="P105" i="24"/>
  <c r="O105" i="24"/>
  <c r="N105" i="24"/>
  <c r="M105" i="24"/>
  <c r="L105" i="24"/>
  <c r="K105" i="24"/>
  <c r="J105" i="24"/>
  <c r="I105" i="24"/>
  <c r="H105" i="24"/>
  <c r="CG103" i="24"/>
  <c r="CF103" i="24"/>
  <c r="CE103" i="24"/>
  <c r="CD103" i="24"/>
  <c r="CC103" i="24"/>
  <c r="CB103" i="24"/>
  <c r="CA103" i="24"/>
  <c r="BZ103" i="24"/>
  <c r="BY103" i="24"/>
  <c r="BX103" i="24"/>
  <c r="BW103" i="24"/>
  <c r="BV103" i="24"/>
  <c r="BU103" i="24"/>
  <c r="BT103" i="24"/>
  <c r="BS103" i="24"/>
  <c r="BR103" i="24"/>
  <c r="BQ103" i="24"/>
  <c r="BP103" i="24"/>
  <c r="BO103" i="24"/>
  <c r="BN103" i="24"/>
  <c r="BM103" i="24"/>
  <c r="BL103" i="24"/>
  <c r="BK103" i="24"/>
  <c r="BJ103" i="24"/>
  <c r="BI103" i="24"/>
  <c r="BH103" i="24"/>
  <c r="BG103" i="24"/>
  <c r="BF103" i="24"/>
  <c r="BE103" i="24"/>
  <c r="BD103" i="24"/>
  <c r="BC103" i="24"/>
  <c r="BB103" i="24"/>
  <c r="BA103" i="24"/>
  <c r="AZ103" i="24"/>
  <c r="AY103" i="24"/>
  <c r="AX103" i="24"/>
  <c r="AW103" i="24"/>
  <c r="AV103" i="24"/>
  <c r="AU103" i="24"/>
  <c r="AT103" i="24"/>
  <c r="AS103" i="24"/>
  <c r="AR103" i="24"/>
  <c r="AQ103" i="24"/>
  <c r="AP103" i="24"/>
  <c r="AO103" i="24"/>
  <c r="AN103" i="24"/>
  <c r="AM103" i="24"/>
  <c r="AL103" i="24"/>
  <c r="AK103" i="24"/>
  <c r="AJ103" i="24"/>
  <c r="AI103" i="24"/>
  <c r="AH103" i="24"/>
  <c r="AG103" i="24"/>
  <c r="AF103" i="24"/>
  <c r="AE103" i="24"/>
  <c r="AD103" i="24"/>
  <c r="AC103" i="24"/>
  <c r="AB103" i="24"/>
  <c r="AA103" i="24"/>
  <c r="Z103" i="24"/>
  <c r="Y103" i="24"/>
  <c r="X103" i="24"/>
  <c r="W103" i="24"/>
  <c r="V103" i="24"/>
  <c r="U103" i="24"/>
  <c r="T103" i="24"/>
  <c r="S103" i="24"/>
  <c r="R103" i="24"/>
  <c r="Q103" i="24"/>
  <c r="P103" i="24"/>
  <c r="O103" i="24"/>
  <c r="N103" i="24"/>
  <c r="M103" i="24"/>
  <c r="L103" i="24"/>
  <c r="K103" i="24"/>
  <c r="J103" i="24"/>
  <c r="I103" i="24"/>
  <c r="H103" i="24"/>
  <c r="CF102" i="24"/>
  <c r="CE102" i="24"/>
  <c r="CD102" i="24"/>
  <c r="CC102" i="24"/>
  <c r="CB102" i="24"/>
  <c r="CA102" i="24"/>
  <c r="BZ102" i="24"/>
  <c r="BY102" i="24"/>
  <c r="BX102" i="24"/>
  <c r="BW102" i="24"/>
  <c r="BV102" i="24"/>
  <c r="BU102" i="24"/>
  <c r="BT102" i="24"/>
  <c r="BS102" i="24"/>
  <c r="BR102" i="24"/>
  <c r="BQ102" i="24"/>
  <c r="BP102" i="24"/>
  <c r="BO102" i="24"/>
  <c r="BN102" i="24"/>
  <c r="BM102" i="24"/>
  <c r="BL102" i="24"/>
  <c r="BK102" i="24"/>
  <c r="BJ102" i="24"/>
  <c r="BI102" i="24"/>
  <c r="BH102" i="24"/>
  <c r="BG102" i="24"/>
  <c r="BF102" i="24"/>
  <c r="BE102" i="24"/>
  <c r="BD102" i="24"/>
  <c r="BC102" i="24"/>
  <c r="BB102" i="24"/>
  <c r="BA102" i="24"/>
  <c r="AZ102" i="24"/>
  <c r="AY102" i="24"/>
  <c r="AX102" i="24"/>
  <c r="AW102" i="24"/>
  <c r="AV102" i="24"/>
  <c r="AU102" i="24"/>
  <c r="AT102" i="24"/>
  <c r="AS102" i="24"/>
  <c r="AR102" i="24"/>
  <c r="AQ102" i="24"/>
  <c r="AP102" i="24"/>
  <c r="AO102" i="24"/>
  <c r="AN102" i="24"/>
  <c r="AM102" i="24"/>
  <c r="AL102" i="24"/>
  <c r="AK102" i="24"/>
  <c r="AJ102" i="24"/>
  <c r="AI102" i="24"/>
  <c r="AH102" i="24"/>
  <c r="AG102" i="24"/>
  <c r="AF102" i="24"/>
  <c r="AE102" i="24"/>
  <c r="AD102" i="24"/>
  <c r="AC102" i="24"/>
  <c r="AB102" i="24"/>
  <c r="AA102" i="24"/>
  <c r="Z102" i="24"/>
  <c r="Y102" i="24"/>
  <c r="X102" i="24"/>
  <c r="W102" i="24"/>
  <c r="V102" i="24"/>
  <c r="U102" i="24"/>
  <c r="T102" i="24"/>
  <c r="S102" i="24"/>
  <c r="R102" i="24"/>
  <c r="Q102" i="24"/>
  <c r="P102" i="24"/>
  <c r="O102" i="24"/>
  <c r="N102" i="24"/>
  <c r="M102" i="24"/>
  <c r="L102" i="24"/>
  <c r="K102" i="24"/>
  <c r="J102" i="24"/>
  <c r="I102" i="24"/>
  <c r="H102" i="24"/>
  <c r="I100" i="24"/>
  <c r="H100" i="24"/>
  <c r="I99" i="24"/>
  <c r="H99" i="24"/>
  <c r="BL97" i="24"/>
  <c r="BK97" i="24"/>
  <c r="BJ97" i="24"/>
  <c r="BI97" i="24"/>
  <c r="BH97" i="24"/>
  <c r="BG97" i="24"/>
  <c r="BF97" i="24"/>
  <c r="BE97" i="24"/>
  <c r="BD97" i="24"/>
  <c r="BC97" i="24"/>
  <c r="BB97" i="24"/>
  <c r="BA97" i="24"/>
  <c r="AZ97" i="24"/>
  <c r="AY97" i="24"/>
  <c r="AX97" i="24"/>
  <c r="AW97" i="24"/>
  <c r="AV97" i="24"/>
  <c r="AU97" i="24"/>
  <c r="AT97" i="24"/>
  <c r="AS97" i="24"/>
  <c r="AR97" i="24"/>
  <c r="AQ97" i="24"/>
  <c r="AP97" i="24"/>
  <c r="AO97" i="24"/>
  <c r="AN97" i="24"/>
  <c r="AM97" i="24"/>
  <c r="AL97" i="24"/>
  <c r="AK97" i="24"/>
  <c r="AJ97" i="24"/>
  <c r="AI97" i="24"/>
  <c r="AH97" i="24"/>
  <c r="AG97" i="24"/>
  <c r="AF97" i="24"/>
  <c r="AE97" i="24"/>
  <c r="AD97" i="24"/>
  <c r="AC97" i="24"/>
  <c r="AB97" i="24"/>
  <c r="AA97" i="24"/>
  <c r="Z97" i="24"/>
  <c r="Y97" i="24"/>
  <c r="X97" i="24"/>
  <c r="W97" i="24"/>
  <c r="V97" i="24"/>
  <c r="U97" i="24"/>
  <c r="T97" i="24"/>
  <c r="S97" i="24"/>
  <c r="R97" i="24"/>
  <c r="Q97" i="24"/>
  <c r="P97" i="24"/>
  <c r="O97" i="24"/>
  <c r="N97" i="24"/>
  <c r="M97" i="24"/>
  <c r="L97" i="24"/>
  <c r="K97" i="24"/>
  <c r="J97" i="24"/>
  <c r="I97" i="24"/>
  <c r="H97" i="24"/>
  <c r="CB96" i="24"/>
  <c r="CA96" i="24"/>
  <c r="BZ96" i="24"/>
  <c r="BY96" i="24"/>
  <c r="BX96" i="24"/>
  <c r="BW96" i="24"/>
  <c r="BV96" i="24"/>
  <c r="BU96" i="24"/>
  <c r="BT96" i="24"/>
  <c r="BS96" i="24"/>
  <c r="BR96" i="24"/>
  <c r="BQ96" i="24"/>
  <c r="BP96" i="24"/>
  <c r="BO96" i="24"/>
  <c r="BN96" i="24"/>
  <c r="BM96" i="24"/>
  <c r="BL96" i="24"/>
  <c r="BK96" i="24"/>
  <c r="BJ96" i="24"/>
  <c r="BI96" i="24"/>
  <c r="BH96" i="24"/>
  <c r="BG96" i="24"/>
  <c r="BF96" i="24"/>
  <c r="BE96" i="24"/>
  <c r="BD96" i="24"/>
  <c r="BC96" i="24"/>
  <c r="BB96" i="24"/>
  <c r="BA96" i="24"/>
  <c r="AZ96" i="24"/>
  <c r="AY96" i="24"/>
  <c r="AX96" i="24"/>
  <c r="AW96" i="24"/>
  <c r="AV96" i="24"/>
  <c r="AU96" i="24"/>
  <c r="AT96" i="24"/>
  <c r="AS96" i="24"/>
  <c r="AR96" i="24"/>
  <c r="AQ96" i="24"/>
  <c r="AP96" i="24"/>
  <c r="AO96" i="24"/>
  <c r="AN96" i="24"/>
  <c r="AM96" i="24"/>
  <c r="AL96" i="24"/>
  <c r="AK96" i="24"/>
  <c r="AJ96" i="24"/>
  <c r="AI96" i="24"/>
  <c r="AH96" i="24"/>
  <c r="AG96" i="24"/>
  <c r="AF96" i="24"/>
  <c r="AE96" i="24"/>
  <c r="AD96" i="24"/>
  <c r="AC96" i="24"/>
  <c r="AB96" i="24"/>
  <c r="AA96" i="24"/>
  <c r="Z96" i="24"/>
  <c r="Y96" i="24"/>
  <c r="X96" i="24"/>
  <c r="W96" i="24"/>
  <c r="V96" i="24"/>
  <c r="U96" i="24"/>
  <c r="T96" i="24"/>
  <c r="S96" i="24"/>
  <c r="R96" i="24"/>
  <c r="Q96" i="24"/>
  <c r="P96" i="24"/>
  <c r="O96" i="24"/>
  <c r="N96" i="24"/>
  <c r="M96" i="24"/>
  <c r="L96" i="24"/>
  <c r="K96" i="24"/>
  <c r="J96" i="24"/>
  <c r="I96" i="24"/>
  <c r="H96" i="24"/>
  <c r="BY94" i="24"/>
  <c r="BX94" i="24"/>
  <c r="BW94" i="24"/>
  <c r="BV94" i="24"/>
  <c r="BU94" i="24"/>
  <c r="BT94" i="24"/>
  <c r="BS94" i="24"/>
  <c r="BR94" i="24"/>
  <c r="BQ94" i="24"/>
  <c r="BP94" i="24"/>
  <c r="BO94" i="24"/>
  <c r="BN94" i="24"/>
  <c r="BM94" i="24"/>
  <c r="BL94" i="24"/>
  <c r="BK94" i="24"/>
  <c r="BJ94" i="24"/>
  <c r="BI94" i="24"/>
  <c r="BH94" i="24"/>
  <c r="BG94" i="24"/>
  <c r="BF94" i="24"/>
  <c r="BE94" i="24"/>
  <c r="BD94" i="24"/>
  <c r="BC94" i="24"/>
  <c r="BB94" i="24"/>
  <c r="BA94" i="24"/>
  <c r="AZ94" i="24"/>
  <c r="AY94" i="24"/>
  <c r="AX94" i="24"/>
  <c r="AW94" i="24"/>
  <c r="AV94" i="24"/>
  <c r="AU94" i="24"/>
  <c r="AT94" i="24"/>
  <c r="AS94" i="24"/>
  <c r="AR94" i="24"/>
  <c r="AQ94" i="24"/>
  <c r="AP94" i="24"/>
  <c r="AO94" i="24"/>
  <c r="AN94" i="24"/>
  <c r="AM94" i="24"/>
  <c r="AL94" i="24"/>
  <c r="AK94" i="24"/>
  <c r="AJ94" i="24"/>
  <c r="AI94" i="24"/>
  <c r="AH94" i="24"/>
  <c r="AG94" i="24"/>
  <c r="AF94" i="24"/>
  <c r="AE94" i="24"/>
  <c r="AD94" i="24"/>
  <c r="AC94" i="24"/>
  <c r="AB94" i="24"/>
  <c r="AA94" i="24"/>
  <c r="Z94" i="24"/>
  <c r="Y94" i="24"/>
  <c r="X94" i="24"/>
  <c r="W94" i="24"/>
  <c r="V94" i="24"/>
  <c r="U94" i="24"/>
  <c r="T94" i="24"/>
  <c r="S94" i="24"/>
  <c r="R94" i="24"/>
  <c r="Q94" i="24"/>
  <c r="P94" i="24"/>
  <c r="O94" i="24"/>
  <c r="N94" i="24"/>
  <c r="M94" i="24"/>
  <c r="L94" i="24"/>
  <c r="K94" i="24"/>
  <c r="J94" i="24"/>
  <c r="I94" i="24"/>
  <c r="H94" i="24"/>
  <c r="BE93" i="24"/>
  <c r="BD93" i="24"/>
  <c r="BC93" i="24"/>
  <c r="BB93" i="24"/>
  <c r="BA93" i="24"/>
  <c r="AZ93" i="24"/>
  <c r="AY93" i="24"/>
  <c r="AX93" i="24"/>
  <c r="AW93" i="24"/>
  <c r="AV93" i="24"/>
  <c r="AU93" i="24"/>
  <c r="AT93" i="24"/>
  <c r="AS93" i="24"/>
  <c r="AR93" i="24"/>
  <c r="AQ93" i="24"/>
  <c r="AP93" i="24"/>
  <c r="AO93" i="24"/>
  <c r="AN93" i="24"/>
  <c r="AM93" i="24"/>
  <c r="AL93" i="24"/>
  <c r="AK93" i="24"/>
  <c r="AJ93" i="24"/>
  <c r="AI93" i="24"/>
  <c r="AH93" i="24"/>
  <c r="AG93" i="24"/>
  <c r="AF93" i="24"/>
  <c r="AE93" i="24"/>
  <c r="AD93" i="24"/>
  <c r="AC93" i="24"/>
  <c r="AB93" i="24"/>
  <c r="AA93" i="24"/>
  <c r="Z93" i="24"/>
  <c r="Y93" i="24"/>
  <c r="X93" i="24"/>
  <c r="W93" i="24"/>
  <c r="V93" i="24"/>
  <c r="U93" i="24"/>
  <c r="T93" i="24"/>
  <c r="S93" i="24"/>
  <c r="R93" i="24"/>
  <c r="Q93" i="24"/>
  <c r="P93" i="24"/>
  <c r="O93" i="24"/>
  <c r="N93" i="24"/>
  <c r="M93" i="24"/>
  <c r="L93" i="24"/>
  <c r="K93" i="24"/>
  <c r="J93" i="24"/>
  <c r="I93" i="24"/>
  <c r="H93" i="24"/>
  <c r="CB92" i="24"/>
  <c r="CA92" i="24"/>
  <c r="BZ92" i="24"/>
  <c r="BY92" i="24"/>
  <c r="BX92" i="24"/>
  <c r="BW92" i="24"/>
  <c r="BV92" i="24"/>
  <c r="BU92" i="24"/>
  <c r="BT92" i="24"/>
  <c r="BS92" i="24"/>
  <c r="BR92" i="24"/>
  <c r="BQ92" i="24"/>
  <c r="BP92" i="24"/>
  <c r="BO92" i="24"/>
  <c r="BN92" i="24"/>
  <c r="BM92" i="24"/>
  <c r="BL92" i="24"/>
  <c r="BK92" i="24"/>
  <c r="BJ92" i="24"/>
  <c r="BI92" i="24"/>
  <c r="BH92" i="24"/>
  <c r="BG92" i="24"/>
  <c r="BF92" i="24"/>
  <c r="BE92" i="24"/>
  <c r="BD92" i="24"/>
  <c r="BC92" i="24"/>
  <c r="BB92" i="24"/>
  <c r="BA92" i="24"/>
  <c r="AZ92" i="24"/>
  <c r="AY92" i="24"/>
  <c r="AX92" i="24"/>
  <c r="AW92" i="24"/>
  <c r="AV92" i="24"/>
  <c r="AU92" i="24"/>
  <c r="AT92" i="24"/>
  <c r="AS92" i="24"/>
  <c r="AR92" i="24"/>
  <c r="AQ92" i="24"/>
  <c r="AP92" i="24"/>
  <c r="AO92" i="24"/>
  <c r="AN92" i="24"/>
  <c r="AM92" i="24"/>
  <c r="AL92" i="24"/>
  <c r="AK92" i="24"/>
  <c r="AJ92" i="24"/>
  <c r="AI92" i="24"/>
  <c r="AH92" i="24"/>
  <c r="AG92" i="24"/>
  <c r="AF92" i="24"/>
  <c r="AE92" i="24"/>
  <c r="AD92" i="24"/>
  <c r="AC92" i="24"/>
  <c r="AB92" i="24"/>
  <c r="AA92" i="24"/>
  <c r="Z92" i="24"/>
  <c r="Y92" i="24"/>
  <c r="X92" i="24"/>
  <c r="W92" i="24"/>
  <c r="V92" i="24"/>
  <c r="U92" i="24"/>
  <c r="T92" i="24"/>
  <c r="S92" i="24"/>
  <c r="R92" i="24"/>
  <c r="Q92" i="24"/>
  <c r="P92" i="24"/>
  <c r="O92" i="24"/>
  <c r="N92" i="24"/>
  <c r="M92" i="24"/>
  <c r="L92" i="24"/>
  <c r="K92" i="24"/>
  <c r="J92" i="24"/>
  <c r="I92" i="24"/>
  <c r="H92" i="24"/>
  <c r="CB91" i="24"/>
  <c r="CA91" i="24"/>
  <c r="BZ91" i="24"/>
  <c r="BY91" i="24"/>
  <c r="BX91" i="24"/>
  <c r="BW91" i="24"/>
  <c r="BV91" i="24"/>
  <c r="BU91" i="24"/>
  <c r="BT91" i="24"/>
  <c r="BS91" i="24"/>
  <c r="BR91" i="24"/>
  <c r="BQ91" i="24"/>
  <c r="BP91" i="24"/>
  <c r="BO91" i="24"/>
  <c r="BN91" i="24"/>
  <c r="BM91" i="24"/>
  <c r="BL91" i="24"/>
  <c r="BK91" i="24"/>
  <c r="BJ91" i="24"/>
  <c r="BI91" i="24"/>
  <c r="BH91" i="24"/>
  <c r="BG91" i="24"/>
  <c r="BF91" i="24"/>
  <c r="BE91" i="24"/>
  <c r="BD91" i="24"/>
  <c r="BC91" i="24"/>
  <c r="BB91" i="24"/>
  <c r="BA91" i="24"/>
  <c r="AZ91" i="24"/>
  <c r="AY91" i="24"/>
  <c r="AX91" i="24"/>
  <c r="AW91" i="24"/>
  <c r="AV91" i="24"/>
  <c r="AU91" i="24"/>
  <c r="AT91" i="24"/>
  <c r="AS91" i="24"/>
  <c r="AR91" i="24"/>
  <c r="AQ91" i="24"/>
  <c r="AP91" i="24"/>
  <c r="AO91" i="24"/>
  <c r="AN91" i="24"/>
  <c r="AM91" i="24"/>
  <c r="AL91" i="24"/>
  <c r="AK91" i="24"/>
  <c r="AJ91" i="24"/>
  <c r="AI91" i="24"/>
  <c r="AH91" i="24"/>
  <c r="AG91" i="24"/>
  <c r="AF91" i="24"/>
  <c r="AE91" i="24"/>
  <c r="AD91" i="24"/>
  <c r="AC91" i="24"/>
  <c r="AB91" i="24"/>
  <c r="AA91" i="24"/>
  <c r="Z91" i="24"/>
  <c r="Y91" i="24"/>
  <c r="X91" i="24"/>
  <c r="W91" i="24"/>
  <c r="V91" i="24"/>
  <c r="U91" i="24"/>
  <c r="T91" i="24"/>
  <c r="S91" i="24"/>
  <c r="R91" i="24"/>
  <c r="Q91" i="24"/>
  <c r="P91" i="24"/>
  <c r="O91" i="24"/>
  <c r="N91" i="24"/>
  <c r="M91" i="24"/>
  <c r="K91" i="24"/>
  <c r="J91" i="24"/>
  <c r="I91" i="24"/>
  <c r="H91" i="24"/>
  <c r="BB90" i="24"/>
  <c r="BA90" i="24"/>
  <c r="AZ90" i="24"/>
  <c r="AY90" i="24"/>
  <c r="AX90" i="24"/>
  <c r="AW90" i="24"/>
  <c r="AV90" i="24"/>
  <c r="AU90" i="24"/>
  <c r="AT90" i="24"/>
  <c r="AS90" i="24"/>
  <c r="AR90" i="24"/>
  <c r="AQ90" i="24"/>
  <c r="AP90" i="24"/>
  <c r="AO90" i="24"/>
  <c r="AN90" i="24"/>
  <c r="AM90" i="24"/>
  <c r="AL90" i="24"/>
  <c r="AK90" i="24"/>
  <c r="AJ90" i="24"/>
  <c r="AI90" i="24"/>
  <c r="AH90" i="24"/>
  <c r="AG90" i="24"/>
  <c r="AF90" i="24"/>
  <c r="AE90" i="24"/>
  <c r="AD90" i="24"/>
  <c r="AC90" i="24"/>
  <c r="AB90" i="24"/>
  <c r="AA90" i="24"/>
  <c r="Z90" i="24"/>
  <c r="Y90" i="24"/>
  <c r="X90" i="24"/>
  <c r="W90" i="24"/>
  <c r="V90" i="24"/>
  <c r="U90" i="24"/>
  <c r="T90" i="24"/>
  <c r="S90" i="24"/>
  <c r="R90" i="24"/>
  <c r="Q90" i="24"/>
  <c r="P90" i="24"/>
  <c r="O90" i="24"/>
  <c r="N90" i="24"/>
  <c r="M90" i="24"/>
  <c r="L90" i="24"/>
  <c r="K90" i="24"/>
  <c r="J90" i="24"/>
  <c r="I90" i="24"/>
  <c r="H90" i="24"/>
  <c r="BC87" i="24"/>
  <c r="BE128" i="24"/>
  <c r="BD128" i="24"/>
  <c r="BC128" i="24"/>
  <c r="BB128" i="24"/>
  <c r="BA128" i="24"/>
  <c r="AZ128" i="24"/>
  <c r="AY128" i="24"/>
  <c r="AX128" i="24"/>
  <c r="AV76" i="24"/>
  <c r="AU76" i="24"/>
  <c r="AT76" i="24"/>
  <c r="AS76" i="24"/>
  <c r="AR76" i="24"/>
  <c r="AQ76" i="24"/>
  <c r="AQ85" i="24" s="1"/>
  <c r="AP76" i="24"/>
  <c r="AP85" i="24" s="1"/>
  <c r="AO76" i="24"/>
  <c r="AN76" i="24"/>
  <c r="AM76" i="24"/>
  <c r="AM85" i="24" s="1"/>
  <c r="AL76" i="24"/>
  <c r="AK76" i="24"/>
  <c r="AJ76" i="24"/>
  <c r="AI76" i="24"/>
  <c r="AH76" i="24"/>
  <c r="AH85" i="24" s="1"/>
  <c r="AG76" i="24"/>
  <c r="AF76" i="24"/>
  <c r="AE76" i="24"/>
  <c r="AE85" i="24" s="1"/>
  <c r="AD76" i="24"/>
  <c r="AC76" i="24"/>
  <c r="AB76" i="24"/>
  <c r="AA76" i="24"/>
  <c r="AA85" i="24" s="1"/>
  <c r="Z76" i="24"/>
  <c r="Z85" i="24" s="1"/>
  <c r="Y76" i="24"/>
  <c r="X76" i="24"/>
  <c r="W76" i="24"/>
  <c r="W85" i="24" s="1"/>
  <c r="V76" i="24"/>
  <c r="U76" i="24"/>
  <c r="T76" i="24"/>
  <c r="S76" i="24"/>
  <c r="R76" i="24"/>
  <c r="R85" i="24" s="1"/>
  <c r="Q76" i="24"/>
  <c r="P76" i="24"/>
  <c r="O76" i="24"/>
  <c r="O85" i="24" s="1"/>
  <c r="N76" i="24"/>
  <c r="M76" i="24"/>
  <c r="L76" i="24"/>
  <c r="K76" i="24"/>
  <c r="J76" i="24"/>
  <c r="J85" i="24" s="1"/>
  <c r="I76" i="24"/>
  <c r="I85" i="24" s="1"/>
  <c r="CB127" i="24"/>
  <c r="CA127" i="24"/>
  <c r="BZ127" i="24"/>
  <c r="BY127" i="24"/>
  <c r="BX127" i="24"/>
  <c r="BW127" i="24"/>
  <c r="BV127" i="24"/>
  <c r="BU127" i="24"/>
  <c r="BT127" i="24"/>
  <c r="BS127" i="24"/>
  <c r="BR127" i="24"/>
  <c r="BQ127" i="24"/>
  <c r="BP127" i="24"/>
  <c r="BO127" i="24"/>
  <c r="BM73" i="24"/>
  <c r="BL73" i="24"/>
  <c r="BK73" i="24"/>
  <c r="BJ73" i="24"/>
  <c r="BI73" i="24"/>
  <c r="BH73" i="24"/>
  <c r="BG73" i="24"/>
  <c r="BF73" i="24"/>
  <c r="BE73" i="24"/>
  <c r="BD73" i="24"/>
  <c r="BC73" i="24"/>
  <c r="BB73" i="24"/>
  <c r="BA73" i="24"/>
  <c r="AZ73" i="24"/>
  <c r="AY73" i="24"/>
  <c r="AX73" i="24"/>
  <c r="AW73" i="24"/>
  <c r="AV73" i="24"/>
  <c r="AU73" i="24"/>
  <c r="AT73" i="24"/>
  <c r="AS73" i="24"/>
  <c r="AR73" i="24"/>
  <c r="AQ73" i="24"/>
  <c r="AP73" i="24"/>
  <c r="AO73" i="24"/>
  <c r="AN73" i="24"/>
  <c r="AM73" i="24"/>
  <c r="AL73" i="24"/>
  <c r="AK73" i="24"/>
  <c r="AJ73" i="24"/>
  <c r="AI73" i="24"/>
  <c r="AH73" i="24"/>
  <c r="AG73" i="24"/>
  <c r="AF73" i="24"/>
  <c r="AE73" i="24"/>
  <c r="AD73" i="24"/>
  <c r="AC73" i="24"/>
  <c r="AB73" i="24"/>
  <c r="AA73" i="24"/>
  <c r="Z73" i="24"/>
  <c r="Y73" i="24"/>
  <c r="X73" i="24"/>
  <c r="W73" i="24"/>
  <c r="V73" i="24"/>
  <c r="U73" i="24"/>
  <c r="T73" i="24"/>
  <c r="S73" i="24"/>
  <c r="R73" i="24"/>
  <c r="Q73" i="24"/>
  <c r="P73" i="24"/>
  <c r="O73" i="24"/>
  <c r="N73" i="24"/>
  <c r="M73" i="24"/>
  <c r="L73" i="24"/>
  <c r="K73" i="24"/>
  <c r="J73" i="24"/>
  <c r="I73" i="24"/>
  <c r="BW126" i="24"/>
  <c r="BV126" i="24"/>
  <c r="BT70" i="24"/>
  <c r="BS70" i="24"/>
  <c r="BR70" i="24"/>
  <c r="BR83" i="24" s="1"/>
  <c r="BQ70" i="24"/>
  <c r="BP70" i="24"/>
  <c r="BO70" i="24"/>
  <c r="BN70" i="24"/>
  <c r="BN83" i="24" s="1"/>
  <c r="BM70" i="24"/>
  <c r="BM83" i="24" s="1"/>
  <c r="BL70" i="24"/>
  <c r="BK70" i="24"/>
  <c r="BJ70" i="24"/>
  <c r="BI70" i="24"/>
  <c r="BH70" i="24"/>
  <c r="BG70" i="24"/>
  <c r="BF70" i="24"/>
  <c r="BF83" i="24" s="1"/>
  <c r="BE70" i="24"/>
  <c r="BE83" i="24" s="1"/>
  <c r="BD70" i="24"/>
  <c r="BC70" i="24"/>
  <c r="BB70" i="24"/>
  <c r="BA70" i="24"/>
  <c r="AZ70" i="24"/>
  <c r="AY70" i="24"/>
  <c r="AX70" i="24"/>
  <c r="AX83" i="24" s="1"/>
  <c r="AW70" i="24"/>
  <c r="AW83" i="24" s="1"/>
  <c r="AV70" i="24"/>
  <c r="AU70" i="24"/>
  <c r="AT70" i="24"/>
  <c r="AS70" i="24"/>
  <c r="AR70" i="24"/>
  <c r="AQ70" i="24"/>
  <c r="AP70" i="24"/>
  <c r="AP83" i="24" s="1"/>
  <c r="AO70" i="24"/>
  <c r="AN70" i="24"/>
  <c r="AM70" i="24"/>
  <c r="AL70" i="24"/>
  <c r="AK70" i="24"/>
  <c r="AJ70" i="24"/>
  <c r="AI70" i="24"/>
  <c r="AH70" i="24"/>
  <c r="AG70" i="24"/>
  <c r="AF70" i="24"/>
  <c r="AE70" i="24"/>
  <c r="AD70" i="24"/>
  <c r="AC70" i="24"/>
  <c r="AB70" i="24"/>
  <c r="AA70" i="24"/>
  <c r="Z70" i="24"/>
  <c r="Z83" i="24" s="1"/>
  <c r="Y70" i="24"/>
  <c r="Y83" i="24" s="1"/>
  <c r="X70" i="24"/>
  <c r="W70" i="24"/>
  <c r="V70" i="24"/>
  <c r="V83" i="24" s="1"/>
  <c r="U70" i="24"/>
  <c r="T70" i="24"/>
  <c r="S70" i="24"/>
  <c r="R70" i="24"/>
  <c r="R83" i="24" s="1"/>
  <c r="Q70" i="24"/>
  <c r="Q83" i="24" s="1"/>
  <c r="P70" i="24"/>
  <c r="O70" i="24"/>
  <c r="N70" i="24"/>
  <c r="M70" i="24"/>
  <c r="L70" i="24"/>
  <c r="K70" i="24"/>
  <c r="J70" i="24"/>
  <c r="J83" i="24" s="1"/>
  <c r="I70" i="24"/>
  <c r="I83" i="24" s="1"/>
  <c r="CM67" i="24"/>
  <c r="BE124" i="24"/>
  <c r="BD124" i="24"/>
  <c r="BC124" i="24"/>
  <c r="BB124" i="24"/>
  <c r="BA124" i="24"/>
  <c r="AZ124" i="24"/>
  <c r="AY124" i="24"/>
  <c r="AX124" i="24"/>
  <c r="AW124" i="24"/>
  <c r="AV124" i="24"/>
  <c r="AU124" i="24"/>
  <c r="AT124" i="24"/>
  <c r="AS124" i="24"/>
  <c r="AR124" i="24"/>
  <c r="AQ124" i="24"/>
  <c r="AP124" i="24"/>
  <c r="AO124" i="24"/>
  <c r="AM66" i="24"/>
  <c r="AM124" i="24"/>
  <c r="AK66" i="24"/>
  <c r="AJ66" i="24"/>
  <c r="AJ81" i="24" s="1"/>
  <c r="AI66" i="24"/>
  <c r="AH66" i="24"/>
  <c r="AG66" i="24"/>
  <c r="AF66" i="24"/>
  <c r="AE66" i="24"/>
  <c r="AE81" i="24" s="1"/>
  <c r="AD66" i="24"/>
  <c r="AC66" i="24"/>
  <c r="AB66" i="24"/>
  <c r="AB81" i="24" s="1"/>
  <c r="AA66" i="24"/>
  <c r="Z66" i="24"/>
  <c r="Y66" i="24"/>
  <c r="X66" i="24"/>
  <c r="W66" i="24"/>
  <c r="W81" i="24" s="1"/>
  <c r="V66" i="24"/>
  <c r="U66" i="24"/>
  <c r="T66" i="24"/>
  <c r="T81" i="24" s="1"/>
  <c r="S66" i="24"/>
  <c r="R66" i="24"/>
  <c r="Q66" i="24"/>
  <c r="P66" i="24"/>
  <c r="O66" i="24"/>
  <c r="O81" i="24" s="1"/>
  <c r="N66" i="24"/>
  <c r="M66" i="24"/>
  <c r="L66" i="24"/>
  <c r="L81" i="24" s="1"/>
  <c r="K66" i="24"/>
  <c r="J66" i="24"/>
  <c r="I66" i="24"/>
  <c r="CM53" i="24"/>
  <c r="CM52" i="24"/>
  <c r="CM50" i="24"/>
  <c r="CM49" i="24"/>
  <c r="CM48" i="24"/>
  <c r="CM46" i="24"/>
  <c r="CM33" i="24"/>
  <c r="CM32" i="24"/>
  <c r="CM30" i="24"/>
  <c r="CM29" i="24"/>
  <c r="CM27" i="24"/>
  <c r="CM26" i="24"/>
  <c r="BZ100" i="24"/>
  <c r="BY100" i="24"/>
  <c r="BX100" i="24"/>
  <c r="BW100" i="24"/>
  <c r="BV100" i="24"/>
  <c r="BU100" i="24"/>
  <c r="BT100" i="24"/>
  <c r="BS100" i="24"/>
  <c r="BR100" i="24"/>
  <c r="BQ100" i="24"/>
  <c r="BP100" i="24"/>
  <c r="BO100" i="24"/>
  <c r="BN100" i="24"/>
  <c r="BM100" i="24"/>
  <c r="BL100" i="24"/>
  <c r="BK100" i="24"/>
  <c r="BJ100" i="24"/>
  <c r="BI100" i="24"/>
  <c r="BH100" i="24"/>
  <c r="BG100" i="24"/>
  <c r="BF100" i="24"/>
  <c r="BE100" i="24"/>
  <c r="BD100" i="24"/>
  <c r="BC100" i="24"/>
  <c r="BB100" i="24"/>
  <c r="BA100" i="24"/>
  <c r="AZ100" i="24"/>
  <c r="AY100" i="24"/>
  <c r="AX100" i="24"/>
  <c r="AW100" i="24"/>
  <c r="AV100" i="24"/>
  <c r="AU100" i="24"/>
  <c r="AT100" i="24"/>
  <c r="AS100" i="24"/>
  <c r="AR100" i="24"/>
  <c r="AQ100" i="24"/>
  <c r="AP100" i="24"/>
  <c r="AO100" i="24"/>
  <c r="AN100" i="24"/>
  <c r="AM100" i="24"/>
  <c r="AL100" i="24"/>
  <c r="AK100" i="24"/>
  <c r="AJ100" i="24"/>
  <c r="AI100" i="24"/>
  <c r="AH100" i="24"/>
  <c r="AG100" i="24"/>
  <c r="AF100" i="24"/>
  <c r="AE100" i="24"/>
  <c r="AD100" i="24"/>
  <c r="AC100" i="24"/>
  <c r="AB100" i="24"/>
  <c r="AA100" i="24"/>
  <c r="Z100" i="24"/>
  <c r="Y100" i="24"/>
  <c r="X100" i="24"/>
  <c r="W100" i="24"/>
  <c r="V100" i="24"/>
  <c r="U100" i="24"/>
  <c r="T100" i="24"/>
  <c r="S100" i="24"/>
  <c r="R100" i="24"/>
  <c r="Q100" i="24"/>
  <c r="P100" i="24"/>
  <c r="O100" i="24"/>
  <c r="N100" i="24"/>
  <c r="M100" i="24"/>
  <c r="L100" i="24"/>
  <c r="K100" i="24"/>
  <c r="AQ16" i="24"/>
  <c r="AR99" i="24" s="1"/>
  <c r="AP16" i="24"/>
  <c r="AQ99" i="24" s="1"/>
  <c r="AO16" i="24"/>
  <c r="AP99" i="24" s="1"/>
  <c r="AN16" i="24"/>
  <c r="AO99" i="24" s="1"/>
  <c r="AM16" i="24"/>
  <c r="AN99" i="24" s="1"/>
  <c r="AL16" i="24"/>
  <c r="AM99" i="24" s="1"/>
  <c r="AK16" i="24"/>
  <c r="AL99" i="24" s="1"/>
  <c r="AJ16" i="24"/>
  <c r="AK99" i="24" s="1"/>
  <c r="AI16" i="24"/>
  <c r="AJ99" i="24" s="1"/>
  <c r="AH16" i="24"/>
  <c r="AI99" i="24" s="1"/>
  <c r="AG16" i="24"/>
  <c r="AH99" i="24" s="1"/>
  <c r="AF16" i="24"/>
  <c r="AG99" i="24" s="1"/>
  <c r="AE16" i="24"/>
  <c r="AF99" i="24" s="1"/>
  <c r="AD16" i="24"/>
  <c r="AE99" i="24" s="1"/>
  <c r="AC16" i="24"/>
  <c r="AD99" i="24" s="1"/>
  <c r="AB16" i="24"/>
  <c r="AC99" i="24" s="1"/>
  <c r="AA16" i="24"/>
  <c r="AB99" i="24" s="1"/>
  <c r="Z16" i="24"/>
  <c r="AA99" i="24" s="1"/>
  <c r="Y16" i="24"/>
  <c r="Z99" i="24" s="1"/>
  <c r="X16" i="24"/>
  <c r="Y99" i="24" s="1"/>
  <c r="W16" i="24"/>
  <c r="X99" i="24" s="1"/>
  <c r="V16" i="24"/>
  <c r="W99" i="24" s="1"/>
  <c r="U16" i="24"/>
  <c r="V99" i="24" s="1"/>
  <c r="T16" i="24"/>
  <c r="U99" i="24" s="1"/>
  <c r="S16" i="24"/>
  <c r="T99" i="24" s="1"/>
  <c r="R16" i="24"/>
  <c r="S99" i="24" s="1"/>
  <c r="Q16" i="24"/>
  <c r="R99" i="24" s="1"/>
  <c r="P16" i="24"/>
  <c r="Q99" i="24" s="1"/>
  <c r="O16" i="24"/>
  <c r="P99" i="24" s="1"/>
  <c r="N16" i="24"/>
  <c r="O99" i="24" s="1"/>
  <c r="M16" i="24"/>
  <c r="N99" i="24" s="1"/>
  <c r="L16" i="24"/>
  <c r="M99" i="24" s="1"/>
  <c r="K16" i="24"/>
  <c r="L99" i="24" s="1"/>
  <c r="J16" i="24"/>
  <c r="CM12" i="24"/>
  <c r="CM11" i="24"/>
  <c r="CM8" i="24"/>
  <c r="CM7" i="24"/>
  <c r="CM6" i="24"/>
  <c r="CM5" i="24"/>
  <c r="CO91" i="24" s="1"/>
  <c r="CM4" i="24"/>
  <c r="GN135" i="19"/>
  <c r="FX135" i="19"/>
  <c r="FH135" i="19"/>
  <c r="ER135" i="19"/>
  <c r="EB135" i="19"/>
  <c r="DL135" i="19"/>
  <c r="CV135" i="19"/>
  <c r="CF135" i="19"/>
  <c r="AW135" i="19"/>
  <c r="O135" i="19"/>
  <c r="GN134" i="19"/>
  <c r="AS134" i="19"/>
  <c r="GN133" i="19"/>
  <c r="FX133" i="19"/>
  <c r="FH133" i="19"/>
  <c r="ER133" i="19"/>
  <c r="AS133" i="19"/>
  <c r="GN132" i="19"/>
  <c r="FX132" i="19"/>
  <c r="FH132" i="19"/>
  <c r="ER132" i="19"/>
  <c r="AS132" i="19"/>
  <c r="GN131" i="19"/>
  <c r="FX131" i="19"/>
  <c r="FH131" i="19"/>
  <c r="ER131" i="19"/>
  <c r="AS131" i="19"/>
  <c r="O131" i="19"/>
  <c r="GN130" i="19"/>
  <c r="FX130" i="19"/>
  <c r="FH130" i="19"/>
  <c r="P130" i="19"/>
  <c r="O130" i="19"/>
  <c r="S129" i="19"/>
  <c r="R129" i="19"/>
  <c r="Q129" i="19"/>
  <c r="P129" i="19"/>
  <c r="O129" i="19"/>
  <c r="GN128" i="19"/>
  <c r="FX128" i="19"/>
  <c r="FH128" i="19"/>
  <c r="ER128" i="19"/>
  <c r="CB128" i="19"/>
  <c r="CA128" i="19"/>
  <c r="BZ128" i="19"/>
  <c r="AY128" i="19"/>
  <c r="AX128" i="19"/>
  <c r="AW128" i="19"/>
  <c r="AV128" i="19"/>
  <c r="AU128" i="19"/>
  <c r="AT128" i="19"/>
  <c r="AS128" i="19"/>
  <c r="AI128" i="19"/>
  <c r="AH128" i="19"/>
  <c r="AG128" i="19"/>
  <c r="AF128" i="19"/>
  <c r="AE128" i="19"/>
  <c r="AD128" i="19"/>
  <c r="AC128" i="19"/>
  <c r="S128" i="19"/>
  <c r="GN127" i="19"/>
  <c r="FX127" i="19"/>
  <c r="FH127" i="19"/>
  <c r="ER127" i="19"/>
  <c r="AI127" i="19"/>
  <c r="AF127" i="19"/>
  <c r="AE127" i="19"/>
  <c r="AD127" i="19"/>
  <c r="AC127" i="19"/>
  <c r="S127" i="19"/>
  <c r="P127" i="19"/>
  <c r="O127" i="19"/>
  <c r="GN126" i="19"/>
  <c r="BZ126" i="19"/>
  <c r="BY126" i="19"/>
  <c r="BO126" i="19"/>
  <c r="BN126" i="19"/>
  <c r="BM126" i="19"/>
  <c r="BL126" i="19"/>
  <c r="BK126" i="19"/>
  <c r="BJ126" i="19"/>
  <c r="BI126" i="19"/>
  <c r="AY126" i="19"/>
  <c r="AX126" i="19"/>
  <c r="AW126" i="19"/>
  <c r="AT126" i="19"/>
  <c r="GN125" i="19"/>
  <c r="FX125" i="19"/>
  <c r="AS125" i="19"/>
  <c r="AI125" i="19"/>
  <c r="GN124" i="19"/>
  <c r="FX124" i="19"/>
  <c r="FH124" i="19"/>
  <c r="ER124" i="19"/>
  <c r="GN123" i="19"/>
  <c r="FX123" i="19"/>
  <c r="FH123" i="19"/>
  <c r="ER123" i="19"/>
  <c r="AY123" i="19"/>
  <c r="AS123" i="19"/>
  <c r="GN122" i="19"/>
  <c r="FX122" i="19"/>
  <c r="AS122" i="19"/>
  <c r="R122" i="19"/>
  <c r="Q122" i="19"/>
  <c r="P122" i="19"/>
  <c r="O122" i="19"/>
  <c r="GN121" i="19"/>
  <c r="FX121" i="19"/>
  <c r="FH121" i="19"/>
  <c r="ER121" i="19"/>
  <c r="EB121" i="19"/>
  <c r="DL121" i="19"/>
  <c r="CV121" i="19"/>
  <c r="BI121" i="19"/>
  <c r="BP121" i="19" s="1"/>
  <c r="AY121" i="19"/>
  <c r="AX121" i="19"/>
  <c r="AW121" i="19"/>
  <c r="AV121" i="19"/>
  <c r="AU121" i="19"/>
  <c r="AT121" i="19"/>
  <c r="AS121" i="19"/>
  <c r="AI121" i="19"/>
  <c r="AH121" i="19"/>
  <c r="AG121" i="19"/>
  <c r="AF121" i="19"/>
  <c r="AE121" i="19"/>
  <c r="AD121" i="19"/>
  <c r="AC121" i="19"/>
  <c r="S121" i="19"/>
  <c r="R121" i="19"/>
  <c r="Q121" i="19"/>
  <c r="P121" i="19"/>
  <c r="O121" i="19"/>
  <c r="GN120" i="19"/>
  <c r="FX120" i="19"/>
  <c r="FH120" i="19"/>
  <c r="ER120" i="19"/>
  <c r="O120" i="19"/>
  <c r="GN119" i="19"/>
  <c r="O119" i="19"/>
  <c r="GN118" i="19"/>
  <c r="O118" i="19"/>
  <c r="GN117" i="19"/>
  <c r="FX117" i="19"/>
  <c r="FH117" i="19"/>
  <c r="ER117" i="19"/>
  <c r="O117" i="19"/>
  <c r="GN116" i="19"/>
  <c r="FX116" i="19"/>
  <c r="FH116" i="19"/>
  <c r="ER116" i="19"/>
  <c r="EB116" i="19"/>
  <c r="DL116" i="19"/>
  <c r="CV116" i="19"/>
  <c r="CF116" i="19"/>
  <c r="BP116" i="19"/>
  <c r="AZ116" i="19"/>
  <c r="AJ116" i="19"/>
  <c r="T116" i="19"/>
  <c r="GN115" i="19"/>
  <c r="FX115" i="19"/>
  <c r="FH115" i="19"/>
  <c r="ER115" i="19"/>
  <c r="O115" i="19"/>
  <c r="GN114" i="19"/>
  <c r="FX114" i="19"/>
  <c r="AT114" i="19"/>
  <c r="O114" i="19"/>
  <c r="GN113" i="19"/>
  <c r="FX113" i="19"/>
  <c r="O113" i="19"/>
  <c r="GN112" i="19"/>
  <c r="FX112" i="19"/>
  <c r="FH112" i="19"/>
  <c r="ER112" i="19"/>
  <c r="EB112" i="19"/>
  <c r="P112" i="19"/>
  <c r="O112" i="19"/>
  <c r="FU111" i="19"/>
  <c r="BI111" i="19"/>
  <c r="O111" i="19"/>
  <c r="GN110" i="19"/>
  <c r="S110" i="19"/>
  <c r="R110" i="19"/>
  <c r="Q110" i="19"/>
  <c r="P110" i="19"/>
  <c r="O110" i="19"/>
  <c r="GN109" i="19"/>
  <c r="O109" i="19"/>
  <c r="GN108" i="19"/>
  <c r="FX108" i="19"/>
  <c r="FH108" i="19"/>
  <c r="ER108" i="19"/>
  <c r="DL108" i="19"/>
  <c r="CS108" i="19"/>
  <c r="CR108" i="19"/>
  <c r="CQ108" i="19"/>
  <c r="CP108" i="19"/>
  <c r="CO108" i="19"/>
  <c r="CE108" i="19"/>
  <c r="CD108" i="19"/>
  <c r="CC108" i="19"/>
  <c r="CB108" i="19"/>
  <c r="CA108" i="19"/>
  <c r="BZ108" i="19"/>
  <c r="BO108" i="19"/>
  <c r="BN108" i="19"/>
  <c r="BM108" i="19"/>
  <c r="BL108" i="19"/>
  <c r="BK108" i="19"/>
  <c r="BJ108" i="19"/>
  <c r="BI108" i="19"/>
  <c r="AY108" i="19"/>
  <c r="AX108" i="19"/>
  <c r="AW108" i="19"/>
  <c r="AV108" i="19"/>
  <c r="AU108" i="19"/>
  <c r="AT108" i="19"/>
  <c r="AS108" i="19"/>
  <c r="AI108" i="19"/>
  <c r="AG108" i="19"/>
  <c r="AF108" i="19"/>
  <c r="AE108" i="19"/>
  <c r="AD108" i="19"/>
  <c r="AC108" i="19"/>
  <c r="S108" i="19"/>
  <c r="G108" i="19" s="1"/>
  <c r="R108" i="19"/>
  <c r="F109" i="19" s="1"/>
  <c r="O108" i="19"/>
  <c r="C109" i="19" s="1"/>
  <c r="GN107" i="19"/>
  <c r="FX107" i="19"/>
  <c r="FH107" i="19"/>
  <c r="ER107" i="19"/>
  <c r="O107" i="19"/>
  <c r="GN106" i="19"/>
  <c r="GN105" i="19"/>
  <c r="FX105" i="19"/>
  <c r="FH105" i="19"/>
  <c r="ER105" i="19"/>
  <c r="EB105" i="19"/>
  <c r="DL105" i="19"/>
  <c r="CV105" i="19"/>
  <c r="CF105" i="19"/>
  <c r="BP105" i="19"/>
  <c r="AZ105" i="19"/>
  <c r="AJ105" i="19"/>
  <c r="T105" i="19"/>
  <c r="GN104" i="19"/>
  <c r="FX104" i="19"/>
  <c r="O104" i="19"/>
  <c r="BC98" i="19"/>
  <c r="BB98" i="19"/>
  <c r="ED52" i="19"/>
  <c r="ET51" i="19"/>
  <c r="FJ47" i="19"/>
  <c r="FJ26" i="19" s="1"/>
  <c r="FZ45" i="19"/>
  <c r="CX42" i="19"/>
  <c r="CX26" i="19" s="1"/>
  <c r="DB40" i="19"/>
  <c r="ID35" i="19"/>
  <c r="IC35" i="19"/>
  <c r="IF35" i="19" s="1"/>
  <c r="HY35" i="19"/>
  <c r="HZ35" i="19" s="1"/>
  <c r="HU35" i="19"/>
  <c r="HT35" i="19"/>
  <c r="HO35" i="19"/>
  <c r="GN35" i="19"/>
  <c r="FX35" i="19"/>
  <c r="FH35" i="19"/>
  <c r="ER35" i="19"/>
  <c r="EB35" i="19"/>
  <c r="BV35" i="19"/>
  <c r="BU35" i="19"/>
  <c r="BT35" i="19"/>
  <c r="BS35" i="19"/>
  <c r="BR35" i="19"/>
  <c r="BN35" i="19"/>
  <c r="BN135" i="19" s="1"/>
  <c r="BL35" i="19"/>
  <c r="BL135" i="19" s="1"/>
  <c r="BK35" i="19"/>
  <c r="BK135" i="19" s="1"/>
  <c r="BJ35" i="19"/>
  <c r="BJ135" i="19" s="1"/>
  <c r="BI35" i="19"/>
  <c r="BI135" i="19" s="1"/>
  <c r="AY35" i="19"/>
  <c r="AY135" i="19" s="1"/>
  <c r="AX35" i="19"/>
  <c r="AX135" i="19" s="1"/>
  <c r="AV35" i="19"/>
  <c r="AV135" i="19" s="1"/>
  <c r="AU35" i="19"/>
  <c r="AU135" i="19" s="1"/>
  <c r="AT35" i="19"/>
  <c r="AT135" i="19" s="1"/>
  <c r="AS35" i="19"/>
  <c r="AS135" i="19" s="1"/>
  <c r="AI35" i="19"/>
  <c r="AI135" i="19" s="1"/>
  <c r="AH35" i="19"/>
  <c r="AH135" i="19" s="1"/>
  <c r="AG35" i="19"/>
  <c r="AG135" i="19" s="1"/>
  <c r="AF35" i="19"/>
  <c r="AF135" i="19" s="1"/>
  <c r="AE35" i="19"/>
  <c r="AE135" i="19" s="1"/>
  <c r="AD35" i="19"/>
  <c r="AD135" i="19" s="1"/>
  <c r="AC35" i="19"/>
  <c r="AC135" i="19" s="1"/>
  <c r="S35" i="19"/>
  <c r="S135" i="19" s="1"/>
  <c r="R35" i="19"/>
  <c r="R135" i="19" s="1"/>
  <c r="Q35" i="19"/>
  <c r="Q135" i="19" s="1"/>
  <c r="P35" i="19"/>
  <c r="P135" i="19" s="1"/>
  <c r="ID34" i="19"/>
  <c r="IC34" i="19"/>
  <c r="IF34" i="19" s="1"/>
  <c r="IA34" i="19"/>
  <c r="HY34" i="19"/>
  <c r="HZ34" i="19" s="1"/>
  <c r="HU34" i="19"/>
  <c r="HT34" i="19"/>
  <c r="HO34" i="19"/>
  <c r="GN34" i="19"/>
  <c r="FR34" i="19"/>
  <c r="FH34" i="19"/>
  <c r="DW34" i="19"/>
  <c r="DR34" i="19"/>
  <c r="DQ34" i="19"/>
  <c r="DP34" i="19"/>
  <c r="DO34" i="19"/>
  <c r="DN34" i="19"/>
  <c r="DK134" i="19"/>
  <c r="DJ134" i="19"/>
  <c r="DI134" i="19"/>
  <c r="DH134" i="19"/>
  <c r="DG134" i="19"/>
  <c r="DE134" i="19"/>
  <c r="CU134" i="19"/>
  <c r="CT134" i="19"/>
  <c r="CS134" i="19"/>
  <c r="CR134" i="19"/>
  <c r="CQ134" i="19"/>
  <c r="CP134" i="19"/>
  <c r="CO134" i="19"/>
  <c r="CL34" i="19"/>
  <c r="CK34" i="19"/>
  <c r="CJ34" i="19"/>
  <c r="CI34" i="19"/>
  <c r="CH34" i="19"/>
  <c r="CE134" i="19"/>
  <c r="CD134" i="19"/>
  <c r="CC134" i="19"/>
  <c r="CB134" i="19"/>
  <c r="CA134" i="19"/>
  <c r="BZ134" i="19"/>
  <c r="BY134" i="19"/>
  <c r="BV34" i="19"/>
  <c r="BU34" i="19"/>
  <c r="BT34" i="19"/>
  <c r="BS34" i="19"/>
  <c r="BR34" i="19"/>
  <c r="BP34" i="19"/>
  <c r="BO134" i="19"/>
  <c r="BN134" i="19"/>
  <c r="BM134" i="19"/>
  <c r="BL134" i="19"/>
  <c r="BK134" i="19"/>
  <c r="BJ134" i="19"/>
  <c r="BI134" i="19"/>
  <c r="AZ34" i="19"/>
  <c r="AY134" i="19"/>
  <c r="AX134" i="19"/>
  <c r="AW134" i="19"/>
  <c r="AV134" i="19"/>
  <c r="AU134" i="19"/>
  <c r="AI134" i="19"/>
  <c r="AH134" i="19"/>
  <c r="AG134" i="19"/>
  <c r="AF134" i="19"/>
  <c r="AE134" i="19"/>
  <c r="AD134" i="19"/>
  <c r="AC134" i="19"/>
  <c r="S134" i="19"/>
  <c r="R134" i="19"/>
  <c r="Q134" i="19"/>
  <c r="P134" i="19"/>
  <c r="O34" i="19"/>
  <c r="O134" i="19" s="1"/>
  <c r="ID33" i="19"/>
  <c r="IC33" i="19"/>
  <c r="IF33" i="19" s="1"/>
  <c r="IA33" i="19"/>
  <c r="HY33" i="19"/>
  <c r="HZ33" i="19" s="1"/>
  <c r="HU33" i="19"/>
  <c r="HT33" i="19"/>
  <c r="HO33" i="19"/>
  <c r="GN33" i="19"/>
  <c r="FX33" i="19"/>
  <c r="FH33" i="19"/>
  <c r="ER33" i="19"/>
  <c r="EH33" i="19"/>
  <c r="EG33" i="19"/>
  <c r="EF33" i="19"/>
  <c r="EE33" i="19"/>
  <c r="ED33" i="19"/>
  <c r="EB33" i="19"/>
  <c r="EB133" i="19"/>
  <c r="DF133" i="19"/>
  <c r="DE133" i="19"/>
  <c r="CU133" i="19"/>
  <c r="CT133" i="19"/>
  <c r="CS133" i="19"/>
  <c r="CR133" i="19"/>
  <c r="CP133" i="19"/>
  <c r="CO133" i="19"/>
  <c r="CL33" i="19"/>
  <c r="CK33" i="19"/>
  <c r="CJ33" i="19"/>
  <c r="CI33" i="19"/>
  <c r="CH33" i="19"/>
  <c r="CE133" i="19"/>
  <c r="CD133" i="19"/>
  <c r="CC133" i="19"/>
  <c r="CB133" i="19"/>
  <c r="CA133" i="19"/>
  <c r="BZ133" i="19"/>
  <c r="BY133" i="19"/>
  <c r="BV33" i="19"/>
  <c r="BU33" i="19"/>
  <c r="BT33" i="19"/>
  <c r="BS33" i="19"/>
  <c r="BR33" i="19"/>
  <c r="BO133" i="19"/>
  <c r="BN133" i="19"/>
  <c r="BM133" i="19"/>
  <c r="BL133" i="19"/>
  <c r="BK133" i="19"/>
  <c r="BJ133" i="19"/>
  <c r="BI133" i="19"/>
  <c r="AY133" i="19"/>
  <c r="AX133" i="19"/>
  <c r="AW133" i="19"/>
  <c r="AV133" i="19"/>
  <c r="AU133" i="19"/>
  <c r="AT133" i="19"/>
  <c r="AI133" i="19"/>
  <c r="AH133" i="19"/>
  <c r="AG133" i="19"/>
  <c r="AF133" i="19"/>
  <c r="AE133" i="19"/>
  <c r="AD133" i="19"/>
  <c r="AC133" i="19"/>
  <c r="S133" i="19"/>
  <c r="R133" i="19"/>
  <c r="Q133" i="19"/>
  <c r="P33" i="19"/>
  <c r="P133" i="19" s="1"/>
  <c r="O33" i="19"/>
  <c r="O133" i="19" s="1"/>
  <c r="ID32" i="19"/>
  <c r="IC32" i="19"/>
  <c r="IF32" i="19" s="1"/>
  <c r="HY32" i="19"/>
  <c r="HZ32" i="19" s="1"/>
  <c r="HU32" i="19"/>
  <c r="HT32" i="19"/>
  <c r="HO32" i="19"/>
  <c r="GN32" i="19"/>
  <c r="FX32" i="19"/>
  <c r="FH32" i="19"/>
  <c r="ER32" i="19"/>
  <c r="EH32" i="19"/>
  <c r="EG32" i="19"/>
  <c r="EF32" i="19"/>
  <c r="EE32" i="19"/>
  <c r="ED32" i="19"/>
  <c r="DU32" i="19"/>
  <c r="EB132" i="19" s="1"/>
  <c r="DK32" i="19"/>
  <c r="DJ32" i="19"/>
  <c r="DI32" i="19"/>
  <c r="DH32" i="19"/>
  <c r="DG32" i="19"/>
  <c r="DF32" i="19"/>
  <c r="CT32" i="19"/>
  <c r="CS32" i="19"/>
  <c r="CR32" i="19"/>
  <c r="CQ32" i="19"/>
  <c r="CP32" i="19"/>
  <c r="CP132" i="19" s="1"/>
  <c r="CO32" i="19"/>
  <c r="CO132" i="19" s="1"/>
  <c r="CE32" i="19"/>
  <c r="CE132" i="19" s="1"/>
  <c r="CD32" i="19"/>
  <c r="CD132" i="19" s="1"/>
  <c r="CC32" i="19"/>
  <c r="CC132" i="19" s="1"/>
  <c r="CB32" i="19"/>
  <c r="CB132" i="19" s="1"/>
  <c r="CA32" i="19"/>
  <c r="CA132" i="19" s="1"/>
  <c r="BZ32" i="19"/>
  <c r="BZ132" i="19" s="1"/>
  <c r="BY32" i="19"/>
  <c r="BY132" i="19" s="1"/>
  <c r="BV32" i="19"/>
  <c r="BU32" i="19"/>
  <c r="BT32" i="19"/>
  <c r="BS32" i="19"/>
  <c r="BR32" i="19"/>
  <c r="BO32" i="19"/>
  <c r="BO132" i="19" s="1"/>
  <c r="BN32" i="19"/>
  <c r="BN132" i="19" s="1"/>
  <c r="BM32" i="19"/>
  <c r="BM132" i="19" s="1"/>
  <c r="BL32" i="19"/>
  <c r="BL132" i="19" s="1"/>
  <c r="BK32" i="19"/>
  <c r="BK132" i="19" s="1"/>
  <c r="BJ32" i="19"/>
  <c r="BJ132" i="19" s="1"/>
  <c r="BI32" i="19"/>
  <c r="BI132" i="19" s="1"/>
  <c r="BG32" i="19"/>
  <c r="BF32" i="19"/>
  <c r="BE32" i="19"/>
  <c r="BD32" i="19"/>
  <c r="BC32" i="19"/>
  <c r="BB32" i="19"/>
  <c r="AY32" i="19"/>
  <c r="AY132" i="19" s="1"/>
  <c r="AX32" i="19"/>
  <c r="AX132" i="19" s="1"/>
  <c r="AW32" i="19"/>
  <c r="AW132" i="19" s="1"/>
  <c r="AV32" i="19"/>
  <c r="AV132" i="19" s="1"/>
  <c r="AU32" i="19"/>
  <c r="AU132" i="19" s="1"/>
  <c r="AT32" i="19"/>
  <c r="AT132" i="19" s="1"/>
  <c r="AI32" i="19"/>
  <c r="AI132" i="19" s="1"/>
  <c r="AH32" i="19"/>
  <c r="AH132" i="19" s="1"/>
  <c r="AG32" i="19"/>
  <c r="AG132" i="19" s="1"/>
  <c r="AF32" i="19"/>
  <c r="AF132" i="19" s="1"/>
  <c r="AE32" i="19"/>
  <c r="AE132" i="19" s="1"/>
  <c r="AD32" i="19"/>
  <c r="AD132" i="19" s="1"/>
  <c r="AC32" i="19"/>
  <c r="AC132" i="19" s="1"/>
  <c r="S32" i="19"/>
  <c r="S132" i="19" s="1"/>
  <c r="R32" i="19"/>
  <c r="R132" i="19" s="1"/>
  <c r="Q32" i="19"/>
  <c r="Q132" i="19" s="1"/>
  <c r="P32" i="19"/>
  <c r="P132" i="19" s="1"/>
  <c r="O32" i="19"/>
  <c r="O132" i="19" s="1"/>
  <c r="ID31" i="19"/>
  <c r="IC31" i="19"/>
  <c r="IF31" i="19" s="1"/>
  <c r="HY31" i="19"/>
  <c r="HZ31" i="19" s="1"/>
  <c r="HU31" i="19"/>
  <c r="HT31" i="19"/>
  <c r="HO31" i="19"/>
  <c r="GN31" i="19"/>
  <c r="FX31" i="19"/>
  <c r="FH31" i="19"/>
  <c r="ER31" i="19"/>
  <c r="DU31" i="19"/>
  <c r="EB131" i="19" s="1"/>
  <c r="DR31" i="19"/>
  <c r="DQ31" i="19"/>
  <c r="DP31" i="19"/>
  <c r="DO31" i="19"/>
  <c r="DN31" i="19"/>
  <c r="DK31" i="19"/>
  <c r="DJ31" i="19"/>
  <c r="DI31" i="19"/>
  <c r="DH31" i="19"/>
  <c r="DG31" i="19"/>
  <c r="DF31" i="19"/>
  <c r="DE31" i="19"/>
  <c r="CU31" i="19"/>
  <c r="CT31" i="19"/>
  <c r="CS31" i="19"/>
  <c r="CR31" i="19"/>
  <c r="CR131" i="19" s="1"/>
  <c r="CQ31" i="19"/>
  <c r="CQ131" i="19" s="1"/>
  <c r="CP31" i="19"/>
  <c r="CP131" i="19" s="1"/>
  <c r="CO31" i="19"/>
  <c r="CO131" i="19" s="1"/>
  <c r="CE31" i="19"/>
  <c r="CE131" i="19" s="1"/>
  <c r="CD31" i="19"/>
  <c r="CD131" i="19" s="1"/>
  <c r="CC31" i="19"/>
  <c r="CC131" i="19" s="1"/>
  <c r="CB31" i="19"/>
  <c r="CB131" i="19" s="1"/>
  <c r="CA31" i="19"/>
  <c r="CA131" i="19" s="1"/>
  <c r="BZ31" i="19"/>
  <c r="BZ131" i="19" s="1"/>
  <c r="BY31" i="19"/>
  <c r="BY131" i="19" s="1"/>
  <c r="BV31" i="19"/>
  <c r="BU31" i="19"/>
  <c r="BT31" i="19"/>
  <c r="BS31" i="19"/>
  <c r="BR31" i="19"/>
  <c r="BO31" i="19"/>
  <c r="BO131" i="19" s="1"/>
  <c r="BN31" i="19"/>
  <c r="BN131" i="19" s="1"/>
  <c r="BM31" i="19"/>
  <c r="BM131" i="19" s="1"/>
  <c r="BL31" i="19"/>
  <c r="BL131" i="19" s="1"/>
  <c r="BK31" i="19"/>
  <c r="BK131" i="19" s="1"/>
  <c r="BJ31" i="19"/>
  <c r="BJ131" i="19" s="1"/>
  <c r="BI31" i="19"/>
  <c r="BI131" i="19" s="1"/>
  <c r="BF31" i="19"/>
  <c r="BE31" i="19"/>
  <c r="BD31" i="19"/>
  <c r="BC31" i="19"/>
  <c r="BB31" i="19"/>
  <c r="AY31" i="19"/>
  <c r="AY131" i="19" s="1"/>
  <c r="AX31" i="19"/>
  <c r="AX131" i="19" s="1"/>
  <c r="AW31" i="19"/>
  <c r="AW131" i="19" s="1"/>
  <c r="AV31" i="19"/>
  <c r="AV131" i="19" s="1"/>
  <c r="AU31" i="19"/>
  <c r="AU131" i="19" s="1"/>
  <c r="AT31" i="19"/>
  <c r="AT131" i="19" s="1"/>
  <c r="AI31" i="19"/>
  <c r="AI131" i="19" s="1"/>
  <c r="AH31" i="19"/>
  <c r="AH131" i="19" s="1"/>
  <c r="AG31" i="19"/>
  <c r="AG131" i="19" s="1"/>
  <c r="AF31" i="19"/>
  <c r="AF131" i="19" s="1"/>
  <c r="AE31" i="19"/>
  <c r="AE131" i="19" s="1"/>
  <c r="AD31" i="19"/>
  <c r="AD131" i="19" s="1"/>
  <c r="AC31" i="19"/>
  <c r="AC131" i="19" s="1"/>
  <c r="S31" i="19"/>
  <c r="S131" i="19" s="1"/>
  <c r="R31" i="19"/>
  <c r="R131" i="19" s="1"/>
  <c r="Q31" i="19"/>
  <c r="Q131" i="19" s="1"/>
  <c r="P31" i="19"/>
  <c r="P131" i="19" s="1"/>
  <c r="ID30" i="19"/>
  <c r="IC30" i="19"/>
  <c r="IF30" i="19" s="1"/>
  <c r="IA30" i="19"/>
  <c r="HY30" i="19"/>
  <c r="HZ30" i="19" s="1"/>
  <c r="HU30" i="19"/>
  <c r="HT30" i="19"/>
  <c r="GN30" i="19"/>
  <c r="FX30" i="19"/>
  <c r="FH30" i="19"/>
  <c r="EK30" i="19"/>
  <c r="EK130" i="19" s="1"/>
  <c r="ER130" i="19" s="1"/>
  <c r="EA30" i="19"/>
  <c r="EA130" i="19" s="1"/>
  <c r="DZ30" i="19"/>
  <c r="DZ130" i="19" s="1"/>
  <c r="DY30" i="19"/>
  <c r="DY130" i="19" s="1"/>
  <c r="DX30" i="19"/>
  <c r="DX130" i="19" s="1"/>
  <c r="DW30" i="19"/>
  <c r="DW130" i="19" s="1"/>
  <c r="DV30" i="19"/>
  <c r="DV130" i="19" s="1"/>
  <c r="DU30" i="19"/>
  <c r="DU130" i="19" s="1"/>
  <c r="DR30" i="19"/>
  <c r="DQ30" i="19"/>
  <c r="DP30" i="19"/>
  <c r="DO30" i="19"/>
  <c r="DN30" i="19"/>
  <c r="DK30" i="19"/>
  <c r="DK130" i="19" s="1"/>
  <c r="DJ30" i="19"/>
  <c r="DJ130" i="19" s="1"/>
  <c r="DI30" i="19"/>
  <c r="DI130" i="19" s="1"/>
  <c r="DH30" i="19"/>
  <c r="DH130" i="19" s="1"/>
  <c r="DG30" i="19"/>
  <c r="DG130" i="19" s="1"/>
  <c r="DF30" i="19"/>
  <c r="DF130" i="19" s="1"/>
  <c r="DE30" i="19"/>
  <c r="DE130" i="19" s="1"/>
  <c r="CU30" i="19"/>
  <c r="CU130" i="19" s="1"/>
  <c r="CT30" i="19"/>
  <c r="CT130" i="19" s="1"/>
  <c r="CS30" i="19"/>
  <c r="CS130" i="19" s="1"/>
  <c r="CR30" i="19"/>
  <c r="CR130" i="19" s="1"/>
  <c r="CQ30" i="19"/>
  <c r="CQ130" i="19" s="1"/>
  <c r="CP30" i="19"/>
  <c r="CP130" i="19" s="1"/>
  <c r="CO30" i="19"/>
  <c r="CO130" i="19" s="1"/>
  <c r="CL30" i="19"/>
  <c r="CK30" i="19"/>
  <c r="CJ30" i="19"/>
  <c r="CI30" i="19"/>
  <c r="CH30" i="19"/>
  <c r="CE30" i="19"/>
  <c r="CE130" i="19" s="1"/>
  <c r="CD30" i="19"/>
  <c r="CD130" i="19" s="1"/>
  <c r="CC30" i="19"/>
  <c r="CC130" i="19" s="1"/>
  <c r="CB30" i="19"/>
  <c r="CB130" i="19" s="1"/>
  <c r="CA30" i="19"/>
  <c r="CA130" i="19" s="1"/>
  <c r="BZ30" i="19"/>
  <c r="BZ130" i="19" s="1"/>
  <c r="BY30" i="19"/>
  <c r="BY130" i="19" s="1"/>
  <c r="BV30" i="19"/>
  <c r="BU30" i="19"/>
  <c r="BT30" i="19"/>
  <c r="BS30" i="19"/>
  <c r="BR30" i="19"/>
  <c r="BO30" i="19"/>
  <c r="BO130" i="19" s="1"/>
  <c r="BN30" i="19"/>
  <c r="BN130" i="19" s="1"/>
  <c r="BM30" i="19"/>
  <c r="BM130" i="19" s="1"/>
  <c r="BL30" i="19"/>
  <c r="BL130" i="19" s="1"/>
  <c r="BK30" i="19"/>
  <c r="BK130" i="19" s="1"/>
  <c r="BJ30" i="19"/>
  <c r="BJ130" i="19" s="1"/>
  <c r="BI30" i="19"/>
  <c r="BI130" i="19" s="1"/>
  <c r="BF30" i="19"/>
  <c r="BE30" i="19"/>
  <c r="BD30" i="19"/>
  <c r="BC30" i="19"/>
  <c r="BB30" i="19"/>
  <c r="AY30" i="19"/>
  <c r="AY130" i="19" s="1"/>
  <c r="AX30" i="19"/>
  <c r="AX130" i="19" s="1"/>
  <c r="AW30" i="19"/>
  <c r="AW130" i="19" s="1"/>
  <c r="AV30" i="19"/>
  <c r="AV130" i="19" s="1"/>
  <c r="AU30" i="19"/>
  <c r="AU130" i="19" s="1"/>
  <c r="AT30" i="19"/>
  <c r="AT130" i="19" s="1"/>
  <c r="AS30" i="19"/>
  <c r="AS130" i="19" s="1"/>
  <c r="AI30" i="19"/>
  <c r="AI130" i="19" s="1"/>
  <c r="AH30" i="19"/>
  <c r="AH130" i="19" s="1"/>
  <c r="AG30" i="19"/>
  <c r="AG130" i="19" s="1"/>
  <c r="AF30" i="19"/>
  <c r="AF130" i="19" s="1"/>
  <c r="AE30" i="19"/>
  <c r="AE130" i="19" s="1"/>
  <c r="AD30" i="19"/>
  <c r="AD130" i="19" s="1"/>
  <c r="AC30" i="19"/>
  <c r="AC130" i="19" s="1"/>
  <c r="S30" i="19"/>
  <c r="S130" i="19" s="1"/>
  <c r="R30" i="19"/>
  <c r="R130" i="19" s="1"/>
  <c r="Q30" i="19"/>
  <c r="Q130" i="19" s="1"/>
  <c r="ID29" i="19"/>
  <c r="IC29" i="19"/>
  <c r="IF29" i="19" s="1"/>
  <c r="IA29" i="19"/>
  <c r="HY29" i="19"/>
  <c r="HZ29" i="19" s="1"/>
  <c r="HU29" i="19"/>
  <c r="HT29" i="19"/>
  <c r="HO29" i="19"/>
  <c r="GG29" i="19"/>
  <c r="GN129" i="19" s="1"/>
  <c r="FW29" i="19"/>
  <c r="FV29" i="19"/>
  <c r="FU29" i="19"/>
  <c r="FT29" i="19"/>
  <c r="FT129" i="19" s="1"/>
  <c r="FS29" i="19"/>
  <c r="FS129" i="19" s="1"/>
  <c r="FR29" i="19"/>
  <c r="FR129" i="19" s="1"/>
  <c r="FQ29" i="19"/>
  <c r="FQ129" i="19" s="1"/>
  <c r="FG29" i="19"/>
  <c r="FG129" i="19" s="1"/>
  <c r="FF29" i="19"/>
  <c r="FF129" i="19" s="1"/>
  <c r="FE29" i="19"/>
  <c r="FE129" i="19" s="1"/>
  <c r="FD29" i="19"/>
  <c r="FD129" i="19" s="1"/>
  <c r="FC29" i="19"/>
  <c r="FC129" i="19" s="1"/>
  <c r="FB29" i="19"/>
  <c r="FB129" i="19" s="1"/>
  <c r="FA29" i="19"/>
  <c r="FA129" i="19" s="1"/>
  <c r="EQ29" i="19"/>
  <c r="EQ129" i="19" s="1"/>
  <c r="EP29" i="19"/>
  <c r="EP129" i="19" s="1"/>
  <c r="EO29" i="19"/>
  <c r="EO129" i="19" s="1"/>
  <c r="EN29" i="19"/>
  <c r="EN129" i="19" s="1"/>
  <c r="EM29" i="19"/>
  <c r="EM129" i="19" s="1"/>
  <c r="EL29" i="19"/>
  <c r="EL129" i="19" s="1"/>
  <c r="EK29" i="19"/>
  <c r="EK129" i="19" s="1"/>
  <c r="EH29" i="19"/>
  <c r="EG29" i="19"/>
  <c r="EF29" i="19"/>
  <c r="EE29" i="19"/>
  <c r="ED29" i="19"/>
  <c r="EA29" i="19"/>
  <c r="EA129" i="19" s="1"/>
  <c r="DZ29" i="19"/>
  <c r="DZ129" i="19" s="1"/>
  <c r="DY29" i="19"/>
  <c r="DY129" i="19" s="1"/>
  <c r="DX29" i="19"/>
  <c r="DX129" i="19" s="1"/>
  <c r="DW29" i="19"/>
  <c r="DW129" i="19" s="1"/>
  <c r="DV29" i="19"/>
  <c r="DV129" i="19" s="1"/>
  <c r="DU29" i="19"/>
  <c r="DU129" i="19" s="1"/>
  <c r="DR29" i="19"/>
  <c r="DQ29" i="19"/>
  <c r="DP29" i="19"/>
  <c r="DO29" i="19"/>
  <c r="DN29" i="19"/>
  <c r="DK29" i="19"/>
  <c r="DK129" i="19" s="1"/>
  <c r="DJ29" i="19"/>
  <c r="DJ129" i="19" s="1"/>
  <c r="DI29" i="19"/>
  <c r="DI129" i="19" s="1"/>
  <c r="DH29" i="19"/>
  <c r="DH129" i="19" s="1"/>
  <c r="DG29" i="19"/>
  <c r="DG129" i="19" s="1"/>
  <c r="DF29" i="19"/>
  <c r="DF129" i="19" s="1"/>
  <c r="DE29" i="19"/>
  <c r="DE129" i="19" s="1"/>
  <c r="DB29" i="19"/>
  <c r="DA29" i="19"/>
  <c r="CZ29" i="19"/>
  <c r="CY29" i="19"/>
  <c r="CX29" i="19"/>
  <c r="CU29" i="19"/>
  <c r="CU129" i="19" s="1"/>
  <c r="CT29" i="19"/>
  <c r="CT129" i="19" s="1"/>
  <c r="CS29" i="19"/>
  <c r="CS129" i="19" s="1"/>
  <c r="CR29" i="19"/>
  <c r="CR129" i="19" s="1"/>
  <c r="CQ29" i="19"/>
  <c r="CQ129" i="19" s="1"/>
  <c r="CP29" i="19"/>
  <c r="CP129" i="19" s="1"/>
  <c r="CO29" i="19"/>
  <c r="CO129" i="19" s="1"/>
  <c r="CL29" i="19"/>
  <c r="CK29" i="19"/>
  <c r="CJ29" i="19"/>
  <c r="CI29" i="19"/>
  <c r="CH29" i="19"/>
  <c r="CE29" i="19"/>
  <c r="CE129" i="19" s="1"/>
  <c r="CD29" i="19"/>
  <c r="CD129" i="19" s="1"/>
  <c r="CC29" i="19"/>
  <c r="CC129" i="19" s="1"/>
  <c r="CB29" i="19"/>
  <c r="CB129" i="19" s="1"/>
  <c r="CA29" i="19"/>
  <c r="CA129" i="19" s="1"/>
  <c r="BZ29" i="19"/>
  <c r="BZ129" i="19" s="1"/>
  <c r="BY29" i="19"/>
  <c r="BY129" i="19" s="1"/>
  <c r="BO29" i="19"/>
  <c r="BO129" i="19" s="1"/>
  <c r="BN29" i="19"/>
  <c r="BN129" i="19" s="1"/>
  <c r="BM29" i="19"/>
  <c r="BM129" i="19" s="1"/>
  <c r="BL29" i="19"/>
  <c r="BL129" i="19" s="1"/>
  <c r="BK29" i="19"/>
  <c r="BK129" i="19" s="1"/>
  <c r="BJ29" i="19"/>
  <c r="BJ129" i="19" s="1"/>
  <c r="BI29" i="19"/>
  <c r="BI129" i="19" s="1"/>
  <c r="BF29" i="19"/>
  <c r="BE29" i="19"/>
  <c r="BD29" i="19"/>
  <c r="BC29" i="19"/>
  <c r="BB29" i="19"/>
  <c r="AY29" i="19"/>
  <c r="AY129" i="19" s="1"/>
  <c r="AX29" i="19"/>
  <c r="AX129" i="19" s="1"/>
  <c r="AW29" i="19"/>
  <c r="AW129" i="19" s="1"/>
  <c r="AV29" i="19"/>
  <c r="AV129" i="19" s="1"/>
  <c r="AU29" i="19"/>
  <c r="AU129" i="19" s="1"/>
  <c r="AT29" i="19"/>
  <c r="AT129" i="19" s="1"/>
  <c r="AS29" i="19"/>
  <c r="AS129" i="19" s="1"/>
  <c r="AI29" i="19"/>
  <c r="AI129" i="19" s="1"/>
  <c r="AH29" i="19"/>
  <c r="AH129" i="19" s="1"/>
  <c r="AG29" i="19"/>
  <c r="AG129" i="19" s="1"/>
  <c r="AF29" i="19"/>
  <c r="AF129" i="19" s="1"/>
  <c r="AE29" i="19"/>
  <c r="AE129" i="19" s="1"/>
  <c r="AD29" i="19"/>
  <c r="AD129" i="19" s="1"/>
  <c r="AC29" i="19"/>
  <c r="AC129" i="19" s="1"/>
  <c r="T29" i="19"/>
  <c r="ID28" i="19"/>
  <c r="IC28" i="19"/>
  <c r="IF28" i="19" s="1"/>
  <c r="IA28" i="19"/>
  <c r="HY28" i="19"/>
  <c r="HZ28" i="19" s="1"/>
  <c r="HU28" i="19"/>
  <c r="HT28" i="19"/>
  <c r="HO28" i="19"/>
  <c r="GN28" i="19"/>
  <c r="FX28" i="19"/>
  <c r="FH28" i="19"/>
  <c r="EX28" i="19"/>
  <c r="EW28" i="19"/>
  <c r="EV28" i="19"/>
  <c r="EU28" i="19"/>
  <c r="ET28" i="19"/>
  <c r="ER28" i="19"/>
  <c r="DU28" i="19"/>
  <c r="DK28" i="19"/>
  <c r="DI28" i="19"/>
  <c r="DB28" i="19"/>
  <c r="DA28" i="19"/>
  <c r="CZ28" i="19"/>
  <c r="CY28" i="19"/>
  <c r="CX28" i="19"/>
  <c r="CV28" i="19"/>
  <c r="CE28" i="19"/>
  <c r="CD28" i="19"/>
  <c r="CC28" i="19"/>
  <c r="BY28" i="19"/>
  <c r="BY128" i="19" s="1"/>
  <c r="BV28" i="19"/>
  <c r="BU28" i="19"/>
  <c r="BT28" i="19"/>
  <c r="BS28" i="19"/>
  <c r="BR28" i="19"/>
  <c r="BO28" i="19"/>
  <c r="BO128" i="19" s="1"/>
  <c r="BN28" i="19"/>
  <c r="BN128" i="19" s="1"/>
  <c r="BM28" i="19"/>
  <c r="BM128" i="19" s="1"/>
  <c r="BL28" i="19"/>
  <c r="BL128" i="19" s="1"/>
  <c r="BK28" i="19"/>
  <c r="BK128" i="19" s="1"/>
  <c r="BJ28" i="19"/>
  <c r="BJ128" i="19" s="1"/>
  <c r="BI28" i="19"/>
  <c r="BI128" i="19" s="1"/>
  <c r="AZ28" i="19"/>
  <c r="AP28" i="19"/>
  <c r="AO28" i="19"/>
  <c r="AN28" i="19"/>
  <c r="AM28" i="19"/>
  <c r="AL28" i="19"/>
  <c r="AJ28" i="19"/>
  <c r="R28" i="19"/>
  <c r="R128" i="19" s="1"/>
  <c r="Q28" i="19"/>
  <c r="Q128" i="19" s="1"/>
  <c r="P28" i="19"/>
  <c r="P128" i="19" s="1"/>
  <c r="O28" i="19"/>
  <c r="O128" i="19" s="1"/>
  <c r="ID27" i="19"/>
  <c r="IC27" i="19"/>
  <c r="IF27" i="19" s="1"/>
  <c r="HY27" i="19"/>
  <c r="HZ27" i="19" s="1"/>
  <c r="HU27" i="19"/>
  <c r="HT27" i="19"/>
  <c r="HO27" i="19"/>
  <c r="GN27" i="19"/>
  <c r="FX27" i="19"/>
  <c r="FH27" i="19"/>
  <c r="ER27" i="19"/>
  <c r="DU27" i="19"/>
  <c r="EB127" i="19" s="1"/>
  <c r="DK27" i="19"/>
  <c r="DJ27" i="19"/>
  <c r="DI27" i="19"/>
  <c r="DH27" i="19"/>
  <c r="DG27" i="19"/>
  <c r="DF27" i="19"/>
  <c r="DE27" i="19"/>
  <c r="DB27" i="19"/>
  <c r="DA27" i="19"/>
  <c r="CZ27" i="19"/>
  <c r="CY27" i="19"/>
  <c r="CX27" i="19"/>
  <c r="CU27" i="19"/>
  <c r="CU127" i="19" s="1"/>
  <c r="CT27" i="19"/>
  <c r="CT127" i="19" s="1"/>
  <c r="CS27" i="19"/>
  <c r="CS127" i="19" s="1"/>
  <c r="CR27" i="19"/>
  <c r="CR127" i="19" s="1"/>
  <c r="CQ27" i="19"/>
  <c r="CQ127" i="19" s="1"/>
  <c r="CP27" i="19"/>
  <c r="CP127" i="19" s="1"/>
  <c r="CO27" i="19"/>
  <c r="CO127" i="19" s="1"/>
  <c r="CL27" i="19"/>
  <c r="CK27" i="19"/>
  <c r="CJ27" i="19"/>
  <c r="CI27" i="19"/>
  <c r="CH27" i="19"/>
  <c r="CE27" i="19"/>
  <c r="CE127" i="19" s="1"/>
  <c r="CD27" i="19"/>
  <c r="CD127" i="19" s="1"/>
  <c r="CC27" i="19"/>
  <c r="CC127" i="19" s="1"/>
  <c r="CB27" i="19"/>
  <c r="CB127" i="19" s="1"/>
  <c r="CA27" i="19"/>
  <c r="CA127" i="19" s="1"/>
  <c r="BZ27" i="19"/>
  <c r="BZ127" i="19" s="1"/>
  <c r="BY27" i="19"/>
  <c r="BY127" i="19" s="1"/>
  <c r="BV27" i="19"/>
  <c r="BU27" i="19"/>
  <c r="BT27" i="19"/>
  <c r="BS27" i="19"/>
  <c r="BR27" i="19"/>
  <c r="BO27" i="19"/>
  <c r="BO127" i="19" s="1"/>
  <c r="BN27" i="19"/>
  <c r="BN127" i="19" s="1"/>
  <c r="BM27" i="19"/>
  <c r="BM127" i="19" s="1"/>
  <c r="BL27" i="19"/>
  <c r="BL127" i="19" s="1"/>
  <c r="BK27" i="19"/>
  <c r="BK127" i="19" s="1"/>
  <c r="BJ27" i="19"/>
  <c r="BJ127" i="19" s="1"/>
  <c r="BI27" i="19"/>
  <c r="BI127" i="19" s="1"/>
  <c r="BF27" i="19"/>
  <c r="BE27" i="19"/>
  <c r="BD27" i="19"/>
  <c r="BC27" i="19"/>
  <c r="BB27" i="19"/>
  <c r="AY27" i="19"/>
  <c r="AY127" i="19" s="1"/>
  <c r="AX27" i="19"/>
  <c r="AX127" i="19" s="1"/>
  <c r="AW27" i="19"/>
  <c r="AW127" i="19" s="1"/>
  <c r="AV27" i="19"/>
  <c r="AV127" i="19" s="1"/>
  <c r="AU27" i="19"/>
  <c r="AU127" i="19" s="1"/>
  <c r="AT27" i="19"/>
  <c r="AT127" i="19" s="1"/>
  <c r="AS27" i="19"/>
  <c r="AS127" i="19" s="1"/>
  <c r="AH27" i="19"/>
  <c r="AH127" i="19" s="1"/>
  <c r="AG27" i="19"/>
  <c r="AG127" i="19" s="1"/>
  <c r="Z27" i="19"/>
  <c r="R27" i="19"/>
  <c r="R127" i="19" s="1"/>
  <c r="Q27" i="19"/>
  <c r="Q127" i="19" s="1"/>
  <c r="ID26" i="19"/>
  <c r="IC26" i="19"/>
  <c r="IF26" i="19" s="1"/>
  <c r="IA26" i="19"/>
  <c r="HY26" i="19"/>
  <c r="HZ26" i="19" s="1"/>
  <c r="HU26" i="19"/>
  <c r="HT26" i="19"/>
  <c r="HO26" i="19"/>
  <c r="GN26" i="19"/>
  <c r="GD26" i="19"/>
  <c r="GC26" i="19"/>
  <c r="GB26" i="19"/>
  <c r="GA26" i="19"/>
  <c r="FZ26" i="19"/>
  <c r="FS26" i="19"/>
  <c r="FR26" i="19"/>
  <c r="FQ26" i="19"/>
  <c r="FN26" i="19"/>
  <c r="FM26" i="19"/>
  <c r="FL26" i="19"/>
  <c r="FK26" i="19"/>
  <c r="FH26" i="19"/>
  <c r="EX26" i="19"/>
  <c r="EW26" i="19"/>
  <c r="EV26" i="19"/>
  <c r="EU26" i="19"/>
  <c r="ET26" i="19"/>
  <c r="ER26" i="19"/>
  <c r="EH26" i="19"/>
  <c r="EG26" i="19"/>
  <c r="EF26" i="19"/>
  <c r="EE26" i="19"/>
  <c r="ED26" i="19"/>
  <c r="EB26" i="19"/>
  <c r="DL26" i="19"/>
  <c r="DB26" i="19"/>
  <c r="DA26" i="19"/>
  <c r="CZ26" i="19"/>
  <c r="CY26" i="19"/>
  <c r="CV26" i="19"/>
  <c r="CL26" i="19"/>
  <c r="CK26" i="19"/>
  <c r="CJ26" i="19"/>
  <c r="CI26" i="19"/>
  <c r="CH26" i="19"/>
  <c r="CF26" i="19"/>
  <c r="BP26" i="19"/>
  <c r="BF26" i="19"/>
  <c r="BE26" i="19"/>
  <c r="BD26" i="19"/>
  <c r="BC26" i="19"/>
  <c r="BB26" i="19"/>
  <c r="AV26" i="19"/>
  <c r="AV126" i="19" s="1"/>
  <c r="AU26" i="19"/>
  <c r="AU126" i="19" s="1"/>
  <c r="AJ26" i="19"/>
  <c r="R26" i="19"/>
  <c r="T26" i="19" s="1"/>
  <c r="O26" i="19"/>
  <c r="ID25" i="19"/>
  <c r="IC25" i="19"/>
  <c r="IF25" i="19" s="1"/>
  <c r="IA25" i="19"/>
  <c r="HY25" i="19"/>
  <c r="HZ25" i="19" s="1"/>
  <c r="HU25" i="19"/>
  <c r="HT25" i="19"/>
  <c r="HO25" i="19"/>
  <c r="GN25" i="19"/>
  <c r="FS25" i="19"/>
  <c r="FR25" i="19"/>
  <c r="FQ25" i="19"/>
  <c r="FG25" i="19"/>
  <c r="FF25" i="19"/>
  <c r="FE25" i="19"/>
  <c r="FD25" i="19"/>
  <c r="FC25" i="19"/>
  <c r="FB25" i="19"/>
  <c r="FA25" i="19"/>
  <c r="EQ25" i="19"/>
  <c r="EP25" i="19"/>
  <c r="EO25" i="19"/>
  <c r="EN25" i="19"/>
  <c r="EM25" i="19"/>
  <c r="EM125" i="19" s="1"/>
  <c r="EL25" i="19"/>
  <c r="EL125" i="19" s="1"/>
  <c r="EK25" i="19"/>
  <c r="EK125" i="19" s="1"/>
  <c r="EH25" i="19"/>
  <c r="EG25" i="19"/>
  <c r="EF25" i="19"/>
  <c r="EE25" i="19"/>
  <c r="ED25" i="19"/>
  <c r="EA25" i="19"/>
  <c r="EA125" i="19" s="1"/>
  <c r="DZ25" i="19"/>
  <c r="DZ125" i="19" s="1"/>
  <c r="DY25" i="19"/>
  <c r="DY125" i="19" s="1"/>
  <c r="DX25" i="19"/>
  <c r="DX125" i="19" s="1"/>
  <c r="DW25" i="19"/>
  <c r="DW125" i="19" s="1"/>
  <c r="DV25" i="19"/>
  <c r="DV125" i="19" s="1"/>
  <c r="DU25" i="19"/>
  <c r="DU125" i="19" s="1"/>
  <c r="DR25" i="19"/>
  <c r="DQ25" i="19"/>
  <c r="DP25" i="19"/>
  <c r="DO25" i="19"/>
  <c r="DN25" i="19"/>
  <c r="DK25" i="19"/>
  <c r="DK125" i="19" s="1"/>
  <c r="DJ25" i="19"/>
  <c r="DJ125" i="19" s="1"/>
  <c r="DI25" i="19"/>
  <c r="DI125" i="19" s="1"/>
  <c r="DH25" i="19"/>
  <c r="DH125" i="19" s="1"/>
  <c r="DG25" i="19"/>
  <c r="DG125" i="19" s="1"/>
  <c r="DF25" i="19"/>
  <c r="DF125" i="19" s="1"/>
  <c r="DE25" i="19"/>
  <c r="DE125" i="19" s="1"/>
  <c r="CU25" i="19"/>
  <c r="CU125" i="19" s="1"/>
  <c r="CT25" i="19"/>
  <c r="CT125" i="19" s="1"/>
  <c r="CS25" i="19"/>
  <c r="CS125" i="19" s="1"/>
  <c r="CR25" i="19"/>
  <c r="CR125" i="19" s="1"/>
  <c r="CQ25" i="19"/>
  <c r="CQ125" i="19" s="1"/>
  <c r="CP25" i="19"/>
  <c r="CP125" i="19" s="1"/>
  <c r="CO25" i="19"/>
  <c r="CO125" i="19" s="1"/>
  <c r="CL25" i="19"/>
  <c r="CK25" i="19"/>
  <c r="CJ25" i="19"/>
  <c r="CI25" i="19"/>
  <c r="CH25" i="19"/>
  <c r="CE25" i="19"/>
  <c r="CE125" i="19" s="1"/>
  <c r="CD25" i="19"/>
  <c r="CD125" i="19" s="1"/>
  <c r="CC25" i="19"/>
  <c r="CC125" i="19" s="1"/>
  <c r="CB25" i="19"/>
  <c r="CB125" i="19" s="1"/>
  <c r="CA25" i="19"/>
  <c r="CA125" i="19" s="1"/>
  <c r="BZ25" i="19"/>
  <c r="BZ125" i="19" s="1"/>
  <c r="BY25" i="19"/>
  <c r="BY125" i="19" s="1"/>
  <c r="BV25" i="19"/>
  <c r="BU25" i="19"/>
  <c r="BT25" i="19"/>
  <c r="BS25" i="19"/>
  <c r="BR25" i="19"/>
  <c r="BO25" i="19"/>
  <c r="BO125" i="19" s="1"/>
  <c r="BN25" i="19"/>
  <c r="BN125" i="19" s="1"/>
  <c r="BM25" i="19"/>
  <c r="BM125" i="19" s="1"/>
  <c r="BL25" i="19"/>
  <c r="BL125" i="19" s="1"/>
  <c r="BK25" i="19"/>
  <c r="BK125" i="19" s="1"/>
  <c r="BJ25" i="19"/>
  <c r="BJ125" i="19" s="1"/>
  <c r="BI25" i="19"/>
  <c r="BI125" i="19" s="1"/>
  <c r="BF25" i="19"/>
  <c r="BE25" i="19"/>
  <c r="BD25" i="19"/>
  <c r="BC25" i="19"/>
  <c r="BB25" i="19"/>
  <c r="AY25" i="19"/>
  <c r="AY125" i="19" s="1"/>
  <c r="AX25" i="19"/>
  <c r="AX125" i="19" s="1"/>
  <c r="AW25" i="19"/>
  <c r="AW125" i="19" s="1"/>
  <c r="AV25" i="19"/>
  <c r="AV125" i="19" s="1"/>
  <c r="AU25" i="19"/>
  <c r="AU125" i="19" s="1"/>
  <c r="AT25" i="19"/>
  <c r="AT125" i="19" s="1"/>
  <c r="AH25" i="19"/>
  <c r="AH125" i="19" s="1"/>
  <c r="AG25" i="19"/>
  <c r="AG125" i="19" s="1"/>
  <c r="AF25" i="19"/>
  <c r="AF125" i="19" s="1"/>
  <c r="AE25" i="19"/>
  <c r="AE125" i="19" s="1"/>
  <c r="AD25" i="19"/>
  <c r="AD125" i="19" s="1"/>
  <c r="AC25" i="19"/>
  <c r="AC125" i="19" s="1"/>
  <c r="S25" i="19"/>
  <c r="S125" i="19" s="1"/>
  <c r="R25" i="19"/>
  <c r="R125" i="19" s="1"/>
  <c r="Q25" i="19"/>
  <c r="Q125" i="19" s="1"/>
  <c r="P25" i="19"/>
  <c r="P125" i="19" s="1"/>
  <c r="O25" i="19"/>
  <c r="O125" i="19" s="1"/>
  <c r="ID24" i="19"/>
  <c r="IC24" i="19"/>
  <c r="IF24" i="19" s="1"/>
  <c r="IA24" i="19"/>
  <c r="HY24" i="19"/>
  <c r="HZ24" i="19" s="1"/>
  <c r="HU24" i="19"/>
  <c r="HT24" i="19"/>
  <c r="HO24" i="19"/>
  <c r="GN24" i="19"/>
  <c r="FX24" i="19"/>
  <c r="FH24" i="19"/>
  <c r="ER24" i="19"/>
  <c r="EB124" i="19"/>
  <c r="DJ124" i="19"/>
  <c r="DI124" i="19"/>
  <c r="DH124" i="19"/>
  <c r="DG124" i="19"/>
  <c r="DF124" i="19"/>
  <c r="DE124" i="19"/>
  <c r="DB24" i="19"/>
  <c r="DA24" i="19"/>
  <c r="CZ24" i="19"/>
  <c r="CY24" i="19"/>
  <c r="CX24" i="19"/>
  <c r="CU124" i="19"/>
  <c r="CT124" i="19"/>
  <c r="CS124" i="19"/>
  <c r="CR124" i="19"/>
  <c r="CQ124" i="19"/>
  <c r="CP124" i="19"/>
  <c r="CO124" i="19"/>
  <c r="CE124" i="19"/>
  <c r="CD124" i="19"/>
  <c r="CC124" i="19"/>
  <c r="CB124" i="19"/>
  <c r="CA124" i="19"/>
  <c r="BZ124" i="19"/>
  <c r="BY124" i="19"/>
  <c r="BV24" i="19"/>
  <c r="BU24" i="19"/>
  <c r="BT24" i="19"/>
  <c r="BS24" i="19"/>
  <c r="BR24" i="19"/>
  <c r="BP24" i="19"/>
  <c r="BO124" i="19"/>
  <c r="BN124" i="19"/>
  <c r="BM124" i="19"/>
  <c r="BL124" i="19"/>
  <c r="BK124" i="19"/>
  <c r="BJ124" i="19"/>
  <c r="BI124" i="19"/>
  <c r="BF24" i="19"/>
  <c r="BE24" i="19"/>
  <c r="BD24" i="19"/>
  <c r="BC24" i="19"/>
  <c r="BB24" i="19"/>
  <c r="AY124" i="19"/>
  <c r="AX124" i="19"/>
  <c r="AW124" i="19"/>
  <c r="AV124" i="19"/>
  <c r="AU124" i="19"/>
  <c r="AT24" i="19"/>
  <c r="AT124" i="19" s="1"/>
  <c r="AI124" i="19"/>
  <c r="AH124" i="19"/>
  <c r="AG124" i="19"/>
  <c r="AF124" i="19"/>
  <c r="AE124" i="19"/>
  <c r="AD124" i="19"/>
  <c r="AC124" i="19"/>
  <c r="S24" i="19"/>
  <c r="S124" i="19" s="1"/>
  <c r="R124" i="19"/>
  <c r="Q124" i="19"/>
  <c r="P124" i="19"/>
  <c r="O24" i="19"/>
  <c r="O124" i="19" s="1"/>
  <c r="ID23" i="19"/>
  <c r="IC23" i="19"/>
  <c r="IA23" i="19"/>
  <c r="HY23" i="19"/>
  <c r="HZ23" i="19" s="1"/>
  <c r="HU23" i="19"/>
  <c r="HT23" i="19"/>
  <c r="HO23" i="19"/>
  <c r="GN23" i="19"/>
  <c r="FX23" i="19"/>
  <c r="FH23" i="19"/>
  <c r="ER23" i="19"/>
  <c r="EH23" i="19"/>
  <c r="EG23" i="19"/>
  <c r="EF23" i="19"/>
  <c r="EE23" i="19"/>
  <c r="ED23" i="19"/>
  <c r="DU23" i="19"/>
  <c r="EB123" i="19" s="1"/>
  <c r="DK23" i="19"/>
  <c r="DJ23" i="19"/>
  <c r="DI23" i="19"/>
  <c r="DH23" i="19"/>
  <c r="DG23" i="19"/>
  <c r="DF23" i="19"/>
  <c r="DE23" i="19"/>
  <c r="CU23" i="19"/>
  <c r="CT23" i="19"/>
  <c r="CS23" i="19"/>
  <c r="CR23" i="19"/>
  <c r="CQ23" i="19"/>
  <c r="CP23" i="19"/>
  <c r="CP123" i="19" s="1"/>
  <c r="CO23" i="19"/>
  <c r="CO123" i="19" s="1"/>
  <c r="CL23" i="19"/>
  <c r="CK23" i="19"/>
  <c r="CJ23" i="19"/>
  <c r="CI23" i="19"/>
  <c r="CH23" i="19"/>
  <c r="CE23" i="19"/>
  <c r="CE123" i="19" s="1"/>
  <c r="CD23" i="19"/>
  <c r="CD123" i="19" s="1"/>
  <c r="CC23" i="19"/>
  <c r="CC123" i="19" s="1"/>
  <c r="CB23" i="19"/>
  <c r="CB123" i="19" s="1"/>
  <c r="CA23" i="19"/>
  <c r="CA123" i="19" s="1"/>
  <c r="BZ23" i="19"/>
  <c r="BZ123" i="19" s="1"/>
  <c r="BY23" i="19"/>
  <c r="BY123" i="19" s="1"/>
  <c r="BV23" i="19"/>
  <c r="BU23" i="19"/>
  <c r="BT23" i="19"/>
  <c r="BS23" i="19"/>
  <c r="BR23" i="19"/>
  <c r="BO23" i="19"/>
  <c r="BO123" i="19" s="1"/>
  <c r="BN23" i="19"/>
  <c r="BN123" i="19" s="1"/>
  <c r="BM23" i="19"/>
  <c r="BM123" i="19" s="1"/>
  <c r="BL23" i="19"/>
  <c r="BL123" i="19" s="1"/>
  <c r="BK23" i="19"/>
  <c r="BK123" i="19" s="1"/>
  <c r="BJ23" i="19"/>
  <c r="BJ123" i="19" s="1"/>
  <c r="BI23" i="19"/>
  <c r="BI123" i="19" s="1"/>
  <c r="BF23" i="19"/>
  <c r="BE23" i="19"/>
  <c r="BD23" i="19"/>
  <c r="BC23" i="19"/>
  <c r="BB23" i="19"/>
  <c r="AX23" i="19"/>
  <c r="AX123" i="19" s="1"/>
  <c r="AW23" i="19"/>
  <c r="AW123" i="19" s="1"/>
  <c r="AV23" i="19"/>
  <c r="AV123" i="19" s="1"/>
  <c r="AU23" i="19"/>
  <c r="AU123" i="19" s="1"/>
  <c r="AT23" i="19"/>
  <c r="AT123" i="19" s="1"/>
  <c r="AI23" i="19"/>
  <c r="AI123" i="19" s="1"/>
  <c r="AH23" i="19"/>
  <c r="AH123" i="19" s="1"/>
  <c r="AG23" i="19"/>
  <c r="AG123" i="19" s="1"/>
  <c r="AF23" i="19"/>
  <c r="AF123" i="19" s="1"/>
  <c r="AE23" i="19"/>
  <c r="AE123" i="19" s="1"/>
  <c r="AD23" i="19"/>
  <c r="AD123" i="19" s="1"/>
  <c r="AC23" i="19"/>
  <c r="AC123" i="19" s="1"/>
  <c r="S23" i="19"/>
  <c r="S123" i="19" s="1"/>
  <c r="R23" i="19"/>
  <c r="R123" i="19" s="1"/>
  <c r="Q23" i="19"/>
  <c r="Q123" i="19" s="1"/>
  <c r="P23" i="19"/>
  <c r="P123" i="19" s="1"/>
  <c r="O23" i="19"/>
  <c r="O123" i="19" s="1"/>
  <c r="ID22" i="19"/>
  <c r="IC22" i="19"/>
  <c r="IA22" i="19"/>
  <c r="HY22" i="19"/>
  <c r="HZ22" i="19" s="1"/>
  <c r="HU22" i="19"/>
  <c r="HT22" i="19"/>
  <c r="HO22" i="19"/>
  <c r="GN22" i="19"/>
  <c r="FS22" i="19"/>
  <c r="FR22" i="19"/>
  <c r="FQ22" i="19"/>
  <c r="FG22" i="19"/>
  <c r="FF22" i="19"/>
  <c r="FE22" i="19"/>
  <c r="FD22" i="19"/>
  <c r="FC22" i="19"/>
  <c r="FB22" i="19"/>
  <c r="FA22" i="19"/>
  <c r="EQ22" i="19"/>
  <c r="EP22" i="19"/>
  <c r="EO22" i="19"/>
  <c r="EN22" i="19"/>
  <c r="EM22" i="19"/>
  <c r="EL22" i="19"/>
  <c r="EK22" i="19"/>
  <c r="EH22" i="19"/>
  <c r="EG22" i="19"/>
  <c r="EF22" i="19"/>
  <c r="EE22" i="19"/>
  <c r="ED22" i="19"/>
  <c r="EA22" i="19"/>
  <c r="DZ22" i="19"/>
  <c r="DY22" i="19"/>
  <c r="DX22" i="19"/>
  <c r="DW22" i="19"/>
  <c r="DV22" i="19"/>
  <c r="DU22" i="19"/>
  <c r="DR22" i="19"/>
  <c r="DQ22" i="19"/>
  <c r="DP22" i="19"/>
  <c r="DO22" i="19"/>
  <c r="DN22" i="19"/>
  <c r="DK22" i="19"/>
  <c r="DJ22" i="19"/>
  <c r="DI22" i="19"/>
  <c r="DH22" i="19"/>
  <c r="DG22" i="19"/>
  <c r="DF22" i="19"/>
  <c r="DF122" i="19" s="1"/>
  <c r="DE22" i="19"/>
  <c r="DE122" i="19" s="1"/>
  <c r="DB22" i="19"/>
  <c r="DA22" i="19"/>
  <c r="CZ22" i="19"/>
  <c r="CY22" i="19"/>
  <c r="CX22" i="19"/>
  <c r="CU22" i="19"/>
  <c r="CU122" i="19" s="1"/>
  <c r="CT22" i="19"/>
  <c r="CT122" i="19" s="1"/>
  <c r="CS22" i="19"/>
  <c r="CS122" i="19" s="1"/>
  <c r="CR22" i="19"/>
  <c r="CR122" i="19" s="1"/>
  <c r="CQ22" i="19"/>
  <c r="CQ122" i="19" s="1"/>
  <c r="CP22" i="19"/>
  <c r="CP122" i="19" s="1"/>
  <c r="CO22" i="19"/>
  <c r="CO122" i="19" s="1"/>
  <c r="CE22" i="19"/>
  <c r="CE122" i="19" s="1"/>
  <c r="CD22" i="19"/>
  <c r="CD122" i="19" s="1"/>
  <c r="CC22" i="19"/>
  <c r="CC122" i="19" s="1"/>
  <c r="CB22" i="19"/>
  <c r="CB122" i="19" s="1"/>
  <c r="CA22" i="19"/>
  <c r="CA122" i="19" s="1"/>
  <c r="BZ22" i="19"/>
  <c r="BZ122" i="19" s="1"/>
  <c r="BY22" i="19"/>
  <c r="BY122" i="19" s="1"/>
  <c r="BV22" i="19"/>
  <c r="BU22" i="19"/>
  <c r="BT22" i="19"/>
  <c r="BS22" i="19"/>
  <c r="BR22" i="19"/>
  <c r="BO22" i="19"/>
  <c r="BO122" i="19" s="1"/>
  <c r="BN22" i="19"/>
  <c r="BN122" i="19" s="1"/>
  <c r="BM22" i="19"/>
  <c r="BM122" i="19" s="1"/>
  <c r="BL22" i="19"/>
  <c r="BL122" i="19" s="1"/>
  <c r="BK22" i="19"/>
  <c r="BK122" i="19" s="1"/>
  <c r="BJ22" i="19"/>
  <c r="BJ122" i="19" s="1"/>
  <c r="BI22" i="19"/>
  <c r="BI122" i="19" s="1"/>
  <c r="BF22" i="19"/>
  <c r="BE22" i="19"/>
  <c r="BD22" i="19"/>
  <c r="BC22" i="19"/>
  <c r="BB22" i="19"/>
  <c r="AY22" i="19"/>
  <c r="AY122" i="19" s="1"/>
  <c r="AX22" i="19"/>
  <c r="AX122" i="19" s="1"/>
  <c r="AW22" i="19"/>
  <c r="AW122" i="19" s="1"/>
  <c r="AV22" i="19"/>
  <c r="AV122" i="19" s="1"/>
  <c r="AU22" i="19"/>
  <c r="AU122" i="19" s="1"/>
  <c r="AT22" i="19"/>
  <c r="AT122" i="19" s="1"/>
  <c r="AI22" i="19"/>
  <c r="AI122" i="19" s="1"/>
  <c r="AH22" i="19"/>
  <c r="AH122" i="19" s="1"/>
  <c r="AG22" i="19"/>
  <c r="AG122" i="19" s="1"/>
  <c r="AF22" i="19"/>
  <c r="AF122" i="19" s="1"/>
  <c r="AE22" i="19"/>
  <c r="AE122" i="19" s="1"/>
  <c r="AD22" i="19"/>
  <c r="AD122" i="19" s="1"/>
  <c r="AC22" i="19"/>
  <c r="S22" i="19"/>
  <c r="ID21" i="19"/>
  <c r="IC21" i="19"/>
  <c r="IF21" i="19" s="1"/>
  <c r="IA21" i="19"/>
  <c r="HY21" i="19"/>
  <c r="HZ21" i="19" s="1"/>
  <c r="HU21" i="19"/>
  <c r="HT21" i="19"/>
  <c r="HO21" i="19"/>
  <c r="GN21" i="19"/>
  <c r="FX21" i="19"/>
  <c r="FH21" i="19"/>
  <c r="ER21" i="19"/>
  <c r="EB21" i="19"/>
  <c r="DL21" i="19"/>
  <c r="CV21" i="19"/>
  <c r="CL21" i="19"/>
  <c r="CK21" i="19"/>
  <c r="CJ21" i="19"/>
  <c r="CI21" i="19"/>
  <c r="CH21" i="19"/>
  <c r="CE21" i="19"/>
  <c r="CD21" i="19"/>
  <c r="BP21" i="19"/>
  <c r="BF21" i="19"/>
  <c r="BE21" i="19"/>
  <c r="BD21" i="19"/>
  <c r="BC21" i="19"/>
  <c r="BB21" i="19"/>
  <c r="AZ21" i="19"/>
  <c r="AJ21" i="19"/>
  <c r="T21" i="19"/>
  <c r="ID20" i="19"/>
  <c r="IC20" i="19"/>
  <c r="IF20" i="19" s="1"/>
  <c r="IA20" i="19"/>
  <c r="HY20" i="19"/>
  <c r="HZ20" i="19" s="1"/>
  <c r="HU20" i="19"/>
  <c r="HT20" i="19"/>
  <c r="HO20" i="19"/>
  <c r="GN20" i="19"/>
  <c r="FX20" i="19"/>
  <c r="FH20" i="19"/>
  <c r="ER20" i="19"/>
  <c r="DU20" i="19"/>
  <c r="EB120" i="19" s="1"/>
  <c r="DR20" i="19"/>
  <c r="DQ20" i="19"/>
  <c r="DP20" i="19"/>
  <c r="DO20" i="19"/>
  <c r="DN20" i="19"/>
  <c r="DK20" i="19"/>
  <c r="DJ20" i="19"/>
  <c r="DI20" i="19"/>
  <c r="DH20" i="19"/>
  <c r="DG20" i="19"/>
  <c r="DF20" i="19"/>
  <c r="DE20" i="19"/>
  <c r="CU20" i="19"/>
  <c r="CT20" i="19"/>
  <c r="CS20" i="19"/>
  <c r="CR20" i="19"/>
  <c r="CQ20" i="19"/>
  <c r="CP20" i="19"/>
  <c r="CO20" i="19"/>
  <c r="CL20" i="19"/>
  <c r="CK20" i="19"/>
  <c r="CJ20" i="19"/>
  <c r="CI20" i="19"/>
  <c r="CH20" i="19"/>
  <c r="CE20" i="19"/>
  <c r="CD20" i="19"/>
  <c r="CC20" i="19"/>
  <c r="CC120" i="19" s="1"/>
  <c r="CB20" i="19"/>
  <c r="CB120" i="19" s="1"/>
  <c r="CA20" i="19"/>
  <c r="CA120" i="19" s="1"/>
  <c r="BZ20" i="19"/>
  <c r="BZ120" i="19" s="1"/>
  <c r="BY20" i="19"/>
  <c r="BY120" i="19" s="1"/>
  <c r="BO20" i="19"/>
  <c r="BO120" i="19" s="1"/>
  <c r="BN20" i="19"/>
  <c r="BN120" i="19" s="1"/>
  <c r="BM20" i="19"/>
  <c r="BM120" i="19" s="1"/>
  <c r="BL20" i="19"/>
  <c r="BL120" i="19" s="1"/>
  <c r="BK20" i="19"/>
  <c r="BK120" i="19" s="1"/>
  <c r="BJ20" i="19"/>
  <c r="BJ120" i="19" s="1"/>
  <c r="BI20" i="19"/>
  <c r="BI120" i="19" s="1"/>
  <c r="BF20" i="19"/>
  <c r="BE20" i="19"/>
  <c r="BD20" i="19"/>
  <c r="BC20" i="19"/>
  <c r="BB20" i="19"/>
  <c r="AY20" i="19"/>
  <c r="AY120" i="19" s="1"/>
  <c r="AX20" i="19"/>
  <c r="AX120" i="19" s="1"/>
  <c r="AW20" i="19"/>
  <c r="AW120" i="19" s="1"/>
  <c r="AV20" i="19"/>
  <c r="AV120" i="19" s="1"/>
  <c r="AU20" i="19"/>
  <c r="AU120" i="19" s="1"/>
  <c r="AT20" i="19"/>
  <c r="AT120" i="19" s="1"/>
  <c r="AS20" i="19"/>
  <c r="AS120" i="19" s="1"/>
  <c r="AP20" i="19"/>
  <c r="AO20" i="19"/>
  <c r="AN20" i="19"/>
  <c r="AM20" i="19"/>
  <c r="AL20" i="19"/>
  <c r="AI20" i="19"/>
  <c r="AI120" i="19" s="1"/>
  <c r="AH20" i="19"/>
  <c r="AH120" i="19" s="1"/>
  <c r="AG20" i="19"/>
  <c r="AG120" i="19" s="1"/>
  <c r="AF20" i="19"/>
  <c r="AF120" i="19" s="1"/>
  <c r="AE20" i="19"/>
  <c r="AE120" i="19" s="1"/>
  <c r="AD20" i="19"/>
  <c r="AD120" i="19" s="1"/>
  <c r="AC20" i="19"/>
  <c r="AC120" i="19" s="1"/>
  <c r="S20" i="19"/>
  <c r="S120" i="19" s="1"/>
  <c r="R20" i="19"/>
  <c r="R120" i="19" s="1"/>
  <c r="Q20" i="19"/>
  <c r="Q120" i="19" s="1"/>
  <c r="P20" i="19"/>
  <c r="P120" i="19" s="1"/>
  <c r="ID19" i="19"/>
  <c r="IC19" i="19"/>
  <c r="IF19" i="19" s="1"/>
  <c r="IA19" i="19"/>
  <c r="HY19" i="19"/>
  <c r="HZ19" i="19" s="1"/>
  <c r="HU19" i="19"/>
  <c r="HT19" i="19"/>
  <c r="HO19" i="19"/>
  <c r="GN19" i="19"/>
  <c r="FS19" i="19"/>
  <c r="FR19" i="19"/>
  <c r="FQ19" i="19"/>
  <c r="FX119" i="19" s="1"/>
  <c r="FG19" i="19"/>
  <c r="FF19" i="19"/>
  <c r="FE19" i="19"/>
  <c r="FD19" i="19"/>
  <c r="FC19" i="19"/>
  <c r="FB19" i="19"/>
  <c r="FA19" i="19"/>
  <c r="EQ19" i="19"/>
  <c r="EP19" i="19"/>
  <c r="EO19" i="19"/>
  <c r="EN19" i="19"/>
  <c r="EM19" i="19"/>
  <c r="EL19" i="19"/>
  <c r="EK19" i="19"/>
  <c r="EH19" i="19"/>
  <c r="EG19" i="19"/>
  <c r="EF19" i="19"/>
  <c r="EE19" i="19"/>
  <c r="ED19" i="19"/>
  <c r="EA19" i="19"/>
  <c r="DZ19" i="19"/>
  <c r="DY19" i="19"/>
  <c r="DX19" i="19"/>
  <c r="DW19" i="19"/>
  <c r="DV19" i="19"/>
  <c r="DV119" i="19" s="1"/>
  <c r="DU19" i="19"/>
  <c r="DU119" i="19" s="1"/>
  <c r="DR19" i="19"/>
  <c r="DQ19" i="19"/>
  <c r="DP19" i="19"/>
  <c r="DO19" i="19"/>
  <c r="DN19" i="19"/>
  <c r="DK19" i="19"/>
  <c r="DK119" i="19" s="1"/>
  <c r="DJ19" i="19"/>
  <c r="DJ119" i="19" s="1"/>
  <c r="DI19" i="19"/>
  <c r="DI119" i="19" s="1"/>
  <c r="DH19" i="19"/>
  <c r="DH119" i="19" s="1"/>
  <c r="DG19" i="19"/>
  <c r="DG119" i="19" s="1"/>
  <c r="DF19" i="19"/>
  <c r="DF119" i="19" s="1"/>
  <c r="DE19" i="19"/>
  <c r="DE119" i="19" s="1"/>
  <c r="CU19" i="19"/>
  <c r="CU119" i="19" s="1"/>
  <c r="CT19" i="19"/>
  <c r="CT119" i="19" s="1"/>
  <c r="CS19" i="19"/>
  <c r="CS119" i="19" s="1"/>
  <c r="CR19" i="19"/>
  <c r="CR119" i="19" s="1"/>
  <c r="CQ19" i="19"/>
  <c r="CQ119" i="19" s="1"/>
  <c r="CP19" i="19"/>
  <c r="CP119" i="19" s="1"/>
  <c r="CO19" i="19"/>
  <c r="CO119" i="19" s="1"/>
  <c r="CL19" i="19"/>
  <c r="CK19" i="19"/>
  <c r="CJ19" i="19"/>
  <c r="CI19" i="19"/>
  <c r="CH19" i="19"/>
  <c r="CE19" i="19"/>
  <c r="CE119" i="19" s="1"/>
  <c r="CD19" i="19"/>
  <c r="CD119" i="19" s="1"/>
  <c r="CC19" i="19"/>
  <c r="CC119" i="19" s="1"/>
  <c r="CB19" i="19"/>
  <c r="CB119" i="19" s="1"/>
  <c r="CA19" i="19"/>
  <c r="CA119" i="19" s="1"/>
  <c r="BZ19" i="19"/>
  <c r="BZ119" i="19" s="1"/>
  <c r="BY19" i="19"/>
  <c r="BY119" i="19" s="1"/>
  <c r="BV19" i="19"/>
  <c r="BU19" i="19"/>
  <c r="BT19" i="19"/>
  <c r="BS19" i="19"/>
  <c r="BR19" i="19"/>
  <c r="BO19" i="19"/>
  <c r="BO119" i="19" s="1"/>
  <c r="BN19" i="19"/>
  <c r="BN119" i="19" s="1"/>
  <c r="BM19" i="19"/>
  <c r="BM119" i="19" s="1"/>
  <c r="BL19" i="19"/>
  <c r="BL119" i="19" s="1"/>
  <c r="BK19" i="19"/>
  <c r="BK119" i="19" s="1"/>
  <c r="BJ19" i="19"/>
  <c r="BJ119" i="19" s="1"/>
  <c r="BI19" i="19"/>
  <c r="BI119" i="19" s="1"/>
  <c r="BF19" i="19"/>
  <c r="BE19" i="19"/>
  <c r="BD19" i="19"/>
  <c r="BC19" i="19"/>
  <c r="BB19" i="19"/>
  <c r="AY19" i="19"/>
  <c r="AY119" i="19" s="1"/>
  <c r="AX19" i="19"/>
  <c r="AX119" i="19" s="1"/>
  <c r="AW19" i="19"/>
  <c r="AW119" i="19" s="1"/>
  <c r="AV19" i="19"/>
  <c r="AV119" i="19" s="1"/>
  <c r="AU19" i="19"/>
  <c r="AU119" i="19" s="1"/>
  <c r="AT19" i="19"/>
  <c r="AT119" i="19" s="1"/>
  <c r="AS19" i="19"/>
  <c r="AS119" i="19" s="1"/>
  <c r="AI19" i="19"/>
  <c r="AI119" i="19" s="1"/>
  <c r="AH19" i="19"/>
  <c r="AH119" i="19" s="1"/>
  <c r="AG19" i="19"/>
  <c r="AG119" i="19" s="1"/>
  <c r="AF19" i="19"/>
  <c r="AF119" i="19" s="1"/>
  <c r="AE19" i="19"/>
  <c r="AE119" i="19" s="1"/>
  <c r="AD19" i="19"/>
  <c r="AD119" i="19" s="1"/>
  <c r="AC19" i="19"/>
  <c r="AC119" i="19" s="1"/>
  <c r="S19" i="19"/>
  <c r="S119" i="19" s="1"/>
  <c r="R19" i="19"/>
  <c r="R119" i="19" s="1"/>
  <c r="Q19" i="19"/>
  <c r="Q119" i="19" s="1"/>
  <c r="P19" i="19"/>
  <c r="P119" i="19" s="1"/>
  <c r="ID18" i="19"/>
  <c r="IC18" i="19"/>
  <c r="IF18" i="19" s="1"/>
  <c r="IA18" i="19"/>
  <c r="HY18" i="19"/>
  <c r="HZ18" i="19" s="1"/>
  <c r="HU18" i="19"/>
  <c r="HT18" i="19"/>
  <c r="HO18" i="19"/>
  <c r="GN18" i="19"/>
  <c r="FS18" i="19"/>
  <c r="FR18" i="19"/>
  <c r="FQ18" i="19"/>
  <c r="FX118" i="19" s="1"/>
  <c r="FG18" i="19"/>
  <c r="FF18" i="19"/>
  <c r="FE18" i="19"/>
  <c r="FD18" i="19"/>
  <c r="FC18" i="19"/>
  <c r="FB18" i="19"/>
  <c r="FA18" i="19"/>
  <c r="EQ18" i="19"/>
  <c r="EP18" i="19"/>
  <c r="EP118" i="19" s="1"/>
  <c r="EO18" i="19"/>
  <c r="EO118" i="19" s="1"/>
  <c r="EN18" i="19"/>
  <c r="EN118" i="19" s="1"/>
  <c r="EM18" i="19"/>
  <c r="EM118" i="19" s="1"/>
  <c r="EL18" i="19"/>
  <c r="EL118" i="19" s="1"/>
  <c r="EK18" i="19"/>
  <c r="EK118" i="19" s="1"/>
  <c r="EA18" i="19"/>
  <c r="EA118" i="19" s="1"/>
  <c r="DZ18" i="19"/>
  <c r="DZ118" i="19" s="1"/>
  <c r="DY18" i="19"/>
  <c r="DY118" i="19" s="1"/>
  <c r="DX18" i="19"/>
  <c r="DX118" i="19" s="1"/>
  <c r="DW18" i="19"/>
  <c r="DW118" i="19" s="1"/>
  <c r="DV18" i="19"/>
  <c r="DV118" i="19" s="1"/>
  <c r="DU18" i="19"/>
  <c r="DU118" i="19" s="1"/>
  <c r="DR18" i="19"/>
  <c r="DQ18" i="19"/>
  <c r="DP18" i="19"/>
  <c r="DO18" i="19"/>
  <c r="DN18" i="19"/>
  <c r="DK18" i="19"/>
  <c r="DK118" i="19" s="1"/>
  <c r="DJ18" i="19"/>
  <c r="DJ118" i="19" s="1"/>
  <c r="DI18" i="19"/>
  <c r="DI118" i="19" s="1"/>
  <c r="DH18" i="19"/>
  <c r="DH118" i="19" s="1"/>
  <c r="DG18" i="19"/>
  <c r="DG118" i="19" s="1"/>
  <c r="DF18" i="19"/>
  <c r="DF118" i="19" s="1"/>
  <c r="DE18" i="19"/>
  <c r="DE118" i="19" s="1"/>
  <c r="CU18" i="19"/>
  <c r="CU118" i="19" s="1"/>
  <c r="CT18" i="19"/>
  <c r="CT118" i="19" s="1"/>
  <c r="CS18" i="19"/>
  <c r="CS118" i="19" s="1"/>
  <c r="CR18" i="19"/>
  <c r="CR118" i="19" s="1"/>
  <c r="CQ18" i="19"/>
  <c r="CQ118" i="19" s="1"/>
  <c r="CP18" i="19"/>
  <c r="CP118" i="19" s="1"/>
  <c r="CO18" i="19"/>
  <c r="CO118" i="19" s="1"/>
  <c r="CL18" i="19"/>
  <c r="CK18" i="19"/>
  <c r="CJ18" i="19"/>
  <c r="CI18" i="19"/>
  <c r="CH18" i="19"/>
  <c r="CE18" i="19"/>
  <c r="CE118" i="19" s="1"/>
  <c r="CD18" i="19"/>
  <c r="CD118" i="19" s="1"/>
  <c r="CC18" i="19"/>
  <c r="CC118" i="19" s="1"/>
  <c r="CB18" i="19"/>
  <c r="CB118" i="19" s="1"/>
  <c r="CA18" i="19"/>
  <c r="CA118" i="19" s="1"/>
  <c r="BZ18" i="19"/>
  <c r="BZ118" i="19" s="1"/>
  <c r="BY18" i="19"/>
  <c r="BY118" i="19" s="1"/>
  <c r="BO18" i="19"/>
  <c r="BO118" i="19" s="1"/>
  <c r="BN18" i="19"/>
  <c r="BN118" i="19" s="1"/>
  <c r="BM18" i="19"/>
  <c r="BM118" i="19" s="1"/>
  <c r="BL18" i="19"/>
  <c r="BL118" i="19" s="1"/>
  <c r="BK18" i="19"/>
  <c r="BK118" i="19" s="1"/>
  <c r="BJ18" i="19"/>
  <c r="BJ118" i="19" s="1"/>
  <c r="BI18" i="19"/>
  <c r="BI118" i="19" s="1"/>
  <c r="BF18" i="19"/>
  <c r="BE18" i="19"/>
  <c r="BD18" i="19"/>
  <c r="BC18" i="19"/>
  <c r="BB18" i="19"/>
  <c r="AY18" i="19"/>
  <c r="AY118" i="19" s="1"/>
  <c r="AX18" i="19"/>
  <c r="AX118" i="19" s="1"/>
  <c r="AW18" i="19"/>
  <c r="AW118" i="19" s="1"/>
  <c r="AV18" i="19"/>
  <c r="AV118" i="19" s="1"/>
  <c r="AU18" i="19"/>
  <c r="AU118" i="19" s="1"/>
  <c r="AT18" i="19"/>
  <c r="AT118" i="19" s="1"/>
  <c r="AS18" i="19"/>
  <c r="AS118" i="19" s="1"/>
  <c r="AI18" i="19"/>
  <c r="AI118" i="19" s="1"/>
  <c r="AH18" i="19"/>
  <c r="AH118" i="19" s="1"/>
  <c r="AG18" i="19"/>
  <c r="AG118" i="19" s="1"/>
  <c r="AF18" i="19"/>
  <c r="AF118" i="19" s="1"/>
  <c r="AE18" i="19"/>
  <c r="AE118" i="19" s="1"/>
  <c r="AD18" i="19"/>
  <c r="AD118" i="19" s="1"/>
  <c r="AC18" i="19"/>
  <c r="AC118" i="19" s="1"/>
  <c r="S18" i="19"/>
  <c r="S118" i="19" s="1"/>
  <c r="R18" i="19"/>
  <c r="R118" i="19" s="1"/>
  <c r="Q18" i="19"/>
  <c r="Q118" i="19" s="1"/>
  <c r="P18" i="19"/>
  <c r="P118" i="19" s="1"/>
  <c r="ID17" i="19"/>
  <c r="IC17" i="19"/>
  <c r="IF17" i="19" s="1"/>
  <c r="IA17" i="19"/>
  <c r="HY17" i="19"/>
  <c r="HZ17" i="19" s="1"/>
  <c r="HU17" i="19"/>
  <c r="HT17" i="19"/>
  <c r="HO17" i="19"/>
  <c r="GN17" i="19"/>
  <c r="FX17" i="19"/>
  <c r="FH17" i="19"/>
  <c r="ER17" i="19"/>
  <c r="DU17" i="19"/>
  <c r="EB117" i="19" s="1"/>
  <c r="DR17" i="19"/>
  <c r="DQ17" i="19"/>
  <c r="DP17" i="19"/>
  <c r="DO17" i="19"/>
  <c r="DN17" i="19"/>
  <c r="DK17" i="19"/>
  <c r="DK117" i="19" s="1"/>
  <c r="DJ17" i="19"/>
  <c r="DJ117" i="19" s="1"/>
  <c r="DI17" i="19"/>
  <c r="DI117" i="19" s="1"/>
  <c r="DH17" i="19"/>
  <c r="DH117" i="19" s="1"/>
  <c r="DG17" i="19"/>
  <c r="DG117" i="19" s="1"/>
  <c r="DF17" i="19"/>
  <c r="DF117" i="19" s="1"/>
  <c r="DE17" i="19"/>
  <c r="DE117" i="19" s="1"/>
  <c r="DB17" i="19"/>
  <c r="DA17" i="19"/>
  <c r="CZ17" i="19"/>
  <c r="CY17" i="19"/>
  <c r="CX17" i="19"/>
  <c r="CU17" i="19"/>
  <c r="CU117" i="19" s="1"/>
  <c r="CT17" i="19"/>
  <c r="CT117" i="19" s="1"/>
  <c r="CS17" i="19"/>
  <c r="CS117" i="19" s="1"/>
  <c r="CR17" i="19"/>
  <c r="CR117" i="19" s="1"/>
  <c r="CQ17" i="19"/>
  <c r="CQ117" i="19" s="1"/>
  <c r="CP17" i="19"/>
  <c r="CP117" i="19" s="1"/>
  <c r="CO17" i="19"/>
  <c r="CO117" i="19" s="1"/>
  <c r="CE17" i="19"/>
  <c r="CE117" i="19" s="1"/>
  <c r="CD17" i="19"/>
  <c r="CD117" i="19" s="1"/>
  <c r="CC17" i="19"/>
  <c r="CC117" i="19" s="1"/>
  <c r="CB17" i="19"/>
  <c r="CB117" i="19" s="1"/>
  <c r="CA17" i="19"/>
  <c r="CA117" i="19" s="1"/>
  <c r="BZ17" i="19"/>
  <c r="BZ117" i="19" s="1"/>
  <c r="BY17" i="19"/>
  <c r="BY117" i="19" s="1"/>
  <c r="BV17" i="19"/>
  <c r="BU17" i="19"/>
  <c r="BT17" i="19"/>
  <c r="BS17" i="19"/>
  <c r="BR17" i="19"/>
  <c r="BO17" i="19"/>
  <c r="BO117" i="19" s="1"/>
  <c r="BN17" i="19"/>
  <c r="BN117" i="19" s="1"/>
  <c r="BM17" i="19"/>
  <c r="BM117" i="19" s="1"/>
  <c r="BL17" i="19"/>
  <c r="BL117" i="19" s="1"/>
  <c r="BK17" i="19"/>
  <c r="BK117" i="19" s="1"/>
  <c r="BJ17" i="19"/>
  <c r="BJ117" i="19" s="1"/>
  <c r="BI17" i="19"/>
  <c r="BI117" i="19" s="1"/>
  <c r="BF17" i="19"/>
  <c r="BE17" i="19"/>
  <c r="BD17" i="19"/>
  <c r="BC17" i="19"/>
  <c r="BB17" i="19"/>
  <c r="AY17" i="19"/>
  <c r="AY117" i="19" s="1"/>
  <c r="AX17" i="19"/>
  <c r="AX117" i="19" s="1"/>
  <c r="AW17" i="19"/>
  <c r="AW117" i="19" s="1"/>
  <c r="AV17" i="19"/>
  <c r="AV117" i="19" s="1"/>
  <c r="AU17" i="19"/>
  <c r="AU117" i="19" s="1"/>
  <c r="AT17" i="19"/>
  <c r="AT117" i="19" s="1"/>
  <c r="AS17" i="19"/>
  <c r="AS117" i="19" s="1"/>
  <c r="AP17" i="19"/>
  <c r="AO17" i="19"/>
  <c r="AN17" i="19"/>
  <c r="AM17" i="19"/>
  <c r="AL17" i="19"/>
  <c r="AI17" i="19"/>
  <c r="AI117" i="19" s="1"/>
  <c r="AH17" i="19"/>
  <c r="AH117" i="19" s="1"/>
  <c r="AG17" i="19"/>
  <c r="AG117" i="19" s="1"/>
  <c r="AF17" i="19"/>
  <c r="AF117" i="19" s="1"/>
  <c r="AE17" i="19"/>
  <c r="AE117" i="19" s="1"/>
  <c r="AD17" i="19"/>
  <c r="AD117" i="19" s="1"/>
  <c r="AC17" i="19"/>
  <c r="AC117" i="19" s="1"/>
  <c r="S17" i="19"/>
  <c r="S117" i="19" s="1"/>
  <c r="R17" i="19"/>
  <c r="R117" i="19" s="1"/>
  <c r="Q17" i="19"/>
  <c r="Q117" i="19" s="1"/>
  <c r="P17" i="19"/>
  <c r="P117" i="19" s="1"/>
  <c r="ID16" i="19"/>
  <c r="IC16" i="19"/>
  <c r="IF16" i="19" s="1"/>
  <c r="IA16" i="19"/>
  <c r="HY16" i="19"/>
  <c r="HZ16" i="19" s="1"/>
  <c r="HU16" i="19"/>
  <c r="HV16" i="19" s="1"/>
  <c r="HT16" i="19"/>
  <c r="HO16" i="19"/>
  <c r="GN16" i="19"/>
  <c r="FS16" i="19"/>
  <c r="FR16" i="19"/>
  <c r="FQ16" i="19"/>
  <c r="FG16" i="19"/>
  <c r="FF16" i="19"/>
  <c r="FE16" i="19"/>
  <c r="FD16" i="19"/>
  <c r="FC16" i="19"/>
  <c r="FB16" i="19"/>
  <c r="FA16" i="19"/>
  <c r="EQ16" i="19"/>
  <c r="EP16" i="19"/>
  <c r="EO16" i="19"/>
  <c r="EN16" i="19"/>
  <c r="EM16" i="19"/>
  <c r="EL16" i="19"/>
  <c r="EK16" i="19"/>
  <c r="EA16" i="19"/>
  <c r="DZ16" i="19"/>
  <c r="DY16" i="19"/>
  <c r="DX16" i="19"/>
  <c r="DW16" i="19"/>
  <c r="DV16" i="19"/>
  <c r="DU16" i="19"/>
  <c r="DR16" i="19"/>
  <c r="DQ16" i="19"/>
  <c r="DP16" i="19"/>
  <c r="DO16" i="19"/>
  <c r="DN16" i="19"/>
  <c r="DK16" i="19"/>
  <c r="DJ16" i="19"/>
  <c r="DI16" i="19"/>
  <c r="DH16" i="19"/>
  <c r="DG16" i="19"/>
  <c r="DF16" i="19"/>
  <c r="DE16" i="19"/>
  <c r="CU16" i="19"/>
  <c r="CT16" i="19"/>
  <c r="CS16" i="19"/>
  <c r="CR16" i="19"/>
  <c r="CQ16" i="19"/>
  <c r="CP16" i="19"/>
  <c r="CO16" i="19"/>
  <c r="CE16" i="19"/>
  <c r="CD16" i="19"/>
  <c r="CC16" i="19"/>
  <c r="CB16" i="19"/>
  <c r="CA16" i="19"/>
  <c r="BZ16" i="19"/>
  <c r="BY16" i="19"/>
  <c r="BO16" i="19"/>
  <c r="BN16" i="19"/>
  <c r="BM16" i="19"/>
  <c r="BL16" i="19"/>
  <c r="BK16" i="19"/>
  <c r="BJ16" i="19"/>
  <c r="BI16" i="19"/>
  <c r="AY16" i="19"/>
  <c r="AX16" i="19"/>
  <c r="AW16" i="19"/>
  <c r="AV16" i="19"/>
  <c r="AU16" i="19"/>
  <c r="AT16" i="19"/>
  <c r="AS16" i="19"/>
  <c r="AI16" i="19"/>
  <c r="AH16" i="19"/>
  <c r="AG16" i="19"/>
  <c r="AF16" i="19"/>
  <c r="AE16" i="19"/>
  <c r="AD16" i="19"/>
  <c r="AC16" i="19"/>
  <c r="S16" i="19"/>
  <c r="R16" i="19"/>
  <c r="Q16" i="19"/>
  <c r="P16" i="19"/>
  <c r="IC15" i="19"/>
  <c r="IF15" i="19" s="1"/>
  <c r="IA15" i="19"/>
  <c r="HY15" i="19"/>
  <c r="HZ15" i="19" s="1"/>
  <c r="HU15" i="19"/>
  <c r="HT15" i="19"/>
  <c r="HO15" i="19"/>
  <c r="GN15" i="19"/>
  <c r="FX15" i="19"/>
  <c r="FH15" i="19"/>
  <c r="ER15" i="19"/>
  <c r="EH15" i="19"/>
  <c r="EG15" i="19"/>
  <c r="EF15" i="19"/>
  <c r="EE15" i="19"/>
  <c r="ED15" i="19"/>
  <c r="DU15" i="19"/>
  <c r="EB115" i="19" s="1"/>
  <c r="DR15" i="19"/>
  <c r="DQ15" i="19"/>
  <c r="DP15" i="19"/>
  <c r="DO15" i="19"/>
  <c r="DN15" i="19"/>
  <c r="DK15" i="19"/>
  <c r="DJ15" i="19"/>
  <c r="DI15" i="19"/>
  <c r="DH15" i="19"/>
  <c r="DG15" i="19"/>
  <c r="DG115" i="19" s="1"/>
  <c r="DF15" i="19"/>
  <c r="DF115" i="19" s="1"/>
  <c r="DE15" i="19"/>
  <c r="DE115" i="19" s="1"/>
  <c r="DB15" i="19"/>
  <c r="DA15" i="19"/>
  <c r="CZ15" i="19"/>
  <c r="CY15" i="19"/>
  <c r="CX15" i="19"/>
  <c r="CU15" i="19"/>
  <c r="CU115" i="19" s="1"/>
  <c r="CT15" i="19"/>
  <c r="CT115" i="19" s="1"/>
  <c r="CS15" i="19"/>
  <c r="CS115" i="19" s="1"/>
  <c r="CR15" i="19"/>
  <c r="CR115" i="19" s="1"/>
  <c r="CQ15" i="19"/>
  <c r="CQ115" i="19" s="1"/>
  <c r="CP15" i="19"/>
  <c r="CP115" i="19" s="1"/>
  <c r="CO15" i="19"/>
  <c r="CO115" i="19" s="1"/>
  <c r="CL15" i="19"/>
  <c r="CK15" i="19"/>
  <c r="CJ15" i="19"/>
  <c r="CI15" i="19"/>
  <c r="CH15" i="19"/>
  <c r="CE15" i="19"/>
  <c r="CE115" i="19" s="1"/>
  <c r="CD15" i="19"/>
  <c r="CD115" i="19" s="1"/>
  <c r="CC15" i="19"/>
  <c r="CC115" i="19" s="1"/>
  <c r="CB15" i="19"/>
  <c r="CB115" i="19" s="1"/>
  <c r="CA15" i="19"/>
  <c r="CA115" i="19" s="1"/>
  <c r="BZ15" i="19"/>
  <c r="BZ115" i="19" s="1"/>
  <c r="BY15" i="19"/>
  <c r="BY115" i="19" s="1"/>
  <c r="BV15" i="19"/>
  <c r="BU15" i="19"/>
  <c r="BT15" i="19"/>
  <c r="BS15" i="19"/>
  <c r="BR15" i="19"/>
  <c r="BO15" i="19"/>
  <c r="BO115" i="19" s="1"/>
  <c r="BN15" i="19"/>
  <c r="BN115" i="19" s="1"/>
  <c r="BM15" i="19"/>
  <c r="BM115" i="19" s="1"/>
  <c r="BL15" i="19"/>
  <c r="BL115" i="19" s="1"/>
  <c r="BK15" i="19"/>
  <c r="BK115" i="19" s="1"/>
  <c r="BJ15" i="19"/>
  <c r="BJ115" i="19" s="1"/>
  <c r="BI15" i="19"/>
  <c r="BI115" i="19" s="1"/>
  <c r="BF15" i="19"/>
  <c r="BE15" i="19"/>
  <c r="BD15" i="19"/>
  <c r="BC15" i="19"/>
  <c r="BB15" i="19"/>
  <c r="AY15" i="19"/>
  <c r="AY115" i="19" s="1"/>
  <c r="AX15" i="19"/>
  <c r="AX115" i="19" s="1"/>
  <c r="AW15" i="19"/>
  <c r="AW115" i="19" s="1"/>
  <c r="AV15" i="19"/>
  <c r="AV115" i="19" s="1"/>
  <c r="AU15" i="19"/>
  <c r="AU115" i="19" s="1"/>
  <c r="AT15" i="19"/>
  <c r="AT115" i="19" s="1"/>
  <c r="AS15" i="19"/>
  <c r="AS115" i="19" s="1"/>
  <c r="AP15" i="19"/>
  <c r="AO15" i="19"/>
  <c r="AN15" i="19"/>
  <c r="AM15" i="19"/>
  <c r="AL15" i="19"/>
  <c r="AI15" i="19"/>
  <c r="AI115" i="19" s="1"/>
  <c r="AH15" i="19"/>
  <c r="AH115" i="19" s="1"/>
  <c r="AG15" i="19"/>
  <c r="AG115" i="19" s="1"/>
  <c r="AF15" i="19"/>
  <c r="AF115" i="19" s="1"/>
  <c r="AE15" i="19"/>
  <c r="AE115" i="19" s="1"/>
  <c r="AD15" i="19"/>
  <c r="AD115" i="19" s="1"/>
  <c r="AC15" i="19"/>
  <c r="AC115" i="19" s="1"/>
  <c r="S15" i="19"/>
  <c r="S115" i="19" s="1"/>
  <c r="R15" i="19"/>
  <c r="R115" i="19" s="1"/>
  <c r="Q15" i="19"/>
  <c r="Q115" i="19" s="1"/>
  <c r="P15" i="19"/>
  <c r="P115" i="19" s="1"/>
  <c r="ID14" i="19"/>
  <c r="IC14" i="19"/>
  <c r="IF14" i="19" s="1"/>
  <c r="IA14" i="19"/>
  <c r="HY14" i="19"/>
  <c r="HZ14" i="19" s="1"/>
  <c r="HU14" i="19"/>
  <c r="HT14" i="19"/>
  <c r="HO14" i="19"/>
  <c r="GN14" i="19"/>
  <c r="FX14" i="19"/>
  <c r="FC114" i="19"/>
  <c r="FB114" i="19"/>
  <c r="FA114" i="19"/>
  <c r="ER14" i="19"/>
  <c r="EQ114" i="19"/>
  <c r="EP114" i="19"/>
  <c r="EO114" i="19"/>
  <c r="EN114" i="19"/>
  <c r="EM114" i="19"/>
  <c r="EL114" i="19"/>
  <c r="EK114" i="19"/>
  <c r="EH14" i="19"/>
  <c r="EG14" i="19"/>
  <c r="EF14" i="19"/>
  <c r="EE14" i="19"/>
  <c r="ED14" i="19"/>
  <c r="EA114" i="19"/>
  <c r="DZ114" i="19"/>
  <c r="DY114" i="19"/>
  <c r="DX114" i="19"/>
  <c r="DW114" i="19"/>
  <c r="DV114" i="19"/>
  <c r="DU114" i="19"/>
  <c r="DK114" i="19"/>
  <c r="DJ114" i="19"/>
  <c r="DI114" i="19"/>
  <c r="DH114" i="19"/>
  <c r="DG114" i="19"/>
  <c r="DF114" i="19"/>
  <c r="DE114" i="19"/>
  <c r="CU114" i="19"/>
  <c r="CT114" i="19"/>
  <c r="CS114" i="19"/>
  <c r="CR114" i="19"/>
  <c r="CQ114" i="19"/>
  <c r="CP114" i="19"/>
  <c r="CO114" i="19"/>
  <c r="CL14" i="19"/>
  <c r="CK14" i="19"/>
  <c r="CJ14" i="19"/>
  <c r="CI14" i="19"/>
  <c r="CH14" i="19"/>
  <c r="CE114" i="19"/>
  <c r="CD114" i="19"/>
  <c r="CC114" i="19"/>
  <c r="CB114" i="19"/>
  <c r="CA114" i="19"/>
  <c r="BZ114" i="19"/>
  <c r="BY114" i="19"/>
  <c r="BO114" i="19"/>
  <c r="BN114" i="19"/>
  <c r="BM114" i="19"/>
  <c r="BL114" i="19"/>
  <c r="BK114" i="19"/>
  <c r="BJ114" i="19"/>
  <c r="BI114" i="19"/>
  <c r="BF14" i="19"/>
  <c r="BE14" i="19"/>
  <c r="BD14" i="19"/>
  <c r="BC14" i="19"/>
  <c r="BB14" i="19"/>
  <c r="AY114" i="19"/>
  <c r="AX114" i="19"/>
  <c r="AW114" i="19"/>
  <c r="AV114" i="19"/>
  <c r="AU114" i="19"/>
  <c r="AS114" i="19"/>
  <c r="AI114" i="19"/>
  <c r="AH114" i="19"/>
  <c r="AG114" i="19"/>
  <c r="AF114" i="19"/>
  <c r="AE114" i="19"/>
  <c r="AD114" i="19"/>
  <c r="AC114" i="19"/>
  <c r="S114" i="19"/>
  <c r="R114" i="19"/>
  <c r="Q114" i="19"/>
  <c r="P14" i="19"/>
  <c r="P114" i="19" s="1"/>
  <c r="ID13" i="19"/>
  <c r="IC13" i="19"/>
  <c r="IF13" i="19" s="1"/>
  <c r="IA13" i="19"/>
  <c r="HY13" i="19"/>
  <c r="HZ13" i="19" s="1"/>
  <c r="HU13" i="19"/>
  <c r="HT13" i="19"/>
  <c r="HO13" i="19"/>
  <c r="GN13" i="19"/>
  <c r="FS13" i="19"/>
  <c r="FR13" i="19"/>
  <c r="FQ13" i="19"/>
  <c r="FF13" i="19"/>
  <c r="FE13" i="19"/>
  <c r="FD13" i="19"/>
  <c r="FC13" i="19"/>
  <c r="FC113" i="19" s="1"/>
  <c r="FB13" i="19"/>
  <c r="FB113" i="19" s="1"/>
  <c r="FA13" i="19"/>
  <c r="FA113" i="19" s="1"/>
  <c r="EQ13" i="19"/>
  <c r="EQ113" i="19" s="1"/>
  <c r="EP13" i="19"/>
  <c r="EP113" i="19" s="1"/>
  <c r="EO13" i="19"/>
  <c r="EO113" i="19" s="1"/>
  <c r="EN13" i="19"/>
  <c r="EN113" i="19" s="1"/>
  <c r="EM13" i="19"/>
  <c r="EM113" i="19" s="1"/>
  <c r="EL13" i="19"/>
  <c r="EL113" i="19" s="1"/>
  <c r="EK13" i="19"/>
  <c r="EK113" i="19" s="1"/>
  <c r="EH13" i="19"/>
  <c r="EG13" i="19"/>
  <c r="EF13" i="19"/>
  <c r="EE13" i="19"/>
  <c r="ED13" i="19"/>
  <c r="EA13" i="19"/>
  <c r="EA113" i="19" s="1"/>
  <c r="DZ13" i="19"/>
  <c r="DZ113" i="19" s="1"/>
  <c r="DY13" i="19"/>
  <c r="DY113" i="19" s="1"/>
  <c r="DX13" i="19"/>
  <c r="DX113" i="19" s="1"/>
  <c r="DW13" i="19"/>
  <c r="DW113" i="19" s="1"/>
  <c r="DV13" i="19"/>
  <c r="DV113" i="19" s="1"/>
  <c r="DU13" i="19"/>
  <c r="DU113" i="19" s="1"/>
  <c r="DR13" i="19"/>
  <c r="DQ13" i="19"/>
  <c r="DP13" i="19"/>
  <c r="DO13" i="19"/>
  <c r="DN13" i="19"/>
  <c r="DK13" i="19"/>
  <c r="DK113" i="19" s="1"/>
  <c r="DJ13" i="19"/>
  <c r="DJ113" i="19" s="1"/>
  <c r="DI13" i="19"/>
  <c r="DI113" i="19" s="1"/>
  <c r="DH13" i="19"/>
  <c r="DH113" i="19" s="1"/>
  <c r="DG13" i="19"/>
  <c r="DG113" i="19" s="1"/>
  <c r="DF13" i="19"/>
  <c r="DF113" i="19" s="1"/>
  <c r="DE13" i="19"/>
  <c r="DE113" i="19" s="1"/>
  <c r="DB13" i="19"/>
  <c r="DA13" i="19"/>
  <c r="CZ13" i="19"/>
  <c r="CY13" i="19"/>
  <c r="CX13" i="19"/>
  <c r="CU13" i="19"/>
  <c r="CU113" i="19" s="1"/>
  <c r="CT13" i="19"/>
  <c r="CT113" i="19" s="1"/>
  <c r="CS13" i="19"/>
  <c r="CS113" i="19" s="1"/>
  <c r="CR13" i="19"/>
  <c r="CR113" i="19" s="1"/>
  <c r="CQ13" i="19"/>
  <c r="CQ113" i="19" s="1"/>
  <c r="CP13" i="19"/>
  <c r="CP113" i="19" s="1"/>
  <c r="CO13" i="19"/>
  <c r="CO113" i="19" s="1"/>
  <c r="CL13" i="19"/>
  <c r="CK13" i="19"/>
  <c r="CJ13" i="19"/>
  <c r="CI13" i="19"/>
  <c r="CH13" i="19"/>
  <c r="CE13" i="19"/>
  <c r="CE113" i="19" s="1"/>
  <c r="CD13" i="19"/>
  <c r="CD113" i="19" s="1"/>
  <c r="CC13" i="19"/>
  <c r="CC113" i="19" s="1"/>
  <c r="CB13" i="19"/>
  <c r="CB113" i="19" s="1"/>
  <c r="CA13" i="19"/>
  <c r="CA113" i="19" s="1"/>
  <c r="BZ13" i="19"/>
  <c r="BZ113" i="19" s="1"/>
  <c r="BY13" i="19"/>
  <c r="BY113" i="19" s="1"/>
  <c r="BV13" i="19"/>
  <c r="BU13" i="19"/>
  <c r="BT13" i="19"/>
  <c r="BS13" i="19"/>
  <c r="BR13" i="19"/>
  <c r="BO13" i="19"/>
  <c r="BO113" i="19" s="1"/>
  <c r="BN13" i="19"/>
  <c r="BN113" i="19" s="1"/>
  <c r="BM13" i="19"/>
  <c r="BM113" i="19" s="1"/>
  <c r="BL13" i="19"/>
  <c r="BL113" i="19" s="1"/>
  <c r="BK13" i="19"/>
  <c r="BK113" i="19" s="1"/>
  <c r="BJ13" i="19"/>
  <c r="BJ113" i="19" s="1"/>
  <c r="BI13" i="19"/>
  <c r="BI113" i="19" s="1"/>
  <c r="BF13" i="19"/>
  <c r="BE13" i="19"/>
  <c r="BD13" i="19"/>
  <c r="BC13" i="19"/>
  <c r="BB13" i="19"/>
  <c r="AY13" i="19"/>
  <c r="AY113" i="19" s="1"/>
  <c r="AX13" i="19"/>
  <c r="AX113" i="19" s="1"/>
  <c r="AW13" i="19"/>
  <c r="AW113" i="19" s="1"/>
  <c r="AV13" i="19"/>
  <c r="AV113" i="19" s="1"/>
  <c r="AU13" i="19"/>
  <c r="AU113" i="19" s="1"/>
  <c r="AT13" i="19"/>
  <c r="AT113" i="19" s="1"/>
  <c r="AS13" i="19"/>
  <c r="AS113" i="19" s="1"/>
  <c r="AI13" i="19"/>
  <c r="AI113" i="19" s="1"/>
  <c r="AH13" i="19"/>
  <c r="AH113" i="19" s="1"/>
  <c r="AG13" i="19"/>
  <c r="AG113" i="19" s="1"/>
  <c r="AF13" i="19"/>
  <c r="AF113" i="19" s="1"/>
  <c r="AE13" i="19"/>
  <c r="AE113" i="19" s="1"/>
  <c r="AD13" i="19"/>
  <c r="AD113" i="19" s="1"/>
  <c r="AC13" i="19"/>
  <c r="AC113" i="19" s="1"/>
  <c r="S13" i="19"/>
  <c r="S113" i="19" s="1"/>
  <c r="R13" i="19"/>
  <c r="R113" i="19" s="1"/>
  <c r="Q13" i="19"/>
  <c r="Q113" i="19" s="1"/>
  <c r="P13" i="19"/>
  <c r="P113" i="19" s="1"/>
  <c r="ID12" i="19"/>
  <c r="IC12" i="19"/>
  <c r="IF12" i="19" s="1"/>
  <c r="IA12" i="19"/>
  <c r="HY12" i="19"/>
  <c r="HZ12" i="19" s="1"/>
  <c r="HU12" i="19"/>
  <c r="HT12" i="19"/>
  <c r="HO12" i="19"/>
  <c r="GN12" i="19"/>
  <c r="FX12" i="19"/>
  <c r="FH12" i="19"/>
  <c r="ER12" i="19"/>
  <c r="EB12" i="19"/>
  <c r="DI12" i="19"/>
  <c r="DH12" i="19"/>
  <c r="DG12" i="19"/>
  <c r="DF12" i="19"/>
  <c r="DE12" i="19"/>
  <c r="DB12" i="19"/>
  <c r="DA12" i="19"/>
  <c r="CZ12" i="19"/>
  <c r="CY12" i="19"/>
  <c r="CX12" i="19"/>
  <c r="CU12" i="19"/>
  <c r="CT12" i="19"/>
  <c r="CS12" i="19"/>
  <c r="CS112" i="19" s="1"/>
  <c r="CR12" i="19"/>
  <c r="CR112" i="19" s="1"/>
  <c r="CQ12" i="19"/>
  <c r="CQ112" i="19" s="1"/>
  <c r="CP12" i="19"/>
  <c r="CP112" i="19" s="1"/>
  <c r="CO12" i="19"/>
  <c r="CO112" i="19" s="1"/>
  <c r="CL12" i="19"/>
  <c r="CK12" i="19"/>
  <c r="CJ12" i="19"/>
  <c r="CI12" i="19"/>
  <c r="CH12" i="19"/>
  <c r="CE12" i="19"/>
  <c r="CE112" i="19" s="1"/>
  <c r="CD12" i="19"/>
  <c r="CD112" i="19" s="1"/>
  <c r="CC12" i="19"/>
  <c r="CC112" i="19" s="1"/>
  <c r="CB12" i="19"/>
  <c r="CB112" i="19" s="1"/>
  <c r="CA12" i="19"/>
  <c r="CA112" i="19" s="1"/>
  <c r="BZ12" i="19"/>
  <c r="BZ112" i="19" s="1"/>
  <c r="BY12" i="19"/>
  <c r="BY112" i="19" s="1"/>
  <c r="BV12" i="19"/>
  <c r="BU12" i="19"/>
  <c r="BT12" i="19"/>
  <c r="BS12" i="19"/>
  <c r="BR12" i="19"/>
  <c r="BO12" i="19"/>
  <c r="BO112" i="19" s="1"/>
  <c r="BN12" i="19"/>
  <c r="BN112" i="19" s="1"/>
  <c r="BM12" i="19"/>
  <c r="BM112" i="19" s="1"/>
  <c r="BL12" i="19"/>
  <c r="BL112" i="19" s="1"/>
  <c r="BK12" i="19"/>
  <c r="BK112" i="19" s="1"/>
  <c r="BJ12" i="19"/>
  <c r="BJ112" i="19" s="1"/>
  <c r="BI12" i="19"/>
  <c r="BI112" i="19" s="1"/>
  <c r="BF12" i="19"/>
  <c r="BE12" i="19"/>
  <c r="BD12" i="19"/>
  <c r="BC12" i="19"/>
  <c r="BB12" i="19"/>
  <c r="AY12" i="19"/>
  <c r="AY112" i="19" s="1"/>
  <c r="AX12" i="19"/>
  <c r="AX112" i="19" s="1"/>
  <c r="AW12" i="19"/>
  <c r="AW112" i="19" s="1"/>
  <c r="AV12" i="19"/>
  <c r="AV112" i="19" s="1"/>
  <c r="AU12" i="19"/>
  <c r="AU112" i="19" s="1"/>
  <c r="AT12" i="19"/>
  <c r="AT112" i="19" s="1"/>
  <c r="AS12" i="19"/>
  <c r="AS112" i="19" s="1"/>
  <c r="AI12" i="19"/>
  <c r="AI112" i="19" s="1"/>
  <c r="AH12" i="19"/>
  <c r="AH112" i="19" s="1"/>
  <c r="AG12" i="19"/>
  <c r="AG112" i="19" s="1"/>
  <c r="AF12" i="19"/>
  <c r="AF112" i="19" s="1"/>
  <c r="AE12" i="19"/>
  <c r="AE112" i="19" s="1"/>
  <c r="AD12" i="19"/>
  <c r="AD112" i="19" s="1"/>
  <c r="AC12" i="19"/>
  <c r="AC112" i="19" s="1"/>
  <c r="S12" i="19"/>
  <c r="S112" i="19" s="1"/>
  <c r="R12" i="19"/>
  <c r="R112" i="19" s="1"/>
  <c r="Q12" i="19"/>
  <c r="Q112" i="19" s="1"/>
  <c r="ID11" i="19"/>
  <c r="IC11" i="19"/>
  <c r="IA11" i="19"/>
  <c r="HY11" i="19"/>
  <c r="HZ11" i="19" s="1"/>
  <c r="HU11" i="19"/>
  <c r="HT11" i="19"/>
  <c r="HO11" i="19"/>
  <c r="FV111" i="19"/>
  <c r="FT111" i="19"/>
  <c r="FS111" i="19"/>
  <c r="FR111" i="19"/>
  <c r="FQ111" i="19"/>
  <c r="FG111" i="19"/>
  <c r="FF111" i="19"/>
  <c r="FE111" i="19"/>
  <c r="FD111" i="19"/>
  <c r="FC111" i="19"/>
  <c r="FB111" i="19"/>
  <c r="FA111" i="19"/>
  <c r="EQ111" i="19"/>
  <c r="EP111" i="19"/>
  <c r="EO111" i="19"/>
  <c r="EN111" i="19"/>
  <c r="EM111" i="19"/>
  <c r="EL111" i="19"/>
  <c r="EK111" i="19"/>
  <c r="EH11" i="19"/>
  <c r="EG11" i="19"/>
  <c r="EF11" i="19"/>
  <c r="EE11" i="19"/>
  <c r="ED11" i="19"/>
  <c r="EA111" i="19"/>
  <c r="DZ111" i="19"/>
  <c r="DY111" i="19"/>
  <c r="DX111" i="19"/>
  <c r="DW111" i="19"/>
  <c r="DV111" i="19"/>
  <c r="DU111" i="19"/>
  <c r="DK111" i="19"/>
  <c r="DJ111" i="19"/>
  <c r="DI111" i="19"/>
  <c r="DH111" i="19"/>
  <c r="DG111" i="19"/>
  <c r="DF111" i="19"/>
  <c r="DE111" i="19"/>
  <c r="CU111" i="19"/>
  <c r="CT111" i="19"/>
  <c r="CS111" i="19"/>
  <c r="CR111" i="19"/>
  <c r="CQ111" i="19"/>
  <c r="CP111" i="19"/>
  <c r="CO111" i="19"/>
  <c r="CL11" i="19"/>
  <c r="CK11" i="19"/>
  <c r="CJ11" i="19"/>
  <c r="CI11" i="19"/>
  <c r="CH11" i="19"/>
  <c r="CE111" i="19"/>
  <c r="CD111" i="19"/>
  <c r="CC111" i="19"/>
  <c r="CB111" i="19"/>
  <c r="CA111" i="19"/>
  <c r="BZ111" i="19"/>
  <c r="BY111" i="19"/>
  <c r="BV11" i="19"/>
  <c r="BU11" i="19"/>
  <c r="BT11" i="19"/>
  <c r="BS11" i="19"/>
  <c r="BR11" i="19"/>
  <c r="BO111" i="19"/>
  <c r="BN111" i="19"/>
  <c r="BM111" i="19"/>
  <c r="BL111" i="19"/>
  <c r="BK111" i="19"/>
  <c r="BJ111" i="19"/>
  <c r="AY111" i="19"/>
  <c r="AX111" i="19"/>
  <c r="AW111" i="19"/>
  <c r="AV111" i="19"/>
  <c r="AU111" i="19"/>
  <c r="AT111" i="19"/>
  <c r="AS111" i="19"/>
  <c r="AI111" i="19"/>
  <c r="AH111" i="19"/>
  <c r="AG111" i="19"/>
  <c r="AF111" i="19"/>
  <c r="AE111" i="19"/>
  <c r="AD111" i="19"/>
  <c r="AC111" i="19"/>
  <c r="S111" i="19"/>
  <c r="R111" i="19"/>
  <c r="Q111" i="19"/>
  <c r="P111" i="19"/>
  <c r="ID10" i="19"/>
  <c r="IC10" i="19"/>
  <c r="IF10" i="19" s="1"/>
  <c r="IA10" i="19"/>
  <c r="HY10" i="19"/>
  <c r="HZ10" i="19" s="1"/>
  <c r="HU10" i="19"/>
  <c r="HT10" i="19"/>
  <c r="HO10" i="19"/>
  <c r="EH10" i="19"/>
  <c r="EG10" i="19"/>
  <c r="EF10" i="19"/>
  <c r="EE10" i="19"/>
  <c r="ED10" i="19"/>
  <c r="DR10" i="19"/>
  <c r="DQ10" i="19"/>
  <c r="DP10" i="19"/>
  <c r="DO10" i="19"/>
  <c r="DN10" i="19"/>
  <c r="CL10" i="19"/>
  <c r="CK10" i="19"/>
  <c r="CJ10" i="19"/>
  <c r="CI10" i="19"/>
  <c r="CH10" i="19"/>
  <c r="BV10" i="19"/>
  <c r="BU10" i="19"/>
  <c r="BT10" i="19"/>
  <c r="BS10" i="19"/>
  <c r="BR10" i="19"/>
  <c r="AI10" i="19"/>
  <c r="AI110" i="19" s="1"/>
  <c r="AH10" i="19"/>
  <c r="AH110" i="19" s="1"/>
  <c r="AG10" i="19"/>
  <c r="AG110" i="19" s="1"/>
  <c r="AF10" i="19"/>
  <c r="AF110" i="19" s="1"/>
  <c r="AE10" i="19"/>
  <c r="AE110" i="19" s="1"/>
  <c r="AY110" i="19"/>
  <c r="AX110" i="19"/>
  <c r="AW10" i="19"/>
  <c r="AW110" i="19" s="1"/>
  <c r="AV10" i="19"/>
  <c r="AV110" i="19" s="1"/>
  <c r="AU10" i="19"/>
  <c r="AU110" i="19" s="1"/>
  <c r="AT10" i="19"/>
  <c r="AT110" i="19" s="1"/>
  <c r="AS10" i="19"/>
  <c r="AS110" i="19" s="1"/>
  <c r="T10" i="19"/>
  <c r="ID9" i="19"/>
  <c r="IC9" i="19"/>
  <c r="IF9" i="19" s="1"/>
  <c r="IA9" i="19"/>
  <c r="HY9" i="19"/>
  <c r="HZ9" i="19" s="1"/>
  <c r="HU9" i="19"/>
  <c r="HT9" i="19"/>
  <c r="GN9" i="19"/>
  <c r="FS9" i="19"/>
  <c r="FR9" i="19"/>
  <c r="FQ9" i="19"/>
  <c r="FG9" i="19"/>
  <c r="FF9" i="19"/>
  <c r="FE9" i="19"/>
  <c r="FD9" i="19"/>
  <c r="FC9" i="19"/>
  <c r="FB9" i="19"/>
  <c r="FA9" i="19"/>
  <c r="EQ9" i="19"/>
  <c r="EP9" i="19"/>
  <c r="EP109" i="19" s="1"/>
  <c r="EO9" i="19"/>
  <c r="EO109" i="19" s="1"/>
  <c r="EN9" i="19"/>
  <c r="EN109" i="19" s="1"/>
  <c r="EM9" i="19"/>
  <c r="EM109" i="19" s="1"/>
  <c r="EL9" i="19"/>
  <c r="EL109" i="19" s="1"/>
  <c r="EK9" i="19"/>
  <c r="EK109" i="19" s="1"/>
  <c r="EH9" i="19"/>
  <c r="EG9" i="19"/>
  <c r="EF9" i="19"/>
  <c r="EE9" i="19"/>
  <c r="ED9" i="19"/>
  <c r="EA9" i="19"/>
  <c r="EA109" i="19" s="1"/>
  <c r="DZ9" i="19"/>
  <c r="DZ109" i="19" s="1"/>
  <c r="DY9" i="19"/>
  <c r="DY109" i="19" s="1"/>
  <c r="DX9" i="19"/>
  <c r="DX109" i="19" s="1"/>
  <c r="DW9" i="19"/>
  <c r="DW109" i="19" s="1"/>
  <c r="DV9" i="19"/>
  <c r="DV109" i="19" s="1"/>
  <c r="DU9" i="19"/>
  <c r="DU109" i="19" s="1"/>
  <c r="DK9" i="19"/>
  <c r="DK109" i="19" s="1"/>
  <c r="DJ9" i="19"/>
  <c r="DJ109" i="19" s="1"/>
  <c r="DI9" i="19"/>
  <c r="DI109" i="19" s="1"/>
  <c r="DH9" i="19"/>
  <c r="DH109" i="19" s="1"/>
  <c r="DG9" i="19"/>
  <c r="DG109" i="19" s="1"/>
  <c r="DF9" i="19"/>
  <c r="DF109" i="19" s="1"/>
  <c r="DE9" i="19"/>
  <c r="DE109" i="19" s="1"/>
  <c r="DB9" i="19"/>
  <c r="DA9" i="19"/>
  <c r="CZ9" i="19"/>
  <c r="CY9" i="19"/>
  <c r="CX9" i="19"/>
  <c r="CU9" i="19"/>
  <c r="CU109" i="19" s="1"/>
  <c r="CT9" i="19"/>
  <c r="CT109" i="19" s="1"/>
  <c r="CS9" i="19"/>
  <c r="CS109" i="19" s="1"/>
  <c r="CR9" i="19"/>
  <c r="CR109" i="19" s="1"/>
  <c r="CQ9" i="19"/>
  <c r="CQ109" i="19" s="1"/>
  <c r="CP9" i="19"/>
  <c r="CP109" i="19" s="1"/>
  <c r="CO9" i="19"/>
  <c r="CO109" i="19" s="1"/>
  <c r="CL9" i="19"/>
  <c r="CK9" i="19"/>
  <c r="CJ9" i="19"/>
  <c r="CI9" i="19"/>
  <c r="CH9" i="19"/>
  <c r="CE9" i="19"/>
  <c r="CE109" i="19" s="1"/>
  <c r="CD9" i="19"/>
  <c r="CD109" i="19" s="1"/>
  <c r="CC9" i="19"/>
  <c r="CC109" i="19" s="1"/>
  <c r="CB9" i="19"/>
  <c r="CB109" i="19" s="1"/>
  <c r="CA9" i="19"/>
  <c r="CA109" i="19" s="1"/>
  <c r="BZ9" i="19"/>
  <c r="BZ109" i="19" s="1"/>
  <c r="BY9" i="19"/>
  <c r="BY109" i="19" s="1"/>
  <c r="BO9" i="19"/>
  <c r="BO109" i="19" s="1"/>
  <c r="BN9" i="19"/>
  <c r="BN109" i="19" s="1"/>
  <c r="BM9" i="19"/>
  <c r="BM109" i="19" s="1"/>
  <c r="BL9" i="19"/>
  <c r="BL109" i="19" s="1"/>
  <c r="BK9" i="19"/>
  <c r="BK109" i="19" s="1"/>
  <c r="BJ9" i="19"/>
  <c r="BJ109" i="19" s="1"/>
  <c r="BI9" i="19"/>
  <c r="BI109" i="19" s="1"/>
  <c r="AY9" i="19"/>
  <c r="AY109" i="19" s="1"/>
  <c r="AX9" i="19"/>
  <c r="AX109" i="19" s="1"/>
  <c r="AW9" i="19"/>
  <c r="AW109" i="19" s="1"/>
  <c r="AV9" i="19"/>
  <c r="AV109" i="19" s="1"/>
  <c r="AU9" i="19"/>
  <c r="AU109" i="19" s="1"/>
  <c r="AT9" i="19"/>
  <c r="AT109" i="19" s="1"/>
  <c r="AS9" i="19"/>
  <c r="AS109" i="19" s="1"/>
  <c r="AI9" i="19"/>
  <c r="AI109" i="19" s="1"/>
  <c r="AH9" i="19"/>
  <c r="AH109" i="19" s="1"/>
  <c r="AG9" i="19"/>
  <c r="AG109" i="19" s="1"/>
  <c r="AF9" i="19"/>
  <c r="AF109" i="19" s="1"/>
  <c r="AE9" i="19"/>
  <c r="AE109" i="19" s="1"/>
  <c r="AD9" i="19"/>
  <c r="AD109" i="19" s="1"/>
  <c r="AC9" i="19"/>
  <c r="AC109" i="19" s="1"/>
  <c r="S9" i="19"/>
  <c r="S109" i="19" s="1"/>
  <c r="R9" i="19"/>
  <c r="R109" i="19" s="1"/>
  <c r="Q9" i="19"/>
  <c r="Q109" i="19" s="1"/>
  <c r="P9" i="19"/>
  <c r="P109" i="19" s="1"/>
  <c r="IC8" i="19"/>
  <c r="ID8" i="19" s="1"/>
  <c r="IE8" i="19" s="1"/>
  <c r="IA8" i="19"/>
  <c r="HY8" i="19"/>
  <c r="HZ8" i="19" s="1"/>
  <c r="HU8" i="19"/>
  <c r="HT8" i="19"/>
  <c r="HO8" i="19"/>
  <c r="GN8" i="19"/>
  <c r="FX8" i="19"/>
  <c r="FH8" i="19"/>
  <c r="ER8" i="19"/>
  <c r="DU8" i="19"/>
  <c r="EB108" i="19" s="1"/>
  <c r="DL8" i="19"/>
  <c r="CV8" i="19"/>
  <c r="CL8" i="19"/>
  <c r="CK8" i="19"/>
  <c r="CJ8" i="19"/>
  <c r="CI8" i="19"/>
  <c r="CH8" i="19"/>
  <c r="BY8" i="19"/>
  <c r="BY108" i="19" s="1"/>
  <c r="BV8" i="19"/>
  <c r="BU8" i="19"/>
  <c r="BT8" i="19"/>
  <c r="BS8" i="19"/>
  <c r="BR8" i="19"/>
  <c r="BP8" i="19"/>
  <c r="BF8" i="19"/>
  <c r="BE8" i="19"/>
  <c r="BD8" i="19"/>
  <c r="BC8" i="19"/>
  <c r="BB8" i="19"/>
  <c r="AZ8" i="19"/>
  <c r="AH8" i="19"/>
  <c r="AH108" i="19" s="1"/>
  <c r="Q8" i="19"/>
  <c r="Q108" i="19" s="1"/>
  <c r="E109" i="19" s="1"/>
  <c r="P8" i="19"/>
  <c r="P108" i="19" s="1"/>
  <c r="IC7" i="19"/>
  <c r="IF7" i="19" s="1"/>
  <c r="IA7" i="19"/>
  <c r="HY7" i="19"/>
  <c r="HZ7" i="19" s="1"/>
  <c r="HU7" i="19"/>
  <c r="HT7" i="19"/>
  <c r="HO7" i="19"/>
  <c r="GN7" i="19"/>
  <c r="FX7" i="19"/>
  <c r="FH7" i="19"/>
  <c r="ER7" i="19"/>
  <c r="DU7" i="19"/>
  <c r="EB107" i="19" s="1"/>
  <c r="DK7" i="19"/>
  <c r="DJ7" i="19"/>
  <c r="DI7" i="19"/>
  <c r="DH7" i="19"/>
  <c r="DG7" i="19"/>
  <c r="DF7" i="19"/>
  <c r="DE7" i="19"/>
  <c r="CU7" i="19"/>
  <c r="CT7" i="19"/>
  <c r="CS7" i="19"/>
  <c r="CR7" i="19"/>
  <c r="CQ7" i="19"/>
  <c r="CP7" i="19"/>
  <c r="CO7" i="19"/>
  <c r="CL7" i="19"/>
  <c r="CK7" i="19"/>
  <c r="CJ7" i="19"/>
  <c r="CI7" i="19"/>
  <c r="CH7" i="19"/>
  <c r="CE7" i="19"/>
  <c r="CE107" i="19" s="1"/>
  <c r="CD7" i="19"/>
  <c r="CD107" i="19" s="1"/>
  <c r="CC7" i="19"/>
  <c r="CC107" i="19" s="1"/>
  <c r="CB7" i="19"/>
  <c r="CB107" i="19" s="1"/>
  <c r="CA7" i="19"/>
  <c r="CA107" i="19" s="1"/>
  <c r="BZ7" i="19"/>
  <c r="BZ107" i="19" s="1"/>
  <c r="BY7" i="19"/>
  <c r="BY107" i="19" s="1"/>
  <c r="BV7" i="19"/>
  <c r="BU7" i="19"/>
  <c r="BT7" i="19"/>
  <c r="BS7" i="19"/>
  <c r="BR7" i="19"/>
  <c r="BO7" i="19"/>
  <c r="BO107" i="19" s="1"/>
  <c r="BN7" i="19"/>
  <c r="BN107" i="19" s="1"/>
  <c r="BM7" i="19"/>
  <c r="BM107" i="19" s="1"/>
  <c r="BL7" i="19"/>
  <c r="BL107" i="19" s="1"/>
  <c r="BK7" i="19"/>
  <c r="BK107" i="19" s="1"/>
  <c r="BJ7" i="19"/>
  <c r="BJ107" i="19" s="1"/>
  <c r="BI7" i="19"/>
  <c r="BI107" i="19" s="1"/>
  <c r="BF7" i="19"/>
  <c r="BE7" i="19"/>
  <c r="BD7" i="19"/>
  <c r="BC7" i="19"/>
  <c r="BB7" i="19"/>
  <c r="AY7" i="19"/>
  <c r="AY107" i="19" s="1"/>
  <c r="AX7" i="19"/>
  <c r="AX107" i="19" s="1"/>
  <c r="AW7" i="19"/>
  <c r="AW107" i="19" s="1"/>
  <c r="AV7" i="19"/>
  <c r="AV107" i="19" s="1"/>
  <c r="AU7" i="19"/>
  <c r="AU107" i="19" s="1"/>
  <c r="AT7" i="19"/>
  <c r="AT107" i="19" s="1"/>
  <c r="AS7" i="19"/>
  <c r="AS107" i="19" s="1"/>
  <c r="AP7" i="19"/>
  <c r="AO7" i="19"/>
  <c r="AN7" i="19"/>
  <c r="AM7" i="19"/>
  <c r="AL7" i="19"/>
  <c r="AI7" i="19"/>
  <c r="AI107" i="19" s="1"/>
  <c r="AH7" i="19"/>
  <c r="AH107" i="19" s="1"/>
  <c r="AG7" i="19"/>
  <c r="AG107" i="19" s="1"/>
  <c r="AF7" i="19"/>
  <c r="AF107" i="19" s="1"/>
  <c r="AE7" i="19"/>
  <c r="AE107" i="19" s="1"/>
  <c r="AD7" i="19"/>
  <c r="AD107" i="19" s="1"/>
  <c r="AC7" i="19"/>
  <c r="AC107" i="19" s="1"/>
  <c r="S7" i="19"/>
  <c r="S107" i="19" s="1"/>
  <c r="R7" i="19"/>
  <c r="R107" i="19" s="1"/>
  <c r="Q7" i="19"/>
  <c r="Q107" i="19" s="1"/>
  <c r="P7" i="19"/>
  <c r="P107" i="19" s="1"/>
  <c r="ID6" i="19"/>
  <c r="IC6" i="19"/>
  <c r="IF6" i="19" s="1"/>
  <c r="IA6" i="19"/>
  <c r="HY6" i="19"/>
  <c r="HZ6" i="19" s="1"/>
  <c r="HU6" i="19"/>
  <c r="HT6" i="19"/>
  <c r="HO6" i="19"/>
  <c r="GN6" i="19"/>
  <c r="FS6" i="19"/>
  <c r="FR6" i="19"/>
  <c r="FQ6" i="19"/>
  <c r="FX106" i="19" s="1"/>
  <c r="FG6" i="19"/>
  <c r="EM106" i="19"/>
  <c r="EL106" i="19"/>
  <c r="EK106" i="19"/>
  <c r="EH6" i="19"/>
  <c r="EG6" i="19"/>
  <c r="EF6" i="19"/>
  <c r="EE6" i="19"/>
  <c r="ED6" i="19"/>
  <c r="EA6" i="19"/>
  <c r="EA106" i="19" s="1"/>
  <c r="DZ106" i="19"/>
  <c r="DY106" i="19"/>
  <c r="DX106" i="19"/>
  <c r="DW106" i="19"/>
  <c r="DV106" i="19"/>
  <c r="DU6" i="19"/>
  <c r="DU106" i="19" s="1"/>
  <c r="DR6" i="19"/>
  <c r="DQ6" i="19"/>
  <c r="DP6" i="19"/>
  <c r="DO6" i="19"/>
  <c r="DN6" i="19"/>
  <c r="DK106" i="19"/>
  <c r="DJ106" i="19"/>
  <c r="DI106" i="19"/>
  <c r="DH106" i="19"/>
  <c r="DG106" i="19"/>
  <c r="DF106" i="19"/>
  <c r="DE106" i="19"/>
  <c r="DB6" i="19"/>
  <c r="DA6" i="19"/>
  <c r="CZ6" i="19"/>
  <c r="CY6" i="19"/>
  <c r="CX6" i="19"/>
  <c r="CU106" i="19"/>
  <c r="CT106" i="19"/>
  <c r="CS106" i="19"/>
  <c r="CR6" i="19"/>
  <c r="CR106" i="19" s="1"/>
  <c r="CQ106" i="19"/>
  <c r="CP106" i="19"/>
  <c r="CO106" i="19"/>
  <c r="CF6" i="19"/>
  <c r="CE106" i="19"/>
  <c r="CD106" i="19"/>
  <c r="CC106" i="19"/>
  <c r="CB106" i="19"/>
  <c r="CA106" i="19"/>
  <c r="BZ106" i="19"/>
  <c r="BY106" i="19"/>
  <c r="BV6" i="19"/>
  <c r="BU6" i="19"/>
  <c r="BT6" i="19"/>
  <c r="BS6" i="19"/>
  <c r="BR6" i="19"/>
  <c r="BO106" i="19"/>
  <c r="BN106" i="19"/>
  <c r="BM106" i="19"/>
  <c r="BL106" i="19"/>
  <c r="BK106" i="19"/>
  <c r="BJ106" i="19"/>
  <c r="BI106" i="19"/>
  <c r="BF6" i="19"/>
  <c r="BE6" i="19"/>
  <c r="BD6" i="19"/>
  <c r="BC6" i="19"/>
  <c r="BB6" i="19"/>
  <c r="AY106" i="19"/>
  <c r="AX106" i="19"/>
  <c r="AW106" i="19"/>
  <c r="AV106" i="19"/>
  <c r="AU106" i="19"/>
  <c r="AT106" i="19"/>
  <c r="AS106" i="19"/>
  <c r="AP6" i="19"/>
  <c r="AO6" i="19"/>
  <c r="AN6" i="19"/>
  <c r="AM6" i="19"/>
  <c r="AL6" i="19"/>
  <c r="AI106" i="19"/>
  <c r="AH106" i="19"/>
  <c r="AG106" i="19"/>
  <c r="AF6" i="19"/>
  <c r="AF106" i="19" s="1"/>
  <c r="AE106" i="19"/>
  <c r="AD106" i="19"/>
  <c r="AC106" i="19"/>
  <c r="S106" i="19"/>
  <c r="R6" i="19"/>
  <c r="R106" i="19" s="1"/>
  <c r="Q6" i="19"/>
  <c r="Q106" i="19" s="1"/>
  <c r="P6" i="19"/>
  <c r="P106" i="19" s="1"/>
  <c r="O6" i="19"/>
  <c r="O106" i="19" s="1"/>
  <c r="ID5" i="19"/>
  <c r="IC5" i="19"/>
  <c r="IF5" i="19" s="1"/>
  <c r="IA5" i="19"/>
  <c r="HY5" i="19"/>
  <c r="HZ5" i="19" s="1"/>
  <c r="HU5" i="19"/>
  <c r="HT5" i="19"/>
  <c r="HO5" i="19"/>
  <c r="GN5" i="19"/>
  <c r="FS5" i="19"/>
  <c r="FR5" i="19"/>
  <c r="FQ5" i="19"/>
  <c r="FE5" i="19"/>
  <c r="FD5" i="19"/>
  <c r="FC5" i="19"/>
  <c r="FB5" i="19"/>
  <c r="FA5" i="19"/>
  <c r="EQ5" i="19"/>
  <c r="EP5" i="19"/>
  <c r="EO5" i="19"/>
  <c r="EN5" i="19"/>
  <c r="EM5" i="19"/>
  <c r="EL5" i="19"/>
  <c r="EK5" i="19"/>
  <c r="EA5" i="19"/>
  <c r="DZ5" i="19"/>
  <c r="DY5" i="19"/>
  <c r="DX5" i="19"/>
  <c r="DW5" i="19"/>
  <c r="DV5" i="19"/>
  <c r="DU5" i="19"/>
  <c r="DK5" i="19"/>
  <c r="DJ5" i="19"/>
  <c r="DI5" i="19"/>
  <c r="DH5" i="19"/>
  <c r="DG5" i="19"/>
  <c r="DF5" i="19"/>
  <c r="DE5" i="19"/>
  <c r="DB5" i="19"/>
  <c r="DA5" i="19"/>
  <c r="CZ5" i="19"/>
  <c r="CY5" i="19"/>
  <c r="CX5" i="19"/>
  <c r="CU5" i="19"/>
  <c r="CT5" i="19"/>
  <c r="CS5" i="19"/>
  <c r="CR5" i="19"/>
  <c r="CQ5" i="19"/>
  <c r="CP5" i="19"/>
  <c r="CO5" i="19"/>
  <c r="CE5" i="19"/>
  <c r="CD5" i="19"/>
  <c r="CC5" i="19"/>
  <c r="CB5" i="19"/>
  <c r="CA5" i="19"/>
  <c r="BZ5" i="19"/>
  <c r="BY5" i="19"/>
  <c r="BO5" i="19"/>
  <c r="BN5" i="19"/>
  <c r="BM5" i="19"/>
  <c r="BL5" i="19"/>
  <c r="BK5" i="19"/>
  <c r="BJ5" i="19"/>
  <c r="BI5" i="19"/>
  <c r="BF5" i="19"/>
  <c r="BE5" i="19"/>
  <c r="BD5" i="19"/>
  <c r="BC5" i="19"/>
  <c r="BB5" i="19"/>
  <c r="AY5" i="19"/>
  <c r="AX5" i="19"/>
  <c r="AW5" i="19"/>
  <c r="AV5" i="19"/>
  <c r="AU5" i="19"/>
  <c r="AT5" i="19"/>
  <c r="AS5" i="19"/>
  <c r="AI5" i="19"/>
  <c r="AH5" i="19"/>
  <c r="AG5" i="19"/>
  <c r="AF5" i="19"/>
  <c r="AE5" i="19"/>
  <c r="AD5" i="19"/>
  <c r="AC5" i="19"/>
  <c r="S5" i="19"/>
  <c r="R5" i="19"/>
  <c r="Q5" i="19"/>
  <c r="P5" i="19"/>
  <c r="ID4" i="19"/>
  <c r="IC4" i="19"/>
  <c r="IF4" i="19" s="1"/>
  <c r="IA4" i="19"/>
  <c r="HY4" i="19"/>
  <c r="HZ4" i="19" s="1"/>
  <c r="HU4" i="19"/>
  <c r="HT4" i="19"/>
  <c r="HO4" i="19"/>
  <c r="GN4" i="19"/>
  <c r="FX4" i="19"/>
  <c r="FH4" i="19"/>
  <c r="ER4" i="19"/>
  <c r="EM104" i="19"/>
  <c r="EL104" i="19"/>
  <c r="EK104" i="19"/>
  <c r="EH4" i="19"/>
  <c r="EG4" i="19"/>
  <c r="EF4" i="19"/>
  <c r="EE4" i="19"/>
  <c r="ED4" i="19"/>
  <c r="EA104" i="19"/>
  <c r="DZ104" i="19"/>
  <c r="DY104" i="19"/>
  <c r="DX104" i="19"/>
  <c r="DW104" i="19"/>
  <c r="DV104" i="19"/>
  <c r="DU104" i="19"/>
  <c r="DR4" i="19"/>
  <c r="DQ4" i="19"/>
  <c r="DP4" i="19"/>
  <c r="DO4" i="19"/>
  <c r="DN4" i="19"/>
  <c r="DK104" i="19"/>
  <c r="DJ104" i="19"/>
  <c r="DI104" i="19"/>
  <c r="DH104" i="19"/>
  <c r="DG104" i="19"/>
  <c r="DF104" i="19"/>
  <c r="DE104" i="19"/>
  <c r="CU104" i="19"/>
  <c r="CT104" i="19"/>
  <c r="CS104" i="19"/>
  <c r="CR104" i="19"/>
  <c r="CQ104" i="19"/>
  <c r="CP104" i="19"/>
  <c r="CO104" i="19"/>
  <c r="CL4" i="19"/>
  <c r="CK4" i="19"/>
  <c r="CJ4" i="19"/>
  <c r="CI4" i="19"/>
  <c r="CH4" i="19"/>
  <c r="CE104" i="19"/>
  <c r="CD104" i="19"/>
  <c r="CC104" i="19"/>
  <c r="CB104" i="19"/>
  <c r="CA104" i="19"/>
  <c r="BZ104" i="19"/>
  <c r="BY104" i="19"/>
  <c r="BV4" i="19"/>
  <c r="BU4" i="19"/>
  <c r="BT4" i="19"/>
  <c r="BS4" i="19"/>
  <c r="BR4" i="19"/>
  <c r="BN104" i="19"/>
  <c r="BM104" i="19"/>
  <c r="BL104" i="19"/>
  <c r="BK104" i="19"/>
  <c r="BJ104" i="19"/>
  <c r="BI104" i="19"/>
  <c r="BF4" i="19"/>
  <c r="BE4" i="19"/>
  <c r="BD4" i="19"/>
  <c r="BC4" i="19"/>
  <c r="BB4" i="19"/>
  <c r="AZ4" i="19"/>
  <c r="AY104" i="19"/>
  <c r="AX104" i="19"/>
  <c r="AW104" i="19"/>
  <c r="AV104" i="19"/>
  <c r="AU104" i="19"/>
  <c r="AT104" i="19"/>
  <c r="AS104" i="19"/>
  <c r="AI104" i="19"/>
  <c r="AH104" i="19"/>
  <c r="AG104" i="19"/>
  <c r="AF104" i="19"/>
  <c r="AE104" i="19"/>
  <c r="AD104" i="19"/>
  <c r="AC104" i="19"/>
  <c r="T4" i="19"/>
  <c r="S104" i="19"/>
  <c r="R104" i="19"/>
  <c r="Q104" i="19"/>
  <c r="P104" i="19"/>
  <c r="C28" i="17"/>
  <c r="C27" i="17"/>
  <c r="C29" i="17" s="1"/>
  <c r="AA21" i="17"/>
  <c r="AC19" i="17" s="1"/>
  <c r="L21" i="17"/>
  <c r="I21" i="17"/>
  <c r="F21" i="17" s="1"/>
  <c r="AA20" i="17"/>
  <c r="U20" i="17"/>
  <c r="R20" i="17"/>
  <c r="L20" i="17"/>
  <c r="I20" i="17"/>
  <c r="F20" i="17" s="1"/>
  <c r="AA19" i="17"/>
  <c r="AB19" i="17" s="1"/>
  <c r="U19" i="17"/>
  <c r="W19" i="17" s="1"/>
  <c r="T19" i="17"/>
  <c r="R19" i="17"/>
  <c r="S19" i="17" s="1"/>
  <c r="Q19" i="17"/>
  <c r="P19" i="17"/>
  <c r="L19" i="17"/>
  <c r="N19" i="17" s="1"/>
  <c r="I19" i="17"/>
  <c r="F19" i="17" s="1"/>
  <c r="AA18" i="17"/>
  <c r="U18" i="17"/>
  <c r="R18" i="17"/>
  <c r="L18" i="17"/>
  <c r="I18" i="17"/>
  <c r="F18" i="17" s="1"/>
  <c r="AA17" i="17"/>
  <c r="U17" i="17"/>
  <c r="V16" i="17" s="1"/>
  <c r="R17" i="17"/>
  <c r="L17" i="17"/>
  <c r="I17" i="17"/>
  <c r="F17" i="17" s="1"/>
  <c r="AA16" i="17"/>
  <c r="U16" i="17"/>
  <c r="T16" i="17"/>
  <c r="R16" i="17"/>
  <c r="Q16" i="17"/>
  <c r="P16" i="17"/>
  <c r="L16" i="17"/>
  <c r="K16" i="17"/>
  <c r="I16" i="17"/>
  <c r="F16" i="17" s="1"/>
  <c r="AA15" i="17"/>
  <c r="U15" i="17"/>
  <c r="V13" i="17" s="1"/>
  <c r="R15" i="17"/>
  <c r="L15" i="17"/>
  <c r="I15" i="17"/>
  <c r="F15" i="17" s="1"/>
  <c r="AA14" i="17"/>
  <c r="U14" i="17"/>
  <c r="R14" i="17"/>
  <c r="L14" i="17"/>
  <c r="I14" i="17"/>
  <c r="F14" i="17" s="1"/>
  <c r="AA13" i="17"/>
  <c r="U13" i="17"/>
  <c r="R13" i="17"/>
  <c r="T13" i="17" s="1"/>
  <c r="Q13" i="17"/>
  <c r="P13" i="17"/>
  <c r="L13" i="17"/>
  <c r="I13" i="17"/>
  <c r="F13" i="17" s="1"/>
  <c r="AA12" i="17"/>
  <c r="L12" i="17"/>
  <c r="I12" i="17"/>
  <c r="F12" i="17" s="1"/>
  <c r="AA11" i="17"/>
  <c r="L11" i="17"/>
  <c r="I11" i="17"/>
  <c r="F11" i="17" s="1"/>
  <c r="AA10" i="17"/>
  <c r="L10" i="17"/>
  <c r="I10" i="17"/>
  <c r="F10" i="17" s="1"/>
  <c r="AA9" i="17"/>
  <c r="U9" i="17"/>
  <c r="R9" i="17"/>
  <c r="T7" i="17" s="1"/>
  <c r="L9" i="17"/>
  <c r="I9" i="17"/>
  <c r="F9" i="17" s="1"/>
  <c r="AA8" i="17"/>
  <c r="U8" i="17"/>
  <c r="R8" i="17"/>
  <c r="L8" i="17"/>
  <c r="I8" i="17"/>
  <c r="F8" i="17" s="1"/>
  <c r="AA7" i="17"/>
  <c r="U7" i="17"/>
  <c r="W7" i="17" s="1"/>
  <c r="R7" i="17"/>
  <c r="Q7" i="17"/>
  <c r="P7" i="17"/>
  <c r="L7" i="17"/>
  <c r="I7" i="17"/>
  <c r="J7" i="17" s="1"/>
  <c r="AA6" i="17"/>
  <c r="X6" i="17"/>
  <c r="Z4" i="17" s="1"/>
  <c r="U6" i="17"/>
  <c r="R6" i="17"/>
  <c r="L6" i="17"/>
  <c r="I6" i="17"/>
  <c r="F6" i="17" s="1"/>
  <c r="AA5" i="17"/>
  <c r="X5" i="17"/>
  <c r="U5" i="17"/>
  <c r="R5" i="17"/>
  <c r="L5" i="17"/>
  <c r="I5" i="17"/>
  <c r="F5" i="17"/>
  <c r="AA4" i="17"/>
  <c r="AB4" i="17" s="1"/>
  <c r="Y4" i="17"/>
  <c r="C35" i="17" s="1"/>
  <c r="X4" i="17"/>
  <c r="U4" i="17"/>
  <c r="R4" i="17"/>
  <c r="Q4" i="17"/>
  <c r="P4" i="17"/>
  <c r="L4" i="17"/>
  <c r="N4" i="17" s="1"/>
  <c r="I4" i="17"/>
  <c r="F4" i="17" s="1"/>
  <c r="AC4" i="17" l="1"/>
  <c r="K7" i="17"/>
  <c r="W16" i="17"/>
  <c r="M19" i="17"/>
  <c r="N7" i="17"/>
  <c r="N16" i="17"/>
  <c r="AC16" i="17"/>
  <c r="AC7" i="17"/>
  <c r="S13" i="17"/>
  <c r="T4" i="17"/>
  <c r="W4" i="17"/>
  <c r="W13" i="17"/>
  <c r="M16" i="17"/>
  <c r="S7" i="17"/>
  <c r="K13" i="17"/>
  <c r="N13" i="17"/>
  <c r="AC13" i="17"/>
  <c r="M13" i="17"/>
  <c r="S16" i="17"/>
  <c r="K19" i="17"/>
  <c r="V19" i="17"/>
  <c r="CN91" i="24"/>
  <c r="K99" i="24"/>
  <c r="CN99" i="24" s="1"/>
  <c r="CN100" i="24"/>
  <c r="HV23" i="19"/>
  <c r="IE35" i="19"/>
  <c r="HV32" i="19"/>
  <c r="IE33" i="19"/>
  <c r="CV108" i="19"/>
  <c r="IE27" i="19"/>
  <c r="IG27" i="19" s="1"/>
  <c r="BN126" i="24"/>
  <c r="P128" i="24"/>
  <c r="AQ128" i="24"/>
  <c r="J124" i="24"/>
  <c r="I81" i="24"/>
  <c r="R124" i="24"/>
  <c r="Q81" i="24"/>
  <c r="Z124" i="24"/>
  <c r="Y81" i="24"/>
  <c r="AH124" i="24"/>
  <c r="AG81" i="24"/>
  <c r="Q126" i="24"/>
  <c r="P83" i="24"/>
  <c r="Y126" i="24"/>
  <c r="X83" i="24"/>
  <c r="AG126" i="24"/>
  <c r="AF83" i="24"/>
  <c r="AO126" i="24"/>
  <c r="AN83" i="24"/>
  <c r="AW126" i="24"/>
  <c r="AV83" i="24"/>
  <c r="BE126" i="24"/>
  <c r="BD83" i="24"/>
  <c r="BM126" i="24"/>
  <c r="BL83" i="24"/>
  <c r="BU126" i="24"/>
  <c r="BT83" i="24"/>
  <c r="O127" i="24"/>
  <c r="N84" i="24"/>
  <c r="W127" i="24"/>
  <c r="V84" i="24"/>
  <c r="AE127" i="24"/>
  <c r="AD84" i="24"/>
  <c r="AM127" i="24"/>
  <c r="AL84" i="24"/>
  <c r="AU127" i="24"/>
  <c r="AT84" i="24"/>
  <c r="BC127" i="24"/>
  <c r="BB84" i="24"/>
  <c r="BK127" i="24"/>
  <c r="BJ84" i="24"/>
  <c r="AV128" i="24"/>
  <c r="AU85" i="24"/>
  <c r="P124" i="24"/>
  <c r="AA126" i="24"/>
  <c r="BS126" i="24"/>
  <c r="X128" i="24"/>
  <c r="K124" i="24"/>
  <c r="J81" i="24"/>
  <c r="S124" i="24"/>
  <c r="R81" i="24"/>
  <c r="AA124" i="24"/>
  <c r="Z81" i="24"/>
  <c r="AI124" i="24"/>
  <c r="AH81" i="24"/>
  <c r="AH126" i="24"/>
  <c r="AG83" i="24"/>
  <c r="AP126" i="24"/>
  <c r="AO83" i="24"/>
  <c r="P127" i="24"/>
  <c r="O84" i="24"/>
  <c r="X127" i="24"/>
  <c r="W84" i="24"/>
  <c r="AF127" i="24"/>
  <c r="AE84" i="24"/>
  <c r="AN127" i="24"/>
  <c r="AM84" i="24"/>
  <c r="AV127" i="24"/>
  <c r="AU84" i="24"/>
  <c r="BD127" i="24"/>
  <c r="BC84" i="24"/>
  <c r="BL127" i="24"/>
  <c r="BK84" i="24"/>
  <c r="Q128" i="24"/>
  <c r="P85" i="24"/>
  <c r="Y128" i="24"/>
  <c r="X85" i="24"/>
  <c r="AG128" i="24"/>
  <c r="AF85" i="24"/>
  <c r="AO128" i="24"/>
  <c r="AN85" i="24"/>
  <c r="AW128" i="24"/>
  <c r="AV85" i="24"/>
  <c r="U124" i="24"/>
  <c r="AQ126" i="24"/>
  <c r="AA128" i="24"/>
  <c r="L124" i="24"/>
  <c r="K81" i="24"/>
  <c r="T124" i="24"/>
  <c r="S81" i="24"/>
  <c r="AB124" i="24"/>
  <c r="AA81" i="24"/>
  <c r="AJ124" i="24"/>
  <c r="AI81" i="24"/>
  <c r="AI126" i="24"/>
  <c r="AH83" i="24"/>
  <c r="Q127" i="24"/>
  <c r="P84" i="24"/>
  <c r="Y127" i="24"/>
  <c r="X84" i="24"/>
  <c r="AG127" i="24"/>
  <c r="AF84" i="24"/>
  <c r="AO127" i="24"/>
  <c r="AN84" i="24"/>
  <c r="AW127" i="24"/>
  <c r="AV84" i="24"/>
  <c r="BE127" i="24"/>
  <c r="BD84" i="24"/>
  <c r="BM127" i="24"/>
  <c r="BL84" i="24"/>
  <c r="R128" i="24"/>
  <c r="Q85" i="24"/>
  <c r="Z128" i="24"/>
  <c r="Y85" i="24"/>
  <c r="AH128" i="24"/>
  <c r="AG85" i="24"/>
  <c r="AP128" i="24"/>
  <c r="AO85" i="24"/>
  <c r="X124" i="24"/>
  <c r="J126" i="24"/>
  <c r="AX126" i="24"/>
  <c r="AB128" i="24"/>
  <c r="L126" i="24"/>
  <c r="K83" i="24"/>
  <c r="T126" i="24"/>
  <c r="S83" i="24"/>
  <c r="AB126" i="24"/>
  <c r="AA83" i="24"/>
  <c r="AJ126" i="24"/>
  <c r="AI83" i="24"/>
  <c r="AR126" i="24"/>
  <c r="AQ83" i="24"/>
  <c r="AZ126" i="24"/>
  <c r="AY83" i="24"/>
  <c r="BH126" i="24"/>
  <c r="BG83" i="24"/>
  <c r="BP126" i="24"/>
  <c r="BO83" i="24"/>
  <c r="J127" i="24"/>
  <c r="I84" i="24"/>
  <c r="R127" i="24"/>
  <c r="Q84" i="24"/>
  <c r="Z127" i="24"/>
  <c r="Y84" i="24"/>
  <c r="AH127" i="24"/>
  <c r="AG84" i="24"/>
  <c r="AP127" i="24"/>
  <c r="AO84" i="24"/>
  <c r="AX127" i="24"/>
  <c r="AW84" i="24"/>
  <c r="BF127" i="24"/>
  <c r="BE84" i="24"/>
  <c r="BN127" i="24"/>
  <c r="BM84" i="24"/>
  <c r="AC124" i="24"/>
  <c r="K126" i="24"/>
  <c r="AY126" i="24"/>
  <c r="AF128" i="24"/>
  <c r="N124" i="24"/>
  <c r="M81" i="24"/>
  <c r="V124" i="24"/>
  <c r="U81" i="24"/>
  <c r="AD124" i="24"/>
  <c r="AC81" i="24"/>
  <c r="AL124" i="24"/>
  <c r="AK81" i="24"/>
  <c r="M126" i="24"/>
  <c r="L83" i="24"/>
  <c r="U126" i="24"/>
  <c r="T83" i="24"/>
  <c r="AC126" i="24"/>
  <c r="AB83" i="24"/>
  <c r="AK126" i="24"/>
  <c r="AJ83" i="24"/>
  <c r="AS126" i="24"/>
  <c r="AR83" i="24"/>
  <c r="BA126" i="24"/>
  <c r="AZ83" i="24"/>
  <c r="BI126" i="24"/>
  <c r="BH83" i="24"/>
  <c r="BQ126" i="24"/>
  <c r="BP83" i="24"/>
  <c r="K127" i="24"/>
  <c r="J84" i="24"/>
  <c r="S127" i="24"/>
  <c r="R84" i="24"/>
  <c r="AA127" i="24"/>
  <c r="Z84" i="24"/>
  <c r="AI127" i="24"/>
  <c r="AH84" i="24"/>
  <c r="AQ127" i="24"/>
  <c r="AP84" i="24"/>
  <c r="AY127" i="24"/>
  <c r="AX84" i="24"/>
  <c r="BG127" i="24"/>
  <c r="BF84" i="24"/>
  <c r="L128" i="24"/>
  <c r="K85" i="24"/>
  <c r="T128" i="24"/>
  <c r="S85" i="24"/>
  <c r="AJ128" i="24"/>
  <c r="AI85" i="24"/>
  <c r="AF124" i="24"/>
  <c r="R126" i="24"/>
  <c r="BF126" i="24"/>
  <c r="AI128" i="24"/>
  <c r="O124" i="24"/>
  <c r="N81" i="24"/>
  <c r="W124" i="24"/>
  <c r="V81" i="24"/>
  <c r="AE124" i="24"/>
  <c r="AD81" i="24"/>
  <c r="N126" i="24"/>
  <c r="M83" i="24"/>
  <c r="V126" i="24"/>
  <c r="U83" i="24"/>
  <c r="AD126" i="24"/>
  <c r="AC83" i="24"/>
  <c r="AL126" i="24"/>
  <c r="AK83" i="24"/>
  <c r="AT126" i="24"/>
  <c r="AS83" i="24"/>
  <c r="BB126" i="24"/>
  <c r="BA83" i="24"/>
  <c r="BJ126" i="24"/>
  <c r="BI83" i="24"/>
  <c r="BR126" i="24"/>
  <c r="BQ83" i="24"/>
  <c r="L127" i="24"/>
  <c r="K84" i="24"/>
  <c r="T127" i="24"/>
  <c r="S84" i="24"/>
  <c r="AB127" i="24"/>
  <c r="AA84" i="24"/>
  <c r="AJ127" i="24"/>
  <c r="AI84" i="24"/>
  <c r="AR127" i="24"/>
  <c r="AQ84" i="24"/>
  <c r="AZ127" i="24"/>
  <c r="AY84" i="24"/>
  <c r="BH127" i="24"/>
  <c r="BG84" i="24"/>
  <c r="M128" i="24"/>
  <c r="L85" i="24"/>
  <c r="U128" i="24"/>
  <c r="T85" i="24"/>
  <c r="AC128" i="24"/>
  <c r="AB85" i="24"/>
  <c r="AK128" i="24"/>
  <c r="AJ85" i="24"/>
  <c r="AS128" i="24"/>
  <c r="AR85" i="24"/>
  <c r="CN97" i="24"/>
  <c r="AK124" i="24"/>
  <c r="S126" i="24"/>
  <c r="BG126" i="24"/>
  <c r="K128" i="24"/>
  <c r="AN128" i="24"/>
  <c r="AN124" i="24"/>
  <c r="AM81" i="24"/>
  <c r="O126" i="24"/>
  <c r="N83" i="24"/>
  <c r="AE126" i="24"/>
  <c r="AD83" i="24"/>
  <c r="AM126" i="24"/>
  <c r="AL83" i="24"/>
  <c r="AU126" i="24"/>
  <c r="AT83" i="24"/>
  <c r="BC126" i="24"/>
  <c r="BB83" i="24"/>
  <c r="BK126" i="24"/>
  <c r="BJ83" i="24"/>
  <c r="M127" i="24"/>
  <c r="L84" i="24"/>
  <c r="U127" i="24"/>
  <c r="T84" i="24"/>
  <c r="AC127" i="24"/>
  <c r="AB84" i="24"/>
  <c r="AK127" i="24"/>
  <c r="AJ84" i="24"/>
  <c r="AS127" i="24"/>
  <c r="AR84" i="24"/>
  <c r="BA127" i="24"/>
  <c r="AZ84" i="24"/>
  <c r="BI127" i="24"/>
  <c r="BH84" i="24"/>
  <c r="N128" i="24"/>
  <c r="M85" i="24"/>
  <c r="V128" i="24"/>
  <c r="U85" i="24"/>
  <c r="AD128" i="24"/>
  <c r="AC85" i="24"/>
  <c r="AL128" i="24"/>
  <c r="AK85" i="24"/>
  <c r="AT128" i="24"/>
  <c r="AS85" i="24"/>
  <c r="W126" i="24"/>
  <c r="Q124" i="24"/>
  <c r="P81" i="24"/>
  <c r="Y124" i="24"/>
  <c r="X81" i="24"/>
  <c r="AG124" i="24"/>
  <c r="AF81" i="24"/>
  <c r="P126" i="24"/>
  <c r="O83" i="24"/>
  <c r="X126" i="24"/>
  <c r="W83" i="24"/>
  <c r="AF126" i="24"/>
  <c r="AE83" i="24"/>
  <c r="AN126" i="24"/>
  <c r="AM83" i="24"/>
  <c r="AV126" i="24"/>
  <c r="AU83" i="24"/>
  <c r="BD126" i="24"/>
  <c r="BC83" i="24"/>
  <c r="BL126" i="24"/>
  <c r="BK83" i="24"/>
  <c r="BT126" i="24"/>
  <c r="BS83" i="24"/>
  <c r="N127" i="24"/>
  <c r="M84" i="24"/>
  <c r="V127" i="24"/>
  <c r="U84" i="24"/>
  <c r="AD127" i="24"/>
  <c r="AC84" i="24"/>
  <c r="AL127" i="24"/>
  <c r="AK84" i="24"/>
  <c r="AT127" i="24"/>
  <c r="AS84" i="24"/>
  <c r="BB127" i="24"/>
  <c r="BA84" i="24"/>
  <c r="BJ127" i="24"/>
  <c r="BI84" i="24"/>
  <c r="O128" i="24"/>
  <c r="N85" i="24"/>
  <c r="W128" i="24"/>
  <c r="V85" i="24"/>
  <c r="AE128" i="24"/>
  <c r="AD85" i="24"/>
  <c r="AM128" i="24"/>
  <c r="AL85" i="24"/>
  <c r="AU128" i="24"/>
  <c r="AT85" i="24"/>
  <c r="M124" i="24"/>
  <c r="Z126" i="24"/>
  <c r="BO126" i="24"/>
  <c r="S128" i="24"/>
  <c r="AR128" i="24"/>
  <c r="CN125" i="24"/>
  <c r="CN120" i="24"/>
  <c r="CN119" i="24"/>
  <c r="CN106" i="24"/>
  <c r="CN103" i="24"/>
  <c r="FX5" i="19"/>
  <c r="CF10" i="19"/>
  <c r="HV14" i="19"/>
  <c r="IE22" i="19"/>
  <c r="IE5" i="19"/>
  <c r="IG5" i="19" s="1"/>
  <c r="AJ10" i="19"/>
  <c r="EB31" i="19"/>
  <c r="FX13" i="19"/>
  <c r="AZ26" i="19"/>
  <c r="HV33" i="19"/>
  <c r="CV110" i="19"/>
  <c r="IE11" i="19"/>
  <c r="CN105" i="24"/>
  <c r="AJ16" i="19"/>
  <c r="IE24" i="19"/>
  <c r="IG24" i="19" s="1"/>
  <c r="IE25" i="19"/>
  <c r="IG25" i="19" s="1"/>
  <c r="IE31" i="19"/>
  <c r="HV5" i="19"/>
  <c r="HV17" i="19"/>
  <c r="HV28" i="19"/>
  <c r="HV29" i="19"/>
  <c r="AZ108" i="19"/>
  <c r="BP112" i="19"/>
  <c r="HV25" i="19"/>
  <c r="BP108" i="19"/>
  <c r="IE6" i="19"/>
  <c r="IG6" i="19" s="1"/>
  <c r="IF8" i="19"/>
  <c r="IG8" i="19" s="1"/>
  <c r="HV30" i="19"/>
  <c r="EB128" i="19"/>
  <c r="IE28" i="19"/>
  <c r="IG28" i="19" s="1"/>
  <c r="IE4" i="19"/>
  <c r="IG4" i="19" s="1"/>
  <c r="EB23" i="19"/>
  <c r="HV26" i="19"/>
  <c r="ID7" i="19"/>
  <c r="IE7" i="19" s="1"/>
  <c r="IG7" i="19" s="1"/>
  <c r="HV8" i="19"/>
  <c r="HV12" i="19"/>
  <c r="T16" i="19"/>
  <c r="IE19" i="19"/>
  <c r="HV27" i="19"/>
  <c r="CF108" i="19"/>
  <c r="IF11" i="19"/>
  <c r="IE18" i="19"/>
  <c r="IG18" i="19" s="1"/>
  <c r="ER30" i="19"/>
  <c r="DL16" i="19"/>
  <c r="AJ108" i="19"/>
  <c r="BP110" i="19"/>
  <c r="CF115" i="19"/>
  <c r="CV16" i="19"/>
  <c r="T125" i="19"/>
  <c r="IE30" i="19"/>
  <c r="IG30" i="19" s="1"/>
  <c r="HV7" i="19"/>
  <c r="AJ8" i="19"/>
  <c r="AZ110" i="19"/>
  <c r="CF16" i="19"/>
  <c r="IE21" i="19"/>
  <c r="IG21" i="19" s="1"/>
  <c r="DL9" i="19"/>
  <c r="EB9" i="19"/>
  <c r="AJ110" i="19"/>
  <c r="BP16" i="19"/>
  <c r="CF122" i="19"/>
  <c r="DL5" i="19"/>
  <c r="IE10" i="19"/>
  <c r="IG10" i="19" s="1"/>
  <c r="FH13" i="19"/>
  <c r="AZ16" i="19"/>
  <c r="FX22" i="19"/>
  <c r="IE23" i="19"/>
  <c r="BP135" i="19"/>
  <c r="HV10" i="19"/>
  <c r="HV15" i="19"/>
  <c r="IG33" i="19"/>
  <c r="IG35" i="19"/>
  <c r="HV4" i="19"/>
  <c r="CV6" i="19"/>
  <c r="HV6" i="19"/>
  <c r="AZ7" i="19"/>
  <c r="FH16" i="19"/>
  <c r="IE16" i="19"/>
  <c r="IG16" i="19" s="1"/>
  <c r="EB19" i="19"/>
  <c r="AJ27" i="19"/>
  <c r="DL28" i="19"/>
  <c r="AZ121" i="19"/>
  <c r="EB8" i="19"/>
  <c r="HV9" i="19"/>
  <c r="T112" i="19"/>
  <c r="FH113" i="19"/>
  <c r="ER16" i="19"/>
  <c r="AZ118" i="19"/>
  <c r="HV18" i="19"/>
  <c r="HV20" i="19"/>
  <c r="HV24" i="19"/>
  <c r="CF25" i="19"/>
  <c r="CF127" i="19"/>
  <c r="DL127" i="19"/>
  <c r="CV129" i="19"/>
  <c r="AJ132" i="19"/>
  <c r="HV34" i="19"/>
  <c r="AJ121" i="19"/>
  <c r="AZ5" i="19"/>
  <c r="T9" i="19"/>
  <c r="ER113" i="19"/>
  <c r="AJ15" i="19"/>
  <c r="EB16" i="19"/>
  <c r="AJ118" i="19"/>
  <c r="EB18" i="19"/>
  <c r="ER18" i="19"/>
  <c r="FH18" i="19"/>
  <c r="HV19" i="19"/>
  <c r="CF125" i="19"/>
  <c r="IE26" i="19"/>
  <c r="IG26" i="19" s="1"/>
  <c r="IE29" i="19"/>
  <c r="IG29" i="19" s="1"/>
  <c r="DL130" i="19"/>
  <c r="T131" i="19"/>
  <c r="DL131" i="19"/>
  <c r="AJ128" i="19"/>
  <c r="AJ5" i="19"/>
  <c r="AJ109" i="19"/>
  <c r="IE13" i="19"/>
  <c r="IG13" i="19" s="1"/>
  <c r="FH122" i="19"/>
  <c r="GN29" i="19"/>
  <c r="CV131" i="19"/>
  <c r="IE32" i="19"/>
  <c r="IG32" i="19" s="1"/>
  <c r="HV35" i="19"/>
  <c r="CV5" i="19"/>
  <c r="FH5" i="19"/>
  <c r="DL112" i="19"/>
  <c r="CV13" i="19"/>
  <c r="IE17" i="19"/>
  <c r="IG17" i="19" s="1"/>
  <c r="EB20" i="19"/>
  <c r="ER122" i="19"/>
  <c r="T25" i="19"/>
  <c r="FX25" i="19"/>
  <c r="CF128" i="19"/>
  <c r="CF131" i="19"/>
  <c r="T35" i="19"/>
  <c r="AZ135" i="19"/>
  <c r="DL35" i="19"/>
  <c r="GX105" i="19"/>
  <c r="IN5" i="19" s="1"/>
  <c r="T121" i="19"/>
  <c r="T129" i="19"/>
  <c r="CF5" i="19"/>
  <c r="ER5" i="19"/>
  <c r="FH106" i="19"/>
  <c r="DL107" i="19"/>
  <c r="IE12" i="19"/>
  <c r="IG12" i="19" s="1"/>
  <c r="EB15" i="19"/>
  <c r="FX16" i="19"/>
  <c r="CV20" i="19"/>
  <c r="DL20" i="19"/>
  <c r="AJ125" i="19"/>
  <c r="FH125" i="19"/>
  <c r="T128" i="19"/>
  <c r="CF30" i="19"/>
  <c r="AJ135" i="19"/>
  <c r="T5" i="19"/>
  <c r="BP5" i="19"/>
  <c r="EB5" i="19"/>
  <c r="CV107" i="19"/>
  <c r="AZ10" i="19"/>
  <c r="HV11" i="19"/>
  <c r="BP12" i="19"/>
  <c r="HV13" i="19"/>
  <c r="IE14" i="19"/>
  <c r="IG14" i="19" s="1"/>
  <c r="CV22" i="19"/>
  <c r="HV22" i="19"/>
  <c r="ER125" i="19"/>
  <c r="HV31" i="19"/>
  <c r="AZ32" i="19"/>
  <c r="IE34" i="19"/>
  <c r="IG34" i="19" s="1"/>
  <c r="CF35" i="19"/>
  <c r="T110" i="19"/>
  <c r="DL133" i="19"/>
  <c r="CV133" i="19"/>
  <c r="AJ134" i="19"/>
  <c r="ER134" i="19"/>
  <c r="EB134" i="19"/>
  <c r="DL124" i="19"/>
  <c r="T114" i="19"/>
  <c r="ER106" i="19"/>
  <c r="AZ104" i="19"/>
  <c r="DL104" i="19"/>
  <c r="CV104" i="19"/>
  <c r="AJ104" i="19"/>
  <c r="G19" i="17"/>
  <c r="H19" i="17"/>
  <c r="H4" i="17"/>
  <c r="G4" i="17"/>
  <c r="G16" i="17"/>
  <c r="H16" i="17"/>
  <c r="C30" i="17"/>
  <c r="G13" i="17"/>
  <c r="H13" i="17"/>
  <c r="AB13" i="17"/>
  <c r="AB16" i="17"/>
  <c r="J4" i="17"/>
  <c r="S4" i="17"/>
  <c r="M7" i="17"/>
  <c r="V7" i="17"/>
  <c r="K4" i="17"/>
  <c r="F7" i="17"/>
  <c r="J13" i="17"/>
  <c r="J16" i="17"/>
  <c r="J19" i="17"/>
  <c r="B35" i="17"/>
  <c r="D35" i="17" s="1"/>
  <c r="E35" i="17" s="1"/>
  <c r="B38" i="17" s="1"/>
  <c r="M4" i="17"/>
  <c r="V4" i="17"/>
  <c r="AB7" i="17"/>
  <c r="IG19" i="19"/>
  <c r="CF104" i="19"/>
  <c r="AJ106" i="19"/>
  <c r="EB6" i="19"/>
  <c r="CF7" i="19"/>
  <c r="T8" i="19"/>
  <c r="CF8" i="19"/>
  <c r="IE9" i="19"/>
  <c r="IG9" i="19" s="1"/>
  <c r="T11" i="19"/>
  <c r="AJ11" i="19"/>
  <c r="AZ11" i="19"/>
  <c r="BP11" i="19"/>
  <c r="ER111" i="19"/>
  <c r="FH111" i="19"/>
  <c r="FX111" i="19"/>
  <c r="AJ112" i="19"/>
  <c r="AZ112" i="19"/>
  <c r="CF113" i="19"/>
  <c r="CV114" i="19"/>
  <c r="DL114" i="19"/>
  <c r="EB114" i="19"/>
  <c r="CV15" i="19"/>
  <c r="BP117" i="19"/>
  <c r="EB17" i="19"/>
  <c r="BP18" i="19"/>
  <c r="CF18" i="19"/>
  <c r="CF19" i="19"/>
  <c r="ER119" i="19"/>
  <c r="FH119" i="19"/>
  <c r="AZ20" i="19"/>
  <c r="T104" i="19"/>
  <c r="EB4" i="19"/>
  <c r="BP6" i="19"/>
  <c r="EB106" i="19"/>
  <c r="FX6" i="19"/>
  <c r="T7" i="19"/>
  <c r="AJ7" i="19"/>
  <c r="CF107" i="19"/>
  <c r="CV9" i="19"/>
  <c r="CF110" i="19"/>
  <c r="AJ111" i="19"/>
  <c r="AZ111" i="19"/>
  <c r="GN11" i="19"/>
  <c r="CF12" i="19"/>
  <c r="DL12" i="19"/>
  <c r="T113" i="19"/>
  <c r="DL13" i="19"/>
  <c r="AZ15" i="19"/>
  <c r="CV115" i="19"/>
  <c r="DL17" i="19"/>
  <c r="BP118" i="19"/>
  <c r="CF118" i="19"/>
  <c r="CF119" i="19"/>
  <c r="AZ120" i="19"/>
  <c r="AZ22" i="19"/>
  <c r="BP4" i="19"/>
  <c r="EB104" i="19"/>
  <c r="T106" i="19"/>
  <c r="BP106" i="19"/>
  <c r="AJ107" i="19"/>
  <c r="CV109" i="19"/>
  <c r="CV11" i="19"/>
  <c r="DL11" i="19"/>
  <c r="EB11" i="19"/>
  <c r="CF112" i="19"/>
  <c r="BP13" i="19"/>
  <c r="DL113" i="19"/>
  <c r="BP14" i="19"/>
  <c r="CF14" i="19"/>
  <c r="AZ115" i="19"/>
  <c r="AZ17" i="19"/>
  <c r="DL117" i="19"/>
  <c r="BP104" i="19"/>
  <c r="DL6" i="19"/>
  <c r="BP7" i="19"/>
  <c r="ER9" i="19"/>
  <c r="FH9" i="19"/>
  <c r="EB110" i="19"/>
  <c r="CV111" i="19"/>
  <c r="DL111" i="19"/>
  <c r="EB111" i="19"/>
  <c r="BP113" i="19"/>
  <c r="ER13" i="19"/>
  <c r="BP114" i="19"/>
  <c r="CF114" i="19"/>
  <c r="FH14" i="19"/>
  <c r="CF15" i="19"/>
  <c r="ID15" i="19"/>
  <c r="IE15" i="19" s="1"/>
  <c r="IG15" i="19" s="1"/>
  <c r="AZ117" i="19"/>
  <c r="T18" i="19"/>
  <c r="AJ18" i="19"/>
  <c r="AZ18" i="19"/>
  <c r="EB118" i="19"/>
  <c r="ER118" i="19"/>
  <c r="FH118" i="19"/>
  <c r="BP19" i="19"/>
  <c r="EB119" i="19"/>
  <c r="FX19" i="19"/>
  <c r="T20" i="19"/>
  <c r="AJ20" i="19"/>
  <c r="CV120" i="19"/>
  <c r="DL120" i="19"/>
  <c r="CF21" i="19"/>
  <c r="GW21" i="19" s="1"/>
  <c r="GX21" i="19" s="1"/>
  <c r="HV21" i="19"/>
  <c r="S122" i="19"/>
  <c r="T122" i="19" s="1"/>
  <c r="T22" i="19"/>
  <c r="AZ122" i="19"/>
  <c r="CV4" i="19"/>
  <c r="DL4" i="19"/>
  <c r="AZ6" i="19"/>
  <c r="DL106" i="19"/>
  <c r="BP107" i="19"/>
  <c r="AJ9" i="19"/>
  <c r="AZ9" i="19"/>
  <c r="BP9" i="19"/>
  <c r="CF9" i="19"/>
  <c r="ER109" i="19"/>
  <c r="FH109" i="19"/>
  <c r="FX109" i="19"/>
  <c r="T15" i="19"/>
  <c r="CF17" i="19"/>
  <c r="CV17" i="19"/>
  <c r="BP119" i="19"/>
  <c r="AJ120" i="19"/>
  <c r="IE20" i="19"/>
  <c r="IG20" i="19" s="1"/>
  <c r="AC122" i="19"/>
  <c r="AJ122" i="19" s="1"/>
  <c r="AJ22" i="19"/>
  <c r="T107" i="19"/>
  <c r="AJ4" i="19"/>
  <c r="AZ106" i="19"/>
  <c r="ER6" i="19"/>
  <c r="FH6" i="19"/>
  <c r="CV7" i="19"/>
  <c r="DL7" i="19"/>
  <c r="AZ109" i="19"/>
  <c r="BP109" i="19"/>
  <c r="CF109" i="19"/>
  <c r="CF11" i="19"/>
  <c r="T13" i="19"/>
  <c r="AJ13" i="19"/>
  <c r="AZ13" i="19"/>
  <c r="CV113" i="19"/>
  <c r="AZ14" i="19"/>
  <c r="ER114" i="19"/>
  <c r="FH114" i="19"/>
  <c r="AJ115" i="19"/>
  <c r="DL15" i="19"/>
  <c r="T17" i="19"/>
  <c r="AJ17" i="19"/>
  <c r="CF117" i="19"/>
  <c r="CV117" i="19"/>
  <c r="CV18" i="19"/>
  <c r="DL18" i="19"/>
  <c r="CV19" i="19"/>
  <c r="DL19" i="19"/>
  <c r="BP20" i="19"/>
  <c r="CF20" i="19"/>
  <c r="D109" i="19"/>
  <c r="T108" i="19"/>
  <c r="DL110" i="19"/>
  <c r="CF111" i="19"/>
  <c r="FX11" i="19"/>
  <c r="CV12" i="19"/>
  <c r="AJ113" i="19"/>
  <c r="AZ113" i="19"/>
  <c r="EB13" i="19"/>
  <c r="T14" i="19"/>
  <c r="AJ14" i="19"/>
  <c r="BP15" i="19"/>
  <c r="DL115" i="19"/>
  <c r="AJ117" i="19"/>
  <c r="CV118" i="19"/>
  <c r="DL118" i="19"/>
  <c r="FX18" i="19"/>
  <c r="T19" i="19"/>
  <c r="AJ19" i="19"/>
  <c r="AZ19" i="19"/>
  <c r="CV119" i="19"/>
  <c r="DL119" i="19"/>
  <c r="BP120" i="19"/>
  <c r="CF120" i="19"/>
  <c r="IG31" i="19"/>
  <c r="CF4" i="19"/>
  <c r="ER104" i="19"/>
  <c r="FH104" i="19"/>
  <c r="T6" i="19"/>
  <c r="AJ6" i="19"/>
  <c r="CF106" i="19"/>
  <c r="CV106" i="19"/>
  <c r="AZ107" i="19"/>
  <c r="EB7" i="19"/>
  <c r="DL109" i="19"/>
  <c r="EB109" i="19"/>
  <c r="FX9" i="19"/>
  <c r="FH110" i="19"/>
  <c r="FX110" i="19"/>
  <c r="ER11" i="19"/>
  <c r="FH11" i="19"/>
  <c r="GN111" i="19"/>
  <c r="T12" i="19"/>
  <c r="AJ12" i="19"/>
  <c r="AZ12" i="19"/>
  <c r="CV112" i="19"/>
  <c r="CF13" i="19"/>
  <c r="EB113" i="19"/>
  <c r="AJ114" i="19"/>
  <c r="AZ114" i="19"/>
  <c r="CV14" i="19"/>
  <c r="DL14" i="19"/>
  <c r="EB14" i="19"/>
  <c r="BP115" i="19"/>
  <c r="BP17" i="19"/>
  <c r="AJ119" i="19"/>
  <c r="AZ119" i="19"/>
  <c r="ER19" i="19"/>
  <c r="FH19" i="19"/>
  <c r="BP122" i="19"/>
  <c r="IF22" i="19"/>
  <c r="IG22" i="19" s="1"/>
  <c r="T23" i="19"/>
  <c r="AJ23" i="19"/>
  <c r="CF23" i="19"/>
  <c r="IF23" i="19"/>
  <c r="T24" i="19"/>
  <c r="AJ24" i="19"/>
  <c r="EB24" i="19"/>
  <c r="BP125" i="19"/>
  <c r="CV27" i="19"/>
  <c r="BP28" i="19"/>
  <c r="DL29" i="19"/>
  <c r="BP130" i="19"/>
  <c r="T132" i="19"/>
  <c r="CF132" i="19"/>
  <c r="CV132" i="19"/>
  <c r="AJ133" i="19"/>
  <c r="CV33" i="19"/>
  <c r="DL33" i="19"/>
  <c r="CF134" i="19"/>
  <c r="FQ126" i="19"/>
  <c r="FG126" i="19"/>
  <c r="DL22" i="19"/>
  <c r="AJ123" i="19"/>
  <c r="CF123" i="19"/>
  <c r="AJ124" i="19"/>
  <c r="CF24" i="19"/>
  <c r="CV24" i="19"/>
  <c r="CV25" i="19"/>
  <c r="DL25" i="19"/>
  <c r="AZ27" i="19"/>
  <c r="CV127" i="19"/>
  <c r="T28" i="19"/>
  <c r="BP128" i="19"/>
  <c r="AJ29" i="19"/>
  <c r="AZ29" i="19"/>
  <c r="DL129" i="19"/>
  <c r="CV30" i="19"/>
  <c r="DL30" i="19"/>
  <c r="AZ31" i="19"/>
  <c r="EB34" i="19"/>
  <c r="ER34" i="19"/>
  <c r="FC126" i="19"/>
  <c r="FA126" i="19"/>
  <c r="FE126" i="19"/>
  <c r="FF126" i="19"/>
  <c r="FD126" i="19"/>
  <c r="FB126" i="19"/>
  <c r="DL122" i="19"/>
  <c r="CF124" i="19"/>
  <c r="CV124" i="19"/>
  <c r="AZ25" i="19"/>
  <c r="CV125" i="19"/>
  <c r="DL125" i="19"/>
  <c r="FX26" i="19"/>
  <c r="AZ127" i="19"/>
  <c r="CF28" i="19"/>
  <c r="AJ129" i="19"/>
  <c r="AZ129" i="19"/>
  <c r="ER29" i="19"/>
  <c r="FH29" i="19"/>
  <c r="FX29" i="19"/>
  <c r="T30" i="19"/>
  <c r="AJ30" i="19"/>
  <c r="AZ30" i="19"/>
  <c r="CV130" i="19"/>
  <c r="T31" i="19"/>
  <c r="AJ31" i="19"/>
  <c r="BP32" i="19"/>
  <c r="T133" i="19"/>
  <c r="FH134" i="19"/>
  <c r="FX134" i="19"/>
  <c r="EM126" i="19"/>
  <c r="DW126" i="19"/>
  <c r="EK126" i="19"/>
  <c r="EQ126" i="19"/>
  <c r="EA126" i="19"/>
  <c r="EO126" i="19"/>
  <c r="DY126" i="19"/>
  <c r="EN126" i="19"/>
  <c r="EL126" i="19"/>
  <c r="DZ126" i="19"/>
  <c r="DX126" i="19"/>
  <c r="DV126" i="19"/>
  <c r="EP126" i="19"/>
  <c r="ER22" i="19"/>
  <c r="FH22" i="19"/>
  <c r="T123" i="19"/>
  <c r="BP23" i="19"/>
  <c r="T124" i="19"/>
  <c r="AJ25" i="19"/>
  <c r="ER25" i="19"/>
  <c r="FH25" i="19"/>
  <c r="CF27" i="19"/>
  <c r="CV29" i="19"/>
  <c r="ER129" i="19"/>
  <c r="FH129" i="19"/>
  <c r="FX129" i="19"/>
  <c r="AJ130" i="19"/>
  <c r="AZ130" i="19"/>
  <c r="AJ131" i="19"/>
  <c r="AZ131" i="19"/>
  <c r="CF31" i="19"/>
  <c r="CV31" i="19"/>
  <c r="DL31" i="19"/>
  <c r="BP132" i="19"/>
  <c r="CF33" i="19"/>
  <c r="T34" i="19"/>
  <c r="AJ34" i="19"/>
  <c r="BP134" i="19"/>
  <c r="DG126" i="19"/>
  <c r="DU126" i="19"/>
  <c r="DE126" i="19"/>
  <c r="DK126" i="19"/>
  <c r="CU126" i="19"/>
  <c r="DI126" i="19"/>
  <c r="CT126" i="19"/>
  <c r="DJ126" i="19"/>
  <c r="DH126" i="19"/>
  <c r="T115" i="19"/>
  <c r="T117" i="19"/>
  <c r="CF22" i="19"/>
  <c r="BP123" i="19"/>
  <c r="CF133" i="19"/>
  <c r="CV34" i="19"/>
  <c r="DL34" i="19"/>
  <c r="AZ35" i="19"/>
  <c r="BP35" i="19"/>
  <c r="AE126" i="19"/>
  <c r="O126" i="19"/>
  <c r="AS126" i="19"/>
  <c r="AZ126" i="19" s="1"/>
  <c r="AC126" i="19"/>
  <c r="AI126" i="19"/>
  <c r="S126" i="19"/>
  <c r="AG126" i="19"/>
  <c r="Q126" i="19"/>
  <c r="AH126" i="19"/>
  <c r="AF126" i="19"/>
  <c r="AD126" i="19"/>
  <c r="R126" i="19"/>
  <c r="P126" i="19"/>
  <c r="T109" i="19"/>
  <c r="T111" i="19"/>
  <c r="CV122" i="19"/>
  <c r="CV23" i="19"/>
  <c r="DL23" i="19"/>
  <c r="BP124" i="19"/>
  <c r="T27" i="19"/>
  <c r="DL27" i="19"/>
  <c r="EB28" i="19"/>
  <c r="EB29" i="19"/>
  <c r="CF130" i="19"/>
  <c r="T32" i="19"/>
  <c r="AJ32" i="19"/>
  <c r="DL32" i="19"/>
  <c r="CV134" i="19"/>
  <c r="DL134" i="19"/>
  <c r="FX34" i="19"/>
  <c r="AJ35" i="19"/>
  <c r="EB22" i="19"/>
  <c r="AZ23" i="19"/>
  <c r="CV123" i="19"/>
  <c r="DL123" i="19"/>
  <c r="DL24" i="19"/>
  <c r="EB25" i="19"/>
  <c r="BP27" i="19"/>
  <c r="BP29" i="19"/>
  <c r="CF29" i="19"/>
  <c r="EB129" i="19"/>
  <c r="EB30" i="19"/>
  <c r="BP31" i="19"/>
  <c r="CV32" i="19"/>
  <c r="AZ33" i="19"/>
  <c r="BP33" i="19"/>
  <c r="T134" i="19"/>
  <c r="ER110" i="19"/>
  <c r="DF126" i="19"/>
  <c r="BP22" i="19"/>
  <c r="EB122" i="19"/>
  <c r="AZ24" i="19"/>
  <c r="BP25" i="19"/>
  <c r="EB125" i="19"/>
  <c r="BP127" i="19"/>
  <c r="EB27" i="19"/>
  <c r="BP129" i="19"/>
  <c r="CF129" i="19"/>
  <c r="BP30" i="19"/>
  <c r="EB130" i="19"/>
  <c r="BP131" i="19"/>
  <c r="CF32" i="19"/>
  <c r="EB32" i="19"/>
  <c r="T33" i="19"/>
  <c r="AJ33" i="19"/>
  <c r="BP133" i="19"/>
  <c r="CF34" i="19"/>
  <c r="CQ126" i="19"/>
  <c r="CA126" i="19"/>
  <c r="CO126" i="19"/>
  <c r="CE126" i="19"/>
  <c r="CS126" i="19"/>
  <c r="CC126" i="19"/>
  <c r="CR126" i="19"/>
  <c r="CP126" i="19"/>
  <c r="CD126" i="19"/>
  <c r="CB126" i="19"/>
  <c r="BP111" i="19"/>
  <c r="GX116" i="19"/>
  <c r="CF121" i="19"/>
  <c r="T118" i="19"/>
  <c r="T120" i="19"/>
  <c r="AZ124" i="19"/>
  <c r="T119" i="19"/>
  <c r="T127" i="19"/>
  <c r="AZ123" i="19"/>
  <c r="BP126" i="19"/>
  <c r="AJ127" i="19"/>
  <c r="T130" i="19"/>
  <c r="CN94" i="24"/>
  <c r="AZ125" i="19"/>
  <c r="CM70" i="24"/>
  <c r="CM73" i="24"/>
  <c r="AZ128" i="19"/>
  <c r="CN108" i="24"/>
  <c r="DL132" i="19"/>
  <c r="AZ134" i="19"/>
  <c r="CM76" i="24"/>
  <c r="CN102" i="24"/>
  <c r="CN116" i="24"/>
  <c r="AZ132" i="19"/>
  <c r="T135" i="19"/>
  <c r="CN92" i="24"/>
  <c r="CN109" i="24"/>
  <c r="CN117" i="24"/>
  <c r="CM66" i="24"/>
  <c r="CN93" i="24"/>
  <c r="CN115" i="24"/>
  <c r="AZ133" i="19"/>
  <c r="CN96" i="24"/>
  <c r="CN113" i="24"/>
  <c r="J128" i="24"/>
  <c r="B40" i="17" l="1"/>
  <c r="D40" i="17" s="1"/>
  <c r="B41" i="17"/>
  <c r="B42" i="17"/>
  <c r="CM83" i="24"/>
  <c r="CM85" i="24"/>
  <c r="GW26" i="19"/>
  <c r="GX26" i="19" s="1"/>
  <c r="CM81" i="24"/>
  <c r="CM84" i="24"/>
  <c r="GX121" i="19"/>
  <c r="IN21" i="19" s="1"/>
  <c r="GY105" i="19"/>
  <c r="IG23" i="19"/>
  <c r="GX108" i="19"/>
  <c r="CN127" i="24"/>
  <c r="CN126" i="24"/>
  <c r="CN124" i="24"/>
  <c r="CN128" i="24"/>
  <c r="GX110" i="19"/>
  <c r="IG11" i="19"/>
  <c r="GX135" i="19"/>
  <c r="HA121" i="19" s="1"/>
  <c r="GW5" i="19"/>
  <c r="GX5" i="19" s="1"/>
  <c r="GW35" i="19"/>
  <c r="GX35" i="19" s="1"/>
  <c r="CV128" i="19"/>
  <c r="GW16" i="19"/>
  <c r="GX16" i="19" s="1"/>
  <c r="GX125" i="19"/>
  <c r="GX131" i="19"/>
  <c r="GY131" i="19" s="1"/>
  <c r="GW25" i="19"/>
  <c r="GX25" i="19" s="1"/>
  <c r="GW9" i="19"/>
  <c r="GX9" i="19" s="1"/>
  <c r="GW10" i="19"/>
  <c r="GX10" i="19" s="1"/>
  <c r="GX112" i="19"/>
  <c r="GW29" i="19"/>
  <c r="GX29" i="19" s="1"/>
  <c r="GW8" i="19"/>
  <c r="GX8" i="19" s="1"/>
  <c r="CF126" i="19"/>
  <c r="GX129" i="19"/>
  <c r="GX114" i="19"/>
  <c r="HA114" i="19" s="1"/>
  <c r="GX111" i="19"/>
  <c r="HA111" i="19" s="1"/>
  <c r="GX106" i="19"/>
  <c r="GY106" i="19" s="1"/>
  <c r="GW4" i="19"/>
  <c r="GX4" i="19" s="1"/>
  <c r="D38" i="17"/>
  <c r="C38" i="17"/>
  <c r="C40" i="17"/>
  <c r="GX130" i="19"/>
  <c r="GY121" i="19"/>
  <c r="CV126" i="19"/>
  <c r="GX117" i="19"/>
  <c r="GW34" i="19"/>
  <c r="GX34" i="19" s="1"/>
  <c r="FH126" i="19"/>
  <c r="GW12" i="19"/>
  <c r="GX12" i="19" s="1"/>
  <c r="L28" i="17"/>
  <c r="L29" i="17" s="1"/>
  <c r="B39" i="17"/>
  <c r="GX115" i="19"/>
  <c r="DL126" i="19"/>
  <c r="ER126" i="19"/>
  <c r="GW31" i="19"/>
  <c r="GX31" i="19" s="1"/>
  <c r="GX119" i="19"/>
  <c r="GW33" i="19"/>
  <c r="GX33" i="19" s="1"/>
  <c r="GX109" i="19"/>
  <c r="HA109" i="19" s="1"/>
  <c r="EB126" i="19"/>
  <c r="GX124" i="19"/>
  <c r="GW23" i="19"/>
  <c r="GX23" i="19" s="1"/>
  <c r="GW19" i="19"/>
  <c r="GX19" i="19" s="1"/>
  <c r="GW14" i="19"/>
  <c r="GX14" i="19" s="1"/>
  <c r="GX107" i="19"/>
  <c r="GW20" i="19"/>
  <c r="GX20" i="19" s="1"/>
  <c r="GW11" i="19"/>
  <c r="GX11" i="19" s="1"/>
  <c r="F35" i="17"/>
  <c r="GX127" i="19"/>
  <c r="FX126" i="19"/>
  <c r="GW15" i="19"/>
  <c r="GX15" i="19" s="1"/>
  <c r="GW22" i="19"/>
  <c r="GX22" i="19" s="1"/>
  <c r="GW18" i="19"/>
  <c r="GX18" i="19" s="1"/>
  <c r="GX104" i="19"/>
  <c r="HA104" i="19" s="1"/>
  <c r="GX120" i="19"/>
  <c r="GW27" i="19"/>
  <c r="GX27" i="19" s="1"/>
  <c r="AJ126" i="19"/>
  <c r="GX123" i="19"/>
  <c r="GW17" i="19"/>
  <c r="GX17" i="19" s="1"/>
  <c r="GX122" i="19"/>
  <c r="GX113" i="19"/>
  <c r="GX118" i="19"/>
  <c r="DL128" i="19"/>
  <c r="GX134" i="19"/>
  <c r="GW30" i="19"/>
  <c r="GX30" i="19" s="1"/>
  <c r="GW13" i="19"/>
  <c r="GX13" i="19" s="1"/>
  <c r="HA116" i="19"/>
  <c r="GY116" i="19"/>
  <c r="IN16" i="19"/>
  <c r="GW32" i="19"/>
  <c r="GX32" i="19" s="1"/>
  <c r="T126" i="19"/>
  <c r="GX133" i="19"/>
  <c r="GW28" i="19"/>
  <c r="GX28" i="19" s="1"/>
  <c r="GX132" i="19"/>
  <c r="GW24" i="19"/>
  <c r="GX24" i="19" s="1"/>
  <c r="HA105" i="19"/>
  <c r="GW6" i="19"/>
  <c r="GX6" i="19" s="1"/>
  <c r="HA108" i="19"/>
  <c r="GY108" i="19"/>
  <c r="IN8" i="19"/>
  <c r="GW7" i="19"/>
  <c r="GX7" i="19" s="1"/>
  <c r="H7" i="17"/>
  <c r="G7" i="17"/>
  <c r="H66" i="17" l="1"/>
  <c r="H67" i="17"/>
  <c r="H58" i="17"/>
  <c r="H47" i="17"/>
  <c r="C42" i="17"/>
  <c r="D42" i="17"/>
  <c r="J67" i="17"/>
  <c r="J58" i="17"/>
  <c r="J50" i="17"/>
  <c r="IN35" i="19"/>
  <c r="IO5" i="19" s="1"/>
  <c r="HA125" i="19"/>
  <c r="HH125" i="19" s="1"/>
  <c r="GY135" i="19"/>
  <c r="HA110" i="19"/>
  <c r="HA112" i="19"/>
  <c r="HA129" i="19"/>
  <c r="HH129" i="19" s="1"/>
  <c r="IO8" i="19"/>
  <c r="IO16" i="19"/>
  <c r="GX128" i="19"/>
  <c r="HA128" i="19" s="1"/>
  <c r="HH128" i="19" s="1"/>
  <c r="IN10" i="19"/>
  <c r="IO10" i="19" s="1"/>
  <c r="GY110" i="19"/>
  <c r="IN6" i="19"/>
  <c r="IO6" i="19" s="1"/>
  <c r="HA106" i="19"/>
  <c r="IN31" i="19"/>
  <c r="IO31" i="19" s="1"/>
  <c r="HA131" i="19"/>
  <c r="HH131" i="19" s="1"/>
  <c r="IO21" i="19"/>
  <c r="GY125" i="19"/>
  <c r="IN25" i="19"/>
  <c r="IO25" i="19" s="1"/>
  <c r="IN12" i="19"/>
  <c r="IO12" i="19" s="1"/>
  <c r="GY129" i="19"/>
  <c r="GY112" i="19"/>
  <c r="GX126" i="19"/>
  <c r="HA126" i="19" s="1"/>
  <c r="HH126" i="19" s="1"/>
  <c r="IN29" i="19"/>
  <c r="IO29" i="19" s="1"/>
  <c r="IN14" i="19"/>
  <c r="IO14" i="19" s="1"/>
  <c r="GY114" i="19"/>
  <c r="IN11" i="19"/>
  <c r="IO11" i="19" s="1"/>
  <c r="GY111" i="19"/>
  <c r="HA113" i="19"/>
  <c r="GY113" i="19"/>
  <c r="IN13" i="19"/>
  <c r="IO13" i="19" s="1"/>
  <c r="HA127" i="19"/>
  <c r="HH127" i="19" s="1"/>
  <c r="GY127" i="19"/>
  <c r="IN27" i="19"/>
  <c r="IO27" i="19" s="1"/>
  <c r="D41" i="17"/>
  <c r="C41" i="17"/>
  <c r="GY133" i="19"/>
  <c r="HA133" i="19"/>
  <c r="HH133" i="19" s="1"/>
  <c r="IN33" i="19"/>
  <c r="IO33" i="19" s="1"/>
  <c r="HA122" i="19"/>
  <c r="GY122" i="19"/>
  <c r="IN22" i="19"/>
  <c r="IO22" i="19" s="1"/>
  <c r="GY107" i="19"/>
  <c r="HA107" i="19"/>
  <c r="IN7" i="19"/>
  <c r="IO7" i="19" s="1"/>
  <c r="GY119" i="19"/>
  <c r="HA119" i="19"/>
  <c r="IN19" i="19"/>
  <c r="IO19" i="19" s="1"/>
  <c r="GY123" i="19"/>
  <c r="HA123" i="19"/>
  <c r="IN23" i="19"/>
  <c r="IO23" i="19" s="1"/>
  <c r="GY104" i="19"/>
  <c r="IN4" i="19"/>
  <c r="IO4" i="19" s="1"/>
  <c r="HA130" i="19"/>
  <c r="HH130" i="19" s="1"/>
  <c r="GY130" i="19"/>
  <c r="IN30" i="19"/>
  <c r="IO30" i="19" s="1"/>
  <c r="H40" i="17"/>
  <c r="G40" i="17"/>
  <c r="K40" i="17" s="1"/>
  <c r="H41" i="17"/>
  <c r="G41" i="17"/>
  <c r="H38" i="17"/>
  <c r="G38" i="17"/>
  <c r="K38" i="17" s="1"/>
  <c r="J69" i="17"/>
  <c r="J65" i="17"/>
  <c r="J63" i="17"/>
  <c r="J61" i="17"/>
  <c r="J59" i="17"/>
  <c r="J57" i="17"/>
  <c r="J55" i="17"/>
  <c r="J53" i="17"/>
  <c r="J51" i="17"/>
  <c r="J49" i="17"/>
  <c r="J68" i="17"/>
  <c r="J66" i="17"/>
  <c r="J64" i="17"/>
  <c r="J62" i="17"/>
  <c r="J60" i="17"/>
  <c r="J56" i="17"/>
  <c r="J54" i="17"/>
  <c r="J52" i="17"/>
  <c r="J48" i="17"/>
  <c r="J47" i="17"/>
  <c r="HA134" i="19"/>
  <c r="GY134" i="19"/>
  <c r="IN34" i="19"/>
  <c r="IO34" i="19" s="1"/>
  <c r="GY124" i="19"/>
  <c r="HA124" i="19"/>
  <c r="IN24" i="19"/>
  <c r="IO24" i="19" s="1"/>
  <c r="HA115" i="19"/>
  <c r="GY115" i="19"/>
  <c r="IN15" i="19"/>
  <c r="IO15" i="19" s="1"/>
  <c r="GY132" i="19"/>
  <c r="HA132" i="19"/>
  <c r="HH132" i="19" s="1"/>
  <c r="IN32" i="19"/>
  <c r="IO32" i="19" s="1"/>
  <c r="GY120" i="19"/>
  <c r="HA120" i="19"/>
  <c r="IN20" i="19"/>
  <c r="IO20" i="19" s="1"/>
  <c r="D39" i="17"/>
  <c r="H39" i="17" s="1"/>
  <c r="C39" i="17"/>
  <c r="HA117" i="19"/>
  <c r="GY117" i="19"/>
  <c r="IN17" i="19"/>
  <c r="IO17" i="19" s="1"/>
  <c r="H69" i="17"/>
  <c r="H68" i="17"/>
  <c r="H65" i="17"/>
  <c r="H64" i="17"/>
  <c r="H63" i="17"/>
  <c r="H62" i="17"/>
  <c r="H61" i="17"/>
  <c r="H60" i="17"/>
  <c r="H59" i="17"/>
  <c r="H57" i="17"/>
  <c r="H56" i="17"/>
  <c r="H55" i="17"/>
  <c r="O55" i="17" s="1"/>
  <c r="H54" i="17"/>
  <c r="H53" i="17"/>
  <c r="H52" i="17"/>
  <c r="H51" i="17"/>
  <c r="H50" i="17"/>
  <c r="H48" i="17"/>
  <c r="H49" i="17"/>
  <c r="HA118" i="19"/>
  <c r="GY118" i="19"/>
  <c r="IN18" i="19"/>
  <c r="IO18" i="19" s="1"/>
  <c r="GY109" i="19"/>
  <c r="IN9" i="19"/>
  <c r="IO9" i="19" s="1"/>
  <c r="W58" i="17" l="1"/>
  <c r="Q58" i="17"/>
  <c r="W67" i="17"/>
  <c r="Q67" i="17"/>
  <c r="K67" i="17"/>
  <c r="K58" i="17"/>
  <c r="I58" i="17"/>
  <c r="I67" i="17"/>
  <c r="I49" i="17"/>
  <c r="O58" i="17"/>
  <c r="U58" i="17"/>
  <c r="U67" i="17"/>
  <c r="O67" i="17"/>
  <c r="IN28" i="19"/>
  <c r="IO28" i="19" s="1"/>
  <c r="GY128" i="19"/>
  <c r="IN26" i="19"/>
  <c r="IO26" i="19" s="1"/>
  <c r="GY126" i="19"/>
  <c r="O48" i="17"/>
  <c r="U48" i="17"/>
  <c r="U65" i="17"/>
  <c r="O65" i="17"/>
  <c r="I48" i="17"/>
  <c r="I47" i="17"/>
  <c r="I69" i="17"/>
  <c r="L69" i="17" s="1"/>
  <c r="I65" i="17"/>
  <c r="I63" i="17"/>
  <c r="I61" i="17"/>
  <c r="I59" i="17"/>
  <c r="I57" i="17"/>
  <c r="I55" i="17"/>
  <c r="I53" i="17"/>
  <c r="I51" i="17"/>
  <c r="L51" i="17" s="1"/>
  <c r="I68" i="17"/>
  <c r="L68" i="17" s="1"/>
  <c r="I66" i="17"/>
  <c r="I64" i="17"/>
  <c r="I62" i="17"/>
  <c r="L62" i="17" s="1"/>
  <c r="I60" i="17"/>
  <c r="I56" i="17"/>
  <c r="I54" i="17"/>
  <c r="L54" i="17" s="1"/>
  <c r="I52" i="17"/>
  <c r="L52" i="17" s="1"/>
  <c r="I50" i="17"/>
  <c r="Q50" i="17"/>
  <c r="W50" i="17"/>
  <c r="Q66" i="17"/>
  <c r="W66" i="17"/>
  <c r="Q61" i="17"/>
  <c r="W61" i="17"/>
  <c r="U57" i="17"/>
  <c r="O57" i="17"/>
  <c r="O50" i="17"/>
  <c r="U50" i="17"/>
  <c r="O66" i="17"/>
  <c r="U66" i="17"/>
  <c r="Q52" i="17"/>
  <c r="W52" i="17"/>
  <c r="Q68" i="17"/>
  <c r="W68" i="17"/>
  <c r="Q63" i="17"/>
  <c r="W63" i="17"/>
  <c r="K68" i="17"/>
  <c r="K66" i="17"/>
  <c r="K64" i="17"/>
  <c r="K62" i="17"/>
  <c r="K60" i="17"/>
  <c r="K56" i="17"/>
  <c r="L56" i="17" s="1"/>
  <c r="K54" i="17"/>
  <c r="K52" i="17"/>
  <c r="K50" i="17"/>
  <c r="K48" i="17"/>
  <c r="K47" i="17"/>
  <c r="K69" i="17"/>
  <c r="K65" i="17"/>
  <c r="K63" i="17"/>
  <c r="L63" i="17" s="1"/>
  <c r="K61" i="17"/>
  <c r="K59" i="17"/>
  <c r="K57" i="17"/>
  <c r="K55" i="17"/>
  <c r="K53" i="17"/>
  <c r="K51" i="17"/>
  <c r="K49" i="17"/>
  <c r="L49" i="17" s="1"/>
  <c r="U59" i="17"/>
  <c r="O59" i="17"/>
  <c r="Q54" i="17"/>
  <c r="W54" i="17"/>
  <c r="Q49" i="17"/>
  <c r="W49" i="17"/>
  <c r="Q65" i="17"/>
  <c r="W65" i="17"/>
  <c r="O52" i="17"/>
  <c r="U52" i="17"/>
  <c r="O60" i="17"/>
  <c r="U60" i="17"/>
  <c r="O68" i="17"/>
  <c r="U68" i="17"/>
  <c r="Q56" i="17"/>
  <c r="W56" i="17"/>
  <c r="Q51" i="17"/>
  <c r="W51" i="17"/>
  <c r="U69" i="17"/>
  <c r="O69" i="17"/>
  <c r="Q53" i="17"/>
  <c r="W53" i="17"/>
  <c r="Q69" i="17"/>
  <c r="W69" i="17"/>
  <c r="U51" i="17"/>
  <c r="O51" i="17"/>
  <c r="U53" i="17"/>
  <c r="O53" i="17"/>
  <c r="L53" i="17"/>
  <c r="O62" i="17"/>
  <c r="U62" i="17"/>
  <c r="Q60" i="17"/>
  <c r="W60" i="17"/>
  <c r="Q55" i="17"/>
  <c r="W55" i="17"/>
  <c r="G39" i="17"/>
  <c r="K39" i="17" s="1"/>
  <c r="O54" i="17"/>
  <c r="U54" i="17"/>
  <c r="U49" i="17"/>
  <c r="O49" i="17"/>
  <c r="U55" i="17"/>
  <c r="L55" i="17"/>
  <c r="U63" i="17"/>
  <c r="O63" i="17"/>
  <c r="Q47" i="17"/>
  <c r="J71" i="17"/>
  <c r="W47" i="17"/>
  <c r="Q62" i="17"/>
  <c r="W62" i="17"/>
  <c r="Q57" i="17"/>
  <c r="W57" i="17"/>
  <c r="U61" i="17"/>
  <c r="O61" i="17"/>
  <c r="L61" i="17"/>
  <c r="H71" i="17"/>
  <c r="O47" i="17"/>
  <c r="L47" i="17"/>
  <c r="U47" i="17"/>
  <c r="O56" i="17"/>
  <c r="U56" i="17"/>
  <c r="O64" i="17"/>
  <c r="L64" i="17"/>
  <c r="U64" i="17"/>
  <c r="Q48" i="17"/>
  <c r="W48" i="17"/>
  <c r="Q64" i="17"/>
  <c r="W64" i="17"/>
  <c r="Q59" i="17"/>
  <c r="W59" i="17"/>
  <c r="S58" i="17" l="1"/>
  <c r="AA58" i="17" s="1"/>
  <c r="V67" i="17"/>
  <c r="Y67" i="17" s="1"/>
  <c r="P67" i="17"/>
  <c r="S67" i="17" s="1"/>
  <c r="AA67" i="17" s="1"/>
  <c r="L67" i="17"/>
  <c r="P58" i="17"/>
  <c r="V58" i="17"/>
  <c r="Y58" i="17" s="1"/>
  <c r="L65" i="17"/>
  <c r="X67" i="17"/>
  <c r="R67" i="17"/>
  <c r="X58" i="17"/>
  <c r="R58" i="17"/>
  <c r="L58" i="17"/>
  <c r="R53" i="17"/>
  <c r="X53" i="17"/>
  <c r="R69" i="17"/>
  <c r="X69" i="17"/>
  <c r="R60" i="17"/>
  <c r="X60" i="17"/>
  <c r="P60" i="17"/>
  <c r="S60" i="17" s="1"/>
  <c r="V60" i="17"/>
  <c r="V55" i="17"/>
  <c r="Y55" i="17" s="1"/>
  <c r="P55" i="17"/>
  <c r="S55" i="17" s="1"/>
  <c r="P47" i="17"/>
  <c r="S47" i="17" s="1"/>
  <c r="I71" i="17"/>
  <c r="V47" i="17"/>
  <c r="R55" i="17"/>
  <c r="X55" i="17"/>
  <c r="R47" i="17"/>
  <c r="K71" i="17"/>
  <c r="X47" i="17"/>
  <c r="Y47" i="17" s="1"/>
  <c r="R62" i="17"/>
  <c r="X62" i="17"/>
  <c r="P62" i="17"/>
  <c r="V62" i="17"/>
  <c r="V57" i="17"/>
  <c r="Y57" i="17" s="1"/>
  <c r="P57" i="17"/>
  <c r="S57" i="17" s="1"/>
  <c r="P48" i="17"/>
  <c r="S48" i="17" s="1"/>
  <c r="V48" i="17"/>
  <c r="Y48" i="17" s="1"/>
  <c r="R57" i="17"/>
  <c r="X57" i="17"/>
  <c r="R48" i="17"/>
  <c r="X48" i="17"/>
  <c r="R64" i="17"/>
  <c r="X64" i="17"/>
  <c r="P64" i="17"/>
  <c r="S64" i="17" s="1"/>
  <c r="V64" i="17"/>
  <c r="Y64" i="17" s="1"/>
  <c r="V59" i="17"/>
  <c r="Y59" i="17" s="1"/>
  <c r="P59" i="17"/>
  <c r="R59" i="17"/>
  <c r="X59" i="17"/>
  <c r="R50" i="17"/>
  <c r="X50" i="17"/>
  <c r="Y50" i="17" s="1"/>
  <c r="R66" i="17"/>
  <c r="S66" i="17" s="1"/>
  <c r="X66" i="17"/>
  <c r="P50" i="17"/>
  <c r="S50" i="17" s="1"/>
  <c r="V50" i="17"/>
  <c r="P66" i="17"/>
  <c r="V66" i="17"/>
  <c r="Y66" i="17" s="1"/>
  <c r="V61" i="17"/>
  <c r="P61" i="17"/>
  <c r="R61" i="17"/>
  <c r="X61" i="17"/>
  <c r="Y61" i="17" s="1"/>
  <c r="R52" i="17"/>
  <c r="X52" i="17"/>
  <c r="R68" i="17"/>
  <c r="X68" i="17"/>
  <c r="L50" i="17"/>
  <c r="P52" i="17"/>
  <c r="V52" i="17"/>
  <c r="Y52" i="17" s="1"/>
  <c r="P68" i="17"/>
  <c r="S68" i="17" s="1"/>
  <c r="AA68" i="17" s="1"/>
  <c r="V68" i="17"/>
  <c r="Y68" i="17" s="1"/>
  <c r="V63" i="17"/>
  <c r="P63" i="17"/>
  <c r="R63" i="17"/>
  <c r="X63" i="17"/>
  <c r="Y63" i="17" s="1"/>
  <c r="R54" i="17"/>
  <c r="X54" i="17"/>
  <c r="P54" i="17"/>
  <c r="V54" i="17"/>
  <c r="V49" i="17"/>
  <c r="P49" i="17"/>
  <c r="S49" i="17" s="1"/>
  <c r="V65" i="17"/>
  <c r="P65" i="17"/>
  <c r="S65" i="17" s="1"/>
  <c r="Y60" i="17"/>
  <c r="L59" i="17"/>
  <c r="R49" i="17"/>
  <c r="X49" i="17"/>
  <c r="R65" i="17"/>
  <c r="X65" i="17"/>
  <c r="R56" i="17"/>
  <c r="X56" i="17"/>
  <c r="L66" i="17"/>
  <c r="L57" i="17"/>
  <c r="P56" i="17"/>
  <c r="V56" i="17"/>
  <c r="V51" i="17"/>
  <c r="P51" i="17"/>
  <c r="S51" i="17" s="1"/>
  <c r="L48" i="17"/>
  <c r="Y62" i="17"/>
  <c r="L60" i="17"/>
  <c r="S59" i="17"/>
  <c r="R51" i="17"/>
  <c r="X51" i="17"/>
  <c r="V53" i="17"/>
  <c r="P53" i="17"/>
  <c r="V69" i="17"/>
  <c r="P69" i="17"/>
  <c r="S69" i="17" s="1"/>
  <c r="Y65" i="17" l="1"/>
  <c r="Y69" i="17"/>
  <c r="Y49" i="17"/>
  <c r="S61" i="17"/>
  <c r="S53" i="17"/>
  <c r="Y54" i="17"/>
  <c r="Y53" i="17"/>
  <c r="Y56" i="17"/>
  <c r="S63" i="17"/>
  <c r="AA63" i="17" s="1"/>
  <c r="S62" i="17"/>
  <c r="AA62" i="17" s="1"/>
  <c r="Y51" i="17"/>
  <c r="S52" i="17"/>
  <c r="AA52" i="17" s="1"/>
  <c r="S54" i="17"/>
  <c r="S56" i="17"/>
  <c r="IP6" i="19"/>
  <c r="AA49" i="17"/>
  <c r="IP17" i="19"/>
  <c r="AA60" i="17"/>
  <c r="IP5" i="19"/>
  <c r="AA48" i="17"/>
  <c r="IP15" i="19"/>
  <c r="IP11" i="19"/>
  <c r="AA54" i="17"/>
  <c r="IP18" i="19"/>
  <c r="AA61" i="17"/>
  <c r="IP10" i="19"/>
  <c r="AA53" i="17"/>
  <c r="IP24" i="19"/>
  <c r="IP20" i="19"/>
  <c r="IP13" i="19"/>
  <c r="AA56" i="17"/>
  <c r="IP21" i="19"/>
  <c r="AA64" i="17"/>
  <c r="IP19" i="19"/>
  <c r="IP12" i="19"/>
  <c r="AA55" i="17"/>
  <c r="IP8" i="19"/>
  <c r="AA51" i="17"/>
  <c r="IP22" i="19"/>
  <c r="AA65" i="17"/>
  <c r="IP29" i="19"/>
  <c r="AA69" i="17"/>
  <c r="IP23" i="19"/>
  <c r="AA66" i="17"/>
  <c r="AA47" i="17"/>
  <c r="IP30" i="19"/>
  <c r="IP28" i="19"/>
  <c r="IP16" i="19"/>
  <c r="AA59" i="17"/>
  <c r="IP7" i="19"/>
  <c r="AA50" i="17"/>
  <c r="IP27" i="19"/>
  <c r="IP14" i="19"/>
  <c r="AA57" i="17"/>
  <c r="HH104" i="19" l="1"/>
  <c r="HW4" i="19"/>
  <c r="HX4" i="19" s="1"/>
  <c r="HH109" i="19"/>
  <c r="IP9" i="19"/>
  <c r="IP4" i="19"/>
  <c r="IP25" i="19"/>
  <c r="HW22" i="19"/>
  <c r="HX22" i="19" s="1"/>
  <c r="HH122" i="19"/>
  <c r="HW21" i="19"/>
  <c r="HX21" i="19" s="1"/>
  <c r="HH121" i="19"/>
  <c r="HW10" i="19"/>
  <c r="HX10" i="19" s="1"/>
  <c r="HH110" i="19"/>
  <c r="HW15" i="19"/>
  <c r="HX15" i="19" s="1"/>
  <c r="HH115" i="19"/>
  <c r="HW14" i="19"/>
  <c r="HX14" i="19" s="1"/>
  <c r="HH114" i="19"/>
  <c r="HW23" i="19"/>
  <c r="HX23" i="19" s="1"/>
  <c r="HH123" i="19"/>
  <c r="HW8" i="19"/>
  <c r="HX8" i="19" s="1"/>
  <c r="HH108" i="19"/>
  <c r="HW13" i="19"/>
  <c r="HX13" i="19" s="1"/>
  <c r="HH113" i="19"/>
  <c r="HW18" i="19"/>
  <c r="HX18" i="19" s="1"/>
  <c r="HH118" i="19"/>
  <c r="HW5" i="19"/>
  <c r="HX5" i="19" s="1"/>
  <c r="HH105" i="19"/>
  <c r="IP32" i="19"/>
  <c r="HW28" i="19"/>
  <c r="HX28" i="19" s="1"/>
  <c r="HW7" i="19"/>
  <c r="HX7" i="19" s="1"/>
  <c r="HH107" i="19"/>
  <c r="IP26" i="19"/>
  <c r="HW16" i="19"/>
  <c r="HX16" i="19" s="1"/>
  <c r="HH116" i="19"/>
  <c r="IP33" i="19"/>
  <c r="HW12" i="19"/>
  <c r="HX12" i="19" s="1"/>
  <c r="HH112" i="19"/>
  <c r="HW20" i="19"/>
  <c r="HX20" i="19" s="1"/>
  <c r="HH120" i="19"/>
  <c r="HW11" i="19"/>
  <c r="HX11" i="19" s="1"/>
  <c r="HH111" i="19"/>
  <c r="HW17" i="19"/>
  <c r="HX17" i="19" s="1"/>
  <c r="HH117" i="19"/>
  <c r="HW30" i="19"/>
  <c r="HX30" i="19" s="1"/>
  <c r="HW25" i="19"/>
  <c r="HX25" i="19" s="1"/>
  <c r="HW27" i="19"/>
  <c r="HX27" i="19" s="1"/>
  <c r="IP31" i="19"/>
  <c r="HW29" i="19"/>
  <c r="HX29" i="19" s="1"/>
  <c r="HW19" i="19"/>
  <c r="HX19" i="19" s="1"/>
  <c r="HH119" i="19"/>
  <c r="HW24" i="19"/>
  <c r="HX24" i="19" s="1"/>
  <c r="HH124" i="19"/>
  <c r="HW9" i="19"/>
  <c r="HX9" i="19" s="1"/>
  <c r="HW6" i="19"/>
  <c r="HX6" i="19" s="1"/>
  <c r="HH106" i="19"/>
  <c r="IP34" i="19" l="1"/>
  <c r="HH134" i="19"/>
  <c r="HW26" i="19"/>
  <c r="HX26" i="19" s="1"/>
  <c r="HW32" i="19"/>
  <c r="HX32" i="19" s="1"/>
  <c r="HW31" i="19"/>
  <c r="HX31" i="19" s="1"/>
  <c r="HW33" i="19"/>
  <c r="HX33" i="19" s="1"/>
  <c r="HW34" i="19"/>
  <c r="HX34" i="19" s="1"/>
</calcChain>
</file>

<file path=xl/sharedStrings.xml><?xml version="1.0" encoding="utf-8"?>
<sst xmlns="http://schemas.openxmlformats.org/spreadsheetml/2006/main" count="1054" uniqueCount="295">
  <si>
    <t>Substrates</t>
  </si>
  <si>
    <t>Cattle manure</t>
  </si>
  <si>
    <t>pH</t>
  </si>
  <si>
    <t>TS</t>
  </si>
  <si>
    <t>VS</t>
  </si>
  <si>
    <t>Mean</t>
  </si>
  <si>
    <t>SD</t>
  </si>
  <si>
    <t>M1</t>
  </si>
  <si>
    <t>M2</t>
  </si>
  <si>
    <t>5.0 pH value</t>
  </si>
  <si>
    <t>4.4 pH value</t>
  </si>
  <si>
    <t>sample volume
(ml)</t>
  </si>
  <si>
    <t>TVFA (mg/l acetate)</t>
  </si>
  <si>
    <t>Alkalinity (mg/l CaCO3)</t>
  </si>
  <si>
    <t>Mean TVFA</t>
  </si>
  <si>
    <t>M0</t>
  </si>
  <si>
    <t>Moisture content</t>
  </si>
  <si>
    <t>Mean Alk</t>
  </si>
  <si>
    <t>Inoculum</t>
  </si>
  <si>
    <t>mass sampling</t>
  </si>
  <si>
    <t>VS (%TS)</t>
  </si>
  <si>
    <t>Amount of NaHCO3 buffer</t>
  </si>
  <si>
    <t>g TS</t>
  </si>
  <si>
    <t>Pig manure</t>
  </si>
  <si>
    <t>Human excreta</t>
  </si>
  <si>
    <t>Cellulose</t>
  </si>
  <si>
    <t>Physico-chemical characteristics</t>
  </si>
  <si>
    <t>Working volume</t>
  </si>
  <si>
    <t>ml</t>
  </si>
  <si>
    <t>Volume (ml)</t>
  </si>
  <si>
    <t>Density (g/ml)</t>
  </si>
  <si>
    <t>Corresponding mass (g)</t>
  </si>
  <si>
    <t>Inoculum proportion = 50% of working volume</t>
  </si>
  <si>
    <t>mass to introduce (g)</t>
  </si>
  <si>
    <t>Total</t>
  </si>
  <si>
    <t>Amount of nutritive solution</t>
  </si>
  <si>
    <t>ISR</t>
  </si>
  <si>
    <t>Amount of substrate and inoculum to perform BMP at a TS concentration of 10% in the reactor</t>
  </si>
  <si>
    <t>Corresponding TS (g TS)</t>
  </si>
  <si>
    <t>Amount of TS (g TS)</t>
  </si>
  <si>
    <t>Corresponding VS (g VS)</t>
  </si>
  <si>
    <t>C/N ratio</t>
  </si>
  <si>
    <t>VS total in reactor (g VS)</t>
  </si>
  <si>
    <t>g NaHCO3</t>
  </si>
  <si>
    <t>CH4 potential</t>
  </si>
  <si>
    <t>~ 350 ml CH4/ gVS</t>
  </si>
  <si>
    <t>HE</t>
  </si>
  <si>
    <t>CD</t>
  </si>
  <si>
    <t>PM</t>
  </si>
  <si>
    <t>DoE</t>
  </si>
  <si>
    <t>Volatile solids</t>
  </si>
  <si>
    <t>Mass</t>
  </si>
  <si>
    <t>Total solids</t>
  </si>
  <si>
    <t>Sheep manure</t>
  </si>
  <si>
    <t>SM</t>
  </si>
  <si>
    <t>Test HBPM</t>
  </si>
  <si>
    <t>Daily biogas production</t>
  </si>
  <si>
    <t>Biogas quality</t>
  </si>
  <si>
    <t>Jours</t>
  </si>
  <si>
    <t>Test 1</t>
  </si>
  <si>
    <t>Week 1</t>
  </si>
  <si>
    <t>Week 2</t>
  </si>
  <si>
    <t>Week 3</t>
  </si>
  <si>
    <t>Week 4</t>
  </si>
  <si>
    <t>Week 5</t>
  </si>
  <si>
    <t>Week 6</t>
  </si>
  <si>
    <t>Prélèvement Inoculum</t>
  </si>
  <si>
    <t>Tot</t>
  </si>
  <si>
    <t>CH4 (%)</t>
  </si>
  <si>
    <t>CO2 (%)</t>
  </si>
  <si>
    <t>O2 (%)</t>
  </si>
  <si>
    <t>H2S (ppm)</t>
  </si>
  <si>
    <t>Reste (N2) (%)</t>
  </si>
  <si>
    <t>1% total</t>
  </si>
  <si>
    <t>In the mesophilic digestion of mixed liquefied material and excreta (wet mass ratio of 1:1), biogas yield reached approximately 570 ml/g-VTS fed with a methane content of 55% at a VTS loading rate of 1.0 g/L/d.</t>
  </si>
  <si>
    <t>x</t>
  </si>
  <si>
    <t>Incubation</t>
  </si>
  <si>
    <t>INO</t>
  </si>
  <si>
    <t>Pecha Kucha</t>
  </si>
  <si>
    <t>Masse initiale (à vide)</t>
  </si>
  <si>
    <t>MS initiale (g TS)</t>
  </si>
  <si>
    <t>MV initiale (g MV)</t>
  </si>
  <si>
    <t>MS</t>
  </si>
  <si>
    <t>MV (%x)</t>
  </si>
  <si>
    <t>MV finale (g MV)</t>
  </si>
  <si>
    <t>Lancement du test BMP</t>
  </si>
  <si>
    <t>Week 7</t>
  </si>
  <si>
    <t>Week 8</t>
  </si>
  <si>
    <t xml:space="preserve"> </t>
  </si>
  <si>
    <t>Masse restante (g)</t>
  </si>
  <si>
    <t>AGV/TAC</t>
  </si>
  <si>
    <t>MS/MV</t>
  </si>
  <si>
    <t>Daily methane production</t>
  </si>
  <si>
    <t>Week 9</t>
  </si>
  <si>
    <t>Sulfate (mg/L SO42-)</t>
  </si>
  <si>
    <t>Week 10</t>
  </si>
  <si>
    <t>inoculum</t>
  </si>
  <si>
    <t>gVS</t>
  </si>
  <si>
    <t>Volume</t>
  </si>
  <si>
    <t>masse</t>
  </si>
  <si>
    <t>g</t>
  </si>
  <si>
    <t>Week 11</t>
  </si>
  <si>
    <t>Week 12</t>
  </si>
  <si>
    <t>Ammonium (mg/L NH4+)</t>
  </si>
  <si>
    <t>Total CH4 (ml)</t>
  </si>
  <si>
    <t>BMP (ml CH4 / g VS fed)</t>
  </si>
  <si>
    <t>0,04:27,80:0,00:72,15</t>
  </si>
  <si>
    <t>0,00:100,00:0,00:0,00</t>
  </si>
  <si>
    <t>33,09:33,28:1,84:31,79</t>
  </si>
  <si>
    <t>27,20:0,00:72,80:0,00</t>
  </si>
  <si>
    <t>33,56:1,48:32,66:32,30</t>
  </si>
  <si>
    <t>72,59:27,41:0,00:0,00</t>
  </si>
  <si>
    <t>73,72:0,00:0,00:26,28</t>
  </si>
  <si>
    <t>46,63:47,36:6,02:0,00</t>
  </si>
  <si>
    <t>100,00:0,00:0,00:0,00</t>
  </si>
  <si>
    <t>32,39:32,22:33,13:2,26</t>
  </si>
  <si>
    <t>0,00:46,06:46,86:7,08</t>
  </si>
  <si>
    <t>71,94:0,00:28,06:0,00</t>
  </si>
  <si>
    <t>0,00:0,00:0,00:100,00</t>
  </si>
  <si>
    <t>6,45:47,09:0,00:46,46</t>
  </si>
  <si>
    <t>0,00:72,68:0,00:27,32</t>
  </si>
  <si>
    <t>47,87:4,81:0,00:47,32</t>
  </si>
  <si>
    <t>2,01:31,36:33,13:33,51</t>
  </si>
  <si>
    <t>0,00:0,00:27,99:72,01</t>
  </si>
  <si>
    <t>5,51:2,48:47,35:44,66</t>
  </si>
  <si>
    <t>26,57:0,00:0,00:73,43</t>
  </si>
  <si>
    <t>26,66:73,34:0,00:0,00</t>
  </si>
  <si>
    <t>0,00:72,45:27,35:0,19</t>
  </si>
  <si>
    <t>0,00:0,00:100,00:0,00</t>
  </si>
  <si>
    <t>0,00:0,00:74,20:25,80</t>
  </si>
  <si>
    <t>0,00:26,54:73,46:0,00</t>
  </si>
  <si>
    <t>Ratio (HE:CM:PM:SM)</t>
  </si>
  <si>
    <t>R1 (0,04:27,80:0,00:72,15)</t>
  </si>
  <si>
    <t>R2 (0,00:100,00:0,00:0,00)</t>
  </si>
  <si>
    <t>R3 (33,09:33,28:1,84:31,79)</t>
  </si>
  <si>
    <t>R4 (27,20:0,00:72,80:0,00)</t>
  </si>
  <si>
    <t>R5 (33,56:1,48:32,66:32,30)</t>
  </si>
  <si>
    <t>R7 (73,72:0,00:0,00:26,28)</t>
  </si>
  <si>
    <t>R8 (46,63:47,36:6,02:0,00)</t>
  </si>
  <si>
    <t>R9 (100,00:0,00:0,00:0,00)</t>
  </si>
  <si>
    <t>R10 (32,39:32,22:33,13:2,26)</t>
  </si>
  <si>
    <t>R11 (0,00:46,06:46,86:7,08)</t>
  </si>
  <si>
    <t>R13 (0,00:0,00:0,00:100,00)</t>
  </si>
  <si>
    <t>R14 (6,45:47,09:0,00:46,46)</t>
  </si>
  <si>
    <t>R15 (0,00:72,68:0,00:27,32)</t>
  </si>
  <si>
    <t>R16 (47,87:4,81:0,00:47,32)</t>
  </si>
  <si>
    <t>R17 (2,01:31,36:33,13:33,51)</t>
  </si>
  <si>
    <t>R18 (32,39:32,22:33,13:2,26)</t>
  </si>
  <si>
    <t>R19 (0,00:0,00:27,99:72,01)</t>
  </si>
  <si>
    <t>R21 (5,51:2,48:47,35:44,66)</t>
  </si>
  <si>
    <t>R22 (33,09:33,28:1,84:31,79)</t>
  </si>
  <si>
    <t>R23 (71,94:0,00:28,06:0,00)</t>
  </si>
  <si>
    <t>R24 (33,56:1,48:32,66:32,30)</t>
  </si>
  <si>
    <t>R25 (2,01:31,36:33,13:33,51)</t>
  </si>
  <si>
    <t>R26 (26,57:0,00:0,00:73,43)</t>
  </si>
  <si>
    <t>R28 (0,00:72,45:27,35:0,19)</t>
  </si>
  <si>
    <t>R29 (0,00:0,00:100,00:0,00)</t>
  </si>
  <si>
    <t>R30 (0,00:0,00:74,20:25,80)</t>
  </si>
  <si>
    <t>R31 (0,00:26,54:73,46:0,00)</t>
  </si>
  <si>
    <t>HE (g)b</t>
  </si>
  <si>
    <t>CM (g)b</t>
  </si>
  <si>
    <t>PM (g)b</t>
  </si>
  <si>
    <t>SM (g)b</t>
  </si>
  <si>
    <t>Inoculum (g)b</t>
  </si>
  <si>
    <t>Blank d</t>
  </si>
  <si>
    <t>Total VS content</t>
  </si>
  <si>
    <t>%VS</t>
  </si>
  <si>
    <t>TVFA (g/l acetate)</t>
  </si>
  <si>
    <t>Alkalinity (g/l CaCO3)</t>
  </si>
  <si>
    <t>Run</t>
  </si>
  <si>
    <t>CD+PM+SM</t>
  </si>
  <si>
    <t>4 et 20</t>
  </si>
  <si>
    <t>12 et 23</t>
  </si>
  <si>
    <t>46,6%HE+47,4%CD+6,0%PM</t>
  </si>
  <si>
    <t>0,04%HE+27,80%CD+72,15%SM</t>
  </si>
  <si>
    <t>6,45%HE+47,09%CD+46,46%SM</t>
  </si>
  <si>
    <t>47,87%HE+4,81%CD+47,32%SM</t>
  </si>
  <si>
    <t>100%HE</t>
  </si>
  <si>
    <t>72,59%HE+27,41%CD</t>
  </si>
  <si>
    <t>26,66%HE+73,34%CD</t>
  </si>
  <si>
    <t>27,20%HE+72,80%PM</t>
  </si>
  <si>
    <t>71,94%HE+28,06%PM</t>
  </si>
  <si>
    <t>73,72%HE+26,28%SM</t>
  </si>
  <si>
    <t>26,57%HE+73,43%SM</t>
  </si>
  <si>
    <t>26,54%CD+73,46%PM</t>
  </si>
  <si>
    <t>72,68%CD+27,32%SM</t>
  </si>
  <si>
    <t>27,99%PM+72,01%SM</t>
  </si>
  <si>
    <t>74,20%PM+25,80%SM</t>
  </si>
  <si>
    <t>2,01%HE+31,36%CD+33,13%PM+33,51%SM</t>
  </si>
  <si>
    <t>17+25</t>
  </si>
  <si>
    <t>5,51%HE+2,48%CD+47,35%PM+44,66%SM</t>
  </si>
  <si>
    <t>10+18</t>
  </si>
  <si>
    <t>32,39%HE+32,22%CD+33,13%PM+2,26%SM</t>
  </si>
  <si>
    <t>3+22</t>
  </si>
  <si>
    <t>33,09%HE+33,28%CD+1,84%PM+31,79%SM</t>
  </si>
  <si>
    <t>5+24</t>
  </si>
  <si>
    <t>33,56%HE+1,48%CD+32,66%PM+32,30%SM</t>
  </si>
  <si>
    <t>100%CD</t>
  </si>
  <si>
    <t>100%SM</t>
  </si>
  <si>
    <t>100%PM</t>
  </si>
  <si>
    <t>ml CH4/g VS</t>
  </si>
  <si>
    <t>N-NH4+ (mg/L)</t>
  </si>
  <si>
    <t>% VS reduction</t>
  </si>
  <si>
    <t>VS éliminé (g)</t>
  </si>
  <si>
    <t>SI</t>
  </si>
  <si>
    <t>VFA/Alk</t>
  </si>
  <si>
    <t>Total CH4 (ml) corrigé</t>
  </si>
  <si>
    <t>BMP Expected</t>
  </si>
  <si>
    <t>BMP Obtained</t>
  </si>
  <si>
    <t>BMP (ml / g VS added)</t>
  </si>
  <si>
    <t>Parameters</t>
  </si>
  <si>
    <t>Total carbon (%)</t>
  </si>
  <si>
    <t>Total nitrogen (%)</t>
  </si>
  <si>
    <t>% Carbon</t>
  </si>
  <si>
    <t>% Nitrogen</t>
  </si>
  <si>
    <t>The ratio of VFA/TA is an important stability indicator that can be divided into three levels: (1)&lt;0.4, stable; (2) 0.4–0.8, unstable; (3)&gt;0.8, significantly unstable (Rasapoor et al., 2020).</t>
  </si>
  <si>
    <t>Quadridigestion</t>
  </si>
  <si>
    <t>Tridigestion</t>
  </si>
  <si>
    <t>Codigestion</t>
  </si>
  <si>
    <t>00/01/1900</t>
  </si>
  <si>
    <t>Total CH4</t>
  </si>
  <si>
    <t>3 et 22</t>
  </si>
  <si>
    <t>10 et 18</t>
  </si>
  <si>
    <t>17 et 25</t>
  </si>
  <si>
    <t>5 et 24</t>
  </si>
  <si>
    <t>Increase reduction</t>
  </si>
  <si>
    <t>46,06%CD+46,86%PM+7,08%SM</t>
  </si>
  <si>
    <t>72,45%CD+27,35%PM+0,19%SM</t>
  </si>
  <si>
    <t>HE/PM</t>
  </si>
  <si>
    <t>HE/CD</t>
  </si>
  <si>
    <t>HE/SM</t>
  </si>
  <si>
    <t>CD/SM</t>
  </si>
  <si>
    <t>46,06%CM+46,86%PM+7,08%SM</t>
  </si>
  <si>
    <t>100%CM</t>
  </si>
  <si>
    <t>72,59%HE+27,41%CM</t>
  </si>
  <si>
    <t>26,66%HE+73,34%CM</t>
  </si>
  <si>
    <t>26,54%CM+73,46%PM</t>
  </si>
  <si>
    <t>72,68%CM+27,32%SM</t>
  </si>
  <si>
    <t>46,6%HE+47,4%CM+6,0%PM</t>
  </si>
  <si>
    <t>0,04%HE+27,80%CM+72,15%SM</t>
  </si>
  <si>
    <t>6,45%HE+47,09%CM+46,46%SM</t>
  </si>
  <si>
    <t>47,87%HE+4,81%CM+47,32%SM</t>
  </si>
  <si>
    <t>72,45%CM+27,35%PM+0,19%SM</t>
  </si>
  <si>
    <t>2,01%HE+31,36%CM+33,13%PM+33,51%SM</t>
  </si>
  <si>
    <t>5,51%HE+2,48%CM+47,35%PM+44,66%SM</t>
  </si>
  <si>
    <t>32,39%HE+32,22%CM+33,13%PM+2,26%SM</t>
  </si>
  <si>
    <t>33,09%HE+33,28%CM+1,84%PM+31,79%SM</t>
  </si>
  <si>
    <t>33,56%HE+1,48%CM+32,66%PM+32,30%SM</t>
  </si>
  <si>
    <t>CM</t>
  </si>
  <si>
    <t>PM/HE</t>
  </si>
  <si>
    <t>X</t>
  </si>
  <si>
    <t>R5 (33,56%HE+1,48%CD+32,66%PM+32,30%SM)</t>
  </si>
  <si>
    <t>R3 (33,09%HE+33,28%CD+1,84%PM+31,79%SM)</t>
  </si>
  <si>
    <t>R10 (32,39%HE+32,22%CD+33,13%PM+2,26%SM)</t>
  </si>
  <si>
    <t>R21 (5,51%HE+2,48%CD+47,35%PM+44,66%SM)</t>
  </si>
  <si>
    <t>R17 (2,01%HE+31,36%CD+33,13%PM+33,51%SM)</t>
  </si>
  <si>
    <t>R16 (47,87%HE+4,81%CD+47,32%SM)</t>
  </si>
  <si>
    <t>R14 (6,45%HE+47,09%CD+46,46%SM)</t>
  </si>
  <si>
    <t>R1 (0,04%HE+27,80%CD+72,15%SM)</t>
  </si>
  <si>
    <t>R8 (46,6%HE+47,4%CD+6,0%PM)</t>
  </si>
  <si>
    <t>R7 (73,72%HE+26,28%SM)</t>
  </si>
  <si>
    <t>R26 (26,57%HE+73,43%SM)</t>
  </si>
  <si>
    <t>R4 (27,20%HE+72,80%PM)</t>
  </si>
  <si>
    <t>R6 (72,59%HE+27,41%CD)</t>
  </si>
  <si>
    <t>R27 (26,66%HE+73,34%CD)</t>
  </si>
  <si>
    <t>R29 (100%PM)</t>
  </si>
  <si>
    <t>R13 (100%SM)</t>
  </si>
  <si>
    <t>R2 (100%CD)</t>
  </si>
  <si>
    <t>R9 (100%HE)</t>
  </si>
  <si>
    <t>VS reduction (%)</t>
  </si>
  <si>
    <t>Cumulative methane yield (ml)</t>
  </si>
  <si>
    <t>R20 (71,94%HE+28,06%PM)</t>
  </si>
  <si>
    <t>R12 (27,20:0,00:72,80:0,00)</t>
  </si>
  <si>
    <t>R20 (71,94:0,00:28,06:0,00)</t>
  </si>
  <si>
    <t>R6 (26,66:73,34:0,00:0,00)</t>
  </si>
  <si>
    <t>R27 (72,59:27,41:0,00:0,00)</t>
  </si>
  <si>
    <t>4 et 12</t>
  </si>
  <si>
    <t>20 et 23</t>
  </si>
  <si>
    <t>R27 (72,59%HE+27,41%CM)</t>
  </si>
  <si>
    <t>R6 (26,66%HE+73,34%CM)</t>
  </si>
  <si>
    <t>Cumulative methane production (ml / gVS)</t>
  </si>
  <si>
    <t>R2 (100%CM)</t>
  </si>
  <si>
    <t>R27 (26,66%HE+73,34%CM)</t>
  </si>
  <si>
    <t>R6 (72,59%HE+27,41%CM)</t>
  </si>
  <si>
    <t>R8 (46,6%HE+47,4%CM+6,0%PM)</t>
  </si>
  <si>
    <t>R1 (0,04%HE+27,80%CM+72,15%SM)</t>
  </si>
  <si>
    <t>R14 (6,45%HE+47,09%CM+46,46%SM)</t>
  </si>
  <si>
    <t>R16 (47,87%HE+4,81%CM+47,32%SM)</t>
  </si>
  <si>
    <t>R17 (2,01%HE+31,36%CM+33,13%PM+33,51%SM)</t>
  </si>
  <si>
    <t>R21 (5,51%HE+2,48%CM+47,35%PM+44,66%SM)</t>
  </si>
  <si>
    <t>R10 (32,39%HE+32,22%CM+33,13%PM+2,26%SM)</t>
  </si>
  <si>
    <t>R3 (33,09%HE+33,28%CM+1,84%PM+31,79%SM)</t>
  </si>
  <si>
    <t>R5 (33,56%HE+1,48%CM+32,66%PM+32,30%SM)</t>
  </si>
  <si>
    <t>Mono-digestion</t>
  </si>
  <si>
    <t>(ml CH4/g VS)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</si>
</sst>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0" xfId="0" applyNumberFormat="1"/>
    <xf numFmtId="9" fontId="0" fillId="0" borderId="1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0" xfId="0" applyNumberFormat="1" applyBorder="1"/>
    <xf numFmtId="0" fontId="1" fillId="0" borderId="0" xfId="0" applyFont="1" applyFill="1" applyBorder="1"/>
    <xf numFmtId="14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/>
    <xf numFmtId="0" fontId="0" fillId="2" borderId="0" xfId="0" applyFill="1"/>
    <xf numFmtId="0" fontId="1" fillId="3" borderId="0" xfId="0" applyFont="1" applyFill="1" applyBorder="1"/>
    <xf numFmtId="0" fontId="0" fillId="3" borderId="0" xfId="0" applyFill="1"/>
    <xf numFmtId="9" fontId="0" fillId="3" borderId="0" xfId="0" applyNumberFormat="1" applyFill="1"/>
    <xf numFmtId="0" fontId="0" fillId="0" borderId="0" xfId="0" applyFill="1"/>
    <xf numFmtId="9" fontId="0" fillId="0" borderId="0" xfId="0" applyNumberFormat="1" applyFill="1"/>
    <xf numFmtId="0" fontId="0" fillId="0" borderId="0" xfId="0" applyAlignment="1">
      <alignment horizontal="left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Border="1" applyAlignment="1">
      <alignment vertical="center" wrapText="1"/>
    </xf>
    <xf numFmtId="2" fontId="0" fillId="0" borderId="0" xfId="0" applyNumberFormat="1"/>
    <xf numFmtId="9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2" fontId="0" fillId="0" borderId="0" xfId="0" applyNumberFormat="1" applyFill="1"/>
    <xf numFmtId="2" fontId="0" fillId="4" borderId="1" xfId="0" applyNumberFormat="1" applyFill="1" applyBorder="1"/>
    <xf numFmtId="2" fontId="0" fillId="0" borderId="0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0" xfId="0"/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2" xfId="0" applyBorder="1"/>
    <xf numFmtId="2" fontId="0" fillId="0" borderId="2" xfId="0" applyNumberFormat="1" applyBorder="1"/>
    <xf numFmtId="2" fontId="0" fillId="3" borderId="1" xfId="0" applyNumberFormat="1" applyFill="1" applyBorder="1"/>
    <xf numFmtId="2" fontId="0" fillId="0" borderId="0" xfId="0" applyNumberForma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/>
    <xf numFmtId="15" fontId="0" fillId="0" borderId="1" xfId="0" applyNumberFormat="1" applyBorder="1"/>
    <xf numFmtId="0" fontId="0" fillId="0" borderId="10" xfId="0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1" fontId="0" fillId="6" borderId="1" xfId="0" applyNumberFormat="1" applyFill="1" applyBorder="1"/>
    <xf numFmtId="0" fontId="0" fillId="0" borderId="0" xfId="0" applyBorder="1" applyAlignment="1">
      <alignment wrapText="1"/>
    </xf>
    <xf numFmtId="1" fontId="2" fillId="6" borderId="1" xfId="0" applyNumberFormat="1" applyFont="1" applyFill="1" applyBorder="1"/>
    <xf numFmtId="0" fontId="0" fillId="4" borderId="1" xfId="0" applyFill="1" applyBorder="1"/>
    <xf numFmtId="0" fontId="0" fillId="0" borderId="1" xfId="0" applyFill="1" applyBorder="1" applyAlignment="1">
      <alignment wrapText="1"/>
    </xf>
    <xf numFmtId="2" fontId="0" fillId="0" borderId="1" xfId="0" applyNumberFormat="1" applyBorder="1" applyAlignment="1">
      <alignment wrapText="1"/>
    </xf>
    <xf numFmtId="2" fontId="0" fillId="0" borderId="1" xfId="0" applyNumberFormat="1" applyFill="1" applyBorder="1"/>
    <xf numFmtId="2" fontId="0" fillId="7" borderId="1" xfId="0" applyNumberFormat="1" applyFill="1" applyBorder="1"/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3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0" xfId="0"/>
    <xf numFmtId="2" fontId="0" fillId="3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6" borderId="0" xfId="0" applyFill="1"/>
    <xf numFmtId="1" fontId="0" fillId="0" borderId="1" xfId="0" applyNumberFormat="1" applyBorder="1"/>
    <xf numFmtId="0" fontId="0" fillId="0" borderId="0" xfId="0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8" borderId="1" xfId="0" applyFill="1" applyBorder="1"/>
    <xf numFmtId="165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/>
    <xf numFmtId="10" fontId="0" fillId="0" borderId="0" xfId="0" applyNumberFormat="1"/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/>
    <xf numFmtId="0" fontId="0" fillId="0" borderId="4" xfId="0" applyBorder="1"/>
    <xf numFmtId="0" fontId="0" fillId="0" borderId="17" xfId="0" applyBorder="1"/>
    <xf numFmtId="14" fontId="0" fillId="0" borderId="11" xfId="0" applyNumberFormat="1" applyBorder="1"/>
    <xf numFmtId="14" fontId="0" fillId="0" borderId="3" xfId="0" applyNumberFormat="1" applyBorder="1"/>
    <xf numFmtId="0" fontId="0" fillId="0" borderId="3" xfId="0" applyBorder="1"/>
    <xf numFmtId="0" fontId="0" fillId="0" borderId="18" xfId="0" applyBorder="1"/>
    <xf numFmtId="14" fontId="0" fillId="0" borderId="18" xfId="0" applyNumberFormat="1" applyBorder="1"/>
    <xf numFmtId="0" fontId="0" fillId="0" borderId="21" xfId="0" applyBorder="1"/>
    <xf numFmtId="0" fontId="0" fillId="3" borderId="17" xfId="0" applyFill="1" applyBorder="1"/>
    <xf numFmtId="0" fontId="0" fillId="5" borderId="17" xfId="0" applyFill="1" applyBorder="1"/>
    <xf numFmtId="0" fontId="0" fillId="9" borderId="17" xfId="0" applyFill="1" applyBorder="1"/>
    <xf numFmtId="0" fontId="0" fillId="2" borderId="17" xfId="0" applyFill="1" applyBorder="1"/>
    <xf numFmtId="0" fontId="0" fillId="0" borderId="17" xfId="0" applyFill="1" applyBorder="1"/>
    <xf numFmtId="0" fontId="0" fillId="0" borderId="15" xfId="0" applyBorder="1"/>
    <xf numFmtId="0" fontId="0" fillId="0" borderId="22" xfId="0" applyBorder="1"/>
    <xf numFmtId="0" fontId="0" fillId="0" borderId="11" xfId="0" applyBorder="1"/>
    <xf numFmtId="0" fontId="2" fillId="6" borderId="1" xfId="0" applyFont="1" applyFill="1" applyBorder="1"/>
    <xf numFmtId="0" fontId="0" fillId="9" borderId="4" xfId="0" applyFill="1" applyBorder="1"/>
    <xf numFmtId="0" fontId="0" fillId="9" borderId="1" xfId="0" applyFill="1" applyBorder="1"/>
    <xf numFmtId="1" fontId="0" fillId="2" borderId="1" xfId="0" applyNumberFormat="1" applyFill="1" applyBorder="1"/>
    <xf numFmtId="1" fontId="0" fillId="9" borderId="1" xfId="0" applyNumberFormat="1" applyFill="1" applyBorder="1"/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2" fontId="0" fillId="4" borderId="0" xfId="0" applyNumberFormat="1" applyFill="1"/>
    <xf numFmtId="2" fontId="0" fillId="0" borderId="1" xfId="0" applyNumberForma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9" fontId="0" fillId="9" borderId="1" xfId="0" applyNumberFormat="1" applyFill="1" applyBorder="1" applyAlignment="1">
      <alignment horizontal="center" vertical="center"/>
    </xf>
    <xf numFmtId="0" fontId="0" fillId="0" borderId="4" xfId="0" applyFill="1" applyBorder="1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1" xfId="0" applyNumberFormat="1" applyBorder="1"/>
    <xf numFmtId="0" fontId="0" fillId="0" borderId="3" xfId="0" applyNumberFormat="1" applyBorder="1"/>
    <xf numFmtId="0" fontId="0" fillId="0" borderId="16" xfId="0" applyNumberFormat="1" applyBorder="1"/>
    <xf numFmtId="0" fontId="0" fillId="0" borderId="18" xfId="0" applyNumberFormat="1" applyBorder="1"/>
    <xf numFmtId="0" fontId="0" fillId="0" borderId="1" xfId="0" applyNumberFormat="1" applyBorder="1"/>
    <xf numFmtId="0" fontId="0" fillId="0" borderId="17" xfId="0" applyNumberFormat="1" applyBorder="1"/>
    <xf numFmtId="0" fontId="0" fillId="0" borderId="4" xfId="0" applyNumberFormat="1" applyBorder="1"/>
    <xf numFmtId="0" fontId="0" fillId="2" borderId="4" xfId="0" applyFill="1" applyBorder="1"/>
    <xf numFmtId="0" fontId="0" fillId="0" borderId="10" xfId="0" applyNumberFormat="1" applyBorder="1"/>
    <xf numFmtId="0" fontId="0" fillId="6" borderId="1" xfId="0" applyNumberFormat="1" applyFill="1" applyBorder="1"/>
    <xf numFmtId="0" fontId="0" fillId="8" borderId="3" xfId="0" applyNumberFormat="1" applyFill="1" applyBorder="1"/>
    <xf numFmtId="0" fontId="2" fillId="4" borderId="1" xfId="0" applyFont="1" applyFill="1" applyBorder="1"/>
    <xf numFmtId="0" fontId="0" fillId="9" borderId="11" xfId="0" applyFill="1" applyBorder="1"/>
    <xf numFmtId="0" fontId="0" fillId="9" borderId="3" xfId="0" applyFill="1" applyBorder="1"/>
    <xf numFmtId="0" fontId="0" fillId="9" borderId="16" xfId="0" applyFill="1" applyBorder="1"/>
    <xf numFmtId="0" fontId="0" fillId="2" borderId="0" xfId="0" applyFill="1" applyBorder="1"/>
    <xf numFmtId="0" fontId="0" fillId="0" borderId="0" xfId="0"/>
    <xf numFmtId="0" fontId="0" fillId="0" borderId="0" xfId="0"/>
    <xf numFmtId="1" fontId="0" fillId="0" borderId="0" xfId="0" applyNumberFormat="1"/>
    <xf numFmtId="0" fontId="0" fillId="3" borderId="0" xfId="0" applyFill="1" applyBorder="1"/>
    <xf numFmtId="164" fontId="0" fillId="0" borderId="0" xfId="0" applyNumberFormat="1" applyBorder="1"/>
    <xf numFmtId="1" fontId="0" fillId="6" borderId="0" xfId="0" applyNumberFormat="1" applyFill="1" applyBorder="1"/>
    <xf numFmtId="9" fontId="0" fillId="0" borderId="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1" fontId="0" fillId="0" borderId="0" xfId="0" applyNumberFormat="1" applyBorder="1"/>
    <xf numFmtId="0" fontId="0" fillId="0" borderId="0" xfId="0"/>
    <xf numFmtId="1" fontId="0" fillId="0" borderId="3" xfId="0" applyNumberFormat="1" applyBorder="1"/>
    <xf numFmtId="0" fontId="0" fillId="0" borderId="0" xfId="0"/>
    <xf numFmtId="0" fontId="0" fillId="0" borderId="0" xfId="0"/>
    <xf numFmtId="0" fontId="0" fillId="0" borderId="11" xfId="0" applyFill="1" applyBorder="1"/>
    <xf numFmtId="0" fontId="0" fillId="0" borderId="3" xfId="0" applyFill="1" applyBorder="1"/>
    <xf numFmtId="0" fontId="0" fillId="0" borderId="16" xfId="0" applyFill="1" applyBorder="1"/>
    <xf numFmtId="0" fontId="0" fillId="0" borderId="18" xfId="0" applyFill="1" applyBorder="1"/>
    <xf numFmtId="0" fontId="0" fillId="0" borderId="0" xfId="0"/>
    <xf numFmtId="14" fontId="0" fillId="0" borderId="0" xfId="0" applyNumberFormat="1" applyBorder="1"/>
    <xf numFmtId="14" fontId="0" fillId="0" borderId="0" xfId="0" applyNumberFormat="1" applyFill="1" applyBorder="1"/>
    <xf numFmtId="0" fontId="0" fillId="0" borderId="10" xfId="0" applyFill="1" applyBorder="1"/>
    <xf numFmtId="0" fontId="2" fillId="0" borderId="1" xfId="0" applyFont="1" applyFill="1" applyBorder="1"/>
    <xf numFmtId="164" fontId="0" fillId="0" borderId="0" xfId="0" applyNumberFormat="1" applyFill="1"/>
    <xf numFmtId="0" fontId="2" fillId="3" borderId="1" xfId="0" applyFont="1" applyFill="1" applyBorder="1"/>
    <xf numFmtId="164" fontId="0" fillId="9" borderId="0" xfId="0" applyNumberFormat="1" applyFill="1"/>
    <xf numFmtId="0" fontId="0" fillId="5" borderId="0" xfId="0" applyFill="1"/>
    <xf numFmtId="166" fontId="0" fillId="0" borderId="0" xfId="0" applyNumberFormat="1"/>
    <xf numFmtId="1" fontId="0" fillId="9" borderId="0" xfId="0" applyNumberFormat="1" applyFill="1"/>
    <xf numFmtId="1" fontId="0" fillId="3" borderId="0" xfId="0" applyNumberFormat="1" applyFill="1"/>
    <xf numFmtId="1" fontId="0" fillId="2" borderId="0" xfId="0" applyNumberFormat="1" applyFill="1"/>
    <xf numFmtId="1" fontId="0" fillId="0" borderId="0" xfId="0" applyNumberFormat="1" applyFill="1"/>
    <xf numFmtId="164" fontId="4" fillId="0" borderId="0" xfId="0" applyNumberFormat="1" applyFont="1"/>
    <xf numFmtId="0" fontId="0" fillId="4" borderId="10" xfId="0" applyFill="1" applyBorder="1"/>
    <xf numFmtId="164" fontId="5" fillId="0" borderId="0" xfId="0" applyNumberFormat="1" applyFont="1" applyFill="1"/>
    <xf numFmtId="164" fontId="2" fillId="0" borderId="0" xfId="0" applyNumberFormat="1" applyFont="1" applyFill="1"/>
    <xf numFmtId="0" fontId="0" fillId="0" borderId="0" xfId="0"/>
    <xf numFmtId="0" fontId="0" fillId="0" borderId="0" xfId="0"/>
    <xf numFmtId="164" fontId="0" fillId="5" borderId="0" xfId="0" applyNumberFormat="1" applyFill="1"/>
    <xf numFmtId="0" fontId="0" fillId="0" borderId="0" xfId="0"/>
    <xf numFmtId="0" fontId="0" fillId="0" borderId="0" xfId="0"/>
    <xf numFmtId="10" fontId="0" fillId="0" borderId="0" xfId="0" applyNumberFormat="1" applyBorder="1" applyAlignment="1">
      <alignment horizontal="center" vertical="center" wrapText="1"/>
    </xf>
    <xf numFmtId="0" fontId="0" fillId="10" borderId="1" xfId="0" applyFill="1" applyBorder="1"/>
    <xf numFmtId="0" fontId="1" fillId="0" borderId="1" xfId="0" applyFont="1" applyFill="1" applyBorder="1"/>
    <xf numFmtId="14" fontId="0" fillId="0" borderId="1" xfId="0" applyNumberFormat="1" applyBorder="1"/>
    <xf numFmtId="2" fontId="0" fillId="0" borderId="1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0" xfId="0"/>
    <xf numFmtId="0" fontId="0" fillId="0" borderId="13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9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" xfId="0" applyBorder="1" applyAlignment="1"/>
    <xf numFmtId="0" fontId="0" fillId="0" borderId="2" xfId="0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4.xml"/><Relationship Id="rId15" Type="http://schemas.openxmlformats.org/officeDocument/2006/relationships/chartsheet" Target="chartsheets/sheet6.xml"/><Relationship Id="rId10" Type="http://schemas.openxmlformats.org/officeDocument/2006/relationships/chartsheet" Target="chartsheets/sheet4.xml"/><Relationship Id="rId19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3.xml"/><Relationship Id="rId14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'VS reduction'!$B$1</c:f>
              <c:strCache>
                <c:ptCount val="1"/>
                <c:pt idx="0">
                  <c:v>Cumulative methane yield (ml)</c:v>
                </c:pt>
              </c:strCache>
            </c:strRef>
          </c:tx>
          <c:spPr>
            <a:pattFill prst="dkDnDiag">
              <a:fgClr>
                <a:srgbClr val="00FFF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'VS reduction'!$A$2:$A$20</c:f>
              <c:strCache>
                <c:ptCount val="19"/>
                <c:pt idx="0">
                  <c:v>R9 (100%HE)</c:v>
                </c:pt>
                <c:pt idx="1">
                  <c:v>R2 (100%CD)</c:v>
                </c:pt>
                <c:pt idx="2">
                  <c:v>R13 (100%SM)</c:v>
                </c:pt>
                <c:pt idx="3">
                  <c:v>R29 (100%PM)</c:v>
                </c:pt>
                <c:pt idx="4">
                  <c:v>R27 (26,66%HE+73,34%CD)</c:v>
                </c:pt>
                <c:pt idx="5">
                  <c:v>R6 (72,59%HE+27,41%CD)</c:v>
                </c:pt>
                <c:pt idx="6">
                  <c:v>R4 (27,20%HE+72,80%PM)</c:v>
                </c:pt>
                <c:pt idx="7">
                  <c:v>R20 (71,94%HE+28,06%PM)</c:v>
                </c:pt>
                <c:pt idx="8">
                  <c:v>R26 (26,57%HE+73,43%SM)</c:v>
                </c:pt>
                <c:pt idx="9">
                  <c:v>R7 (73,72%HE+26,28%SM)</c:v>
                </c:pt>
                <c:pt idx="10">
                  <c:v>R8 (46,6%HE+47,4%CD+6,0%PM)</c:v>
                </c:pt>
                <c:pt idx="11">
                  <c:v>R1 (0,04%HE+27,80%CD+72,15%SM)</c:v>
                </c:pt>
                <c:pt idx="12">
                  <c:v>R14 (6,45%HE+47,09%CD+46,46%SM)</c:v>
                </c:pt>
                <c:pt idx="13">
                  <c:v>R16 (47,87%HE+4,81%CD+47,32%SM)</c:v>
                </c:pt>
                <c:pt idx="14">
                  <c:v>R17 (2,01%HE+31,36%CD+33,13%PM+33,51%SM)</c:v>
                </c:pt>
                <c:pt idx="15">
                  <c:v>R21 (5,51%HE+2,48%CD+47,35%PM+44,66%SM)</c:v>
                </c:pt>
                <c:pt idx="16">
                  <c:v>R10 (32,39%HE+32,22%CD+33,13%PM+2,26%SM)</c:v>
                </c:pt>
                <c:pt idx="17">
                  <c:v>R3 (33,09%HE+33,28%CD+1,84%PM+31,79%SM)</c:v>
                </c:pt>
                <c:pt idx="18">
                  <c:v>R5 (33,56%HE+1,48%CD+32,66%PM+32,30%SM)</c:v>
                </c:pt>
              </c:strCache>
            </c:strRef>
          </c:cat>
          <c:val>
            <c:numRef>
              <c:f>'VS reduction'!$B$2:$B$20</c:f>
              <c:numCache>
                <c:formatCode>General</c:formatCode>
                <c:ptCount val="19"/>
                <c:pt idx="0">
                  <c:v>151.71794150061586</c:v>
                </c:pt>
                <c:pt idx="1">
                  <c:v>3.3071848180090955</c:v>
                </c:pt>
                <c:pt idx="2">
                  <c:v>12.213043512623504</c:v>
                </c:pt>
                <c:pt idx="3">
                  <c:v>232.95138214939865</c:v>
                </c:pt>
                <c:pt idx="4">
                  <c:v>121.89989565929676</c:v>
                </c:pt>
                <c:pt idx="5">
                  <c:v>57.575163628216991</c:v>
                </c:pt>
                <c:pt idx="6">
                  <c:v>249.28385986453446</c:v>
                </c:pt>
                <c:pt idx="7">
                  <c:v>121.22871417100583</c:v>
                </c:pt>
                <c:pt idx="8">
                  <c:v>123.26920368843527</c:v>
                </c:pt>
                <c:pt idx="9">
                  <c:v>153.7154950414338</c:v>
                </c:pt>
                <c:pt idx="10">
                  <c:v>115.50198013057113</c:v>
                </c:pt>
                <c:pt idx="11">
                  <c:v>23.385011465403803</c:v>
                </c:pt>
                <c:pt idx="12">
                  <c:v>102.63954789418094</c:v>
                </c:pt>
                <c:pt idx="13">
                  <c:v>141.40051815257547</c:v>
                </c:pt>
                <c:pt idx="14">
                  <c:v>79.290133402176593</c:v>
                </c:pt>
                <c:pt idx="15">
                  <c:v>133.64268586201834</c:v>
                </c:pt>
                <c:pt idx="16">
                  <c:v>91.483179327293044</c:v>
                </c:pt>
                <c:pt idx="17">
                  <c:v>212.99151386268915</c:v>
                </c:pt>
                <c:pt idx="18">
                  <c:v>20.548459453537831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1-4A2D-AF20-450CD0F61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82367168"/>
        <c:axId val="1739892208"/>
      </c:barChart>
      <c:barChart>
        <c:barDir val="col"/>
        <c:grouping val="clustered"/>
        <c:varyColors val="0"/>
        <c:ser>
          <c:idx val="1"/>
          <c:order val="1"/>
          <c:tx>
            <c:strRef>
              <c:f>'VS reduction'!$C$1</c:f>
              <c:strCache>
                <c:ptCount val="1"/>
                <c:pt idx="0">
                  <c:v>VS reduction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'VS reduction'!$A$2:$A$20</c:f>
              <c:strCache>
                <c:ptCount val="19"/>
                <c:pt idx="0">
                  <c:v>R9 (100%HE)</c:v>
                </c:pt>
                <c:pt idx="1">
                  <c:v>R2 (100%CD)</c:v>
                </c:pt>
                <c:pt idx="2">
                  <c:v>R13 (100%SM)</c:v>
                </c:pt>
                <c:pt idx="3">
                  <c:v>R29 (100%PM)</c:v>
                </c:pt>
                <c:pt idx="4">
                  <c:v>R27 (26,66%HE+73,34%CD)</c:v>
                </c:pt>
                <c:pt idx="5">
                  <c:v>R6 (72,59%HE+27,41%CD)</c:v>
                </c:pt>
                <c:pt idx="6">
                  <c:v>R4 (27,20%HE+72,80%PM)</c:v>
                </c:pt>
                <c:pt idx="7">
                  <c:v>R20 (71,94%HE+28,06%PM)</c:v>
                </c:pt>
                <c:pt idx="8">
                  <c:v>R26 (26,57%HE+73,43%SM)</c:v>
                </c:pt>
                <c:pt idx="9">
                  <c:v>R7 (73,72%HE+26,28%SM)</c:v>
                </c:pt>
                <c:pt idx="10">
                  <c:v>R8 (46,6%HE+47,4%CD+6,0%PM)</c:v>
                </c:pt>
                <c:pt idx="11">
                  <c:v>R1 (0,04%HE+27,80%CD+72,15%SM)</c:v>
                </c:pt>
                <c:pt idx="12">
                  <c:v>R14 (6,45%HE+47,09%CD+46,46%SM)</c:v>
                </c:pt>
                <c:pt idx="13">
                  <c:v>R16 (47,87%HE+4,81%CD+47,32%SM)</c:v>
                </c:pt>
                <c:pt idx="14">
                  <c:v>R17 (2,01%HE+31,36%CD+33,13%PM+33,51%SM)</c:v>
                </c:pt>
                <c:pt idx="15">
                  <c:v>R21 (5,51%HE+2,48%CD+47,35%PM+44,66%SM)</c:v>
                </c:pt>
                <c:pt idx="16">
                  <c:v>R10 (32,39%HE+32,22%CD+33,13%PM+2,26%SM)</c:v>
                </c:pt>
                <c:pt idx="17">
                  <c:v>R3 (33,09%HE+33,28%CD+1,84%PM+31,79%SM)</c:v>
                </c:pt>
                <c:pt idx="18">
                  <c:v>R5 (33,56%HE+1,48%CD+32,66%PM+32,30%SM)</c:v>
                </c:pt>
              </c:strCache>
            </c:strRef>
          </c:cat>
          <c:val>
            <c:numRef>
              <c:f>'VS reduction'!$C$2:$C$20</c:f>
              <c:numCache>
                <c:formatCode>0%</c:formatCode>
                <c:ptCount val="19"/>
                <c:pt idx="0">
                  <c:v>0.69186747906141366</c:v>
                </c:pt>
                <c:pt idx="1">
                  <c:v>0.25660339712229596</c:v>
                </c:pt>
                <c:pt idx="2">
                  <c:v>0.1163210540775844</c:v>
                </c:pt>
                <c:pt idx="3">
                  <c:v>0.30150937315961351</c:v>
                </c:pt>
                <c:pt idx="4">
                  <c:v>0.59007192499864769</c:v>
                </c:pt>
                <c:pt idx="5">
                  <c:v>0.35434813841132856</c:v>
                </c:pt>
                <c:pt idx="6">
                  <c:v>0.63690734487127254</c:v>
                </c:pt>
                <c:pt idx="7">
                  <c:v>0.68345999440728122</c:v>
                </c:pt>
                <c:pt idx="8">
                  <c:v>0.33904478902897639</c:v>
                </c:pt>
                <c:pt idx="9">
                  <c:v>0.60589769055724685</c:v>
                </c:pt>
                <c:pt idx="10">
                  <c:v>0.38681053562422901</c:v>
                </c:pt>
                <c:pt idx="11">
                  <c:v>0.26333419454065005</c:v>
                </c:pt>
                <c:pt idx="12">
                  <c:v>0.27708383991312618</c:v>
                </c:pt>
                <c:pt idx="13">
                  <c:v>0.29567703195592487</c:v>
                </c:pt>
                <c:pt idx="14">
                  <c:v>0.33666488324552557</c:v>
                </c:pt>
                <c:pt idx="15">
                  <c:v>0.19929977926585141</c:v>
                </c:pt>
                <c:pt idx="16">
                  <c:v>0.40149127605971263</c:v>
                </c:pt>
                <c:pt idx="17">
                  <c:v>0.30364436816970625</c:v>
                </c:pt>
                <c:pt idx="18">
                  <c:v>0.33219666001930553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1-4A2D-AF20-450CD0F61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582367568"/>
        <c:axId val="1739884304"/>
      </c:barChart>
      <c:catAx>
        <c:axId val="158236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latin typeface="Arial" panose="020B0604020202020204" pitchFamily="34" charset="0"/>
                    <a:cs typeface="Arial" panose="020B0604020202020204" pitchFamily="34" charset="0"/>
                  </a:rPr>
                  <a:t>Substrate's</a:t>
                </a:r>
                <a:r>
                  <a:rPr lang="en-GB" sz="105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mixture</a:t>
                </a:r>
                <a:endParaRPr lang="en-GB" sz="105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F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739892208"/>
        <c:crosses val="autoZero"/>
        <c:auto val="1"/>
        <c:lblAlgn val="ctr"/>
        <c:lblOffset val="100"/>
        <c:noMultiLvlLbl val="0"/>
      </c:catAx>
      <c:valAx>
        <c:axId val="1739892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Cumulative methane yield (ml)</a:t>
                </a:r>
              </a:p>
              <a:p>
                <a:pPr>
                  <a:defRPr/>
                </a:pPr>
                <a:endParaRPr lang="en-GB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F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582367168"/>
        <c:crosses val="autoZero"/>
        <c:crossBetween val="between"/>
        <c:minorUnit val="25"/>
      </c:valAx>
      <c:valAx>
        <c:axId val="1739884304"/>
        <c:scaling>
          <c:orientation val="minMax"/>
          <c:max val="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  <a:p>
                <a:pPr>
                  <a:defRPr/>
                </a:pPr>
                <a:r>
                  <a:rPr lang="en-GB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VS reduction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F"/>
            </a:p>
          </c:txPr>
        </c:title>
        <c:numFmt formatCode="0%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582367568"/>
        <c:crosses val="max"/>
        <c:crossBetween val="between"/>
        <c:minorUnit val="0.1"/>
      </c:valAx>
      <c:catAx>
        <c:axId val="1582367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9884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'BMP test compil_daily'!$F$4</c:f>
              <c:strCache>
                <c:ptCount val="1"/>
                <c:pt idx="0">
                  <c:v>100%HE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'BMP test compil_daily'!$H$3:$CE$3</c:f>
              <c:numCache>
                <c:formatCode>0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cat>
          <c:val>
            <c:numRef>
              <c:f>'BMP test compil_daily'!$H$4:$CE$4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1.9042225660276599</c:v>
                </c:pt>
                <c:pt idx="4">
                  <c:v>3.9444610296287244</c:v>
                </c:pt>
                <c:pt idx="5">
                  <c:v>5.5086438517228737</c:v>
                </c:pt>
                <c:pt idx="6">
                  <c:v>5.5086438517228737</c:v>
                </c:pt>
                <c:pt idx="7">
                  <c:v>4.5565325687090441</c:v>
                </c:pt>
                <c:pt idx="8">
                  <c:v>4.0804769272021284</c:v>
                </c:pt>
                <c:pt idx="9">
                  <c:v>5.7126676980829805</c:v>
                </c:pt>
                <c:pt idx="10">
                  <c:v>11.561351293739365</c:v>
                </c:pt>
                <c:pt idx="11">
                  <c:v>4.2164928247755329</c:v>
                </c:pt>
                <c:pt idx="12">
                  <c:v>10.133184369218618</c:v>
                </c:pt>
                <c:pt idx="13">
                  <c:v>6.3927471859500011</c:v>
                </c:pt>
                <c:pt idx="14">
                  <c:v>11.901391037672875</c:v>
                </c:pt>
                <c:pt idx="15">
                  <c:v>7.4128664177505339</c:v>
                </c:pt>
                <c:pt idx="16">
                  <c:v>6.4023293933913434</c:v>
                </c:pt>
                <c:pt idx="17">
                  <c:v>7.4576584142800257</c:v>
                </c:pt>
                <c:pt idx="18">
                  <c:v>7.4550002627750462</c:v>
                </c:pt>
                <c:pt idx="19">
                  <c:v>4.4987070551228721</c:v>
                </c:pt>
                <c:pt idx="20">
                  <c:v>3.8560346186767473</c:v>
                </c:pt>
                <c:pt idx="21">
                  <c:v>5.269913978858221</c:v>
                </c:pt>
                <c:pt idx="22">
                  <c:v>4.1433936583885655</c:v>
                </c:pt>
                <c:pt idx="23">
                  <c:v>4.2770515183365836</c:v>
                </c:pt>
                <c:pt idx="24">
                  <c:v>4.4802286148221198</c:v>
                </c:pt>
                <c:pt idx="25">
                  <c:v>3.9531428954312817</c:v>
                </c:pt>
                <c:pt idx="26">
                  <c:v>4.7437714745175388</c:v>
                </c:pt>
                <c:pt idx="27">
                  <c:v>4.5394582326306807</c:v>
                </c:pt>
                <c:pt idx="28">
                  <c:v>2.7511868076549577</c:v>
                </c:pt>
                <c:pt idx="29">
                  <c:v>1.9258307653584705</c:v>
                </c:pt>
                <c:pt idx="30">
                  <c:v>2.2009494461239663</c:v>
                </c:pt>
                <c:pt idx="31">
                  <c:v>3.4957264695177597</c:v>
                </c:pt>
                <c:pt idx="32">
                  <c:v>2.6890203611675072</c:v>
                </c:pt>
                <c:pt idx="33">
                  <c:v>1.3445101805837536</c:v>
                </c:pt>
                <c:pt idx="34">
                  <c:v>2.1512162889340058</c:v>
                </c:pt>
                <c:pt idx="35">
                  <c:v>2.285667306992381</c:v>
                </c:pt>
                <c:pt idx="36">
                  <c:v>0.6722550902918768</c:v>
                </c:pt>
                <c:pt idx="37">
                  <c:v>0.13445101805837537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0-419C-8406-6141E69D82F3}"/>
            </c:ext>
          </c:extLst>
        </c:ser>
        <c:ser>
          <c:idx val="1"/>
          <c:order val="1"/>
          <c:tx>
            <c:strRef>
              <c:f>'BMP test compil_daily'!$F$5</c:f>
              <c:strCache>
                <c:ptCount val="1"/>
                <c:pt idx="0">
                  <c:v>100%CM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'BMP test compil_daily'!$H$3:$CE$3</c:f>
              <c:numCache>
                <c:formatCode>0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cat>
          <c:val>
            <c:numRef>
              <c:f>'BMP test compil_daily'!$H$5:$CE$5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1.1033249450371619E-2</c:v>
                </c:pt>
                <c:pt idx="4">
                  <c:v>1.1033249450371619E-2</c:v>
                </c:pt>
                <c:pt idx="5">
                  <c:v>5.5166247251858092E-2</c:v>
                </c:pt>
                <c:pt idx="6">
                  <c:v>0.98259329587907251</c:v>
                </c:pt>
                <c:pt idx="7">
                  <c:v>0.88433396629116545</c:v>
                </c:pt>
                <c:pt idx="8">
                  <c:v>0.68781530711535077</c:v>
                </c:pt>
                <c:pt idx="9">
                  <c:v>0.49129664793953626</c:v>
                </c:pt>
                <c:pt idx="10">
                  <c:v>0.19651865917581451</c:v>
                </c:pt>
                <c:pt idx="11">
                  <c:v>0.49129664793953626</c:v>
                </c:pt>
                <c:pt idx="12">
                  <c:v>0.29477798876372174</c:v>
                </c:pt>
                <c:pt idx="13">
                  <c:v>0.57525079892972031</c:v>
                </c:pt>
                <c:pt idx="14">
                  <c:v>0.57525079892972031</c:v>
                </c:pt>
                <c:pt idx="15">
                  <c:v>0.46020063914377629</c:v>
                </c:pt>
                <c:pt idx="16">
                  <c:v>0.46020063914377629</c:v>
                </c:pt>
                <c:pt idx="17">
                  <c:v>0.23010031957188815</c:v>
                </c:pt>
                <c:pt idx="18">
                  <c:v>0.46020063914377629</c:v>
                </c:pt>
                <c:pt idx="19">
                  <c:v>0.34515047935783216</c:v>
                </c:pt>
                <c:pt idx="20">
                  <c:v>0.11839818030881545</c:v>
                </c:pt>
                <c:pt idx="21">
                  <c:v>0.15786424041175393</c:v>
                </c:pt>
                <c:pt idx="22">
                  <c:v>0.35519454092644637</c:v>
                </c:pt>
                <c:pt idx="23">
                  <c:v>2.4863617864851246</c:v>
                </c:pt>
                <c:pt idx="24">
                  <c:v>0.78932120205876966</c:v>
                </c:pt>
                <c:pt idx="25">
                  <c:v>0.16070498509782663</c:v>
                </c:pt>
                <c:pt idx="26">
                  <c:v>0.14284887564251256</c:v>
                </c:pt>
                <c:pt idx="27">
                  <c:v>0.1785610945531407</c:v>
                </c:pt>
                <c:pt idx="28">
                  <c:v>1.1070787862294724</c:v>
                </c:pt>
                <c:pt idx="29">
                  <c:v>0.37497829856159548</c:v>
                </c:pt>
                <c:pt idx="30">
                  <c:v>0.340179176157205</c:v>
                </c:pt>
                <c:pt idx="31">
                  <c:v>0.48597025165314994</c:v>
                </c:pt>
                <c:pt idx="32">
                  <c:v>0.29158215099188994</c:v>
                </c:pt>
                <c:pt idx="33">
                  <c:v>0.340179176157205</c:v>
                </c:pt>
                <c:pt idx="34">
                  <c:v>0.340179176157205</c:v>
                </c:pt>
                <c:pt idx="35">
                  <c:v>0.340179176157205</c:v>
                </c:pt>
                <c:pt idx="36">
                  <c:v>0.33853052968760922</c:v>
                </c:pt>
                <c:pt idx="37">
                  <c:v>0.2633015230903627</c:v>
                </c:pt>
                <c:pt idx="38">
                  <c:v>0.2633015230903627</c:v>
                </c:pt>
                <c:pt idx="39">
                  <c:v>0.22568701979173947</c:v>
                </c:pt>
                <c:pt idx="40">
                  <c:v>0.30091602638898596</c:v>
                </c:pt>
                <c:pt idx="41">
                  <c:v>0.15700187148919614</c:v>
                </c:pt>
                <c:pt idx="42">
                  <c:v>0.23550280723379421</c:v>
                </c:pt>
                <c:pt idx="43">
                  <c:v>7.8500935744598072E-2</c:v>
                </c:pt>
                <c:pt idx="44">
                  <c:v>0.15700187148919614</c:v>
                </c:pt>
                <c:pt idx="45">
                  <c:v>7.8500935744598072E-2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0-419C-8406-6141E69D82F3}"/>
            </c:ext>
          </c:extLst>
        </c:ser>
        <c:ser>
          <c:idx val="2"/>
          <c:order val="2"/>
          <c:tx>
            <c:strRef>
              <c:f>'BMP test compil_daily'!$F$6</c:f>
              <c:strCache>
                <c:ptCount val="1"/>
                <c:pt idx="0">
                  <c:v>100%SM</c:v>
                </c:pt>
              </c:strCache>
            </c:strRef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FFFF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'BMP test compil_daily'!$H$3:$CE$3</c:f>
              <c:numCache>
                <c:formatCode>0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cat>
          <c:val>
            <c:numRef>
              <c:f>'BMP test compil_daily'!$H$6:$CE$6</c:f>
              <c:numCache>
                <c:formatCode>General</c:formatCode>
                <c:ptCount val="76"/>
                <c:pt idx="0">
                  <c:v>0</c:v>
                </c:pt>
                <c:pt idx="1">
                  <c:v>1.2717620256378441</c:v>
                </c:pt>
                <c:pt idx="2">
                  <c:v>0.93262548546775237</c:v>
                </c:pt>
                <c:pt idx="3">
                  <c:v>0.84784135042522946</c:v>
                </c:pt>
                <c:pt idx="4">
                  <c:v>1.1869778905953214</c:v>
                </c:pt>
                <c:pt idx="5">
                  <c:v>1.0174096205102754</c:v>
                </c:pt>
                <c:pt idx="6">
                  <c:v>0.59525811665488815</c:v>
                </c:pt>
                <c:pt idx="7">
                  <c:v>2.0258372941300107</c:v>
                </c:pt>
                <c:pt idx="8">
                  <c:v>1.2004961742992653</c:v>
                </c:pt>
                <c:pt idx="9">
                  <c:v>1.0504341525118572</c:v>
                </c:pt>
                <c:pt idx="10">
                  <c:v>0.82534111983074498</c:v>
                </c:pt>
                <c:pt idx="11">
                  <c:v>0.90037213072444899</c:v>
                </c:pt>
                <c:pt idx="12">
                  <c:v>0.67527909804333675</c:v>
                </c:pt>
                <c:pt idx="13">
                  <c:v>0.52521707625592862</c:v>
                </c:pt>
                <c:pt idx="14">
                  <c:v>1.0243502158347835</c:v>
                </c:pt>
                <c:pt idx="15">
                  <c:v>0.91053352518647424</c:v>
                </c:pt>
                <c:pt idx="16">
                  <c:v>0.91053352518647424</c:v>
                </c:pt>
                <c:pt idx="17">
                  <c:v>0.56908345324154641</c:v>
                </c:pt>
                <c:pt idx="18">
                  <c:v>0.51217510791739174</c:v>
                </c:pt>
                <c:pt idx="19">
                  <c:v>0.45526676259323712</c:v>
                </c:pt>
                <c:pt idx="20">
                  <c:v>0.47744944961078328</c:v>
                </c:pt>
                <c:pt idx="21">
                  <c:v>0.60927539740830694</c:v>
                </c:pt>
                <c:pt idx="22">
                  <c:v>0.5538867249166427</c:v>
                </c:pt>
                <c:pt idx="23">
                  <c:v>0.33233203494998559</c:v>
                </c:pt>
                <c:pt idx="24">
                  <c:v>0.44310937993331417</c:v>
                </c:pt>
                <c:pt idx="25">
                  <c:v>0.27694336245832135</c:v>
                </c:pt>
                <c:pt idx="26">
                  <c:v>0.33233203494998559</c:v>
                </c:pt>
                <c:pt idx="27">
                  <c:v>0.39969663662903671</c:v>
                </c:pt>
                <c:pt idx="28">
                  <c:v>0.35528589922581039</c:v>
                </c:pt>
                <c:pt idx="29">
                  <c:v>0.2664644244193578</c:v>
                </c:pt>
                <c:pt idx="30">
                  <c:v>0.19075296300364311</c:v>
                </c:pt>
                <c:pt idx="31">
                  <c:v>0.61040948161165787</c:v>
                </c:pt>
                <c:pt idx="32">
                  <c:v>0.41965651860801478</c:v>
                </c:pt>
                <c:pt idx="33">
                  <c:v>0.41965651860801478</c:v>
                </c:pt>
                <c:pt idx="34">
                  <c:v>0.38150592600728622</c:v>
                </c:pt>
                <c:pt idx="35">
                  <c:v>0.34335533340655761</c:v>
                </c:pt>
                <c:pt idx="36">
                  <c:v>0.30518205912176194</c:v>
                </c:pt>
                <c:pt idx="37">
                  <c:v>0.20345470608117464</c:v>
                </c:pt>
                <c:pt idx="38">
                  <c:v>0.20345470608117464</c:v>
                </c:pt>
                <c:pt idx="39">
                  <c:v>0.18310923547305719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80-419C-8406-6141E69D82F3}"/>
            </c:ext>
          </c:extLst>
        </c:ser>
        <c:ser>
          <c:idx val="3"/>
          <c:order val="3"/>
          <c:tx>
            <c:strRef>
              <c:f>'BMP test compil_daily'!$F$7</c:f>
              <c:strCache>
                <c:ptCount val="1"/>
                <c:pt idx="0">
                  <c:v>100%PM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'BMP test compil_daily'!$H$3:$CE$3</c:f>
              <c:numCache>
                <c:formatCode>0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cat>
          <c:val>
            <c:numRef>
              <c:f>'BMP test compil_daily'!$H$7:$CE$7</c:f>
              <c:numCache>
                <c:formatCode>General</c:formatCode>
                <c:ptCount val="76"/>
                <c:pt idx="0">
                  <c:v>0</c:v>
                </c:pt>
                <c:pt idx="1">
                  <c:v>6.1078630079155003</c:v>
                </c:pt>
                <c:pt idx="2">
                  <c:v>2.7451069698496631</c:v>
                </c:pt>
                <c:pt idx="3">
                  <c:v>6.1764906821617416</c:v>
                </c:pt>
                <c:pt idx="4">
                  <c:v>3.2255006895733542</c:v>
                </c:pt>
                <c:pt idx="5">
                  <c:v>5.2843309169606014</c:v>
                </c:pt>
                <c:pt idx="6">
                  <c:v>5.5588416139455674</c:v>
                </c:pt>
                <c:pt idx="7">
                  <c:v>4.9411925457293933</c:v>
                </c:pt>
                <c:pt idx="8">
                  <c:v>4.5294265002519438</c:v>
                </c:pt>
                <c:pt idx="9">
                  <c:v>4.7353095229906694</c:v>
                </c:pt>
                <c:pt idx="10">
                  <c:v>9.0588530005038876</c:v>
                </c:pt>
                <c:pt idx="11">
                  <c:v>4.8725648714831511</c:v>
                </c:pt>
                <c:pt idx="12">
                  <c:v>8.7843423035189225</c:v>
                </c:pt>
                <c:pt idx="13">
                  <c:v>6.1764906821617416</c:v>
                </c:pt>
                <c:pt idx="14">
                  <c:v>11.642089020201803</c:v>
                </c:pt>
                <c:pt idx="15">
                  <c:v>15.354059432440058</c:v>
                </c:pt>
                <c:pt idx="16">
                  <c:v>13.503851622279988</c:v>
                </c:pt>
                <c:pt idx="17">
                  <c:v>11.353556777967889</c:v>
                </c:pt>
                <c:pt idx="18">
                  <c:v>11.009509602877952</c:v>
                </c:pt>
                <c:pt idx="19">
                  <c:v>11.267544984195403</c:v>
                </c:pt>
                <c:pt idx="20">
                  <c:v>14.105934178687376</c:v>
                </c:pt>
                <c:pt idx="21">
                  <c:v>13.994540791431843</c:v>
                </c:pt>
                <c:pt idx="22">
                  <c:v>14.81306147825147</c:v>
                </c:pt>
                <c:pt idx="23">
                  <c:v>12.069901945241938</c:v>
                </c:pt>
                <c:pt idx="24">
                  <c:v>12.435656549643209</c:v>
                </c:pt>
                <c:pt idx="25">
                  <c:v>7.4979693902260527</c:v>
                </c:pt>
                <c:pt idx="26">
                  <c:v>3.917723605854305</c:v>
                </c:pt>
                <c:pt idx="27">
                  <c:v>4.0156666960006628</c:v>
                </c:pt>
                <c:pt idx="28">
                  <c:v>2.9872642494639079</c:v>
                </c:pt>
                <c:pt idx="29">
                  <c:v>2.4975487987321197</c:v>
                </c:pt>
                <c:pt idx="30">
                  <c:v>2.3996057085857618</c:v>
                </c:pt>
                <c:pt idx="31">
                  <c:v>1.6160609874149008</c:v>
                </c:pt>
                <c:pt idx="32">
                  <c:v>2.4975487987321197</c:v>
                </c:pt>
                <c:pt idx="33">
                  <c:v>1.6650325324880795</c:v>
                </c:pt>
                <c:pt idx="34">
                  <c:v>1.4201748071221856</c:v>
                </c:pt>
                <c:pt idx="35">
                  <c:v>1.9098902578539738</c:v>
                </c:pt>
                <c:pt idx="36">
                  <c:v>1.1263455366831128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80-419C-8406-6141E69D8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313807"/>
        <c:axId val="438532319"/>
      </c:lineChart>
      <c:catAx>
        <c:axId val="450313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Retention Time (days)</a:t>
                </a:r>
                <a:endParaRPr lang="fr-BF" sz="12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F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43853231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38532319"/>
        <c:scaling>
          <c:orientation val="minMax"/>
          <c:max val="1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Daily methane yield (ml/g VS ad)</a:t>
                </a:r>
              </a:p>
              <a:p>
                <a:pPr>
                  <a:defRPr/>
                </a:pPr>
                <a:endParaRPr lang="en-GB" sz="1200" b="1" i="0" baseline="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F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450313807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'BMP test compil_daily'!$F$11</c:f>
              <c:strCache>
                <c:ptCount val="1"/>
                <c:pt idx="0">
                  <c:v>26,66%HE+73,34%CM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'BMP test compil_daily'!$H$10:$CB$10</c:f>
              <c:numCache>
                <c:formatCode>0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cat>
          <c:val>
            <c:numRef>
              <c:f>'BMP test compil_daily'!$H$11:$CB$11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0.85489623052067143</c:v>
                </c:pt>
                <c:pt idx="4">
                  <c:v>0.26304499400636044</c:v>
                </c:pt>
                <c:pt idx="5">
                  <c:v>0.32880624250795054</c:v>
                </c:pt>
                <c:pt idx="6">
                  <c:v>2.8934949340699649</c:v>
                </c:pt>
                <c:pt idx="7">
                  <c:v>2.2358824490540639</c:v>
                </c:pt>
                <c:pt idx="8">
                  <c:v>3.8799136615938163</c:v>
                </c:pt>
                <c:pt idx="9">
                  <c:v>0.13152249700318022</c:v>
                </c:pt>
                <c:pt idx="10">
                  <c:v>0.19728374550477035</c:v>
                </c:pt>
                <c:pt idx="11">
                  <c:v>0.46032873951113079</c:v>
                </c:pt>
                <c:pt idx="12">
                  <c:v>6.7734085956637813</c:v>
                </c:pt>
                <c:pt idx="13">
                  <c:v>7.1679760866733231</c:v>
                </c:pt>
                <c:pt idx="14">
                  <c:v>8.1543948141971718</c:v>
                </c:pt>
                <c:pt idx="15">
                  <c:v>5.7869898681399299</c:v>
                </c:pt>
                <c:pt idx="16">
                  <c:v>7.6242383828053271</c:v>
                </c:pt>
                <c:pt idx="17">
                  <c:v>6.2154117251130385</c:v>
                </c:pt>
                <c:pt idx="18">
                  <c:v>7.1270054447962838</c:v>
                </c:pt>
                <c:pt idx="19">
                  <c:v>7.0757339629136888</c:v>
                </c:pt>
                <c:pt idx="20">
                  <c:v>6.2991290157646249</c:v>
                </c:pt>
                <c:pt idx="21">
                  <c:v>6.1265501386203889</c:v>
                </c:pt>
                <c:pt idx="22">
                  <c:v>5.3499451914713259</c:v>
                </c:pt>
                <c:pt idx="23">
                  <c:v>3.7104458586010804</c:v>
                </c:pt>
                <c:pt idx="24">
                  <c:v>3.9693141743174349</c:v>
                </c:pt>
                <c:pt idx="25">
                  <c:v>2.32981484144719</c:v>
                </c:pt>
                <c:pt idx="26">
                  <c:v>2.0029070890710607</c:v>
                </c:pt>
                <c:pt idx="27">
                  <c:v>2.0029070890710607</c:v>
                </c:pt>
                <c:pt idx="28">
                  <c:v>0.56081398493989687</c:v>
                </c:pt>
                <c:pt idx="29">
                  <c:v>0.51119602672050013</c:v>
                </c:pt>
                <c:pt idx="30">
                  <c:v>0.44729652338043757</c:v>
                </c:pt>
                <c:pt idx="31">
                  <c:v>0.12779900668012503</c:v>
                </c:pt>
                <c:pt idx="32">
                  <c:v>1.0223920534410003</c:v>
                </c:pt>
                <c:pt idx="33">
                  <c:v>1.1501910601211254</c:v>
                </c:pt>
                <c:pt idx="34">
                  <c:v>1.3418895701413127</c:v>
                </c:pt>
                <c:pt idx="35">
                  <c:v>2.4281811269223756</c:v>
                </c:pt>
                <c:pt idx="36">
                  <c:v>1.3418895701413127</c:v>
                </c:pt>
                <c:pt idx="37">
                  <c:v>1.5974875835015629</c:v>
                </c:pt>
                <c:pt idx="38">
                  <c:v>2.3003821202422507</c:v>
                </c:pt>
                <c:pt idx="39">
                  <c:v>3.1949751670031259</c:v>
                </c:pt>
                <c:pt idx="40">
                  <c:v>1.2140905634611878</c:v>
                </c:pt>
                <c:pt idx="41">
                  <c:v>1.4057890734813754</c:v>
                </c:pt>
                <c:pt idx="42">
                  <c:v>0.89459304676087514</c:v>
                </c:pt>
                <c:pt idx="43">
                  <c:v>0.70289453674068769</c:v>
                </c:pt>
                <c:pt idx="44">
                  <c:v>3.2588746703431881</c:v>
                </c:pt>
                <c:pt idx="45">
                  <c:v>2.0447841068820005</c:v>
                </c:pt>
                <c:pt idx="46">
                  <c:v>2.3003821202422507</c:v>
                </c:pt>
                <c:pt idx="47">
                  <c:v>1.2779900668012503</c:v>
                </c:pt>
                <c:pt idx="48">
                  <c:v>1.4057890734813754</c:v>
                </c:pt>
                <c:pt idx="49">
                  <c:v>1.0223920534410003</c:v>
                </c:pt>
                <c:pt idx="50">
                  <c:v>1.4057890734813754</c:v>
                </c:pt>
                <c:pt idx="51">
                  <c:v>0.63899503340062513</c:v>
                </c:pt>
                <c:pt idx="52">
                  <c:v>1.3418895701413127</c:v>
                </c:pt>
                <c:pt idx="53">
                  <c:v>0.25559801336025006</c:v>
                </c:pt>
                <c:pt idx="54">
                  <c:v>0.63899503340062513</c:v>
                </c:pt>
                <c:pt idx="55">
                  <c:v>0.63899503340062513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6-443A-BED9-175E1E297AF6}"/>
            </c:ext>
          </c:extLst>
        </c:ser>
        <c:ser>
          <c:idx val="1"/>
          <c:order val="1"/>
          <c:tx>
            <c:strRef>
              <c:f>'BMP test compil_daily'!$F$12</c:f>
              <c:strCache>
                <c:ptCount val="1"/>
                <c:pt idx="0">
                  <c:v>72,59%HE+27,41%CM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'BMP test compil_daily'!$H$10:$CB$10</c:f>
              <c:numCache>
                <c:formatCode>0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cat>
          <c:val>
            <c:numRef>
              <c:f>'BMP test compil_daily'!$H$12:$CB$12</c:f>
              <c:numCache>
                <c:formatCode>General</c:formatCode>
                <c:ptCount val="73"/>
                <c:pt idx="0">
                  <c:v>0</c:v>
                </c:pt>
                <c:pt idx="1">
                  <c:v>0.93890361523125199</c:v>
                </c:pt>
                <c:pt idx="2">
                  <c:v>0.10432262391458356</c:v>
                </c:pt>
                <c:pt idx="3">
                  <c:v>0.20864524782916713</c:v>
                </c:pt>
                <c:pt idx="4">
                  <c:v>0.31296787174375068</c:v>
                </c:pt>
                <c:pt idx="5">
                  <c:v>0.41729049565833426</c:v>
                </c:pt>
                <c:pt idx="6">
                  <c:v>1.0432262391458356</c:v>
                </c:pt>
                <c:pt idx="7">
                  <c:v>2.1907751022062545</c:v>
                </c:pt>
                <c:pt idx="8">
                  <c:v>2.2950977261208383</c:v>
                </c:pt>
                <c:pt idx="9">
                  <c:v>1.5648393587187535</c:v>
                </c:pt>
                <c:pt idx="10">
                  <c:v>2.7123882217791722</c:v>
                </c:pt>
                <c:pt idx="11">
                  <c:v>1.5648393587187535</c:v>
                </c:pt>
                <c:pt idx="12">
                  <c:v>0.73025836740208483</c:v>
                </c:pt>
                <c:pt idx="13">
                  <c:v>1.0432262391458356</c:v>
                </c:pt>
                <c:pt idx="14">
                  <c:v>2.1907751022062545</c:v>
                </c:pt>
                <c:pt idx="15">
                  <c:v>2.2950977261208383</c:v>
                </c:pt>
                <c:pt idx="16">
                  <c:v>1.5648393587187535</c:v>
                </c:pt>
                <c:pt idx="17">
                  <c:v>2.7123882217791722</c:v>
                </c:pt>
                <c:pt idx="18">
                  <c:v>1.5648393587187535</c:v>
                </c:pt>
                <c:pt idx="19">
                  <c:v>0.73025836740208483</c:v>
                </c:pt>
                <c:pt idx="20">
                  <c:v>1.0432262391458356</c:v>
                </c:pt>
                <c:pt idx="21">
                  <c:v>2.1907751022062545</c:v>
                </c:pt>
                <c:pt idx="22">
                  <c:v>2.2950977261208383</c:v>
                </c:pt>
                <c:pt idx="23">
                  <c:v>1.5648393587187535</c:v>
                </c:pt>
                <c:pt idx="24">
                  <c:v>2.7123882217791722</c:v>
                </c:pt>
                <c:pt idx="25">
                  <c:v>1.5648393587187535</c:v>
                </c:pt>
                <c:pt idx="26">
                  <c:v>0.73025836740208483</c:v>
                </c:pt>
                <c:pt idx="27">
                  <c:v>1.0432262391458356</c:v>
                </c:pt>
                <c:pt idx="28">
                  <c:v>2.1907751022062545</c:v>
                </c:pt>
                <c:pt idx="29">
                  <c:v>2.2950977261208383</c:v>
                </c:pt>
                <c:pt idx="30">
                  <c:v>1.5648393587187535</c:v>
                </c:pt>
                <c:pt idx="31">
                  <c:v>3.3340256940667596</c:v>
                </c:pt>
                <c:pt idx="32">
                  <c:v>1.9234763619615922</c:v>
                </c:pt>
                <c:pt idx="33">
                  <c:v>0.89762230224874284</c:v>
                </c:pt>
                <c:pt idx="34">
                  <c:v>1.2823175746410613</c:v>
                </c:pt>
                <c:pt idx="35">
                  <c:v>1.0258540597128492</c:v>
                </c:pt>
                <c:pt idx="36">
                  <c:v>1.9234763619615922</c:v>
                </c:pt>
                <c:pt idx="37">
                  <c:v>1.6670128470333798</c:v>
                </c:pt>
                <c:pt idx="38">
                  <c:v>1.4746652108372207</c:v>
                </c:pt>
                <c:pt idx="39">
                  <c:v>1.7911702015892341</c:v>
                </c:pt>
                <c:pt idx="40">
                  <c:v>0.71646808063569356</c:v>
                </c:pt>
                <c:pt idx="41">
                  <c:v>0.23882269354523122</c:v>
                </c:pt>
                <c:pt idx="42">
                  <c:v>0.9552907741809249</c:v>
                </c:pt>
                <c:pt idx="43">
                  <c:v>0.47764538709046245</c:v>
                </c:pt>
                <c:pt idx="44">
                  <c:v>0.71646808063569356</c:v>
                </c:pt>
                <c:pt idx="45">
                  <c:v>0.597056733863078</c:v>
                </c:pt>
                <c:pt idx="46">
                  <c:v>0.9552907741809249</c:v>
                </c:pt>
                <c:pt idx="47">
                  <c:v>0.35823404031784678</c:v>
                </c:pt>
                <c:pt idx="48">
                  <c:v>0.9552907741809249</c:v>
                </c:pt>
                <c:pt idx="49">
                  <c:v>0.9552907741809249</c:v>
                </c:pt>
                <c:pt idx="50">
                  <c:v>0.23882269354523122</c:v>
                </c:pt>
                <c:pt idx="51">
                  <c:v>0</c:v>
                </c:pt>
                <c:pt idx="52">
                  <c:v>0</c:v>
                </c:pt>
                <c:pt idx="53">
                  <c:v>0.76583103894720783</c:v>
                </c:pt>
                <c:pt idx="54">
                  <c:v>0</c:v>
                </c:pt>
                <c:pt idx="55">
                  <c:v>0.32821330240594626</c:v>
                </c:pt>
                <c:pt idx="56">
                  <c:v>0.10940443413531541</c:v>
                </c:pt>
                <c:pt idx="57">
                  <c:v>0.87523547308252325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6-443A-BED9-175E1E297AF6}"/>
            </c:ext>
          </c:extLst>
        </c:ser>
        <c:ser>
          <c:idx val="2"/>
          <c:order val="2"/>
          <c:tx>
            <c:strRef>
              <c:f>'BMP test compil_daily'!$F$13</c:f>
              <c:strCache>
                <c:ptCount val="1"/>
                <c:pt idx="0">
                  <c:v>27,20%HE+72,80%PM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'BMP test compil_daily'!$H$10:$CB$10</c:f>
              <c:numCache>
                <c:formatCode>0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cat>
          <c:val>
            <c:numRef>
              <c:f>'BMP test compil_daily'!$H$13:$CB$13</c:f>
              <c:numCache>
                <c:formatCode>General</c:formatCode>
                <c:ptCount val="73"/>
                <c:pt idx="0">
                  <c:v>0</c:v>
                </c:pt>
                <c:pt idx="1">
                  <c:v>3.0131666060493707</c:v>
                </c:pt>
                <c:pt idx="2">
                  <c:v>1.5067595858224743</c:v>
                </c:pt>
                <c:pt idx="3">
                  <c:v>4.6336638530053671</c:v>
                </c:pt>
                <c:pt idx="4">
                  <c:v>2.1131371536573891</c:v>
                </c:pt>
                <c:pt idx="5">
                  <c:v>3.453380008688288</c:v>
                </c:pt>
                <c:pt idx="6">
                  <c:v>3.2227668526205995</c:v>
                </c:pt>
                <c:pt idx="7">
                  <c:v>5.2278779077928332</c:v>
                </c:pt>
                <c:pt idx="8">
                  <c:v>5.8893144694705404</c:v>
                </c:pt>
                <c:pt idx="9">
                  <c:v>8.5978408965673232</c:v>
                </c:pt>
                <c:pt idx="10">
                  <c:v>6.1449127740782039</c:v>
                </c:pt>
                <c:pt idx="11">
                  <c:v>14.028291243392864</c:v>
                </c:pt>
                <c:pt idx="12">
                  <c:v>13.396188139267261</c:v>
                </c:pt>
                <c:pt idx="13">
                  <c:v>15.322377385869316</c:v>
                </c:pt>
                <c:pt idx="14">
                  <c:v>16.036710539070274</c:v>
                </c:pt>
                <c:pt idx="15">
                  <c:v>16.828613999391688</c:v>
                </c:pt>
                <c:pt idx="16">
                  <c:v>13.832276524437914</c:v>
                </c:pt>
                <c:pt idx="17">
                  <c:v>11.24120144941474</c:v>
                </c:pt>
                <c:pt idx="18">
                  <c:v>10.797121577410982</c:v>
                </c:pt>
                <c:pt idx="19">
                  <c:v>12.036307380562656</c:v>
                </c:pt>
                <c:pt idx="20">
                  <c:v>12.782124641448741</c:v>
                </c:pt>
                <c:pt idx="21">
                  <c:v>12.027892815014857</c:v>
                </c:pt>
                <c:pt idx="22">
                  <c:v>10.241889525307943</c:v>
                </c:pt>
                <c:pt idx="23">
                  <c:v>8.404881746107387</c:v>
                </c:pt>
                <c:pt idx="24">
                  <c:v>8.1305857127475605</c:v>
                </c:pt>
                <c:pt idx="25">
                  <c:v>6.3395172306508405</c:v>
                </c:pt>
                <c:pt idx="26">
                  <c:v>6.7096405928888148</c:v>
                </c:pt>
                <c:pt idx="27">
                  <c:v>5.106460192768969</c:v>
                </c:pt>
                <c:pt idx="28">
                  <c:v>3.8931585804259932</c:v>
                </c:pt>
                <c:pt idx="29">
                  <c:v>4.0578595984003405</c:v>
                </c:pt>
                <c:pt idx="30">
                  <c:v>2.8882056067899442</c:v>
                </c:pt>
                <c:pt idx="31">
                  <c:v>2.1745658325936277</c:v>
                </c:pt>
                <c:pt idx="32">
                  <c:v>1.5335134384335991</c:v>
                </c:pt>
                <c:pt idx="33">
                  <c:v>1.7365030800877368</c:v>
                </c:pt>
                <c:pt idx="34">
                  <c:v>1.9109055280337439</c:v>
                </c:pt>
                <c:pt idx="35">
                  <c:v>2.5478740373783255</c:v>
                </c:pt>
                <c:pt idx="36">
                  <c:v>1.5924212733614533</c:v>
                </c:pt>
                <c:pt idx="37">
                  <c:v>1.5924212733614533</c:v>
                </c:pt>
                <c:pt idx="38">
                  <c:v>1.9109055280337439</c:v>
                </c:pt>
                <c:pt idx="39">
                  <c:v>2.1397205995639839</c:v>
                </c:pt>
                <c:pt idx="40">
                  <c:v>1.2838323597383903</c:v>
                </c:pt>
                <c:pt idx="41">
                  <c:v>1.4264803997093225</c:v>
                </c:pt>
                <c:pt idx="42">
                  <c:v>1.8544245196221192</c:v>
                </c:pt>
                <c:pt idx="43">
                  <c:v>0.71324019985466125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6-443A-BED9-175E1E297AF6}"/>
            </c:ext>
          </c:extLst>
        </c:ser>
        <c:ser>
          <c:idx val="3"/>
          <c:order val="3"/>
          <c:tx>
            <c:strRef>
              <c:f>'BMP test compil_daily'!$F$14</c:f>
              <c:strCache>
                <c:ptCount val="1"/>
                <c:pt idx="0">
                  <c:v>71,94%HE+28,06%PM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'BMP test compil_daily'!$H$10:$CB$10</c:f>
              <c:numCache>
                <c:formatCode>0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cat>
          <c:val>
            <c:numRef>
              <c:f>'BMP test compil_daily'!$H$14:$CB$14</c:f>
              <c:numCache>
                <c:formatCode>General</c:formatCode>
                <c:ptCount val="73"/>
                <c:pt idx="0">
                  <c:v>0</c:v>
                </c:pt>
                <c:pt idx="1">
                  <c:v>1.2518518827367182</c:v>
                </c:pt>
                <c:pt idx="2">
                  <c:v>0.74478093341760687</c:v>
                </c:pt>
                <c:pt idx="3">
                  <c:v>1.3067467359472267</c:v>
                </c:pt>
                <c:pt idx="4">
                  <c:v>1.4663296956640604</c:v>
                </c:pt>
                <c:pt idx="5">
                  <c:v>0.6689706906485805</c:v>
                </c:pt>
                <c:pt idx="6">
                  <c:v>0.83892066303609736</c:v>
                </c:pt>
                <c:pt idx="7">
                  <c:v>1.6328044956326235</c:v>
                </c:pt>
                <c:pt idx="8">
                  <c:v>1.4759068964213453</c:v>
                </c:pt>
                <c:pt idx="9">
                  <c:v>1.980076018266044</c:v>
                </c:pt>
                <c:pt idx="10">
                  <c:v>4.1200450705556637</c:v>
                </c:pt>
                <c:pt idx="11">
                  <c:v>3.0237159292550482</c:v>
                </c:pt>
                <c:pt idx="12">
                  <c:v>2.9588811468529532</c:v>
                </c:pt>
                <c:pt idx="13">
                  <c:v>0.21623295051267249</c:v>
                </c:pt>
                <c:pt idx="14">
                  <c:v>2.7849353112295012</c:v>
                </c:pt>
                <c:pt idx="15">
                  <c:v>6.6486249860718445</c:v>
                </c:pt>
                <c:pt idx="16">
                  <c:v>5.364466870847818</c:v>
                </c:pt>
                <c:pt idx="17">
                  <c:v>6.085565147780704</c:v>
                </c:pt>
                <c:pt idx="18">
                  <c:v>5.2250796942795166</c:v>
                </c:pt>
                <c:pt idx="19">
                  <c:v>1.0945037982118717</c:v>
                </c:pt>
                <c:pt idx="20">
                  <c:v>4.3994278713885153</c:v>
                </c:pt>
                <c:pt idx="21">
                  <c:v>7.1036736573617736</c:v>
                </c:pt>
                <c:pt idx="22">
                  <c:v>6.4339131547997912</c:v>
                </c:pt>
                <c:pt idx="23">
                  <c:v>4.6223888493116192</c:v>
                </c:pt>
                <c:pt idx="24">
                  <c:v>3.2647840766001424</c:v>
                </c:pt>
                <c:pt idx="25">
                  <c:v>2.4343582794770424</c:v>
                </c:pt>
                <c:pt idx="26">
                  <c:v>2.4642599734724504</c:v>
                </c:pt>
                <c:pt idx="27">
                  <c:v>2.4686478174357758</c:v>
                </c:pt>
                <c:pt idx="28">
                  <c:v>2.8602424145573999</c:v>
                </c:pt>
                <c:pt idx="29">
                  <c:v>1.9134158927752054</c:v>
                </c:pt>
                <c:pt idx="30">
                  <c:v>2.4063287322393205</c:v>
                </c:pt>
                <c:pt idx="31">
                  <c:v>2.5166566808531727</c:v>
                </c:pt>
                <c:pt idx="32">
                  <c:v>1.6826855058077061</c:v>
                </c:pt>
                <c:pt idx="33">
                  <c:v>1.285369160157906</c:v>
                </c:pt>
                <c:pt idx="34">
                  <c:v>1.0332611974010855</c:v>
                </c:pt>
                <c:pt idx="35">
                  <c:v>1.9377303987906456</c:v>
                </c:pt>
                <c:pt idx="36">
                  <c:v>2.3530076523969905</c:v>
                </c:pt>
                <c:pt idx="37">
                  <c:v>2.0168637020545637</c:v>
                </c:pt>
                <c:pt idx="38">
                  <c:v>2.7451755944631557</c:v>
                </c:pt>
                <c:pt idx="39">
                  <c:v>3.0672784441229424</c:v>
                </c:pt>
                <c:pt idx="40">
                  <c:v>1.3081040423465491</c:v>
                </c:pt>
                <c:pt idx="41">
                  <c:v>2.4357799409211598</c:v>
                </c:pt>
                <c:pt idx="42">
                  <c:v>2.9319573362939888</c:v>
                </c:pt>
                <c:pt idx="43">
                  <c:v>1.1727829345175957</c:v>
                </c:pt>
                <c:pt idx="44">
                  <c:v>2.2553517971492223</c:v>
                </c:pt>
                <c:pt idx="45">
                  <c:v>1.9847095814913158</c:v>
                </c:pt>
                <c:pt idx="46">
                  <c:v>2.4808869768641446</c:v>
                </c:pt>
                <c:pt idx="47">
                  <c:v>1.3081040423465491</c:v>
                </c:pt>
                <c:pt idx="48">
                  <c:v>1.9847095814913158</c:v>
                </c:pt>
                <c:pt idx="49">
                  <c:v>1.9950063886585858</c:v>
                </c:pt>
                <c:pt idx="50">
                  <c:v>2.8111453658370982</c:v>
                </c:pt>
                <c:pt idx="51">
                  <c:v>1.7683011172201102</c:v>
                </c:pt>
                <c:pt idx="52">
                  <c:v>2.9925095829878785</c:v>
                </c:pt>
                <c:pt idx="53">
                  <c:v>2.2217116600970614</c:v>
                </c:pt>
                <c:pt idx="54">
                  <c:v>3.3552380172894396</c:v>
                </c:pt>
                <c:pt idx="55">
                  <c:v>2.3577348229601469</c:v>
                </c:pt>
                <c:pt idx="56">
                  <c:v>1.1788674114800735</c:v>
                </c:pt>
                <c:pt idx="57">
                  <c:v>2.085688497233976</c:v>
                </c:pt>
                <c:pt idx="58">
                  <c:v>2.5844400943986225</c:v>
                </c:pt>
                <c:pt idx="59">
                  <c:v>3.2645559087140494</c:v>
                </c:pt>
                <c:pt idx="60">
                  <c:v>2.6297811486863178</c:v>
                </c:pt>
                <c:pt idx="61">
                  <c:v>3.1738738001386593</c:v>
                </c:pt>
                <c:pt idx="62">
                  <c:v>2.8831294086701043</c:v>
                </c:pt>
                <c:pt idx="63">
                  <c:v>2.4026078405584199</c:v>
                </c:pt>
                <c:pt idx="64">
                  <c:v>1.8481598773526311</c:v>
                </c:pt>
                <c:pt idx="65">
                  <c:v>1.5524542969762103</c:v>
                </c:pt>
                <c:pt idx="66">
                  <c:v>1.4415647043350521</c:v>
                </c:pt>
                <c:pt idx="67">
                  <c:v>0.92407993867631555</c:v>
                </c:pt>
                <c:pt idx="68">
                  <c:v>0.76968633575344136</c:v>
                </c:pt>
                <c:pt idx="69">
                  <c:v>0.5019693494044184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B6-443A-BED9-175E1E297AF6}"/>
            </c:ext>
          </c:extLst>
        </c:ser>
        <c:ser>
          <c:idx val="4"/>
          <c:order val="4"/>
          <c:tx>
            <c:strRef>
              <c:f>'BMP test compil_daily'!$F$15</c:f>
              <c:strCache>
                <c:ptCount val="1"/>
                <c:pt idx="0">
                  <c:v>26,57%HE+73,43%SM</c:v>
                </c:pt>
              </c:strCache>
            </c:strRef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FFFF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'BMP test compil_daily'!$H$10:$CB$10</c:f>
              <c:numCache>
                <c:formatCode>0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cat>
          <c:val>
            <c:numRef>
              <c:f>'BMP test compil_daily'!$H$15:$CB$15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2.1532879871534915E-2</c:v>
                </c:pt>
                <c:pt idx="7">
                  <c:v>0.32837641804090745</c:v>
                </c:pt>
                <c:pt idx="8">
                  <c:v>0.16687981900439558</c:v>
                </c:pt>
                <c:pt idx="9">
                  <c:v>0.12112244927738389</c:v>
                </c:pt>
                <c:pt idx="10">
                  <c:v>0.37144217778397726</c:v>
                </c:pt>
                <c:pt idx="11">
                  <c:v>8.8823129470081516E-2</c:v>
                </c:pt>
                <c:pt idx="12">
                  <c:v>0.2045623587795817</c:v>
                </c:pt>
                <c:pt idx="13">
                  <c:v>0.3499092979124423</c:v>
                </c:pt>
                <c:pt idx="14">
                  <c:v>0.26377777842630268</c:v>
                </c:pt>
                <c:pt idx="15">
                  <c:v>0.20725396876352356</c:v>
                </c:pt>
                <c:pt idx="16">
                  <c:v>3.6233202731135741</c:v>
                </c:pt>
                <c:pt idx="17">
                  <c:v>4.0397938677243292</c:v>
                </c:pt>
                <c:pt idx="18">
                  <c:v>4.2063833055686324</c:v>
                </c:pt>
                <c:pt idx="19">
                  <c:v>4.1496584627950188</c:v>
                </c:pt>
                <c:pt idx="20">
                  <c:v>3.8176857857714173</c:v>
                </c:pt>
                <c:pt idx="21">
                  <c:v>3.3750555497399484</c:v>
                </c:pt>
                <c:pt idx="22">
                  <c:v>3.1537404317242141</c:v>
                </c:pt>
                <c:pt idx="23">
                  <c:v>2.655781416188812</c:v>
                </c:pt>
                <c:pt idx="24">
                  <c:v>2.4344662981730778</c:v>
                </c:pt>
                <c:pt idx="25">
                  <c:v>4.0390009037871515</c:v>
                </c:pt>
                <c:pt idx="26">
                  <c:v>2.8770965342045467</c:v>
                </c:pt>
                <c:pt idx="27">
                  <c:v>3.1537404317242141</c:v>
                </c:pt>
                <c:pt idx="28">
                  <c:v>1.2172331490865389</c:v>
                </c:pt>
                <c:pt idx="29">
                  <c:v>1.4938770466062066</c:v>
                </c:pt>
                <c:pt idx="30">
                  <c:v>1.6598633851180076</c:v>
                </c:pt>
                <c:pt idx="31">
                  <c:v>2.4671788527082055</c:v>
                </c:pt>
                <c:pt idx="32">
                  <c:v>2.4123526559813562</c:v>
                </c:pt>
                <c:pt idx="33">
                  <c:v>3.2347456068840916</c:v>
                </c:pt>
                <c:pt idx="34">
                  <c:v>2.1930478690739603</c:v>
                </c:pt>
                <c:pt idx="35">
                  <c:v>4.0907445928145485</c:v>
                </c:pt>
                <c:pt idx="36">
                  <c:v>2.6432503522801696</c:v>
                </c:pt>
                <c:pt idx="37">
                  <c:v>2.3915122234915822</c:v>
                </c:pt>
                <c:pt idx="38">
                  <c:v>3.2725956742516389</c:v>
                </c:pt>
                <c:pt idx="39">
                  <c:v>3.6502028674345204</c:v>
                </c:pt>
                <c:pt idx="40">
                  <c:v>1.5733633049286726</c:v>
                </c:pt>
                <c:pt idx="41">
                  <c:v>2.8320539488716103</c:v>
                </c:pt>
                <c:pt idx="42">
                  <c:v>2.5173812878858763</c:v>
                </c:pt>
                <c:pt idx="43">
                  <c:v>1.4474942405343787</c:v>
                </c:pt>
                <c:pt idx="44">
                  <c:v>2.4544467556887293</c:v>
                </c:pt>
                <c:pt idx="45">
                  <c:v>1.9509704981115541</c:v>
                </c:pt>
                <c:pt idx="46">
                  <c:v>2.6606062108488242</c:v>
                </c:pt>
                <c:pt idx="47">
                  <c:v>1.4965909936024637</c:v>
                </c:pt>
                <c:pt idx="48">
                  <c:v>1.8291667699585668</c:v>
                </c:pt>
                <c:pt idx="49">
                  <c:v>4.1017679083919374</c:v>
                </c:pt>
                <c:pt idx="50">
                  <c:v>2.4943183226707726</c:v>
                </c:pt>
                <c:pt idx="51">
                  <c:v>1.9501887026805336</c:v>
                </c:pt>
                <c:pt idx="52">
                  <c:v>2.7302641837527468</c:v>
                </c:pt>
                <c:pt idx="53">
                  <c:v>2.6745445065333033</c:v>
                </c:pt>
                <c:pt idx="54">
                  <c:v>4.011816759799955</c:v>
                </c:pt>
                <c:pt idx="55">
                  <c:v>2.1596316986509141</c:v>
                </c:pt>
                <c:pt idx="56">
                  <c:v>1.1826554540231198</c:v>
                </c:pt>
                <c:pt idx="57">
                  <c:v>2.0053722916044201</c:v>
                </c:pt>
                <c:pt idx="58">
                  <c:v>1.748273279860264</c:v>
                </c:pt>
                <c:pt idx="59">
                  <c:v>2.6224099197903956</c:v>
                </c:pt>
                <c:pt idx="60">
                  <c:v>1.2340752563719513</c:v>
                </c:pt>
                <c:pt idx="61">
                  <c:v>1.59401387281377</c:v>
                </c:pt>
                <c:pt idx="62">
                  <c:v>2.0567920939532516</c:v>
                </c:pt>
                <c:pt idx="63">
                  <c:v>0.82271683758130076</c:v>
                </c:pt>
                <c:pt idx="64">
                  <c:v>0.82271683758130076</c:v>
                </c:pt>
                <c:pt idx="65">
                  <c:v>1.079815849325457</c:v>
                </c:pt>
                <c:pt idx="66">
                  <c:v>0.82271683758130076</c:v>
                </c:pt>
                <c:pt idx="67">
                  <c:v>1.1312356516742885</c:v>
                </c:pt>
                <c:pt idx="68">
                  <c:v>1.2594947763862734</c:v>
                </c:pt>
                <c:pt idx="69">
                  <c:v>1.4312440640753108</c:v>
                </c:pt>
                <c:pt idx="70">
                  <c:v>1.2594947763862734</c:v>
                </c:pt>
                <c:pt idx="71">
                  <c:v>1.202245013823261</c:v>
                </c:pt>
                <c:pt idx="72">
                  <c:v>7.395784777453536E-2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B6-443A-BED9-175E1E297AF6}"/>
            </c:ext>
          </c:extLst>
        </c:ser>
        <c:ser>
          <c:idx val="5"/>
          <c:order val="5"/>
          <c:tx>
            <c:strRef>
              <c:f>'BMP test compil_daily'!$F$16</c:f>
              <c:strCache>
                <c:ptCount val="1"/>
                <c:pt idx="0">
                  <c:v>73,72%HE+26,28%SM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'BMP test compil_daily'!$H$10:$CB$10</c:f>
              <c:numCache>
                <c:formatCode>0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cat>
          <c:val>
            <c:numRef>
              <c:f>'BMP test compil_daily'!$H$16:$CB$16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0.57965083464673983</c:v>
                </c:pt>
                <c:pt idx="5">
                  <c:v>1.0433715023641317</c:v>
                </c:pt>
                <c:pt idx="6">
                  <c:v>2.0867430047282634</c:v>
                </c:pt>
                <c:pt idx="7">
                  <c:v>3.2460446740217432</c:v>
                </c:pt>
                <c:pt idx="8">
                  <c:v>7.3036005165489222</c:v>
                </c:pt>
                <c:pt idx="9">
                  <c:v>6.3761591811141374</c:v>
                </c:pt>
                <c:pt idx="10">
                  <c:v>5.3327876787500061</c:v>
                </c:pt>
                <c:pt idx="11">
                  <c:v>7.8832513511956614</c:v>
                </c:pt>
                <c:pt idx="12">
                  <c:v>7.0717401826902258</c:v>
                </c:pt>
                <c:pt idx="13">
                  <c:v>5.9124385133967454</c:v>
                </c:pt>
                <c:pt idx="14">
                  <c:v>3.7097653417391347</c:v>
                </c:pt>
                <c:pt idx="15">
                  <c:v>2.6663938393750031</c:v>
                </c:pt>
                <c:pt idx="16">
                  <c:v>3.9416256755978307</c:v>
                </c:pt>
                <c:pt idx="17">
                  <c:v>2.898254173233699</c:v>
                </c:pt>
                <c:pt idx="18">
                  <c:v>1.9708128377989154</c:v>
                </c:pt>
                <c:pt idx="19">
                  <c:v>1.7389525039402196</c:v>
                </c:pt>
                <c:pt idx="20">
                  <c:v>1.5070921700815236</c:v>
                </c:pt>
                <c:pt idx="21">
                  <c:v>1.7389525039402196</c:v>
                </c:pt>
                <c:pt idx="22">
                  <c:v>1.5070921700815236</c:v>
                </c:pt>
                <c:pt idx="23">
                  <c:v>1.9708128377989154</c:v>
                </c:pt>
                <c:pt idx="24">
                  <c:v>2.2026731716576111</c:v>
                </c:pt>
                <c:pt idx="25">
                  <c:v>2.4345335055163075</c:v>
                </c:pt>
                <c:pt idx="26">
                  <c:v>1.7389525039402196</c:v>
                </c:pt>
                <c:pt idx="27">
                  <c:v>2.5334547811625874</c:v>
                </c:pt>
                <c:pt idx="28">
                  <c:v>2.8149497568473194</c:v>
                </c:pt>
                <c:pt idx="29">
                  <c:v>2.1112123176354896</c:v>
                </c:pt>
                <c:pt idx="30">
                  <c:v>2.6742022690049536</c:v>
                </c:pt>
                <c:pt idx="31">
                  <c:v>2.5334547811625874</c:v>
                </c:pt>
                <c:pt idx="32">
                  <c:v>2.3927072933202216</c:v>
                </c:pt>
                <c:pt idx="33">
                  <c:v>1.1259799027389277</c:v>
                </c:pt>
                <c:pt idx="34">
                  <c:v>2.5849382155193918</c:v>
                </c:pt>
                <c:pt idx="35">
                  <c:v>2.1767900762268564</c:v>
                </c:pt>
                <c:pt idx="36">
                  <c:v>2.5849382155193918</c:v>
                </c:pt>
                <c:pt idx="37">
                  <c:v>2.5849382155193918</c:v>
                </c:pt>
                <c:pt idx="38">
                  <c:v>2.9930863548119278</c:v>
                </c:pt>
                <c:pt idx="39">
                  <c:v>2.5849382155193918</c:v>
                </c:pt>
                <c:pt idx="40">
                  <c:v>2.5849382155193918</c:v>
                </c:pt>
                <c:pt idx="41">
                  <c:v>2.4488888357552137</c:v>
                </c:pt>
                <c:pt idx="42">
                  <c:v>4.8977776715104273</c:v>
                </c:pt>
                <c:pt idx="43">
                  <c:v>3.8093826333969982</c:v>
                </c:pt>
                <c:pt idx="44">
                  <c:v>3.4012344941044632</c:v>
                </c:pt>
                <c:pt idx="45">
                  <c:v>2.0407406964626778</c:v>
                </c:pt>
                <c:pt idx="46">
                  <c:v>1.3604937976417852</c:v>
                </c:pt>
                <c:pt idx="47">
                  <c:v>3.1291357345761064</c:v>
                </c:pt>
                <c:pt idx="48">
                  <c:v>5.3221734345733607</c:v>
                </c:pt>
                <c:pt idx="49">
                  <c:v>8.8702890576222675</c:v>
                </c:pt>
                <c:pt idx="50">
                  <c:v>6.4626391705533663</c:v>
                </c:pt>
                <c:pt idx="51">
                  <c:v>4.1817076985933541</c:v>
                </c:pt>
                <c:pt idx="52">
                  <c:v>2.4076498870689012</c:v>
                </c:pt>
                <c:pt idx="53">
                  <c:v>2.0908538492966771</c:v>
                </c:pt>
                <c:pt idx="54">
                  <c:v>1.1404657359800059</c:v>
                </c:pt>
                <c:pt idx="55">
                  <c:v>1.7385936206842469</c:v>
                </c:pt>
                <c:pt idx="56">
                  <c:v>0.64392356321638777</c:v>
                </c:pt>
                <c:pt idx="57">
                  <c:v>0.64392356321638777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B6-443A-BED9-175E1E29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398799"/>
        <c:axId val="1758369775"/>
      </c:lineChart>
      <c:dateAx>
        <c:axId val="2010398799"/>
        <c:scaling>
          <c:orientation val="minMax"/>
          <c:max val="7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Retention Time (days)</a:t>
                </a:r>
                <a:endParaRPr lang="fr-BF" sz="12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F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fr-BF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758369775"/>
        <c:crosses val="autoZero"/>
        <c:auto val="0"/>
        <c:lblOffset val="100"/>
        <c:baseTimeUnit val="days"/>
        <c:majorUnit val="10"/>
        <c:majorTimeUnit val="days"/>
        <c:minorUnit val="5"/>
      </c:dateAx>
      <c:valAx>
        <c:axId val="1758369775"/>
        <c:scaling>
          <c:orientation val="minMax"/>
          <c:max val="1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Daily methane yield (ml/g VS ad)</a:t>
                </a:r>
              </a:p>
              <a:p>
                <a:pPr>
                  <a:defRPr/>
                </a:pPr>
                <a:endParaRPr lang="fr-BF" sz="12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F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2010398799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'BMP test compil_daily'!$F$21</c:f>
              <c:strCache>
                <c:ptCount val="1"/>
                <c:pt idx="0">
                  <c:v>46,6%HE+47,4%CM+6,0%PM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'BMP test compil_daily'!$H$20:$CD$20</c:f>
              <c:numCache>
                <c:formatCode>0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cat>
          <c:val>
            <c:numRef>
              <c:f>'BMP test compil_daily'!$H$21:$CD$21</c:f>
              <c:numCache>
                <c:formatCode>General</c:formatCode>
                <c:ptCount val="75"/>
                <c:pt idx="0">
                  <c:v>0</c:v>
                </c:pt>
                <c:pt idx="1">
                  <c:v>0.59739286766246502</c:v>
                </c:pt>
                <c:pt idx="2">
                  <c:v>0.50548627263747026</c:v>
                </c:pt>
                <c:pt idx="3">
                  <c:v>0.64334616517496224</c:v>
                </c:pt>
                <c:pt idx="4">
                  <c:v>0.62036951641871352</c:v>
                </c:pt>
                <c:pt idx="5">
                  <c:v>0.73525276019995678</c:v>
                </c:pt>
                <c:pt idx="6">
                  <c:v>0.82715935522495154</c:v>
                </c:pt>
                <c:pt idx="7">
                  <c:v>1.0799024915436866</c:v>
                </c:pt>
                <c:pt idx="8">
                  <c:v>1.056925842787438</c:v>
                </c:pt>
                <c:pt idx="9">
                  <c:v>1.2177623840811787</c:v>
                </c:pt>
                <c:pt idx="10">
                  <c:v>1.240739032837427</c:v>
                </c:pt>
                <c:pt idx="11">
                  <c:v>1.5853887641811568</c:v>
                </c:pt>
                <c:pt idx="12">
                  <c:v>1.5394354666686598</c:v>
                </c:pt>
                <c:pt idx="13">
                  <c:v>1.6543187104499031</c:v>
                </c:pt>
                <c:pt idx="14">
                  <c:v>1.7002720079624003</c:v>
                </c:pt>
                <c:pt idx="15">
                  <c:v>1.6772953592061517</c:v>
                </c:pt>
                <c:pt idx="16">
                  <c:v>1.5394354666686598</c:v>
                </c:pt>
                <c:pt idx="17">
                  <c:v>1.6772953592061517</c:v>
                </c:pt>
                <c:pt idx="18">
                  <c:v>1.5394354666686598</c:v>
                </c:pt>
                <c:pt idx="19">
                  <c:v>1.4245522228874166</c:v>
                </c:pt>
                <c:pt idx="20">
                  <c:v>3.6762638009997843E-2</c:v>
                </c:pt>
                <c:pt idx="21">
                  <c:v>1.5624121154249084</c:v>
                </c:pt>
                <c:pt idx="22">
                  <c:v>3.8119242994608125</c:v>
                </c:pt>
                <c:pt idx="23">
                  <c:v>3.5396439923564689</c:v>
                </c:pt>
                <c:pt idx="24">
                  <c:v>3.8119242994608125</c:v>
                </c:pt>
                <c:pt idx="25">
                  <c:v>3.2930544798899666</c:v>
                </c:pt>
                <c:pt idx="26">
                  <c:v>3.2146484208449677</c:v>
                </c:pt>
                <c:pt idx="27">
                  <c:v>2.5089938894399744</c:v>
                </c:pt>
                <c:pt idx="28">
                  <c:v>2.9010241846649709</c:v>
                </c:pt>
                <c:pt idx="29">
                  <c:v>1.5453083168090043</c:v>
                </c:pt>
                <c:pt idx="30">
                  <c:v>1.6336116491980903</c:v>
                </c:pt>
                <c:pt idx="31">
                  <c:v>1.5894599830035472</c:v>
                </c:pt>
                <c:pt idx="32">
                  <c:v>1.6336116491980903</c:v>
                </c:pt>
                <c:pt idx="33">
                  <c:v>1.6336116491980903</c:v>
                </c:pt>
                <c:pt idx="34">
                  <c:v>1.5894599830035472</c:v>
                </c:pt>
                <c:pt idx="35">
                  <c:v>1.6336116491980903</c:v>
                </c:pt>
                <c:pt idx="36">
                  <c:v>1.5894599830035472</c:v>
                </c:pt>
                <c:pt idx="37">
                  <c:v>1.6115358161008186</c:v>
                </c:pt>
                <c:pt idx="38">
                  <c:v>1.6115358161008186</c:v>
                </c:pt>
                <c:pt idx="39">
                  <c:v>1.6336116491980903</c:v>
                </c:pt>
                <c:pt idx="40">
                  <c:v>1.7219149815871762</c:v>
                </c:pt>
                <c:pt idx="41">
                  <c:v>1.5453083168090043</c:v>
                </c:pt>
                <c:pt idx="42">
                  <c:v>1.6336116491980903</c:v>
                </c:pt>
                <c:pt idx="43">
                  <c:v>1.5453083168090043</c:v>
                </c:pt>
                <c:pt idx="44">
                  <c:v>1.5453083168090043</c:v>
                </c:pt>
                <c:pt idx="45">
                  <c:v>1.5894599830035472</c:v>
                </c:pt>
                <c:pt idx="46">
                  <c:v>1.6336116491980903</c:v>
                </c:pt>
                <c:pt idx="47">
                  <c:v>1.5894599830035472</c:v>
                </c:pt>
                <c:pt idx="48">
                  <c:v>1.5894599830035472</c:v>
                </c:pt>
                <c:pt idx="49">
                  <c:v>1.5453083168090043</c:v>
                </c:pt>
                <c:pt idx="50">
                  <c:v>1.6336116491980903</c:v>
                </c:pt>
                <c:pt idx="51">
                  <c:v>1.7219149815871762</c:v>
                </c:pt>
                <c:pt idx="52">
                  <c:v>1.5453083168090043</c:v>
                </c:pt>
                <c:pt idx="53">
                  <c:v>1.6777633153926332</c:v>
                </c:pt>
                <c:pt idx="54">
                  <c:v>1.6336116491980903</c:v>
                </c:pt>
                <c:pt idx="55">
                  <c:v>2.82037193592486</c:v>
                </c:pt>
                <c:pt idx="56">
                  <c:v>2.9009539912369986</c:v>
                </c:pt>
                <c:pt idx="57">
                  <c:v>2.82037193592486</c:v>
                </c:pt>
                <c:pt idx="58">
                  <c:v>2.5786257699884434</c:v>
                </c:pt>
                <c:pt idx="59">
                  <c:v>2.9815360465491376</c:v>
                </c:pt>
                <c:pt idx="60">
                  <c:v>2.659207825300582</c:v>
                </c:pt>
                <c:pt idx="61">
                  <c:v>2.2562975487398877</c:v>
                </c:pt>
                <c:pt idx="62">
                  <c:v>2.7600991791060245</c:v>
                </c:pt>
                <c:pt idx="63">
                  <c:v>2.1686493550118762</c:v>
                </c:pt>
                <c:pt idx="64">
                  <c:v>1.7743494722824442</c:v>
                </c:pt>
                <c:pt idx="65">
                  <c:v>1.8729244429648024</c:v>
                </c:pt>
                <c:pt idx="66">
                  <c:v>2.0700743843295184</c:v>
                </c:pt>
                <c:pt idx="67">
                  <c:v>1.9714994136471604</c:v>
                </c:pt>
                <c:pt idx="68">
                  <c:v>1.4786245602353703</c:v>
                </c:pt>
                <c:pt idx="69">
                  <c:v>1.6757745016000865</c:v>
                </c:pt>
                <c:pt idx="70">
                  <c:v>1.8729244429648024</c:v>
                </c:pt>
                <c:pt idx="71">
                  <c:v>1.5771995309177282</c:v>
                </c:pt>
                <c:pt idx="72">
                  <c:v>0.2241510133247068</c:v>
                </c:pt>
                <c:pt idx="73">
                  <c:v>0.20173591199223612</c:v>
                </c:pt>
                <c:pt idx="74">
                  <c:v>0.36538019040486652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A-4C5C-9C2F-1B9C77BE64E6}"/>
            </c:ext>
          </c:extLst>
        </c:ser>
        <c:ser>
          <c:idx val="1"/>
          <c:order val="1"/>
          <c:tx>
            <c:strRef>
              <c:f>'BMP test compil_daily'!$F$22</c:f>
              <c:strCache>
                <c:ptCount val="1"/>
                <c:pt idx="0">
                  <c:v>0,04%HE+27,80%CM+72,15%SM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'BMP test compil_daily'!$H$20:$CD$20</c:f>
              <c:numCache>
                <c:formatCode>0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cat>
          <c:val>
            <c:numRef>
              <c:f>'BMP test compil_daily'!$H$22:$CD$22</c:f>
              <c:numCache>
                <c:formatCode>General</c:formatCode>
                <c:ptCount val="75"/>
                <c:pt idx="0">
                  <c:v>0</c:v>
                </c:pt>
                <c:pt idx="1">
                  <c:v>0.24133412480307526</c:v>
                </c:pt>
                <c:pt idx="2">
                  <c:v>0.34752113971642834</c:v>
                </c:pt>
                <c:pt idx="3">
                  <c:v>0.38613459968492037</c:v>
                </c:pt>
                <c:pt idx="4">
                  <c:v>0.25098748979519819</c:v>
                </c:pt>
                <c:pt idx="5">
                  <c:v>0.43440142464553544</c:v>
                </c:pt>
                <c:pt idx="6">
                  <c:v>0.45370815462978148</c:v>
                </c:pt>
                <c:pt idx="7">
                  <c:v>0.38613459968492037</c:v>
                </c:pt>
                <c:pt idx="8">
                  <c:v>0.42474805965341245</c:v>
                </c:pt>
                <c:pt idx="9">
                  <c:v>0.51162834458251949</c:v>
                </c:pt>
                <c:pt idx="10">
                  <c:v>1.2314431542214996</c:v>
                </c:pt>
                <c:pt idx="11">
                  <c:v>0.40155755028961948</c:v>
                </c:pt>
                <c:pt idx="12">
                  <c:v>0.96373812069508658</c:v>
                </c:pt>
                <c:pt idx="13">
                  <c:v>1.3117546642794236</c:v>
                </c:pt>
                <c:pt idx="14">
                  <c:v>1.5526891944531951</c:v>
                </c:pt>
                <c:pt idx="15">
                  <c:v>0.95035286901876614</c:v>
                </c:pt>
                <c:pt idx="16">
                  <c:v>1.1971855093934862</c:v>
                </c:pt>
                <c:pt idx="17">
                  <c:v>0.91214134049027518</c:v>
                </c:pt>
                <c:pt idx="18">
                  <c:v>1.2114377178386468</c:v>
                </c:pt>
                <c:pt idx="19">
                  <c:v>1.1544288840580046</c:v>
                </c:pt>
                <c:pt idx="20">
                  <c:v>0.93173316137963835</c:v>
                </c:pt>
                <c:pt idx="21">
                  <c:v>1.1937831130176615</c:v>
                </c:pt>
                <c:pt idx="22">
                  <c:v>1.1792247823711048</c:v>
                </c:pt>
                <c:pt idx="23">
                  <c:v>0.94856988245643492</c:v>
                </c:pt>
                <c:pt idx="24">
                  <c:v>1.1090970933336777</c:v>
                </c:pt>
                <c:pt idx="25">
                  <c:v>0.94856988245643492</c:v>
                </c:pt>
                <c:pt idx="26">
                  <c:v>0.97775664807047913</c:v>
                </c:pt>
                <c:pt idx="27">
                  <c:v>1.1054049324313406</c:v>
                </c:pt>
                <c:pt idx="28">
                  <c:v>0.77226919936984062</c:v>
                </c:pt>
                <c:pt idx="29">
                  <c:v>0.87040590142968044</c:v>
                </c:pt>
                <c:pt idx="30">
                  <c:v>0.79537090992712178</c:v>
                </c:pt>
                <c:pt idx="31">
                  <c:v>0.82538490652814522</c:v>
                </c:pt>
                <c:pt idx="32">
                  <c:v>0.840391904828657</c:v>
                </c:pt>
                <c:pt idx="33">
                  <c:v>0.89929822889581679</c:v>
                </c:pt>
                <c:pt idx="34">
                  <c:v>0.71943858311665343</c:v>
                </c:pt>
                <c:pt idx="35">
                  <c:v>0.9742397479704682</c:v>
                </c:pt>
                <c:pt idx="36">
                  <c:v>0.55456724115242029</c:v>
                </c:pt>
                <c:pt idx="37">
                  <c:v>0.50960232970762953</c:v>
                </c:pt>
                <c:pt idx="38">
                  <c:v>0.58454384878228094</c:v>
                </c:pt>
                <c:pt idx="39">
                  <c:v>0.79438010219130473</c:v>
                </c:pt>
                <c:pt idx="40">
                  <c:v>0.28477777248367531</c:v>
                </c:pt>
                <c:pt idx="41">
                  <c:v>0.46463741826283861</c:v>
                </c:pt>
                <c:pt idx="42">
                  <c:v>0.20190044427969694</c:v>
                </c:pt>
                <c:pt idx="43">
                  <c:v>0.10768023694917171</c:v>
                </c:pt>
                <c:pt idx="44">
                  <c:v>0.17498038504240401</c:v>
                </c:pt>
                <c:pt idx="45">
                  <c:v>0.1278702813771414</c:v>
                </c:pt>
                <c:pt idx="46">
                  <c:v>0.18844041466105046</c:v>
                </c:pt>
                <c:pt idx="47">
                  <c:v>0.10768023694917171</c:v>
                </c:pt>
                <c:pt idx="48">
                  <c:v>0.18844041466105046</c:v>
                </c:pt>
                <c:pt idx="49">
                  <c:v>0.43072094779668685</c:v>
                </c:pt>
                <c:pt idx="50">
                  <c:v>0.14806032580511108</c:v>
                </c:pt>
                <c:pt idx="51">
                  <c:v>0.25895134065289738</c:v>
                </c:pt>
                <c:pt idx="52">
                  <c:v>0.32957443355823302</c:v>
                </c:pt>
                <c:pt idx="53">
                  <c:v>0.25895134065289738</c:v>
                </c:pt>
                <c:pt idx="54">
                  <c:v>0.44727958840045912</c:v>
                </c:pt>
                <c:pt idx="55">
                  <c:v>0.20009876323178433</c:v>
                </c:pt>
                <c:pt idx="56">
                  <c:v>0.22363979420022956</c:v>
                </c:pt>
                <c:pt idx="57">
                  <c:v>0.2942628871055652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A-4C5C-9C2F-1B9C77BE64E6}"/>
            </c:ext>
          </c:extLst>
        </c:ser>
        <c:ser>
          <c:idx val="2"/>
          <c:order val="2"/>
          <c:tx>
            <c:strRef>
              <c:f>'BMP test compil_daily'!$F$23</c:f>
              <c:strCache>
                <c:ptCount val="1"/>
                <c:pt idx="0">
                  <c:v>6,45%HE+47,09%CM+46,46%SM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'BMP test compil_daily'!$H$20:$CD$20</c:f>
              <c:numCache>
                <c:formatCode>0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cat>
          <c:val>
            <c:numRef>
              <c:f>'BMP test compil_daily'!$H$23:$CD$23</c:f>
              <c:numCache>
                <c:formatCode>General</c:formatCode>
                <c:ptCount val="75"/>
                <c:pt idx="0">
                  <c:v>0</c:v>
                </c:pt>
                <c:pt idx="1">
                  <c:v>2.5877052046264754E-2</c:v>
                </c:pt>
                <c:pt idx="2">
                  <c:v>6.2844269255214399E-2</c:v>
                </c:pt>
                <c:pt idx="3">
                  <c:v>8.1327877859689215E-2</c:v>
                </c:pt>
                <c:pt idx="4">
                  <c:v>0.18113936432385325</c:v>
                </c:pt>
                <c:pt idx="5">
                  <c:v>0.1192192754988626</c:v>
                </c:pt>
                <c:pt idx="6">
                  <c:v>0.10165984732461153</c:v>
                </c:pt>
                <c:pt idx="7">
                  <c:v>1.2507973465201891</c:v>
                </c:pt>
                <c:pt idx="8">
                  <c:v>0.80933945951306352</c:v>
                </c:pt>
                <c:pt idx="9">
                  <c:v>1.2753227846872515</c:v>
                </c:pt>
                <c:pt idx="10">
                  <c:v>2.9293285006586807</c:v>
                </c:pt>
                <c:pt idx="11">
                  <c:v>4.4801494715956292</c:v>
                </c:pt>
                <c:pt idx="12">
                  <c:v>4.2216793097728038</c:v>
                </c:pt>
                <c:pt idx="13">
                  <c:v>4.0062875082537834</c:v>
                </c:pt>
                <c:pt idx="14">
                  <c:v>5.019454961652694</c:v>
                </c:pt>
                <c:pt idx="15">
                  <c:v>4.765305343341165</c:v>
                </c:pt>
                <c:pt idx="16">
                  <c:v>4.9381732928145157</c:v>
                </c:pt>
                <c:pt idx="17">
                  <c:v>4.6638303321025978</c:v>
                </c:pt>
                <c:pt idx="18">
                  <c:v>5.4879682307546194</c:v>
                </c:pt>
                <c:pt idx="19">
                  <c:v>5.2593028878065109</c:v>
                </c:pt>
                <c:pt idx="20">
                  <c:v>4.9544157638756978</c:v>
                </c:pt>
                <c:pt idx="21">
                  <c:v>4.49708507797948</c:v>
                </c:pt>
                <c:pt idx="22">
                  <c:v>5.0306375448584006</c:v>
                </c:pt>
                <c:pt idx="23">
                  <c:v>4.3853516639654293</c:v>
                </c:pt>
                <c:pt idx="24">
                  <c:v>3.2690803313196835</c:v>
                </c:pt>
                <c:pt idx="25">
                  <c:v>1.2757386658808521</c:v>
                </c:pt>
                <c:pt idx="26">
                  <c:v>4.4650853305829816</c:v>
                </c:pt>
                <c:pt idx="27">
                  <c:v>3.8356260395575923</c:v>
                </c:pt>
                <c:pt idx="28">
                  <c:v>2.9745671327181338</c:v>
                </c:pt>
                <c:pt idx="29">
                  <c:v>2.8962890502781824</c:v>
                </c:pt>
                <c:pt idx="30">
                  <c:v>2.7397328853982805</c:v>
                </c:pt>
                <c:pt idx="31">
                  <c:v>2.3483424731985258</c:v>
                </c:pt>
                <c:pt idx="32">
                  <c:v>2.1917863083186249</c:v>
                </c:pt>
                <c:pt idx="33">
                  <c:v>2.1135082258786735</c:v>
                </c:pt>
                <c:pt idx="34">
                  <c:v>1.6438397312389681</c:v>
                </c:pt>
                <c:pt idx="35">
                  <c:v>2.030886495416671</c:v>
                </c:pt>
                <c:pt idx="36">
                  <c:v>1.4216205467916696</c:v>
                </c:pt>
                <c:pt idx="37">
                  <c:v>1.4216205467916696</c:v>
                </c:pt>
                <c:pt idx="38">
                  <c:v>1.4893167633055586</c:v>
                </c:pt>
                <c:pt idx="39">
                  <c:v>2.4370637945000051</c:v>
                </c:pt>
                <c:pt idx="40">
                  <c:v>0.81235459816666833</c:v>
                </c:pt>
                <c:pt idx="41">
                  <c:v>1.4216205467916696</c:v>
                </c:pt>
                <c:pt idx="42">
                  <c:v>1.4216205467916696</c:v>
                </c:pt>
                <c:pt idx="43">
                  <c:v>0.74465838165277931</c:v>
                </c:pt>
                <c:pt idx="44">
                  <c:v>1.2185318972500025</c:v>
                </c:pt>
                <c:pt idx="45">
                  <c:v>1.0154432477083355</c:v>
                </c:pt>
                <c:pt idx="46">
                  <c:v>1.0361679938561028</c:v>
                </c:pt>
                <c:pt idx="47">
                  <c:v>0.63321377402317403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A-4C5C-9C2F-1B9C77BE64E6}"/>
            </c:ext>
          </c:extLst>
        </c:ser>
        <c:ser>
          <c:idx val="3"/>
          <c:order val="3"/>
          <c:tx>
            <c:strRef>
              <c:f>'BMP test compil_daily'!$F$24</c:f>
              <c:strCache>
                <c:ptCount val="1"/>
                <c:pt idx="0">
                  <c:v>47,87%HE+4,81%CM+47,32%SM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'BMP test compil_daily'!$H$20:$CD$20</c:f>
              <c:numCache>
                <c:formatCode>0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cat>
          <c:val>
            <c:numRef>
              <c:f>'BMP test compil_daily'!$H$24:$CD$24</c:f>
              <c:numCache>
                <c:formatCode>General</c:formatCode>
                <c:ptCount val="75"/>
                <c:pt idx="0">
                  <c:v>0</c:v>
                </c:pt>
                <c:pt idx="1">
                  <c:v>2.1705377453598325</c:v>
                </c:pt>
                <c:pt idx="2">
                  <c:v>1.3812512925017113</c:v>
                </c:pt>
                <c:pt idx="3">
                  <c:v>0.98660806607265106</c:v>
                </c:pt>
                <c:pt idx="4">
                  <c:v>0.98660806607265106</c:v>
                </c:pt>
                <c:pt idx="5">
                  <c:v>1.8416683900022817</c:v>
                </c:pt>
                <c:pt idx="6">
                  <c:v>3.0913719403609732</c:v>
                </c:pt>
                <c:pt idx="7">
                  <c:v>3.6175629089330541</c:v>
                </c:pt>
                <c:pt idx="8">
                  <c:v>0.85506032392963094</c:v>
                </c:pt>
                <c:pt idx="9">
                  <c:v>3.9464322642906042</c:v>
                </c:pt>
                <c:pt idx="10">
                  <c:v>1.8416683900022817</c:v>
                </c:pt>
                <c:pt idx="11">
                  <c:v>3.5517890378615435</c:v>
                </c:pt>
                <c:pt idx="12">
                  <c:v>3.0913719403609732</c:v>
                </c:pt>
                <c:pt idx="13">
                  <c:v>4.9330403303632551</c:v>
                </c:pt>
                <c:pt idx="14">
                  <c:v>4.5776353826421516</c:v>
                </c:pt>
                <c:pt idx="15">
                  <c:v>4.3561368963852729</c:v>
                </c:pt>
                <c:pt idx="16">
                  <c:v>4.4249943015694004</c:v>
                </c:pt>
                <c:pt idx="17">
                  <c:v>4.1836309760292503</c:v>
                </c:pt>
                <c:pt idx="18">
                  <c:v>4.827266510802982</c:v>
                </c:pt>
                <c:pt idx="19">
                  <c:v>4.8627824355821625</c:v>
                </c:pt>
                <c:pt idx="20">
                  <c:v>4.7803623943011102</c:v>
                </c:pt>
                <c:pt idx="21">
                  <c:v>5.9342429722358601</c:v>
                </c:pt>
                <c:pt idx="22">
                  <c:v>5.0276225181442706</c:v>
                </c:pt>
                <c:pt idx="23">
                  <c:v>4.5331022704579489</c:v>
                </c:pt>
                <c:pt idx="24">
                  <c:v>5.0810991077547074</c:v>
                </c:pt>
                <c:pt idx="25">
                  <c:v>4.0157073593545265</c:v>
                </c:pt>
                <c:pt idx="26">
                  <c:v>6.3923504904010837</c:v>
                </c:pt>
                <c:pt idx="27">
                  <c:v>4.4993185301802772</c:v>
                </c:pt>
                <c:pt idx="28">
                  <c:v>4.0084837814333376</c:v>
                </c:pt>
                <c:pt idx="29">
                  <c:v>3.5176490326863985</c:v>
                </c:pt>
                <c:pt idx="30">
                  <c:v>3.9266779899755146</c:v>
                </c:pt>
                <c:pt idx="31">
                  <c:v>3.2421579869675687</c:v>
                </c:pt>
                <c:pt idx="32">
                  <c:v>3.4632142133517214</c:v>
                </c:pt>
                <c:pt idx="33">
                  <c:v>3.389528804557004</c:v>
                </c:pt>
                <c:pt idx="34">
                  <c:v>3.0211017605834165</c:v>
                </c:pt>
                <c:pt idx="35">
                  <c:v>4.1263828925041786</c:v>
                </c:pt>
                <c:pt idx="36">
                  <c:v>2.652674716609829</c:v>
                </c:pt>
                <c:pt idx="37">
                  <c:v>2.4316184902256763</c:v>
                </c:pt>
                <c:pt idx="38">
                  <c:v>2.652674716609829</c:v>
                </c:pt>
                <c:pt idx="39">
                  <c:v>3.4632142133517214</c:v>
                </c:pt>
                <c:pt idx="40">
                  <c:v>1.4737081758943495</c:v>
                </c:pt>
                <c:pt idx="41">
                  <c:v>2.2842476726362415</c:v>
                </c:pt>
                <c:pt idx="42">
                  <c:v>2.1895917748764391</c:v>
                </c:pt>
                <c:pt idx="43">
                  <c:v>1.1279715203908927</c:v>
                </c:pt>
                <c:pt idx="44">
                  <c:v>1.8578354453497055</c:v>
                </c:pt>
                <c:pt idx="45">
                  <c:v>1.3933765840122794</c:v>
                </c:pt>
                <c:pt idx="46">
                  <c:v>1.7251329135390125</c:v>
                </c:pt>
                <c:pt idx="47">
                  <c:v>1.1279715203908927</c:v>
                </c:pt>
                <c:pt idx="48">
                  <c:v>1.4597278499176258</c:v>
                </c:pt>
                <c:pt idx="49">
                  <c:v>0.64866009832775551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CA-4C5C-9C2F-1B9C77BE6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686431"/>
        <c:axId val="732418063"/>
      </c:lineChart>
      <c:dateAx>
        <c:axId val="471686431"/>
        <c:scaling>
          <c:orientation val="minMax"/>
          <c:max val="7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Retention Time (days)</a:t>
                </a:r>
                <a:endParaRPr lang="fr-BF" sz="12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F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732418063"/>
        <c:crosses val="autoZero"/>
        <c:auto val="0"/>
        <c:lblOffset val="100"/>
        <c:baseTimeUnit val="days"/>
        <c:majorUnit val="10"/>
        <c:majorTimeUnit val="days"/>
        <c:minorUnit val="5"/>
      </c:dateAx>
      <c:valAx>
        <c:axId val="732418063"/>
        <c:scaling>
          <c:orientation val="minMax"/>
          <c:max val="1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Daily methane yield (ml/g VS ad)</a:t>
                </a:r>
              </a:p>
              <a:p>
                <a:pPr>
                  <a:defRPr/>
                </a:pPr>
                <a:endParaRPr lang="fr-BF" sz="12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F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471686431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'BMP test compil_daily'!$F$28</c:f>
              <c:strCache>
                <c:ptCount val="1"/>
                <c:pt idx="0">
                  <c:v>2,01%HE+31,36%CM+33,13%PM+33,51%SM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'BMP test compil_daily'!$H$27:$BT$27</c:f>
              <c:numCache>
                <c:formatCode>0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cat>
          <c:val>
            <c:numRef>
              <c:f>'BMP test compil_daily'!$H$28:$BT$28</c:f>
              <c:numCache>
                <c:formatCode>General</c:formatCode>
                <c:ptCount val="65"/>
                <c:pt idx="0">
                  <c:v>0</c:v>
                </c:pt>
                <c:pt idx="1">
                  <c:v>1.697060702758922</c:v>
                </c:pt>
                <c:pt idx="2">
                  <c:v>0.94450635633668367</c:v>
                </c:pt>
                <c:pt idx="3">
                  <c:v>0.94281797044419979</c:v>
                </c:pt>
                <c:pt idx="4">
                  <c:v>1.4929115602763612</c:v>
                </c:pt>
                <c:pt idx="5">
                  <c:v>2.3077615241109308</c:v>
                </c:pt>
                <c:pt idx="6">
                  <c:v>3.8027981218036939</c:v>
                </c:pt>
                <c:pt idx="7">
                  <c:v>4.1344786193719667</c:v>
                </c:pt>
                <c:pt idx="8">
                  <c:v>3.7097913472091153</c:v>
                </c:pt>
                <c:pt idx="9">
                  <c:v>4.5701112897343679</c:v>
                </c:pt>
                <c:pt idx="10">
                  <c:v>4.8247548144428309</c:v>
                </c:pt>
                <c:pt idx="11">
                  <c:v>9.1415674661624031</c:v>
                </c:pt>
                <c:pt idx="12">
                  <c:v>9.165216512697814</c:v>
                </c:pt>
                <c:pt idx="13">
                  <c:v>5.6172773303543826</c:v>
                </c:pt>
                <c:pt idx="14">
                  <c:v>4.8893035537185794</c:v>
                </c:pt>
                <c:pt idx="15">
                  <c:v>3.7606874488370217</c:v>
                </c:pt>
                <c:pt idx="16">
                  <c:v>3.9683996677547553</c:v>
                </c:pt>
                <c:pt idx="17">
                  <c:v>3.3541823461301248</c:v>
                </c:pt>
                <c:pt idx="18">
                  <c:v>3.3750251788718209</c:v>
                </c:pt>
                <c:pt idx="19">
                  <c:v>2.753582730031424</c:v>
                </c:pt>
                <c:pt idx="20">
                  <c:v>2.1208164516707475</c:v>
                </c:pt>
                <c:pt idx="21">
                  <c:v>2.1427363581714416</c:v>
                </c:pt>
                <c:pt idx="22">
                  <c:v>2.5175580263028334</c:v>
                </c:pt>
                <c:pt idx="23">
                  <c:v>1.7351716477665031</c:v>
                </c:pt>
                <c:pt idx="24">
                  <c:v>1.9659856433096694</c:v>
                </c:pt>
                <c:pt idx="25">
                  <c:v>1.2649212445878661</c:v>
                </c:pt>
                <c:pt idx="26">
                  <c:v>1.2974372280689759</c:v>
                </c:pt>
                <c:pt idx="27">
                  <c:v>2.5556456832291392</c:v>
                </c:pt>
                <c:pt idx="28">
                  <c:v>1.1971179959538465</c:v>
                </c:pt>
                <c:pt idx="29">
                  <c:v>0.61627831681752432</c:v>
                </c:pt>
                <c:pt idx="30">
                  <c:v>0.56371711737840946</c:v>
                </c:pt>
                <c:pt idx="31">
                  <c:v>0.44940174841662206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5-42B9-BA00-9F4002CC3783}"/>
            </c:ext>
          </c:extLst>
        </c:ser>
        <c:ser>
          <c:idx val="1"/>
          <c:order val="1"/>
          <c:tx>
            <c:strRef>
              <c:f>'BMP test compil_daily'!$F$29</c:f>
              <c:strCache>
                <c:ptCount val="1"/>
                <c:pt idx="0">
                  <c:v>5,51%HE+2,48%CM+47,35%PM+44,66%SM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'BMP test compil_daily'!$H$27:$BT$27</c:f>
              <c:numCache>
                <c:formatCode>0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cat>
          <c:val>
            <c:numRef>
              <c:f>'BMP test compil_daily'!$H$29:$BT$29</c:f>
              <c:numCache>
                <c:formatCode>General</c:formatCode>
                <c:ptCount val="65"/>
                <c:pt idx="0">
                  <c:v>0</c:v>
                </c:pt>
                <c:pt idx="1">
                  <c:v>2.2008263284116847</c:v>
                </c:pt>
                <c:pt idx="2">
                  <c:v>1.7793914995668945</c:v>
                </c:pt>
                <c:pt idx="3">
                  <c:v>1.7793914995668945</c:v>
                </c:pt>
                <c:pt idx="4">
                  <c:v>1.732565407473029</c:v>
                </c:pt>
                <c:pt idx="5">
                  <c:v>1.4516088549098347</c:v>
                </c:pt>
                <c:pt idx="6">
                  <c:v>1.4984349470037004</c:v>
                </c:pt>
                <c:pt idx="7">
                  <c:v>1.9198697758484913</c:v>
                </c:pt>
                <c:pt idx="8">
                  <c:v>2.7627394335380728</c:v>
                </c:pt>
                <c:pt idx="9">
                  <c:v>3.6524351833215203</c:v>
                </c:pt>
                <c:pt idx="10">
                  <c:v>4.354826564729505</c:v>
                </c:pt>
                <c:pt idx="11">
                  <c:v>4.6357831172926982</c:v>
                </c:pt>
                <c:pt idx="12">
                  <c:v>3.5119569070399232</c:v>
                </c:pt>
                <c:pt idx="13">
                  <c:v>3.9333917358847144</c:v>
                </c:pt>
                <c:pt idx="14">
                  <c:v>4.7762613935742957</c:v>
                </c:pt>
                <c:pt idx="15">
                  <c:v>5.4318266828884152</c:v>
                </c:pt>
                <c:pt idx="16">
                  <c:v>5.6877250146955571</c:v>
                </c:pt>
                <c:pt idx="17">
                  <c:v>5.5443369891149965</c:v>
                </c:pt>
                <c:pt idx="18">
                  <c:v>5.9267050573298237</c:v>
                </c:pt>
                <c:pt idx="19">
                  <c:v>5.6399290061687042</c:v>
                </c:pt>
                <c:pt idx="20">
                  <c:v>3.5050569952001873</c:v>
                </c:pt>
                <c:pt idx="21">
                  <c:v>3.4424666917144693</c:v>
                </c:pt>
                <c:pt idx="22">
                  <c:v>4.7714977533717731</c:v>
                </c:pt>
                <c:pt idx="23">
                  <c:v>5.2827296555187484</c:v>
                </c:pt>
                <c:pt idx="24">
                  <c:v>4.6010871193227816</c:v>
                </c:pt>
                <c:pt idx="25">
                  <c:v>4.3880738267615413</c:v>
                </c:pt>
                <c:pt idx="26">
                  <c:v>4.3454711682492935</c:v>
                </c:pt>
                <c:pt idx="27">
                  <c:v>4.4306764852737892</c:v>
                </c:pt>
                <c:pt idx="28">
                  <c:v>3.57862331502883</c:v>
                </c:pt>
                <c:pt idx="29">
                  <c:v>3.2378020469308466</c:v>
                </c:pt>
                <c:pt idx="30">
                  <c:v>3.2378020469308466</c:v>
                </c:pt>
                <c:pt idx="31">
                  <c:v>3.2804047054430949</c:v>
                </c:pt>
                <c:pt idx="32">
                  <c:v>3.57862331502883</c:v>
                </c:pt>
                <c:pt idx="33">
                  <c:v>3.1099940713941026</c:v>
                </c:pt>
                <c:pt idx="34">
                  <c:v>3.0247887543696068</c:v>
                </c:pt>
                <c:pt idx="35">
                  <c:v>2.3005435596613908</c:v>
                </c:pt>
                <c:pt idx="36">
                  <c:v>2.1301329256123989</c:v>
                </c:pt>
                <c:pt idx="37">
                  <c:v>2.0449276085879027</c:v>
                </c:pt>
                <c:pt idx="38">
                  <c:v>1.9171196330511588</c:v>
                </c:pt>
                <c:pt idx="39">
                  <c:v>2.0023249500756553</c:v>
                </c:pt>
                <c:pt idx="40">
                  <c:v>1.789311657514415</c:v>
                </c:pt>
                <c:pt idx="41">
                  <c:v>2.0449276085879027</c:v>
                </c:pt>
                <c:pt idx="42">
                  <c:v>2.0023249500756553</c:v>
                </c:pt>
                <c:pt idx="43">
                  <c:v>1.704106340489919</c:v>
                </c:pt>
                <c:pt idx="44">
                  <c:v>1.0224638042939513</c:v>
                </c:pt>
                <c:pt idx="45">
                  <c:v>1.1502717798306954</c:v>
                </c:pt>
                <c:pt idx="46">
                  <c:v>1.0650664628061994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5-42B9-BA00-9F4002CC3783}"/>
            </c:ext>
          </c:extLst>
        </c:ser>
        <c:ser>
          <c:idx val="2"/>
          <c:order val="2"/>
          <c:tx>
            <c:strRef>
              <c:f>'BMP test compil_daily'!$F$30</c:f>
              <c:strCache>
                <c:ptCount val="1"/>
                <c:pt idx="0">
                  <c:v>32,39%HE+32,22%CM+33,13%PM+2,26%SM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'BMP test compil_daily'!$H$27:$BT$27</c:f>
              <c:numCache>
                <c:formatCode>0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cat>
          <c:val>
            <c:numRef>
              <c:f>'BMP test compil_daily'!$H$30:$BT$30</c:f>
              <c:numCache>
                <c:formatCode>General</c:formatCode>
                <c:ptCount val="65"/>
                <c:pt idx="0">
                  <c:v>0</c:v>
                </c:pt>
                <c:pt idx="1">
                  <c:v>2.3980928042047382E-2</c:v>
                </c:pt>
                <c:pt idx="2">
                  <c:v>1.7449765979745651</c:v>
                </c:pt>
                <c:pt idx="3">
                  <c:v>1.864687060629806</c:v>
                </c:pt>
                <c:pt idx="4">
                  <c:v>2.1041079859402876</c:v>
                </c:pt>
                <c:pt idx="5">
                  <c:v>2.1129430646926206</c:v>
                </c:pt>
                <c:pt idx="6">
                  <c:v>2.7547969727330064</c:v>
                </c:pt>
                <c:pt idx="7">
                  <c:v>2.6033384798358643</c:v>
                </c:pt>
                <c:pt idx="8">
                  <c:v>2.6738249322995342</c:v>
                </c:pt>
                <c:pt idx="9">
                  <c:v>3.0722772751520138</c:v>
                </c:pt>
                <c:pt idx="10">
                  <c:v>3.4717005057794759</c:v>
                </c:pt>
                <c:pt idx="11">
                  <c:v>4.073359659935619</c:v>
                </c:pt>
                <c:pt idx="12">
                  <c:v>3.0181017373080365</c:v>
                </c:pt>
                <c:pt idx="13">
                  <c:v>2.834409770281503</c:v>
                </c:pt>
                <c:pt idx="14">
                  <c:v>6.25438622984883</c:v>
                </c:pt>
                <c:pt idx="15">
                  <c:v>7.4735664171848812</c:v>
                </c:pt>
                <c:pt idx="16">
                  <c:v>8.8315471480517509</c:v>
                </c:pt>
                <c:pt idx="17">
                  <c:v>7.8477526337114138</c:v>
                </c:pt>
                <c:pt idx="18">
                  <c:v>4.1855578784319389</c:v>
                </c:pt>
                <c:pt idx="19">
                  <c:v>4.1003260678857352</c:v>
                </c:pt>
                <c:pt idx="20">
                  <c:v>3.5945906258977804</c:v>
                </c:pt>
                <c:pt idx="21">
                  <c:v>6.7498788058107273</c:v>
                </c:pt>
                <c:pt idx="22">
                  <c:v>3.0966951026928027</c:v>
                </c:pt>
                <c:pt idx="23">
                  <c:v>2.3140139228913252</c:v>
                </c:pt>
                <c:pt idx="24">
                  <c:v>1.5313327430898476</c:v>
                </c:pt>
                <c:pt idx="25">
                  <c:v>2.2459546898651093</c:v>
                </c:pt>
                <c:pt idx="26">
                  <c:v>1.4292438935505243</c:v>
                </c:pt>
                <c:pt idx="27">
                  <c:v>1.1910365779587704</c:v>
                </c:pt>
                <c:pt idx="28">
                  <c:v>0.78268117980147767</c:v>
                </c:pt>
                <c:pt idx="29">
                  <c:v>1.1899321931147286</c:v>
                </c:pt>
                <c:pt idx="30">
                  <c:v>1.1332687553473606</c:v>
                </c:pt>
                <c:pt idx="31">
                  <c:v>1.1899321931147286</c:v>
                </c:pt>
                <c:pt idx="32">
                  <c:v>1.0766053175799926</c:v>
                </c:pt>
                <c:pt idx="33">
                  <c:v>1.1332687553473606</c:v>
                </c:pt>
                <c:pt idx="34">
                  <c:v>1.1899321931147286</c:v>
                </c:pt>
                <c:pt idx="35">
                  <c:v>2.2098740729273532</c:v>
                </c:pt>
                <c:pt idx="36">
                  <c:v>1.3032590686494645</c:v>
                </c:pt>
                <c:pt idx="37">
                  <c:v>0.56510522942808405</c:v>
                </c:pt>
                <c:pt idx="38">
                  <c:v>0.58528755905051577</c:v>
                </c:pt>
                <c:pt idx="39">
                  <c:v>0.68619920716267369</c:v>
                </c:pt>
                <c:pt idx="40">
                  <c:v>0.4440112516934947</c:v>
                </c:pt>
                <c:pt idx="41">
                  <c:v>0.66601687754024208</c:v>
                </c:pt>
                <c:pt idx="42">
                  <c:v>0.68619920716267369</c:v>
                </c:pt>
                <c:pt idx="43">
                  <c:v>0.4440112516934947</c:v>
                </c:pt>
                <c:pt idx="44">
                  <c:v>0.68619920716267369</c:v>
                </c:pt>
                <c:pt idx="45">
                  <c:v>1.694077806371151</c:v>
                </c:pt>
                <c:pt idx="46">
                  <c:v>1.694077806371151</c:v>
                </c:pt>
                <c:pt idx="47">
                  <c:v>1.5246700257340358</c:v>
                </c:pt>
                <c:pt idx="48">
                  <c:v>1.9764241074330093</c:v>
                </c:pt>
                <c:pt idx="49">
                  <c:v>2.3717089289196114</c:v>
                </c:pt>
                <c:pt idx="50">
                  <c:v>2.2023011482824963</c:v>
                </c:pt>
                <c:pt idx="51">
                  <c:v>1.1839612332985912</c:v>
                </c:pt>
                <c:pt idx="52">
                  <c:v>1.5658842117820078</c:v>
                </c:pt>
                <c:pt idx="53">
                  <c:v>1.0693843397535663</c:v>
                </c:pt>
                <c:pt idx="54">
                  <c:v>1.6804611053270329</c:v>
                </c:pt>
                <c:pt idx="55">
                  <c:v>1.0992027305426912</c:v>
                </c:pt>
                <c:pt idx="56">
                  <c:v>1.0992027305426912</c:v>
                </c:pt>
                <c:pt idx="57">
                  <c:v>1.1515457177113908</c:v>
                </c:pt>
                <c:pt idx="58">
                  <c:v>1.2038887048800904</c:v>
                </c:pt>
                <c:pt idx="59">
                  <c:v>0.83748779469919321</c:v>
                </c:pt>
                <c:pt idx="60">
                  <c:v>0.88983078186789277</c:v>
                </c:pt>
                <c:pt idx="61">
                  <c:v>1.0468597433739917</c:v>
                </c:pt>
                <c:pt idx="62">
                  <c:v>0.68045883319309453</c:v>
                </c:pt>
                <c:pt idx="63">
                  <c:v>0.5757728588556954</c:v>
                </c:pt>
                <c:pt idx="64">
                  <c:v>0.62811584602439496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5-42B9-BA00-9F4002CC3783}"/>
            </c:ext>
          </c:extLst>
        </c:ser>
        <c:ser>
          <c:idx val="3"/>
          <c:order val="3"/>
          <c:tx>
            <c:strRef>
              <c:f>'BMP test compil_daily'!$F$31</c:f>
              <c:strCache>
                <c:ptCount val="1"/>
                <c:pt idx="0">
                  <c:v>33,09%HE+33,28%CM+1,84%PM+31,79%SM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'BMP test compil_daily'!$H$27:$BT$27</c:f>
              <c:numCache>
                <c:formatCode>0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cat>
          <c:val>
            <c:numRef>
              <c:f>'BMP test compil_daily'!$H$31:$BT$31</c:f>
              <c:numCache>
                <c:formatCode>General</c:formatCode>
                <c:ptCount val="65"/>
                <c:pt idx="0">
                  <c:v>0</c:v>
                </c:pt>
                <c:pt idx="1">
                  <c:v>2.6350821251432373</c:v>
                </c:pt>
                <c:pt idx="2">
                  <c:v>3.0090105318301963</c:v>
                </c:pt>
                <c:pt idx="3">
                  <c:v>5.5854642681407194</c:v>
                </c:pt>
                <c:pt idx="4">
                  <c:v>6.5495761978731712</c:v>
                </c:pt>
                <c:pt idx="5">
                  <c:v>6.2507186696895722</c:v>
                </c:pt>
                <c:pt idx="6">
                  <c:v>6.2940220761142127</c:v>
                </c:pt>
                <c:pt idx="7">
                  <c:v>8.16370485200129</c:v>
                </c:pt>
                <c:pt idx="8">
                  <c:v>4.3022865538931701</c:v>
                </c:pt>
                <c:pt idx="9">
                  <c:v>7.4841207479500902</c:v>
                </c:pt>
                <c:pt idx="10">
                  <c:v>7.147186487934504</c:v>
                </c:pt>
                <c:pt idx="11">
                  <c:v>7.3792729571794631</c:v>
                </c:pt>
                <c:pt idx="12">
                  <c:v>2.8505864163097301</c:v>
                </c:pt>
                <c:pt idx="13">
                  <c:v>2.2623701716743891</c:v>
                </c:pt>
                <c:pt idx="14">
                  <c:v>6.9355992925373346</c:v>
                </c:pt>
                <c:pt idx="15">
                  <c:v>6.2015425297861073</c:v>
                </c:pt>
                <c:pt idx="16">
                  <c:v>5.0971485164989945</c:v>
                </c:pt>
                <c:pt idx="17">
                  <c:v>5.1949129409230101</c:v>
                </c:pt>
                <c:pt idx="18">
                  <c:v>7.0049604073709952</c:v>
                </c:pt>
                <c:pt idx="19">
                  <c:v>7.3509802342453003</c:v>
                </c:pt>
                <c:pt idx="20">
                  <c:v>6.6641788957899939</c:v>
                </c:pt>
                <c:pt idx="21">
                  <c:v>6.7072087457493161</c:v>
                </c:pt>
                <c:pt idx="22">
                  <c:v>6.1858683263584791</c:v>
                </c:pt>
                <c:pt idx="23">
                  <c:v>4.7684093097422648</c:v>
                </c:pt>
                <c:pt idx="24">
                  <c:v>4.0377050687787515</c:v>
                </c:pt>
                <c:pt idx="25">
                  <c:v>4.8976501887287069</c:v>
                </c:pt>
                <c:pt idx="26">
                  <c:v>3.8118929371851027</c:v>
                </c:pt>
                <c:pt idx="27">
                  <c:v>3.4029376622369223</c:v>
                </c:pt>
                <c:pt idx="28">
                  <c:v>2.6315258910941171</c:v>
                </c:pt>
                <c:pt idx="29">
                  <c:v>2.3090435609377207</c:v>
                </c:pt>
                <c:pt idx="30">
                  <c:v>2.3864192981701349</c:v>
                </c:pt>
                <c:pt idx="31">
                  <c:v>2.618546509867377</c:v>
                </c:pt>
                <c:pt idx="32">
                  <c:v>2.5086128969819859</c:v>
                </c:pt>
                <c:pt idx="33">
                  <c:v>2.4996600341106983</c:v>
                </c:pt>
                <c:pt idx="34">
                  <c:v>2.5752140016911076</c:v>
                </c:pt>
                <c:pt idx="35">
                  <c:v>2.7033199123639999</c:v>
                </c:pt>
                <c:pt idx="36">
                  <c:v>1.8708782758440168</c:v>
                </c:pt>
                <c:pt idx="37">
                  <c:v>3.3660424615210909</c:v>
                </c:pt>
                <c:pt idx="38">
                  <c:v>1.7920218414886957</c:v>
                </c:pt>
                <c:pt idx="39">
                  <c:v>3.3817737043819123</c:v>
                </c:pt>
                <c:pt idx="40">
                  <c:v>3.9809624734516253</c:v>
                </c:pt>
                <c:pt idx="41">
                  <c:v>4.7200561673748807</c:v>
                </c:pt>
                <c:pt idx="42">
                  <c:v>2.6016558532216369</c:v>
                </c:pt>
                <c:pt idx="43">
                  <c:v>1.296367792156087</c:v>
                </c:pt>
                <c:pt idx="44">
                  <c:v>2.1694738882629507</c:v>
                </c:pt>
                <c:pt idx="45">
                  <c:v>2.9118933303624206</c:v>
                </c:pt>
                <c:pt idx="46">
                  <c:v>3.2714093855724053</c:v>
                </c:pt>
                <c:pt idx="47">
                  <c:v>2.3993404758936161</c:v>
                </c:pt>
                <c:pt idx="48">
                  <c:v>2.6813131677818003</c:v>
                </c:pt>
                <c:pt idx="49">
                  <c:v>2.9553410814751424</c:v>
                </c:pt>
                <c:pt idx="50">
                  <c:v>3.8496844718511225</c:v>
                </c:pt>
                <c:pt idx="51">
                  <c:v>2.5682877848032954</c:v>
                </c:pt>
                <c:pt idx="52">
                  <c:v>2.7998329614679482</c:v>
                </c:pt>
                <c:pt idx="53">
                  <c:v>1.6725707917504051</c:v>
                </c:pt>
                <c:pt idx="54">
                  <c:v>2.7981159581218105</c:v>
                </c:pt>
                <c:pt idx="55">
                  <c:v>1.439052516325275</c:v>
                </c:pt>
                <c:pt idx="56">
                  <c:v>1.2606645991869978</c:v>
                </c:pt>
                <c:pt idx="57">
                  <c:v>1.6248672004793909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55-42B9-BA00-9F4002CC3783}"/>
            </c:ext>
          </c:extLst>
        </c:ser>
        <c:ser>
          <c:idx val="4"/>
          <c:order val="4"/>
          <c:tx>
            <c:strRef>
              <c:f>'BMP test compil_daily'!$F$32</c:f>
              <c:strCache>
                <c:ptCount val="1"/>
                <c:pt idx="0">
                  <c:v>33,56%HE+1,48%CM+32,66%PM+32,30%SM</c:v>
                </c:pt>
              </c:strCache>
            </c:strRef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FF"/>
              </a:solidFill>
              <a:ln w="9525">
                <a:solidFill>
                  <a:srgbClr val="00FFFF"/>
                </a:solidFill>
              </a:ln>
              <a:effectLst/>
            </c:spPr>
          </c:marker>
          <c:cat>
            <c:numRef>
              <c:f>'BMP test compil_daily'!$H$27:$BT$27</c:f>
              <c:numCache>
                <c:formatCode>0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cat>
          <c:val>
            <c:numRef>
              <c:f>'BMP test compil_daily'!$H$32:$BT$32</c:f>
              <c:numCache>
                <c:formatCode>General</c:formatCode>
                <c:ptCount val="65"/>
                <c:pt idx="0">
                  <c:v>0</c:v>
                </c:pt>
                <c:pt idx="1">
                  <c:v>0.51287157173929954</c:v>
                </c:pt>
                <c:pt idx="2">
                  <c:v>0</c:v>
                </c:pt>
                <c:pt idx="3">
                  <c:v>0.22687404823243107</c:v>
                </c:pt>
                <c:pt idx="4">
                  <c:v>0.24728405236517426</c:v>
                </c:pt>
                <c:pt idx="5">
                  <c:v>0.36862644218762153</c:v>
                </c:pt>
                <c:pt idx="6">
                  <c:v>0.22438131263594355</c:v>
                </c:pt>
                <c:pt idx="7">
                  <c:v>0.23506613704717894</c:v>
                </c:pt>
                <c:pt idx="8">
                  <c:v>0.23506613704717894</c:v>
                </c:pt>
                <c:pt idx="9">
                  <c:v>0.24575096145841435</c:v>
                </c:pt>
                <c:pt idx="10">
                  <c:v>0.5293142642889006</c:v>
                </c:pt>
                <c:pt idx="11">
                  <c:v>1.3294882422534176</c:v>
                </c:pt>
                <c:pt idx="12">
                  <c:v>0.39533850321571007</c:v>
                </c:pt>
                <c:pt idx="13">
                  <c:v>1.7966538098984346</c:v>
                </c:pt>
                <c:pt idx="14">
                  <c:v>0.74632269699157106</c:v>
                </c:pt>
                <c:pt idx="15">
                  <c:v>1.9374699651319391</c:v>
                </c:pt>
                <c:pt idx="16">
                  <c:v>1.4650380546774417</c:v>
                </c:pt>
                <c:pt idx="17">
                  <c:v>1.4198996453081811</c:v>
                </c:pt>
                <c:pt idx="18">
                  <c:v>1.5590247193506417</c:v>
                </c:pt>
                <c:pt idx="19">
                  <c:v>1.9045436195886638</c:v>
                </c:pt>
                <c:pt idx="20">
                  <c:v>1.9260185952673239</c:v>
                </c:pt>
                <c:pt idx="21">
                  <c:v>1.9878513113426386</c:v>
                </c:pt>
                <c:pt idx="22">
                  <c:v>2.0288117554163776</c:v>
                </c:pt>
                <c:pt idx="23">
                  <c:v>1.5782117616531832</c:v>
                </c:pt>
                <c:pt idx="24">
                  <c:v>1.7503451021270668</c:v>
                </c:pt>
                <c:pt idx="25">
                  <c:v>1.2609263103659885</c:v>
                </c:pt>
                <c:pt idx="26">
                  <c:v>1.3477624518023157</c:v>
                </c:pt>
                <c:pt idx="27">
                  <c:v>1.3693427543371659</c:v>
                </c:pt>
                <c:pt idx="28">
                  <c:v>0.75699581841878527</c:v>
                </c:pt>
                <c:pt idx="29">
                  <c:v>0.50507153288925744</c:v>
                </c:pt>
                <c:pt idx="30">
                  <c:v>0.47192868214159178</c:v>
                </c:pt>
                <c:pt idx="31">
                  <c:v>0.60294943974946258</c:v>
                </c:pt>
                <c:pt idx="32">
                  <c:v>0.52403036700338812</c:v>
                </c:pt>
                <c:pt idx="33">
                  <c:v>0.46168271963114654</c:v>
                </c:pt>
                <c:pt idx="34">
                  <c:v>0.35355885026049594</c:v>
                </c:pt>
                <c:pt idx="35">
                  <c:v>0.38276364688507203</c:v>
                </c:pt>
                <c:pt idx="36">
                  <c:v>0.31963189958341887</c:v>
                </c:pt>
                <c:pt idx="37">
                  <c:v>0.11758573195168426</c:v>
                </c:pt>
                <c:pt idx="38">
                  <c:v>0.14205082004772765</c:v>
                </c:pt>
                <c:pt idx="39">
                  <c:v>0.25896363041820047</c:v>
                </c:pt>
                <c:pt idx="40">
                  <c:v>0.12948181520910024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55-42B9-BA00-9F4002CC3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739039"/>
        <c:axId val="786487855"/>
      </c:lineChart>
      <c:dateAx>
        <c:axId val="785739039"/>
        <c:scaling>
          <c:orientation val="minMax"/>
          <c:max val="7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Retention Time (days)</a:t>
                </a:r>
                <a:endParaRPr lang="fr-BF" sz="12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F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786487855"/>
        <c:crosses val="autoZero"/>
        <c:auto val="0"/>
        <c:lblOffset val="100"/>
        <c:baseTimeUnit val="days"/>
        <c:majorUnit val="5"/>
        <c:minorUnit val="5"/>
      </c:dateAx>
      <c:valAx>
        <c:axId val="786487855"/>
        <c:scaling>
          <c:orientation val="minMax"/>
          <c:max val="1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Daily methane yield (ml/g VS ad)</a:t>
                </a:r>
              </a:p>
              <a:p>
                <a:pPr>
                  <a:defRPr/>
                </a:pPr>
                <a:endParaRPr lang="fr-BF" sz="12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F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785739039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BF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75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'SI (2)'!$G$9:$G$23</c:f>
              <c:strCache>
                <c:ptCount val="15"/>
                <c:pt idx="0">
                  <c:v>R27 (72,59%HE+27,41%CM)</c:v>
                </c:pt>
                <c:pt idx="1">
                  <c:v>R6 (26,66%HE+73,34%CM)</c:v>
                </c:pt>
                <c:pt idx="2">
                  <c:v>R4 (27,20%HE+72,80%PM)</c:v>
                </c:pt>
                <c:pt idx="3">
                  <c:v>R20 (71,94%HE+28,06%PM)</c:v>
                </c:pt>
                <c:pt idx="4">
                  <c:v>R7 (73,72%HE+26,28%SM)</c:v>
                </c:pt>
                <c:pt idx="5">
                  <c:v>R26 (26,57%HE+73,43%SM)</c:v>
                </c:pt>
                <c:pt idx="6">
                  <c:v>R8 (46,6%HE+47,4%CD+6,0%PM)</c:v>
                </c:pt>
                <c:pt idx="7">
                  <c:v>R1 (0,04%HE+27,80%CD+72,15%SM)</c:v>
                </c:pt>
                <c:pt idx="8">
                  <c:v>R14 (6,45%HE+47,09%CD+46,46%SM)</c:v>
                </c:pt>
                <c:pt idx="9">
                  <c:v>R16 (47,87%HE+4,81%CD+47,32%SM)</c:v>
                </c:pt>
                <c:pt idx="10">
                  <c:v>R17 (2,01%HE+31,36%CD+33,13%PM+33,51%SM)</c:v>
                </c:pt>
                <c:pt idx="11">
                  <c:v>R21 (5,51%HE+2,48%CD+47,35%PM+44,66%SM)</c:v>
                </c:pt>
                <c:pt idx="12">
                  <c:v>R10 (32,39%HE+32,22%CD+33,13%PM+2,26%SM)</c:v>
                </c:pt>
                <c:pt idx="13">
                  <c:v>R3 (33,09%HE+33,28%CD+1,84%PM+31,79%SM)</c:v>
                </c:pt>
                <c:pt idx="14">
                  <c:v>R5 (33,56%HE+1,48%CD+32,66%PM+32,30%SM)</c:v>
                </c:pt>
              </c:strCache>
            </c:strRef>
          </c:cat>
          <c:val>
            <c:numRef>
              <c:f>'SI (2)'!$O$9:$O$23</c:f>
              <c:numCache>
                <c:formatCode>0.0</c:formatCode>
                <c:ptCount val="15"/>
                <c:pt idx="0">
                  <c:v>1.0978365017656384</c:v>
                </c:pt>
                <c:pt idx="1">
                  <c:v>1.3429686094375042</c:v>
                </c:pt>
                <c:pt idx="2">
                  <c:v>1.2820046417888895</c:v>
                </c:pt>
                <c:pt idx="3">
                  <c:v>0.97700459386568084</c:v>
                </c:pt>
                <c:pt idx="4">
                  <c:v>1.3360684502852318</c:v>
                </c:pt>
                <c:pt idx="5">
                  <c:v>2.5014936669716161</c:v>
                </c:pt>
                <c:pt idx="6">
                  <c:v>1.3380480439049074</c:v>
                </c:pt>
                <c:pt idx="7">
                  <c:v>2.3865941648534643</c:v>
                </c:pt>
                <c:pt idx="8">
                  <c:v>6.0302376497739916</c:v>
                </c:pt>
                <c:pt idx="9">
                  <c:v>1.7997988600479906</c:v>
                </c:pt>
                <c:pt idx="10">
                  <c:v>0.92898523295415425</c:v>
                </c:pt>
                <c:pt idx="11">
                  <c:v>1.0761025712929724</c:v>
                </c:pt>
                <c:pt idx="12">
                  <c:v>0.71663669675509545</c:v>
                </c:pt>
                <c:pt idx="13">
                  <c:v>3.5814048485201795</c:v>
                </c:pt>
                <c:pt idx="14">
                  <c:v>0.15687226705232321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A-410F-A43F-C31459BC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514511"/>
        <c:axId val="1011187583"/>
      </c:barChart>
      <c:catAx>
        <c:axId val="772514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  <a:p>
                <a:pPr>
                  <a:defRPr sz="1100"/>
                </a:pPr>
                <a:r>
                  <a:rPr lang="en-GB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Substrates'</a:t>
                </a:r>
                <a:r>
                  <a:rPr lang="en-GB" sz="11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mixture</a:t>
                </a:r>
                <a:endParaRPr lang="en-GB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F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011187583"/>
        <c:crosses val="autoZero"/>
        <c:auto val="1"/>
        <c:lblAlgn val="ctr"/>
        <c:lblOffset val="100"/>
        <c:noMultiLvlLbl val="0"/>
      </c:catAx>
      <c:valAx>
        <c:axId val="1011187583"/>
        <c:scaling>
          <c:orientation val="minMax"/>
          <c:max val="6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Synergy Index</a:t>
                </a:r>
              </a:p>
              <a:p>
                <a:pPr>
                  <a:defRPr sz="11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GB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BF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772514511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090492-DC99-48BE-9A03-BAAF255C5837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4E95C5-CEFA-4F56-AE9F-F24B5D5F9D09}">
  <sheetPr/>
  <sheetViews>
    <sheetView zoomScale="9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B766C9-CF72-4EB4-B7D3-D7A98DA05E92}">
  <sheetPr/>
  <sheetViews>
    <sheetView zoomScale="9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1643D9-A310-4AAD-9B96-D8B1CA8121C7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96CC54-DB27-4436-A1DA-49802E941C2C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E1C1EE-C3A3-486E-8864-790ABEC38C2C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3798" cy="607887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69788DA-9957-41D8-8D21-0AF2DA864A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21800" cy="608753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958AC3D-3101-45B8-B712-DF06FD89FA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21800" cy="608753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ED581-F9DB-4999-9EFD-6CD1B40D85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23798" cy="607887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81B687A-151A-4844-9345-FEA762D5B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3798" cy="607887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D7A25C4-2486-4AA5-87F2-4F3A419E02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23798" cy="607887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D928C27-82F8-4CCF-A729-EDF250B219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689B5-4388-4953-BD76-5BE6AD2EFC48}">
  <dimension ref="A1:RDI75"/>
  <sheetViews>
    <sheetView topLeftCell="V1" zoomScale="80" zoomScaleNormal="80" workbookViewId="0">
      <selection activeCell="AD1" sqref="AD1:AG1048576"/>
    </sheetView>
  </sheetViews>
  <sheetFormatPr baseColWidth="10" defaultRowHeight="14.4" x14ac:dyDescent="0.3"/>
  <cols>
    <col min="1" max="1" width="11.5546875" style="56"/>
    <col min="2" max="2" width="12.44140625" style="56" bestFit="1" customWidth="1"/>
    <col min="3" max="6" width="11.5546875" style="56"/>
    <col min="7" max="7" width="13.44140625" style="56" customWidth="1"/>
    <col min="8" max="16384" width="11.5546875" style="56"/>
  </cols>
  <sheetData>
    <row r="1" spans="1:29" x14ac:dyDescent="0.3">
      <c r="A1" s="22" t="s">
        <v>26</v>
      </c>
      <c r="R1" s="105"/>
      <c r="S1" s="105"/>
    </row>
    <row r="2" spans="1:29" x14ac:dyDescent="0.3">
      <c r="R2" s="105"/>
      <c r="S2" s="105"/>
    </row>
    <row r="3" spans="1:29" s="110" customFormat="1" ht="29.4" thickBot="1" x14ac:dyDescent="0.35">
      <c r="A3" s="109" t="s">
        <v>0</v>
      </c>
      <c r="B3" s="109" t="s">
        <v>15</v>
      </c>
      <c r="C3" s="111" t="s">
        <v>19</v>
      </c>
      <c r="D3" s="109" t="s">
        <v>7</v>
      </c>
      <c r="E3" s="109" t="s">
        <v>8</v>
      </c>
      <c r="F3" s="111" t="s">
        <v>16</v>
      </c>
      <c r="G3" s="109" t="s">
        <v>5</v>
      </c>
      <c r="H3" s="109" t="s">
        <v>6</v>
      </c>
      <c r="I3" s="109" t="s">
        <v>3</v>
      </c>
      <c r="J3" s="109" t="s">
        <v>5</v>
      </c>
      <c r="K3" s="109" t="s">
        <v>6</v>
      </c>
      <c r="L3" s="109" t="s">
        <v>20</v>
      </c>
      <c r="M3" s="109" t="s">
        <v>5</v>
      </c>
      <c r="N3" s="109" t="s">
        <v>6</v>
      </c>
      <c r="O3" s="109" t="s">
        <v>2</v>
      </c>
      <c r="P3" s="109" t="s">
        <v>5</v>
      </c>
      <c r="Q3" s="109" t="s">
        <v>6</v>
      </c>
      <c r="R3" s="111" t="s">
        <v>167</v>
      </c>
      <c r="S3" s="109" t="s">
        <v>14</v>
      </c>
      <c r="T3" s="109" t="s">
        <v>6</v>
      </c>
      <c r="U3" s="111" t="s">
        <v>168</v>
      </c>
      <c r="V3" s="109" t="s">
        <v>17</v>
      </c>
      <c r="W3" s="5" t="s">
        <v>6</v>
      </c>
      <c r="X3" s="111" t="s">
        <v>30</v>
      </c>
      <c r="Y3" s="109" t="s">
        <v>5</v>
      </c>
      <c r="Z3" s="109" t="s">
        <v>6</v>
      </c>
      <c r="AA3" s="110" t="s">
        <v>166</v>
      </c>
      <c r="AB3" s="26"/>
    </row>
    <row r="4" spans="1:29" ht="15" thickTop="1" x14ac:dyDescent="0.3">
      <c r="A4" s="223" t="s">
        <v>18</v>
      </c>
      <c r="B4" s="6">
        <v>60.814</v>
      </c>
      <c r="C4" s="58">
        <v>23.64</v>
      </c>
      <c r="D4" s="6">
        <v>62.534999999999997</v>
      </c>
      <c r="E4" s="6">
        <v>61.377000000000002</v>
      </c>
      <c r="F4" s="9">
        <f>1-I4</f>
        <v>0.92719966159052469</v>
      </c>
      <c r="G4" s="224">
        <f>AVERAGE(F4:F6)</f>
        <v>0.92694408318587662</v>
      </c>
      <c r="H4" s="224">
        <f>_xlfn.STDEV.S(F4:F6)</f>
        <v>1.6607517338265267E-3</v>
      </c>
      <c r="I4" s="9">
        <f>(D4-B4)/C4</f>
        <v>7.2800338409475321E-2</v>
      </c>
      <c r="J4" s="220">
        <f>AVERAGE(I4:I6)</f>
        <v>7.305591681412342E-2</v>
      </c>
      <c r="K4" s="220">
        <f>_xlfn.STDEV.S(I4:I6)</f>
        <v>1.6607517338264907E-3</v>
      </c>
      <c r="L4" s="9">
        <f>(D4-E4)/(D4-B4)</f>
        <v>0.67286461359674399</v>
      </c>
      <c r="M4" s="220">
        <f>AVERAGE(L4:L6)</f>
        <v>0.6663801223954986</v>
      </c>
      <c r="N4" s="220">
        <f>_xlfn.STDEV.S(L4:L6)</f>
        <v>1.4313938345333394E-2</v>
      </c>
      <c r="O4" s="50">
        <v>7.81</v>
      </c>
      <c r="P4" s="208">
        <f>AVERAGE(O4:O6)</f>
        <v>7.8</v>
      </c>
      <c r="Q4" s="226">
        <f>_xlfn.STDEV.S(O4:O6)</f>
        <v>9.9999999999997868E-3</v>
      </c>
      <c r="R4" s="104">
        <f>5502.6/1000</f>
        <v>5.5026000000000002</v>
      </c>
      <c r="S4" s="208">
        <f>AVERAGE(R4:R6)</f>
        <v>5.5579333333333336</v>
      </c>
      <c r="T4" s="208">
        <f>_xlfn.STDEV.S(R4:R6)</f>
        <v>0.12569317138704647</v>
      </c>
      <c r="U4" s="104">
        <f>9400/1000</f>
        <v>9.4</v>
      </c>
      <c r="V4" s="209">
        <f>AVERAGE(U4:U6)</f>
        <v>9.24</v>
      </c>
      <c r="W4" s="208">
        <f>_xlfn.STDEV.S(U4:U6)</f>
        <v>0.16000000000000014</v>
      </c>
      <c r="X4" s="6">
        <f>C4/25</f>
        <v>0.9456</v>
      </c>
      <c r="Y4" s="221">
        <f>AVERAGE(X4:X6)</f>
        <v>0.92479999999999996</v>
      </c>
      <c r="Z4" s="221">
        <f>_xlfn.STDEV.S(X4:X6)</f>
        <v>3.0651590497068865E-2</v>
      </c>
      <c r="AA4" s="108">
        <f t="shared" ref="AA4:AA21" si="0">(D4-E4)/C4</f>
        <v>4.8984771573603814E-2</v>
      </c>
      <c r="AB4" s="220">
        <f>AVERAGE(AA4:AA6)</f>
        <v>4.8667734842470327E-2</v>
      </c>
      <c r="AC4" s="220">
        <f>_xlfn.STDEV.S(AA4:AA6)</f>
        <v>3.0289953800246856E-4</v>
      </c>
    </row>
    <row r="5" spans="1:29" x14ac:dyDescent="0.3">
      <c r="A5" s="223"/>
      <c r="B5" s="6">
        <v>56.445999999999998</v>
      </c>
      <c r="C5" s="58">
        <v>23.48</v>
      </c>
      <c r="D5" s="6">
        <v>58.203000000000003</v>
      </c>
      <c r="E5" s="6">
        <v>57.061</v>
      </c>
      <c r="F5" s="9">
        <f>1-I5</f>
        <v>0.92517035775127743</v>
      </c>
      <c r="G5" s="210"/>
      <c r="H5" s="210"/>
      <c r="I5" s="9">
        <f>(D5-B5)/C5</f>
        <v>7.482964224872253E-2</v>
      </c>
      <c r="J5" s="220"/>
      <c r="K5" s="220"/>
      <c r="L5" s="9">
        <f>(D5-E5)/(D5-B5)</f>
        <v>0.6499715424018212</v>
      </c>
      <c r="M5" s="220"/>
      <c r="N5" s="220"/>
      <c r="O5" s="50">
        <v>7.79</v>
      </c>
      <c r="P5" s="209"/>
      <c r="Q5" s="227"/>
      <c r="R5" s="103">
        <f>5701.8/1000</f>
        <v>5.7018000000000004</v>
      </c>
      <c r="S5" s="209"/>
      <c r="T5" s="209"/>
      <c r="U5" s="103">
        <f>9240/1000</f>
        <v>9.24</v>
      </c>
      <c r="V5" s="209"/>
      <c r="W5" s="209"/>
      <c r="X5" s="6">
        <f>C5/25</f>
        <v>0.93920000000000003</v>
      </c>
      <c r="Y5" s="209"/>
      <c r="Z5" s="209"/>
      <c r="AA5" s="108">
        <f t="shared" si="0"/>
        <v>4.8637137989778666E-2</v>
      </c>
      <c r="AB5" s="220"/>
      <c r="AC5" s="220"/>
    </row>
    <row r="6" spans="1:29" x14ac:dyDescent="0.3">
      <c r="A6" s="223"/>
      <c r="B6" s="6">
        <v>64.516000000000005</v>
      </c>
      <c r="C6" s="58">
        <v>22.24</v>
      </c>
      <c r="D6" s="6">
        <v>66.106999999999999</v>
      </c>
      <c r="E6" s="6">
        <v>65.031000000000006</v>
      </c>
      <c r="F6" s="9">
        <f>1-I6</f>
        <v>0.92846223021582763</v>
      </c>
      <c r="G6" s="210"/>
      <c r="H6" s="210"/>
      <c r="I6" s="9">
        <f>(D6-B6)/C6</f>
        <v>7.1537769784172395E-2</v>
      </c>
      <c r="J6" s="220"/>
      <c r="K6" s="220"/>
      <c r="L6" s="9">
        <f>(D6-E6)/(D6-B6)</f>
        <v>0.67630421118793049</v>
      </c>
      <c r="M6" s="220"/>
      <c r="N6" s="220"/>
      <c r="O6" s="103">
        <v>7.8</v>
      </c>
      <c r="P6" s="222"/>
      <c r="Q6" s="228"/>
      <c r="R6" s="103">
        <f>5469.4/1000</f>
        <v>5.4693999999999994</v>
      </c>
      <c r="S6" s="209"/>
      <c r="T6" s="209"/>
      <c r="U6" s="103">
        <f>9080/1000</f>
        <v>9.08</v>
      </c>
      <c r="V6" s="209"/>
      <c r="W6" s="209"/>
      <c r="X6" s="6">
        <f>C6/25</f>
        <v>0.88959999999999995</v>
      </c>
      <c r="Y6" s="222"/>
      <c r="Z6" s="222"/>
      <c r="AA6" s="108">
        <f t="shared" si="0"/>
        <v>4.8381294964028487E-2</v>
      </c>
      <c r="AB6" s="220"/>
      <c r="AC6" s="220"/>
    </row>
    <row r="7" spans="1:29" ht="14.4" customHeight="1" x14ac:dyDescent="0.3">
      <c r="A7" s="223" t="s">
        <v>24</v>
      </c>
      <c r="B7" s="6">
        <v>54.865000000000002</v>
      </c>
      <c r="C7" s="58">
        <v>25.02</v>
      </c>
      <c r="D7" s="6">
        <v>56.439</v>
      </c>
      <c r="E7" s="6">
        <v>55.055</v>
      </c>
      <c r="F7" s="9">
        <f t="shared" ref="F7:F23" si="1">1-I7</f>
        <v>0.93709032773780987</v>
      </c>
      <c r="G7" s="224">
        <f>AVERAGE(F7:F12)</f>
        <v>0.93996973591805899</v>
      </c>
      <c r="H7" s="224">
        <f>_xlfn.STDEV.S(F7:F12)</f>
        <v>3.0816604409888101E-3</v>
      </c>
      <c r="I7" s="9">
        <f t="shared" ref="I7:I23" si="2">(D7-B7)/C7</f>
        <v>6.2909672262190172E-2</v>
      </c>
      <c r="J7" s="220">
        <f>AVERAGE(I7:I12)</f>
        <v>6.0030264081941016E-2</v>
      </c>
      <c r="K7" s="220">
        <f>_xlfn.STDEV.S(I7:I12)</f>
        <v>3.0816604409888175E-3</v>
      </c>
      <c r="L7" s="9">
        <f t="shared" ref="L7:L23" si="3">(D7-E7)/(D7-B7)</f>
        <v>0.87928843710292381</v>
      </c>
      <c r="M7" s="220">
        <f>AVERAGE(L7:L12)</f>
        <v>0.88058182298740328</v>
      </c>
      <c r="N7" s="220">
        <f>_xlfn.STDEV.S(L7:L12)</f>
        <v>5.3054547612415319E-3</v>
      </c>
      <c r="O7" s="103">
        <v>6.07</v>
      </c>
      <c r="P7" s="221">
        <f>AVERAGE(O7:O12)</f>
        <v>6.0866666666666669</v>
      </c>
      <c r="Q7" s="221">
        <f>_xlfn.STDEV.S(O7:O12)</f>
        <v>6.9185740341971239E-2</v>
      </c>
      <c r="R7" s="103">
        <f>6365.8/1000</f>
        <v>6.3658000000000001</v>
      </c>
      <c r="S7" s="207">
        <f>AVERAGE(R7:R9)</f>
        <v>5.6243333333333325</v>
      </c>
      <c r="T7" s="207">
        <f>_xlfn.STDEV.S(R7:R9)</f>
        <v>0.64234350104389892</v>
      </c>
      <c r="U7" s="103">
        <f>2040/1000</f>
        <v>2.04</v>
      </c>
      <c r="V7" s="207">
        <f>AVERAGE(U7:U9)</f>
        <v>1.8166666666666667</v>
      </c>
      <c r="W7" s="207">
        <f>_xlfn.STDEV.S(U7:U9)</f>
        <v>0.19399312702601954</v>
      </c>
      <c r="X7" s="59"/>
      <c r="Y7" s="59"/>
      <c r="Z7" s="59"/>
      <c r="AA7" s="108">
        <f t="shared" si="0"/>
        <v>5.5315747402078355E-2</v>
      </c>
      <c r="AB7" s="220">
        <f>AVERAGE(AA7:AA12)</f>
        <v>5.2862207031561498E-2</v>
      </c>
      <c r="AC7" s="220">
        <f>_xlfn.STDEV.S(AA7:AA12)</f>
        <v>2.7518204908655195E-3</v>
      </c>
    </row>
    <row r="8" spans="1:29" ht="14.4" customHeight="1" x14ac:dyDescent="0.3">
      <c r="A8" s="223"/>
      <c r="B8" s="6">
        <v>66.739999999999995</v>
      </c>
      <c r="C8" s="58">
        <v>25.03</v>
      </c>
      <c r="D8" s="6">
        <v>68.332999999999998</v>
      </c>
      <c r="E8" s="6">
        <v>66.927000000000007</v>
      </c>
      <c r="F8" s="9">
        <f t="shared" si="1"/>
        <v>0.93635637235317604</v>
      </c>
      <c r="G8" s="210"/>
      <c r="H8" s="210"/>
      <c r="I8" s="9">
        <f t="shared" si="2"/>
        <v>6.364362764682395E-2</v>
      </c>
      <c r="J8" s="220"/>
      <c r="K8" s="220"/>
      <c r="L8" s="9">
        <f t="shared" si="3"/>
        <v>0.88261142498429923</v>
      </c>
      <c r="M8" s="220"/>
      <c r="N8" s="220"/>
      <c r="O8" s="103">
        <v>6</v>
      </c>
      <c r="P8" s="209"/>
      <c r="Q8" s="209"/>
      <c r="R8" s="103">
        <f>5270.2/1000</f>
        <v>5.2702</v>
      </c>
      <c r="S8" s="207"/>
      <c r="T8" s="207"/>
      <c r="U8" s="103">
        <f>1690/1000</f>
        <v>1.69</v>
      </c>
      <c r="V8" s="207"/>
      <c r="W8" s="207"/>
      <c r="X8" s="59"/>
      <c r="Y8" s="59"/>
      <c r="Z8" s="59"/>
      <c r="AA8" s="108">
        <f t="shared" si="0"/>
        <v>5.6172592888533428E-2</v>
      </c>
      <c r="AB8" s="220"/>
      <c r="AC8" s="220"/>
    </row>
    <row r="9" spans="1:29" s="68" customFormat="1" ht="14.4" customHeight="1" x14ac:dyDescent="0.3">
      <c r="A9" s="223"/>
      <c r="B9" s="6">
        <v>66.400999999999996</v>
      </c>
      <c r="C9" s="58">
        <v>25.03</v>
      </c>
      <c r="D9" s="6">
        <v>67.885999999999996</v>
      </c>
      <c r="E9" s="6">
        <v>66.591999999999999</v>
      </c>
      <c r="F9" s="9">
        <f>1-I9</f>
        <v>0.94067119456652015</v>
      </c>
      <c r="G9" s="210"/>
      <c r="H9" s="210"/>
      <c r="I9" s="9">
        <f t="shared" si="2"/>
        <v>5.9328805433479799E-2</v>
      </c>
      <c r="J9" s="220"/>
      <c r="K9" s="220"/>
      <c r="L9" s="9">
        <f t="shared" si="3"/>
        <v>0.8713804713804697</v>
      </c>
      <c r="M9" s="220"/>
      <c r="N9" s="220"/>
      <c r="O9" s="103">
        <v>6.12</v>
      </c>
      <c r="P9" s="209"/>
      <c r="Q9" s="209"/>
      <c r="R9" s="103">
        <f>5237/1000</f>
        <v>5.2370000000000001</v>
      </c>
      <c r="S9" s="207"/>
      <c r="T9" s="207"/>
      <c r="U9" s="103">
        <f>1720/1000</f>
        <v>1.72</v>
      </c>
      <c r="V9" s="207"/>
      <c r="W9" s="207"/>
      <c r="Y9" s="13"/>
      <c r="AA9" s="108">
        <f t="shared" si="0"/>
        <v>5.1697962445065797E-2</v>
      </c>
      <c r="AB9" s="220"/>
      <c r="AC9" s="220"/>
    </row>
    <row r="10" spans="1:29" s="68" customFormat="1" ht="14.4" customHeight="1" x14ac:dyDescent="0.3">
      <c r="A10" s="223"/>
      <c r="B10" s="6">
        <v>66.715000000000003</v>
      </c>
      <c r="C10" s="58">
        <v>25.19</v>
      </c>
      <c r="D10" s="6">
        <v>68.168000000000006</v>
      </c>
      <c r="E10" s="6">
        <v>66.89</v>
      </c>
      <c r="F10" s="9">
        <f t="shared" si="1"/>
        <v>0.94231838030964654</v>
      </c>
      <c r="G10" s="210"/>
      <c r="H10" s="210"/>
      <c r="I10" s="9">
        <f t="shared" si="2"/>
        <v>5.7681619690353431E-2</v>
      </c>
      <c r="J10" s="220"/>
      <c r="K10" s="220"/>
      <c r="L10" s="9">
        <f t="shared" si="3"/>
        <v>0.87955953200275516</v>
      </c>
      <c r="M10" s="220"/>
      <c r="N10" s="220"/>
      <c r="O10" s="103">
        <v>6.02</v>
      </c>
      <c r="P10" s="209"/>
      <c r="Q10" s="209"/>
      <c r="R10" s="211"/>
      <c r="S10" s="212"/>
      <c r="T10" s="212"/>
      <c r="U10" s="212"/>
      <c r="V10" s="212"/>
      <c r="W10" s="213"/>
      <c r="AA10" s="108">
        <f t="shared" si="0"/>
        <v>5.073441842000817E-2</v>
      </c>
      <c r="AB10" s="220"/>
      <c r="AC10" s="220"/>
    </row>
    <row r="11" spans="1:29" s="68" customFormat="1" ht="14.4" customHeight="1" x14ac:dyDescent="0.3">
      <c r="A11" s="223"/>
      <c r="B11" s="6">
        <v>66.521000000000001</v>
      </c>
      <c r="C11" s="58">
        <v>25.07</v>
      </c>
      <c r="D11" s="6">
        <v>67.915999999999997</v>
      </c>
      <c r="E11" s="6">
        <v>66.683000000000007</v>
      </c>
      <c r="F11" s="9">
        <f t="shared" si="1"/>
        <v>0.94435580374950157</v>
      </c>
      <c r="G11" s="210"/>
      <c r="H11" s="210"/>
      <c r="I11" s="9">
        <f t="shared" si="2"/>
        <v>5.5644196250498441E-2</v>
      </c>
      <c r="J11" s="220"/>
      <c r="K11" s="220"/>
      <c r="L11" s="9">
        <f t="shared" si="3"/>
        <v>0.88387096774193075</v>
      </c>
      <c r="M11" s="220"/>
      <c r="N11" s="220"/>
      <c r="O11" s="103">
        <v>6.18</v>
      </c>
      <c r="P11" s="209"/>
      <c r="Q11" s="209"/>
      <c r="R11" s="214"/>
      <c r="S11" s="215"/>
      <c r="T11" s="215"/>
      <c r="U11" s="215"/>
      <c r="V11" s="215"/>
      <c r="W11" s="216"/>
      <c r="AA11" s="108">
        <f t="shared" si="0"/>
        <v>4.9182289589149976E-2</v>
      </c>
      <c r="AB11" s="220"/>
      <c r="AC11" s="220"/>
    </row>
    <row r="12" spans="1:29" x14ac:dyDescent="0.3">
      <c r="A12" s="223"/>
      <c r="B12" s="6">
        <v>66.367999999999995</v>
      </c>
      <c r="C12" s="58">
        <v>25.06</v>
      </c>
      <c r="D12" s="6">
        <v>67.896000000000001</v>
      </c>
      <c r="E12" s="6">
        <v>66.540999999999997</v>
      </c>
      <c r="F12" s="9">
        <f t="shared" si="1"/>
        <v>0.93902633679169967</v>
      </c>
      <c r="G12" s="210"/>
      <c r="H12" s="210"/>
      <c r="I12" s="9">
        <f t="shared" si="2"/>
        <v>6.0973663208300312E-2</v>
      </c>
      <c r="J12" s="220"/>
      <c r="K12" s="220"/>
      <c r="L12" s="9">
        <f t="shared" si="3"/>
        <v>0.88678010471204116</v>
      </c>
      <c r="M12" s="220"/>
      <c r="N12" s="220"/>
      <c r="O12" s="103">
        <v>6.13</v>
      </c>
      <c r="P12" s="209"/>
      <c r="Q12" s="209"/>
      <c r="R12" s="217"/>
      <c r="S12" s="218"/>
      <c r="T12" s="218"/>
      <c r="U12" s="218"/>
      <c r="V12" s="218"/>
      <c r="W12" s="219"/>
      <c r="X12" s="59"/>
      <c r="Y12" s="59"/>
      <c r="Z12" s="59"/>
      <c r="AA12" s="108">
        <f t="shared" si="0"/>
        <v>5.4070231444533282E-2</v>
      </c>
      <c r="AB12" s="220"/>
      <c r="AC12" s="220"/>
    </row>
    <row r="13" spans="1:29" ht="14.4" customHeight="1" x14ac:dyDescent="0.3">
      <c r="A13" s="223" t="s">
        <v>1</v>
      </c>
      <c r="B13" s="6">
        <v>62</v>
      </c>
      <c r="C13" s="58">
        <v>25.02</v>
      </c>
      <c r="D13" s="6">
        <v>67.156999999999996</v>
      </c>
      <c r="E13" s="6">
        <v>63.250999999999998</v>
      </c>
      <c r="F13" s="9">
        <f t="shared" si="1"/>
        <v>0.79388489208633106</v>
      </c>
      <c r="G13" s="224">
        <f>AVERAGE(F13:F15)</f>
        <v>0.79949739655762997</v>
      </c>
      <c r="H13" s="224">
        <f>_xlfn.STDEV.S(F13:F15)</f>
        <v>1.2538199526805882E-2</v>
      </c>
      <c r="I13" s="9">
        <f t="shared" si="2"/>
        <v>0.20611510791366894</v>
      </c>
      <c r="J13" s="220">
        <f>AVERAGE(I13:I15)</f>
        <v>0.20050260344236995</v>
      </c>
      <c r="K13" s="220">
        <f>_xlfn.STDEV.S(I13:I15)</f>
        <v>1.2538199526805915E-2</v>
      </c>
      <c r="L13" s="9">
        <f t="shared" si="3"/>
        <v>0.7574171029668415</v>
      </c>
      <c r="M13" s="220">
        <f>AVERAGE(L13:L15)</f>
        <v>0.74424098298698471</v>
      </c>
      <c r="N13" s="220">
        <f>_xlfn.STDEV.S(L13:L15)</f>
        <v>1.546085552258394E-2</v>
      </c>
      <c r="O13" s="103">
        <v>8.0359999999999996</v>
      </c>
      <c r="P13" s="207">
        <f>AVERAGE(O13:O15)</f>
        <v>7.8386666666666658</v>
      </c>
      <c r="Q13" s="207">
        <f>_xlfn.STDEV.S(O13:O15)</f>
        <v>0.17118800581037563</v>
      </c>
      <c r="R13" s="103">
        <f>323.4/1000</f>
        <v>0.32339999999999997</v>
      </c>
      <c r="S13" s="207">
        <f>AVERAGE(R13:R15)</f>
        <v>0.36766666666666675</v>
      </c>
      <c r="T13" s="207">
        <f>_xlfn.STDEV.S(R13:R15)</f>
        <v>3.8336057874191191E-2</v>
      </c>
      <c r="U13" s="103">
        <f>600/1000</f>
        <v>0.6</v>
      </c>
      <c r="V13" s="207">
        <f>AVERAGE(U13:U15)</f>
        <v>0.6133333333333334</v>
      </c>
      <c r="W13" s="207">
        <f>_xlfn.STDEV.S(U13:U15)</f>
        <v>6.1101009266077873E-2</v>
      </c>
      <c r="X13" s="59"/>
      <c r="Y13" s="59"/>
      <c r="Z13" s="59"/>
      <c r="AA13" s="108">
        <f t="shared" si="0"/>
        <v>0.15611510791366903</v>
      </c>
      <c r="AB13" s="220">
        <f>AVERAGE(AA13:AA15)</f>
        <v>0.1491788485698744</v>
      </c>
      <c r="AC13" s="220">
        <f>_xlfn.STDEV.S(AA13:AA15)</f>
        <v>8.82364147196215E-3</v>
      </c>
    </row>
    <row r="14" spans="1:29" ht="14.4" customHeight="1" x14ac:dyDescent="0.3">
      <c r="A14" s="223"/>
      <c r="B14" s="6">
        <v>60.81</v>
      </c>
      <c r="C14" s="58">
        <v>25.25</v>
      </c>
      <c r="D14" s="6">
        <v>65.510000000000005</v>
      </c>
      <c r="E14" s="6">
        <v>61.994</v>
      </c>
      <c r="F14" s="9">
        <f t="shared" si="1"/>
        <v>0.8138613861386137</v>
      </c>
      <c r="G14" s="210"/>
      <c r="H14" s="210"/>
      <c r="I14" s="9">
        <f t="shared" si="2"/>
        <v>0.18613861386138625</v>
      </c>
      <c r="J14" s="220"/>
      <c r="K14" s="220"/>
      <c r="L14" s="9">
        <f t="shared" si="3"/>
        <v>0.74808510638297943</v>
      </c>
      <c r="M14" s="220"/>
      <c r="N14" s="220"/>
      <c r="O14" s="103">
        <v>7.73</v>
      </c>
      <c r="P14" s="207"/>
      <c r="Q14" s="207"/>
      <c r="R14" s="103">
        <f>389.8/1000</f>
        <v>0.38980000000000004</v>
      </c>
      <c r="S14" s="207"/>
      <c r="T14" s="207"/>
      <c r="U14" s="103">
        <f>680/1000</f>
        <v>0.68</v>
      </c>
      <c r="V14" s="207"/>
      <c r="W14" s="207"/>
      <c r="X14" s="59"/>
      <c r="Y14" s="59"/>
      <c r="Z14" s="59"/>
      <c r="AA14" s="108">
        <f t="shared" si="0"/>
        <v>0.13924752475247545</v>
      </c>
      <c r="AB14" s="220"/>
      <c r="AC14" s="220"/>
    </row>
    <row r="15" spans="1:29" x14ac:dyDescent="0.3">
      <c r="A15" s="223"/>
      <c r="B15" s="6">
        <v>63.19</v>
      </c>
      <c r="C15" s="58">
        <v>25.07</v>
      </c>
      <c r="D15" s="6">
        <v>68.436000000000007</v>
      </c>
      <c r="E15" s="6">
        <v>64.620999999999995</v>
      </c>
      <c r="F15" s="9">
        <f t="shared" si="1"/>
        <v>0.79074591144794537</v>
      </c>
      <c r="G15" s="210"/>
      <c r="H15" s="210"/>
      <c r="I15" s="9">
        <f t="shared" si="2"/>
        <v>0.20925408855205463</v>
      </c>
      <c r="J15" s="220"/>
      <c r="K15" s="220"/>
      <c r="L15" s="9">
        <f t="shared" si="3"/>
        <v>0.72722073961113332</v>
      </c>
      <c r="M15" s="220"/>
      <c r="N15" s="220"/>
      <c r="O15" s="103">
        <v>7.75</v>
      </c>
      <c r="P15" s="207"/>
      <c r="Q15" s="207"/>
      <c r="R15" s="103">
        <f>389.8/1000</f>
        <v>0.38980000000000004</v>
      </c>
      <c r="S15" s="207"/>
      <c r="T15" s="207"/>
      <c r="U15" s="103">
        <f>560/1000</f>
        <v>0.56000000000000005</v>
      </c>
      <c r="V15" s="207"/>
      <c r="W15" s="207"/>
      <c r="X15" s="59"/>
      <c r="Y15" s="59"/>
      <c r="Z15" s="59"/>
      <c r="AA15" s="108">
        <f t="shared" si="0"/>
        <v>0.15217391304347874</v>
      </c>
      <c r="AB15" s="220"/>
      <c r="AC15" s="220"/>
    </row>
    <row r="16" spans="1:29" ht="15" customHeight="1" x14ac:dyDescent="0.3">
      <c r="A16" s="223" t="s">
        <v>23</v>
      </c>
      <c r="B16" s="6">
        <v>66.400000000000006</v>
      </c>
      <c r="C16" s="58">
        <v>25.34</v>
      </c>
      <c r="D16" s="6">
        <v>72.498999999999995</v>
      </c>
      <c r="E16" s="6">
        <v>67.989999999999995</v>
      </c>
      <c r="F16" s="9">
        <f t="shared" si="1"/>
        <v>0.75931333859510697</v>
      </c>
      <c r="G16" s="224">
        <f>AVERAGE(F16:F18)</f>
        <v>0.74207517362097641</v>
      </c>
      <c r="H16" s="224">
        <f>_xlfn.STDEV.S(F16:F18)</f>
        <v>2.3640914357024399E-2</v>
      </c>
      <c r="I16" s="9">
        <f t="shared" si="2"/>
        <v>0.24068666140489303</v>
      </c>
      <c r="J16" s="220">
        <f>AVERAGE(I16:I18)</f>
        <v>0.25792482637902353</v>
      </c>
      <c r="K16" s="220">
        <f>_xlfn.STDEV.S(I16:I18)</f>
        <v>2.3640914357024395E-2</v>
      </c>
      <c r="L16" s="9">
        <f t="shared" si="3"/>
        <v>0.739301524840139</v>
      </c>
      <c r="M16" s="220">
        <f>AVERAGE(L16:L18)</f>
        <v>0.72698532433355811</v>
      </c>
      <c r="N16" s="220">
        <f>_xlfn.STDEV.S(L16:L18)</f>
        <v>1.1579363760520982E-2</v>
      </c>
      <c r="O16" s="103">
        <v>6.6280000000000001</v>
      </c>
      <c r="P16" s="207">
        <f>AVERAGE(O16:O18)</f>
        <v>7.3693333333333335</v>
      </c>
      <c r="Q16" s="207">
        <f>_xlfn.STDEV.S(O16:O18)</f>
        <v>0.64209137459814347</v>
      </c>
      <c r="R16" s="103">
        <f>2149.4/1000</f>
        <v>2.1494</v>
      </c>
      <c r="S16" s="207">
        <f>AVERAGE(R16:R18)</f>
        <v>2.2268666666666665</v>
      </c>
      <c r="T16" s="207">
        <f>_xlfn.STDEV.S(R16:R18)</f>
        <v>6.9111311182275634E-2</v>
      </c>
      <c r="U16" s="103">
        <f>1340/1000</f>
        <v>1.34</v>
      </c>
      <c r="V16" s="207">
        <f>AVERAGE(U16:U18)</f>
        <v>1.3066666666666669</v>
      </c>
      <c r="W16" s="207">
        <f>_xlfn.STDEV.S(U16:U18)</f>
        <v>3.5118845842842493E-2</v>
      </c>
      <c r="X16" s="59"/>
      <c r="Y16" s="59"/>
      <c r="Z16" s="59"/>
      <c r="AA16" s="108">
        <f t="shared" si="0"/>
        <v>0.17794001578531968</v>
      </c>
      <c r="AB16" s="220">
        <f>AVERAGE(AA16:AA18)</f>
        <v>0.18745649061854761</v>
      </c>
      <c r="AC16" s="220">
        <f>_xlfn.STDEV.S(AA16:AA18)</f>
        <v>1.6604560639485476E-2</v>
      </c>
    </row>
    <row r="17" spans="1:29" x14ac:dyDescent="0.3">
      <c r="A17" s="223"/>
      <c r="B17" s="6">
        <v>54.86</v>
      </c>
      <c r="C17" s="58">
        <v>25.19</v>
      </c>
      <c r="D17" s="6">
        <v>62.036000000000001</v>
      </c>
      <c r="E17" s="6">
        <v>56.831000000000003</v>
      </c>
      <c r="F17" s="9">
        <f t="shared" si="1"/>
        <v>0.71512504962286616</v>
      </c>
      <c r="G17" s="210"/>
      <c r="H17" s="210"/>
      <c r="I17" s="9">
        <f t="shared" si="2"/>
        <v>0.28487495037713384</v>
      </c>
      <c r="J17" s="220"/>
      <c r="K17" s="220"/>
      <c r="L17" s="9">
        <f t="shared" si="3"/>
        <v>0.72533444816053472</v>
      </c>
      <c r="M17" s="220"/>
      <c r="N17" s="220"/>
      <c r="O17" s="103">
        <v>7.73</v>
      </c>
      <c r="P17" s="207"/>
      <c r="Q17" s="207"/>
      <c r="R17" s="103">
        <f>2282.2/1000</f>
        <v>2.2822</v>
      </c>
      <c r="S17" s="207"/>
      <c r="T17" s="207"/>
      <c r="U17" s="103">
        <f>1270/1000</f>
        <v>1.27</v>
      </c>
      <c r="V17" s="207"/>
      <c r="W17" s="207"/>
      <c r="X17" s="59"/>
      <c r="Y17" s="59"/>
      <c r="Z17" s="59"/>
      <c r="AA17" s="108">
        <f t="shared" si="0"/>
        <v>0.20662961492655807</v>
      </c>
      <c r="AB17" s="220"/>
      <c r="AC17" s="220"/>
    </row>
    <row r="18" spans="1:29" x14ac:dyDescent="0.3">
      <c r="A18" s="223"/>
      <c r="B18" s="6">
        <v>64.290000000000006</v>
      </c>
      <c r="C18" s="58">
        <v>25.18</v>
      </c>
      <c r="D18" s="6">
        <v>70.540000000000006</v>
      </c>
      <c r="E18" s="6">
        <v>66.063000000000002</v>
      </c>
      <c r="F18" s="9">
        <f t="shared" si="1"/>
        <v>0.75178713264495634</v>
      </c>
      <c r="G18" s="210"/>
      <c r="H18" s="210"/>
      <c r="I18" s="9">
        <f t="shared" si="2"/>
        <v>0.24821286735504369</v>
      </c>
      <c r="J18" s="220"/>
      <c r="K18" s="220"/>
      <c r="L18" s="9">
        <f t="shared" si="3"/>
        <v>0.71632000000000062</v>
      </c>
      <c r="M18" s="220"/>
      <c r="N18" s="220"/>
      <c r="O18" s="103">
        <v>7.75</v>
      </c>
      <c r="P18" s="207"/>
      <c r="Q18" s="207"/>
      <c r="R18" s="103">
        <f>2249/1000</f>
        <v>2.2490000000000001</v>
      </c>
      <c r="S18" s="207"/>
      <c r="T18" s="207"/>
      <c r="U18" s="103">
        <f>1310/1000</f>
        <v>1.31</v>
      </c>
      <c r="V18" s="207"/>
      <c r="W18" s="207"/>
      <c r="X18" s="59"/>
      <c r="Y18" s="59"/>
      <c r="Z18" s="59"/>
      <c r="AA18" s="108">
        <f t="shared" si="0"/>
        <v>0.17779984114376504</v>
      </c>
      <c r="AB18" s="220"/>
      <c r="AC18" s="220"/>
    </row>
    <row r="19" spans="1:29" ht="14.4" customHeight="1" x14ac:dyDescent="0.3">
      <c r="A19" s="223" t="s">
        <v>53</v>
      </c>
      <c r="B19" s="6">
        <v>54.866</v>
      </c>
      <c r="C19" s="58">
        <v>25.08</v>
      </c>
      <c r="D19" s="6">
        <v>69.790999999999997</v>
      </c>
      <c r="E19" s="6">
        <v>57.509</v>
      </c>
      <c r="F19" s="9">
        <f t="shared" si="1"/>
        <v>0.40490430622009577</v>
      </c>
      <c r="G19" s="224">
        <f>AVERAGE(F19:F21)</f>
        <v>0.43258468104788311</v>
      </c>
      <c r="H19" s="224">
        <f>_xlfn.STDEV.S(F19:F21)</f>
        <v>3.1554799341202991E-2</v>
      </c>
      <c r="I19" s="9">
        <f>(D19-B19)/C19</f>
        <v>0.59509569377990423</v>
      </c>
      <c r="J19" s="220">
        <f>AVERAGE(I19:I21)</f>
        <v>0.56741531895211683</v>
      </c>
      <c r="K19" s="220">
        <f>_xlfn.STDEV.S(I19:I21)</f>
        <v>3.1554799341202991E-2</v>
      </c>
      <c r="L19" s="9">
        <f>(D19-E19)/(D19-B19)</f>
        <v>0.82291457286432157</v>
      </c>
      <c r="M19" s="220">
        <f>AVERAGE(L19:L21)</f>
        <v>0.83224743433744164</v>
      </c>
      <c r="N19" s="220">
        <f>_xlfn.STDEV.S(L19:L21)</f>
        <v>9.2250856392453555E-3</v>
      </c>
      <c r="O19" s="103">
        <v>8.1769999999999996</v>
      </c>
      <c r="P19" s="207">
        <f>AVERAGE(O19:O21)</f>
        <v>8.1983333333333324</v>
      </c>
      <c r="Q19" s="207">
        <f>_xlfn.STDEV.S(O19:O21)</f>
        <v>0.22476061339419154</v>
      </c>
      <c r="R19" s="103">
        <f>1452.2/1000</f>
        <v>1.4521999999999999</v>
      </c>
      <c r="S19" s="207">
        <f>AVERAGE(R19:R20)</f>
        <v>1.5185999999999999</v>
      </c>
      <c r="T19" s="207">
        <f>_xlfn.STDEV.S(R19:R20)</f>
        <v>9.3903780541573528E-2</v>
      </c>
      <c r="U19" s="103">
        <f>1120/1000</f>
        <v>1.1200000000000001</v>
      </c>
      <c r="V19" s="207">
        <f>AVERAGE(U19:U21)</f>
        <v>1.1200000000000001</v>
      </c>
      <c r="W19" s="207">
        <f>_xlfn.STDEV.S(U19:U21)</f>
        <v>0</v>
      </c>
      <c r="X19" s="59"/>
      <c r="Y19" s="59"/>
      <c r="Z19" s="59"/>
      <c r="AA19" s="108">
        <f t="shared" si="0"/>
        <v>0.48971291866028699</v>
      </c>
      <c r="AB19" s="220">
        <f>AVERAGE(AA19:AA21)</f>
        <v>0.47203994165656676</v>
      </c>
      <c r="AC19" s="220">
        <f>_xlfn.STDEV.S(AA19:AA21)</f>
        <v>2.1229120870555371E-2</v>
      </c>
    </row>
    <row r="20" spans="1:29" x14ac:dyDescent="0.3">
      <c r="A20" s="223"/>
      <c r="B20" s="6">
        <v>66.739000000000004</v>
      </c>
      <c r="C20" s="6">
        <v>25.2</v>
      </c>
      <c r="D20" s="6">
        <v>80.171999999999997</v>
      </c>
      <c r="E20" s="6">
        <v>68.87</v>
      </c>
      <c r="F20" s="9">
        <f t="shared" si="1"/>
        <v>0.46694444444444472</v>
      </c>
      <c r="G20" s="210"/>
      <c r="H20" s="210"/>
      <c r="I20" s="9">
        <f t="shared" si="2"/>
        <v>0.53305555555555528</v>
      </c>
      <c r="J20" s="220"/>
      <c r="K20" s="220"/>
      <c r="L20" s="9">
        <f t="shared" si="3"/>
        <v>0.84136082781210442</v>
      </c>
      <c r="M20" s="220"/>
      <c r="N20" s="220"/>
      <c r="O20" s="103">
        <v>7.9850000000000003</v>
      </c>
      <c r="P20" s="207"/>
      <c r="Q20" s="207"/>
      <c r="R20" s="103">
        <f>1585/1000</f>
        <v>1.585</v>
      </c>
      <c r="S20" s="210"/>
      <c r="T20" s="207"/>
      <c r="U20" s="103">
        <f>1120/1000</f>
        <v>1.1200000000000001</v>
      </c>
      <c r="V20" s="210"/>
      <c r="W20" s="210"/>
      <c r="X20" s="59"/>
      <c r="Y20" s="59"/>
      <c r="Z20" s="59"/>
      <c r="AA20" s="108">
        <f t="shared" si="0"/>
        <v>0.44849206349206322</v>
      </c>
      <c r="AB20" s="220"/>
      <c r="AC20" s="220"/>
    </row>
    <row r="21" spans="1:29" x14ac:dyDescent="0.3">
      <c r="A21" s="223"/>
      <c r="B21" s="6">
        <v>66.400000000000006</v>
      </c>
      <c r="C21" s="58">
        <v>25.13</v>
      </c>
      <c r="D21" s="6">
        <v>80.826999999999998</v>
      </c>
      <c r="E21" s="6">
        <v>68.816999999999993</v>
      </c>
      <c r="F21" s="9">
        <f t="shared" si="1"/>
        <v>0.42590529247910891</v>
      </c>
      <c r="G21" s="210"/>
      <c r="H21" s="210"/>
      <c r="I21" s="9">
        <f t="shared" si="2"/>
        <v>0.57409470752089109</v>
      </c>
      <c r="J21" s="220"/>
      <c r="K21" s="220"/>
      <c r="L21" s="9">
        <f t="shared" si="3"/>
        <v>0.83246690233589871</v>
      </c>
      <c r="M21" s="220"/>
      <c r="N21" s="220"/>
      <c r="O21" s="103">
        <v>8.4329999999999998</v>
      </c>
      <c r="P21" s="207"/>
      <c r="Q21" s="207"/>
      <c r="R21" s="103"/>
      <c r="S21" s="103"/>
      <c r="T21" s="103"/>
      <c r="U21" s="103"/>
      <c r="V21" s="21"/>
      <c r="W21" s="21"/>
      <c r="X21" s="59"/>
      <c r="Y21" s="59"/>
      <c r="Z21" s="59"/>
      <c r="AA21" s="108">
        <f t="shared" si="0"/>
        <v>0.47791484281735003</v>
      </c>
      <c r="AB21" s="220"/>
      <c r="AC21" s="220"/>
    </row>
    <row r="22" spans="1:29" s="201" customFormat="1" x14ac:dyDescent="0.3">
      <c r="A22" s="229" t="s">
        <v>25</v>
      </c>
      <c r="B22" s="15">
        <v>63.192999999999998</v>
      </c>
      <c r="C22" s="14">
        <v>10</v>
      </c>
      <c r="D22" s="15">
        <v>72.766999999999996</v>
      </c>
      <c r="E22" s="15">
        <v>63.192999999999998</v>
      </c>
      <c r="F22" s="9">
        <f t="shared" si="1"/>
        <v>4.2600000000000193E-2</v>
      </c>
      <c r="G22" s="224">
        <f>AVERAGE(F22:F23)</f>
        <v>4.2600000000000193E-2</v>
      </c>
      <c r="H22" s="224">
        <f>_xlfn.STDEV.S(F22:F23)</f>
        <v>0</v>
      </c>
      <c r="I22" s="9">
        <f t="shared" si="2"/>
        <v>0.95739999999999981</v>
      </c>
      <c r="J22" s="220">
        <f>AVERAGE(I22:I23)</f>
        <v>0.95739999999999981</v>
      </c>
      <c r="K22" s="220">
        <f>_xlfn.STDEV.S(I22:I23)</f>
        <v>0</v>
      </c>
      <c r="L22" s="9">
        <f t="shared" si="3"/>
        <v>1</v>
      </c>
      <c r="M22" s="220">
        <f>AVERAGE(L22:L23)</f>
        <v>0.99994777522456624</v>
      </c>
      <c r="N22" s="220">
        <f>_xlfn.STDEV.S(L22:L23)</f>
        <v>7.3856985710237465E-5</v>
      </c>
      <c r="O22" s="53"/>
      <c r="P22" s="53"/>
      <c r="Q22" s="53"/>
      <c r="R22" s="53"/>
      <c r="S22" s="53"/>
      <c r="T22" s="53"/>
      <c r="U22" s="53"/>
      <c r="V22" s="27"/>
      <c r="W22" s="27"/>
      <c r="AA22" s="108"/>
      <c r="AB22" s="203"/>
      <c r="AC22" s="203"/>
    </row>
    <row r="23" spans="1:29" s="201" customFormat="1" x14ac:dyDescent="0.3">
      <c r="A23" s="230"/>
      <c r="B23" s="15">
        <v>64.292000000000002</v>
      </c>
      <c r="C23" s="14">
        <v>10</v>
      </c>
      <c r="D23" s="15">
        <v>73.866</v>
      </c>
      <c r="E23" s="15">
        <v>64.293000000000006</v>
      </c>
      <c r="F23" s="9">
        <f t="shared" si="1"/>
        <v>4.2600000000000193E-2</v>
      </c>
      <c r="G23" s="210"/>
      <c r="H23" s="210"/>
      <c r="I23" s="9">
        <f t="shared" si="2"/>
        <v>0.95739999999999981</v>
      </c>
      <c r="J23" s="220"/>
      <c r="K23" s="220"/>
      <c r="L23" s="9">
        <f t="shared" si="3"/>
        <v>0.99989555044913259</v>
      </c>
      <c r="M23" s="220"/>
      <c r="N23" s="220"/>
      <c r="O23" s="53"/>
      <c r="P23" s="53"/>
      <c r="Q23" s="53"/>
      <c r="R23" s="53"/>
      <c r="S23" s="53"/>
      <c r="T23" s="53"/>
      <c r="U23" s="53"/>
      <c r="V23" s="27"/>
      <c r="W23" s="27"/>
      <c r="AA23" s="108"/>
      <c r="AB23" s="203"/>
      <c r="AC23" s="203"/>
    </row>
    <row r="24" spans="1:29" x14ac:dyDescent="0.3">
      <c r="A24" s="44"/>
      <c r="B24" s="15"/>
      <c r="C24" s="14"/>
      <c r="D24" s="15"/>
      <c r="E24" s="15"/>
      <c r="F24" s="16"/>
      <c r="G24" s="210"/>
      <c r="H24" s="210"/>
      <c r="I24" s="16"/>
      <c r="J24" s="220"/>
      <c r="K24" s="220"/>
      <c r="L24" s="16"/>
      <c r="M24" s="220"/>
      <c r="N24" s="220"/>
    </row>
    <row r="26" spans="1:29" x14ac:dyDescent="0.3">
      <c r="A26" s="29" t="s">
        <v>37</v>
      </c>
      <c r="B26" s="30"/>
      <c r="C26" s="31"/>
      <c r="D26" s="32"/>
      <c r="E26" s="31"/>
      <c r="F26" s="32"/>
      <c r="G26" s="33"/>
      <c r="H26" s="34"/>
      <c r="I26" s="7"/>
      <c r="K26" s="56" t="s">
        <v>96</v>
      </c>
    </row>
    <row r="27" spans="1:29" x14ac:dyDescent="0.3">
      <c r="A27" s="18" t="s">
        <v>27</v>
      </c>
      <c r="B27" s="14"/>
      <c r="C27" s="6">
        <f>800</f>
        <v>800</v>
      </c>
      <c r="D27" s="16" t="s">
        <v>28</v>
      </c>
      <c r="E27" s="15"/>
      <c r="F27" s="16"/>
      <c r="G27" s="17"/>
      <c r="I27" s="7"/>
      <c r="K27" s="56" t="s">
        <v>4</v>
      </c>
      <c r="L27" s="56">
        <v>1.6</v>
      </c>
      <c r="M27" s="56" t="s">
        <v>97</v>
      </c>
    </row>
    <row r="28" spans="1:29" x14ac:dyDescent="0.3">
      <c r="A28" s="22" t="s">
        <v>35</v>
      </c>
      <c r="B28" s="14"/>
      <c r="C28" s="6">
        <f>C27*150/1000</f>
        <v>120</v>
      </c>
      <c r="D28" s="16" t="s">
        <v>28</v>
      </c>
      <c r="E28" s="15"/>
      <c r="F28" s="16"/>
      <c r="G28" s="17"/>
      <c r="I28" s="11"/>
      <c r="K28" s="56" t="s">
        <v>99</v>
      </c>
      <c r="L28" s="56">
        <f>L27/(J4*M4)</f>
        <v>32.865674782467835</v>
      </c>
      <c r="M28" s="56" t="s">
        <v>100</v>
      </c>
      <c r="O28" s="38"/>
      <c r="P28" s="38"/>
    </row>
    <row r="29" spans="1:29" x14ac:dyDescent="0.3">
      <c r="A29" s="22" t="s">
        <v>3</v>
      </c>
      <c r="B29" s="14"/>
      <c r="C29" s="6">
        <f>C27*10/100</f>
        <v>80</v>
      </c>
      <c r="D29" s="16" t="s">
        <v>22</v>
      </c>
      <c r="E29" s="15"/>
      <c r="F29" s="16"/>
      <c r="G29" s="17"/>
      <c r="I29" s="11"/>
      <c r="K29" s="56" t="s">
        <v>98</v>
      </c>
      <c r="L29" s="56">
        <f>L28/Y4</f>
        <v>35.538143147132175</v>
      </c>
      <c r="M29" s="56" t="s">
        <v>28</v>
      </c>
    </row>
    <row r="30" spans="1:29" ht="14.4" customHeight="1" x14ac:dyDescent="0.3">
      <c r="A30" s="22" t="s">
        <v>21</v>
      </c>
      <c r="B30" s="14"/>
      <c r="C30" s="6">
        <f>0.3*C29</f>
        <v>24</v>
      </c>
      <c r="D30" s="16" t="s">
        <v>43</v>
      </c>
      <c r="E30" s="15"/>
      <c r="F30" s="16"/>
      <c r="G30" s="17"/>
      <c r="I30" s="11"/>
    </row>
    <row r="31" spans="1:29" x14ac:dyDescent="0.3">
      <c r="A31" s="18"/>
      <c r="B31" s="14"/>
      <c r="C31" s="15"/>
      <c r="D31" s="16"/>
      <c r="E31" s="15"/>
      <c r="F31" s="16"/>
      <c r="G31" s="17"/>
      <c r="I31" s="11"/>
      <c r="M31" s="51"/>
      <c r="N31" s="39"/>
    </row>
    <row r="32" spans="1:29" x14ac:dyDescent="0.3">
      <c r="A32" s="35" t="s">
        <v>32</v>
      </c>
      <c r="B32" s="36"/>
      <c r="C32" s="37"/>
      <c r="D32" s="36"/>
      <c r="E32" s="18"/>
    </row>
    <row r="33" spans="1:12281" ht="14.4" customHeight="1" x14ac:dyDescent="0.3">
      <c r="A33" s="17"/>
      <c r="C33" s="11"/>
      <c r="E33" s="18"/>
    </row>
    <row r="34" spans="1:12281" s="57" customFormat="1" ht="28.8" x14ac:dyDescent="0.3">
      <c r="A34" s="23"/>
      <c r="B34" s="5" t="s">
        <v>29</v>
      </c>
      <c r="C34" s="54" t="s">
        <v>30</v>
      </c>
      <c r="D34" s="55" t="s">
        <v>31</v>
      </c>
      <c r="E34" s="55" t="s">
        <v>38</v>
      </c>
      <c r="F34" s="55" t="s">
        <v>40</v>
      </c>
      <c r="G34" s="56"/>
      <c r="H34" s="56"/>
      <c r="I34" s="56"/>
      <c r="J34" s="56"/>
      <c r="K34" s="56"/>
      <c r="L34" s="56"/>
      <c r="M34" s="56"/>
      <c r="N34" s="56"/>
    </row>
    <row r="35" spans="1:12281" x14ac:dyDescent="0.3">
      <c r="A35" s="23" t="s">
        <v>18</v>
      </c>
      <c r="B35" s="42">
        <f>0.5*C27</f>
        <v>400</v>
      </c>
      <c r="C35" s="21">
        <f>Y4</f>
        <v>0.92479999999999996</v>
      </c>
      <c r="D35" s="25">
        <f>B35*C35</f>
        <v>369.91999999999996</v>
      </c>
      <c r="E35" s="21">
        <f>D35*J4</f>
        <v>27.024844747880532</v>
      </c>
      <c r="F35" s="21">
        <f>E35*M4</f>
        <v>18.008819350811976</v>
      </c>
    </row>
    <row r="36" spans="1:12281" x14ac:dyDescent="0.3">
      <c r="A36" s="24"/>
      <c r="B36" s="26"/>
      <c r="C36" s="27"/>
      <c r="D36" s="28"/>
      <c r="E36" s="27"/>
      <c r="F36" s="40"/>
      <c r="K36" s="56" t="s">
        <v>45</v>
      </c>
    </row>
    <row r="37" spans="1:12281" ht="28.8" x14ac:dyDescent="0.3">
      <c r="A37" s="23"/>
      <c r="B37" s="54" t="s">
        <v>39</v>
      </c>
      <c r="C37" s="55" t="s">
        <v>33</v>
      </c>
      <c r="D37" s="55" t="s">
        <v>40</v>
      </c>
      <c r="E37" s="27"/>
      <c r="G37" s="47" t="s">
        <v>42</v>
      </c>
      <c r="H37" s="48" t="s">
        <v>36</v>
      </c>
      <c r="I37" s="57"/>
      <c r="J37" s="57"/>
      <c r="K37" s="57" t="s">
        <v>44</v>
      </c>
      <c r="L37" s="57"/>
      <c r="M37" s="57"/>
      <c r="N37" s="57"/>
    </row>
    <row r="38" spans="1:12281" x14ac:dyDescent="0.3">
      <c r="A38" s="23" t="s">
        <v>24</v>
      </c>
      <c r="B38" s="21">
        <f>$C$29-$E$35</f>
        <v>52.975155252119464</v>
      </c>
      <c r="C38" s="41">
        <f>B38/J7</f>
        <v>882.47413304410316</v>
      </c>
      <c r="D38" s="21">
        <f>B38*M7</f>
        <v>46.648958784952072</v>
      </c>
      <c r="E38" s="27"/>
      <c r="G38" s="21">
        <f>$F$35+D38</f>
        <v>64.657778135764048</v>
      </c>
      <c r="H38" s="21">
        <f>$F$35/D38</f>
        <v>0.38604976016359072</v>
      </c>
      <c r="K38" s="56">
        <f>G38*350</f>
        <v>22630.222347517418</v>
      </c>
    </row>
    <row r="39" spans="1:12281" ht="14.4" customHeight="1" x14ac:dyDescent="0.3">
      <c r="A39" s="22" t="s">
        <v>1</v>
      </c>
      <c r="B39" s="21">
        <f>$C$29-$E$35</f>
        <v>52.975155252119464</v>
      </c>
      <c r="C39" s="41">
        <f>B39/J13</f>
        <v>264.21180744092436</v>
      </c>
      <c r="D39" s="21">
        <f>B39*M16</f>
        <v>38.51216042258266</v>
      </c>
      <c r="G39" s="21">
        <f>$F$35+D39</f>
        <v>56.520979773394636</v>
      </c>
      <c r="H39" s="21">
        <f>$F$35/D39</f>
        <v>0.46761384334730832</v>
      </c>
      <c r="K39" s="56">
        <f>G39*350</f>
        <v>19782.342920688123</v>
      </c>
    </row>
    <row r="40" spans="1:12281" x14ac:dyDescent="0.3">
      <c r="A40" s="24" t="s">
        <v>23</v>
      </c>
      <c r="B40" s="21">
        <f>$C$29-$E$35</f>
        <v>52.975155252119464</v>
      </c>
      <c r="C40" s="41">
        <f>B40/J16</f>
        <v>205.38990370113444</v>
      </c>
      <c r="D40" s="21">
        <f>B40*M16</f>
        <v>38.51216042258266</v>
      </c>
      <c r="G40" s="21">
        <f>$F$35+D40</f>
        <v>56.520979773394636</v>
      </c>
      <c r="H40" s="21">
        <f>$F$35/D40</f>
        <v>0.46761384334730832</v>
      </c>
      <c r="K40" s="56">
        <f>G40*350</f>
        <v>19782.342920688123</v>
      </c>
    </row>
    <row r="41" spans="1:12281" s="59" customFormat="1" x14ac:dyDescent="0.3">
      <c r="A41" s="24" t="s">
        <v>53</v>
      </c>
      <c r="B41" s="21">
        <f>$C$29-$E$35</f>
        <v>52.975155252119464</v>
      </c>
      <c r="C41" s="41">
        <f>B41/J19</f>
        <v>93.362222489784315</v>
      </c>
      <c r="D41" s="21">
        <f>B41*M19</f>
        <v>44.08843704220407</v>
      </c>
      <c r="G41" s="21">
        <f>$F$35+D41</f>
        <v>62.097256393016046</v>
      </c>
      <c r="H41" s="21">
        <f>$F$35/D41</f>
        <v>0.40847035093516387</v>
      </c>
    </row>
    <row r="42" spans="1:12281" s="59" customFormat="1" x14ac:dyDescent="0.3">
      <c r="A42" s="24" t="s">
        <v>25</v>
      </c>
      <c r="B42" s="21">
        <f>$C$29-$E$35</f>
        <v>52.975155252119464</v>
      </c>
      <c r="C42" s="41">
        <f>B42/J22</f>
        <v>55.332311731898344</v>
      </c>
      <c r="D42" s="21">
        <f>B42*M22</f>
        <v>52.972388636532855</v>
      </c>
      <c r="G42" s="27"/>
      <c r="H42" s="60"/>
    </row>
    <row r="43" spans="1:12281" x14ac:dyDescent="0.3">
      <c r="K43" s="59"/>
      <c r="L43" s="59"/>
      <c r="R43" s="59"/>
    </row>
    <row r="44" spans="1:12281" x14ac:dyDescent="0.3">
      <c r="A44" s="24" t="s">
        <v>49</v>
      </c>
      <c r="E44" s="59"/>
      <c r="G44" s="56" t="s">
        <v>51</v>
      </c>
      <c r="K44" s="59"/>
      <c r="L44" s="59"/>
      <c r="N44" s="56" t="s">
        <v>50</v>
      </c>
      <c r="R44" s="59"/>
      <c r="T44" s="56" t="s">
        <v>52</v>
      </c>
    </row>
    <row r="45" spans="1:12281" x14ac:dyDescent="0.3">
      <c r="A45" s="36" t="s">
        <v>55</v>
      </c>
      <c r="E45" s="59"/>
      <c r="K45" s="59"/>
      <c r="L45" s="59"/>
      <c r="R45" s="59"/>
    </row>
    <row r="46" spans="1:12281" x14ac:dyDescent="0.3">
      <c r="A46" s="1"/>
      <c r="B46" s="62" t="s">
        <v>46</v>
      </c>
      <c r="C46" s="62" t="s">
        <v>47</v>
      </c>
      <c r="D46" s="62" t="s">
        <v>48</v>
      </c>
      <c r="E46" s="3" t="s">
        <v>54</v>
      </c>
      <c r="G46" s="1"/>
      <c r="H46" s="1" t="s">
        <v>46</v>
      </c>
      <c r="I46" s="1" t="s">
        <v>47</v>
      </c>
      <c r="J46" s="1" t="s">
        <v>48</v>
      </c>
      <c r="K46" s="3" t="s">
        <v>54</v>
      </c>
      <c r="L46" s="2"/>
      <c r="N46" s="1"/>
      <c r="O46" s="1" t="s">
        <v>46</v>
      </c>
      <c r="P46" s="1" t="s">
        <v>47</v>
      </c>
      <c r="Q46" s="1" t="s">
        <v>48</v>
      </c>
      <c r="R46" s="3" t="s">
        <v>54</v>
      </c>
      <c r="T46" s="1"/>
      <c r="U46" s="1" t="s">
        <v>46</v>
      </c>
      <c r="V46" s="1" t="s">
        <v>47</v>
      </c>
      <c r="W46" s="1" t="s">
        <v>48</v>
      </c>
      <c r="X46" s="3" t="s">
        <v>54</v>
      </c>
      <c r="Y46" s="3" t="s">
        <v>34</v>
      </c>
      <c r="Z46" s="225"/>
      <c r="AA46" s="3" t="s">
        <v>165</v>
      </c>
      <c r="AB46" s="3"/>
      <c r="AC46" s="225"/>
      <c r="AD46" s="225"/>
      <c r="AE46" s="225"/>
      <c r="AF46" s="225"/>
      <c r="AG46" s="225"/>
      <c r="AH46" s="225"/>
      <c r="AI46" s="225"/>
      <c r="AJ46" s="225"/>
      <c r="AK46" s="225"/>
      <c r="AL46" s="225"/>
      <c r="AM46" s="225"/>
      <c r="AN46" s="225"/>
      <c r="AO46" s="225"/>
      <c r="AP46" s="225"/>
      <c r="AQ46" s="225"/>
      <c r="AR46" s="225"/>
      <c r="AS46" s="225"/>
      <c r="AT46" s="225"/>
      <c r="AU46" s="225"/>
      <c r="AV46" s="225"/>
      <c r="AW46" s="225"/>
      <c r="AX46" s="225"/>
      <c r="AY46" s="225"/>
      <c r="AZ46" s="225"/>
      <c r="BA46" s="225"/>
      <c r="BB46" s="225"/>
      <c r="BC46" s="225"/>
      <c r="BD46" s="225"/>
      <c r="BE46" s="225"/>
      <c r="BF46" s="225"/>
      <c r="BG46" s="225"/>
      <c r="BH46" s="225"/>
      <c r="BI46" s="225"/>
      <c r="BJ46" s="225"/>
      <c r="BK46" s="225"/>
      <c r="BL46" s="225"/>
      <c r="BM46" s="225"/>
      <c r="BN46" s="225"/>
      <c r="BO46" s="225"/>
      <c r="BP46" s="225"/>
      <c r="BQ46" s="225"/>
      <c r="BR46" s="225"/>
      <c r="BS46" s="225"/>
      <c r="BT46" s="225"/>
      <c r="BU46" s="225"/>
      <c r="BV46" s="225"/>
      <c r="BW46" s="225"/>
      <c r="BX46" s="225"/>
      <c r="BY46" s="225"/>
      <c r="BZ46" s="225"/>
      <c r="CA46" s="225"/>
      <c r="CB46" s="225"/>
      <c r="CC46" s="225"/>
      <c r="CD46" s="225"/>
      <c r="CE46" s="225"/>
      <c r="CF46" s="225"/>
      <c r="CG46" s="225"/>
      <c r="CH46" s="225"/>
      <c r="CI46" s="225"/>
      <c r="CJ46" s="225"/>
      <c r="CK46" s="225"/>
      <c r="CL46" s="225"/>
      <c r="CM46" s="225"/>
      <c r="CN46" s="225"/>
      <c r="CO46" s="225"/>
      <c r="CP46" s="225"/>
      <c r="CQ46" s="225"/>
      <c r="CR46" s="225"/>
      <c r="CS46" s="225"/>
      <c r="CT46" s="225"/>
      <c r="CU46" s="225"/>
      <c r="CV46" s="225"/>
      <c r="CW46" s="225"/>
      <c r="CX46" s="225"/>
      <c r="CY46" s="225"/>
      <c r="CZ46" s="225"/>
      <c r="DA46" s="225"/>
      <c r="DB46" s="225"/>
      <c r="DC46" s="225"/>
      <c r="DD46" s="225"/>
      <c r="DE46" s="225"/>
      <c r="DF46" s="225"/>
      <c r="DG46" s="225"/>
      <c r="DH46" s="225"/>
      <c r="DI46" s="225"/>
      <c r="DJ46" s="225"/>
      <c r="DK46" s="225"/>
      <c r="DL46" s="225"/>
      <c r="DM46" s="225"/>
      <c r="DN46" s="225"/>
      <c r="DO46" s="225"/>
      <c r="DP46" s="225"/>
      <c r="DQ46" s="225"/>
      <c r="DR46" s="225"/>
      <c r="DS46" s="225"/>
      <c r="DT46" s="225"/>
      <c r="DU46" s="225"/>
      <c r="DV46" s="225"/>
      <c r="DW46" s="225"/>
      <c r="DX46" s="225"/>
      <c r="DY46" s="225"/>
      <c r="DZ46" s="225"/>
      <c r="EA46" s="225"/>
      <c r="EB46" s="225"/>
      <c r="EC46" s="225"/>
      <c r="ED46" s="225"/>
      <c r="EE46" s="225"/>
      <c r="EF46" s="225"/>
      <c r="EG46" s="225"/>
      <c r="EH46" s="225"/>
      <c r="EI46" s="225"/>
      <c r="EJ46" s="225"/>
      <c r="EK46" s="225"/>
      <c r="EL46" s="225"/>
      <c r="EM46" s="225"/>
      <c r="EN46" s="225"/>
      <c r="EO46" s="225"/>
      <c r="EP46" s="225"/>
      <c r="EQ46" s="225"/>
      <c r="ER46" s="225"/>
      <c r="ES46" s="225"/>
      <c r="ET46" s="225"/>
      <c r="EU46" s="225"/>
      <c r="EV46" s="225"/>
      <c r="EW46" s="225"/>
      <c r="EX46" s="225"/>
      <c r="EY46" s="225"/>
      <c r="EZ46" s="225"/>
      <c r="FA46" s="225"/>
      <c r="FB46" s="225"/>
      <c r="FC46" s="225"/>
      <c r="FD46" s="225"/>
      <c r="FE46" s="225"/>
      <c r="FF46" s="225"/>
      <c r="FG46" s="225"/>
      <c r="FH46" s="225"/>
      <c r="FI46" s="225"/>
      <c r="FJ46" s="225"/>
      <c r="FK46" s="225"/>
      <c r="FL46" s="225"/>
      <c r="FM46" s="225"/>
      <c r="FN46" s="225"/>
      <c r="FO46" s="225"/>
      <c r="FP46" s="225"/>
      <c r="FQ46" s="225"/>
      <c r="FR46" s="225"/>
      <c r="FS46" s="225"/>
      <c r="FT46" s="225"/>
      <c r="FU46" s="225"/>
      <c r="FV46" s="225"/>
      <c r="FW46" s="225"/>
      <c r="FX46" s="225"/>
      <c r="FY46" s="225"/>
      <c r="FZ46" s="225"/>
      <c r="GA46" s="225"/>
      <c r="GB46" s="225"/>
      <c r="GC46" s="225"/>
      <c r="GD46" s="225"/>
      <c r="GE46" s="225"/>
      <c r="GF46" s="225"/>
      <c r="GG46" s="225"/>
      <c r="GH46" s="225"/>
      <c r="GI46" s="225"/>
      <c r="GJ46" s="225"/>
      <c r="GK46" s="225"/>
      <c r="GL46" s="225"/>
      <c r="GM46" s="225"/>
      <c r="GN46" s="225"/>
      <c r="GO46" s="225"/>
      <c r="GP46" s="225"/>
      <c r="GQ46" s="225"/>
      <c r="GR46" s="225"/>
      <c r="GS46" s="225"/>
      <c r="GT46" s="225"/>
      <c r="GU46" s="225"/>
      <c r="GV46" s="225"/>
      <c r="GW46" s="225"/>
      <c r="GX46" s="225"/>
      <c r="GY46" s="225"/>
      <c r="GZ46" s="225"/>
      <c r="HA46" s="225"/>
      <c r="HB46" s="225"/>
      <c r="HC46" s="225"/>
      <c r="HD46" s="225"/>
      <c r="HE46" s="225"/>
      <c r="HF46" s="225"/>
      <c r="HG46" s="225"/>
      <c r="HH46" s="225"/>
      <c r="HI46" s="225"/>
      <c r="HJ46" s="225"/>
      <c r="HK46" s="225"/>
      <c r="HL46" s="225"/>
      <c r="HM46" s="225"/>
      <c r="HN46" s="225"/>
      <c r="HO46" s="225"/>
      <c r="HP46" s="225"/>
      <c r="HQ46" s="225"/>
      <c r="HR46" s="225"/>
      <c r="HS46" s="225"/>
      <c r="HT46" s="225"/>
      <c r="HU46" s="225"/>
      <c r="HV46" s="225"/>
      <c r="HW46" s="225"/>
      <c r="HX46" s="225"/>
      <c r="HY46" s="225"/>
      <c r="HZ46" s="225"/>
      <c r="IA46" s="225"/>
      <c r="IB46" s="225"/>
      <c r="IC46" s="225"/>
      <c r="ID46" s="225"/>
      <c r="IE46" s="225"/>
      <c r="IF46" s="225"/>
      <c r="IG46" s="225"/>
      <c r="IH46" s="225"/>
      <c r="II46" s="225"/>
      <c r="IJ46" s="225"/>
      <c r="IK46" s="225"/>
      <c r="IL46" s="225"/>
      <c r="IM46" s="225"/>
      <c r="IN46" s="225"/>
      <c r="IO46" s="225"/>
      <c r="IP46" s="225"/>
      <c r="IQ46" s="225"/>
      <c r="IR46" s="225"/>
      <c r="IS46" s="225"/>
      <c r="IT46" s="225"/>
      <c r="IU46" s="225"/>
      <c r="IV46" s="225"/>
      <c r="IW46" s="225"/>
      <c r="IX46" s="225"/>
      <c r="IY46" s="225"/>
      <c r="IZ46" s="225"/>
      <c r="JA46" s="225"/>
      <c r="JB46" s="225"/>
      <c r="JC46" s="225"/>
      <c r="JD46" s="225"/>
      <c r="JE46" s="225"/>
      <c r="JF46" s="225"/>
      <c r="JG46" s="225"/>
      <c r="JH46" s="225"/>
      <c r="JI46" s="225"/>
      <c r="JJ46" s="225"/>
      <c r="JK46" s="225"/>
      <c r="JL46" s="225"/>
      <c r="JM46" s="225"/>
      <c r="JN46" s="225"/>
      <c r="JO46" s="225"/>
      <c r="JP46" s="225"/>
      <c r="JQ46" s="225"/>
      <c r="JR46" s="225"/>
      <c r="JS46" s="225"/>
      <c r="JT46" s="225"/>
      <c r="JU46" s="225"/>
      <c r="JV46" s="225"/>
      <c r="JW46" s="225"/>
      <c r="JX46" s="225"/>
      <c r="JY46" s="225"/>
      <c r="JZ46" s="225"/>
      <c r="KA46" s="225"/>
      <c r="KB46" s="225"/>
      <c r="KC46" s="225"/>
      <c r="KD46" s="225"/>
      <c r="KE46" s="225"/>
      <c r="KF46" s="225"/>
      <c r="KG46" s="225"/>
      <c r="KH46" s="225"/>
      <c r="KI46" s="225"/>
      <c r="KJ46" s="225"/>
      <c r="KK46" s="225"/>
      <c r="KL46" s="225"/>
      <c r="KM46" s="225"/>
      <c r="KN46" s="225"/>
      <c r="KO46" s="225"/>
      <c r="KP46" s="225"/>
      <c r="KQ46" s="225"/>
      <c r="KR46" s="225"/>
      <c r="KS46" s="225"/>
      <c r="KT46" s="225"/>
      <c r="KU46" s="225"/>
      <c r="KV46" s="225"/>
      <c r="KW46" s="225"/>
      <c r="KX46" s="225"/>
      <c r="KY46" s="225"/>
      <c r="KZ46" s="225"/>
      <c r="LA46" s="225"/>
      <c r="LB46" s="225"/>
      <c r="LC46" s="225"/>
      <c r="LD46" s="225"/>
      <c r="LE46" s="225"/>
      <c r="LF46" s="225"/>
      <c r="LG46" s="225"/>
      <c r="LH46" s="225"/>
      <c r="LI46" s="225"/>
      <c r="LJ46" s="225"/>
      <c r="LK46" s="225"/>
      <c r="LL46" s="225"/>
      <c r="LM46" s="225"/>
      <c r="LN46" s="225"/>
      <c r="LO46" s="225"/>
      <c r="LP46" s="225"/>
      <c r="LQ46" s="225"/>
      <c r="LR46" s="225"/>
      <c r="LS46" s="225"/>
      <c r="LT46" s="225"/>
      <c r="LU46" s="225"/>
      <c r="LV46" s="225"/>
      <c r="LW46" s="225"/>
      <c r="LX46" s="225"/>
      <c r="LY46" s="225"/>
      <c r="LZ46" s="225"/>
      <c r="MA46" s="225"/>
      <c r="MB46" s="225"/>
      <c r="MC46" s="225"/>
      <c r="MD46" s="225"/>
      <c r="ME46" s="225"/>
      <c r="MF46" s="225"/>
      <c r="MG46" s="225"/>
      <c r="MH46" s="225"/>
      <c r="MI46" s="225"/>
      <c r="MJ46" s="225"/>
      <c r="MK46" s="225"/>
      <c r="ML46" s="225"/>
      <c r="MM46" s="225"/>
      <c r="MN46" s="225"/>
      <c r="MO46" s="225"/>
      <c r="MP46" s="225"/>
      <c r="MQ46" s="225"/>
      <c r="MR46" s="225"/>
      <c r="MS46" s="225"/>
      <c r="MT46" s="225"/>
      <c r="MU46" s="225"/>
      <c r="MV46" s="225"/>
      <c r="MW46" s="225"/>
      <c r="MX46" s="225"/>
      <c r="MY46" s="225"/>
      <c r="MZ46" s="225"/>
      <c r="NA46" s="225"/>
      <c r="NB46" s="225"/>
      <c r="NC46" s="225"/>
      <c r="ND46" s="225"/>
      <c r="NE46" s="225"/>
      <c r="NF46" s="225"/>
      <c r="NG46" s="225"/>
      <c r="NH46" s="225"/>
      <c r="NI46" s="225"/>
      <c r="NJ46" s="225"/>
      <c r="NK46" s="225"/>
      <c r="NL46" s="225"/>
      <c r="NM46" s="225"/>
      <c r="NN46" s="225"/>
      <c r="NO46" s="225"/>
      <c r="NP46" s="225"/>
      <c r="NQ46" s="225"/>
      <c r="NR46" s="225"/>
      <c r="NS46" s="225"/>
      <c r="NT46" s="225"/>
      <c r="NU46" s="225"/>
      <c r="NV46" s="225"/>
      <c r="NW46" s="225"/>
      <c r="NX46" s="225"/>
      <c r="NY46" s="225"/>
      <c r="NZ46" s="225"/>
      <c r="OA46" s="225"/>
      <c r="OB46" s="225"/>
      <c r="OC46" s="225"/>
      <c r="OD46" s="225"/>
      <c r="OE46" s="225"/>
      <c r="OF46" s="225"/>
      <c r="OG46" s="225"/>
      <c r="OH46" s="225"/>
      <c r="OI46" s="225"/>
      <c r="OJ46" s="225"/>
      <c r="OK46" s="225"/>
      <c r="OL46" s="225"/>
      <c r="OM46" s="225"/>
      <c r="ON46" s="225"/>
      <c r="OO46" s="225"/>
      <c r="OP46" s="225"/>
      <c r="OQ46" s="225"/>
      <c r="OR46" s="225"/>
      <c r="OS46" s="225"/>
      <c r="OT46" s="225"/>
      <c r="OU46" s="225"/>
      <c r="OV46" s="225"/>
      <c r="OW46" s="225"/>
      <c r="OX46" s="225"/>
      <c r="OY46" s="225"/>
      <c r="OZ46" s="225"/>
      <c r="PA46" s="225"/>
      <c r="PB46" s="225"/>
      <c r="PC46" s="225"/>
      <c r="PD46" s="225"/>
      <c r="PE46" s="225"/>
      <c r="PF46" s="225"/>
      <c r="PG46" s="225"/>
      <c r="PH46" s="225"/>
      <c r="PI46" s="225"/>
      <c r="PJ46" s="225"/>
      <c r="PK46" s="225"/>
      <c r="PL46" s="225"/>
      <c r="PM46" s="225"/>
      <c r="PN46" s="225"/>
      <c r="PO46" s="225"/>
      <c r="PP46" s="225"/>
      <c r="PQ46" s="225"/>
      <c r="PR46" s="225"/>
      <c r="PS46" s="225"/>
      <c r="PT46" s="225"/>
      <c r="PU46" s="225"/>
      <c r="PV46" s="225"/>
      <c r="PW46" s="225"/>
      <c r="PX46" s="225"/>
      <c r="PY46" s="225"/>
      <c r="PZ46" s="225"/>
      <c r="QA46" s="225"/>
      <c r="QB46" s="225"/>
      <c r="QC46" s="225"/>
      <c r="QD46" s="225"/>
      <c r="QE46" s="225"/>
      <c r="QF46" s="225"/>
      <c r="QG46" s="225"/>
      <c r="QH46" s="225"/>
      <c r="QI46" s="225"/>
      <c r="QJ46" s="225"/>
      <c r="QK46" s="225"/>
      <c r="QL46" s="225"/>
      <c r="QM46" s="225"/>
      <c r="QN46" s="225"/>
      <c r="QO46" s="225"/>
      <c r="QP46" s="225"/>
      <c r="QQ46" s="225"/>
      <c r="QR46" s="225"/>
      <c r="QS46" s="225"/>
      <c r="QT46" s="225"/>
      <c r="QU46" s="225"/>
      <c r="QV46" s="225"/>
      <c r="QW46" s="225"/>
      <c r="QX46" s="225"/>
      <c r="QY46" s="225"/>
      <c r="QZ46" s="225"/>
      <c r="RA46" s="225"/>
      <c r="RB46" s="225"/>
      <c r="RC46" s="225"/>
      <c r="RD46" s="225"/>
      <c r="RE46" s="225"/>
      <c r="RF46" s="225"/>
      <c r="RG46" s="225"/>
      <c r="RH46" s="225"/>
      <c r="RI46" s="225"/>
      <c r="RJ46" s="225"/>
      <c r="RK46" s="225"/>
      <c r="RL46" s="225"/>
      <c r="RM46" s="225"/>
      <c r="RN46" s="225"/>
      <c r="RO46" s="225"/>
      <c r="RP46" s="225"/>
      <c r="RQ46" s="225"/>
      <c r="RR46" s="225"/>
      <c r="RS46" s="225"/>
      <c r="RT46" s="225"/>
      <c r="RU46" s="225"/>
      <c r="RV46" s="225"/>
      <c r="RW46" s="225"/>
      <c r="RX46" s="225"/>
      <c r="RY46" s="225"/>
      <c r="RZ46" s="225"/>
      <c r="SA46" s="225"/>
      <c r="SB46" s="225"/>
      <c r="SC46" s="225"/>
      <c r="SD46" s="225"/>
      <c r="SE46" s="225"/>
      <c r="SF46" s="225"/>
      <c r="SG46" s="225"/>
      <c r="SH46" s="225"/>
      <c r="SI46" s="225"/>
      <c r="SJ46" s="225"/>
      <c r="SK46" s="225"/>
      <c r="SL46" s="225"/>
      <c r="SM46" s="225"/>
      <c r="SN46" s="225"/>
      <c r="SO46" s="225"/>
      <c r="SP46" s="225"/>
      <c r="SQ46" s="225"/>
      <c r="SR46" s="225"/>
      <c r="SS46" s="225"/>
      <c r="ST46" s="225"/>
      <c r="SU46" s="225"/>
      <c r="SV46" s="225"/>
      <c r="SW46" s="225"/>
      <c r="SX46" s="225"/>
      <c r="SY46" s="225"/>
      <c r="SZ46" s="225"/>
      <c r="TA46" s="225"/>
      <c r="TB46" s="225"/>
      <c r="TC46" s="225"/>
      <c r="TD46" s="225"/>
      <c r="TE46" s="225"/>
      <c r="TF46" s="225"/>
      <c r="TG46" s="225"/>
      <c r="TH46" s="225"/>
      <c r="TI46" s="225"/>
      <c r="TJ46" s="225"/>
      <c r="TK46" s="225"/>
      <c r="TL46" s="225"/>
      <c r="TM46" s="225"/>
      <c r="TN46" s="225"/>
      <c r="TO46" s="225"/>
      <c r="TP46" s="225"/>
      <c r="TQ46" s="225"/>
      <c r="TR46" s="225"/>
      <c r="TS46" s="225"/>
      <c r="TT46" s="225"/>
      <c r="TU46" s="225"/>
      <c r="TV46" s="225"/>
      <c r="TW46" s="225"/>
      <c r="TX46" s="225"/>
      <c r="TY46" s="225"/>
      <c r="TZ46" s="225"/>
      <c r="UA46" s="225"/>
      <c r="UB46" s="225"/>
      <c r="UC46" s="225"/>
      <c r="UD46" s="225"/>
      <c r="UE46" s="225"/>
      <c r="UF46" s="225"/>
      <c r="UG46" s="225"/>
      <c r="UH46" s="225"/>
      <c r="UI46" s="225"/>
      <c r="UJ46" s="225"/>
      <c r="UK46" s="225"/>
      <c r="UL46" s="225"/>
      <c r="UM46" s="225"/>
      <c r="UN46" s="225"/>
      <c r="UO46" s="225"/>
      <c r="UP46" s="225"/>
      <c r="UQ46" s="225"/>
      <c r="UR46" s="225"/>
      <c r="US46" s="225"/>
      <c r="UT46" s="225"/>
      <c r="UU46" s="225"/>
      <c r="UV46" s="225"/>
      <c r="UW46" s="225"/>
      <c r="UX46" s="225"/>
      <c r="UY46" s="225"/>
      <c r="UZ46" s="225"/>
      <c r="VA46" s="225"/>
      <c r="VB46" s="225"/>
      <c r="VC46" s="225"/>
      <c r="VD46" s="225"/>
      <c r="VE46" s="225"/>
      <c r="VF46" s="225"/>
      <c r="VG46" s="225"/>
      <c r="VH46" s="225"/>
      <c r="VI46" s="225"/>
      <c r="VJ46" s="225"/>
      <c r="VK46" s="225"/>
      <c r="VL46" s="225"/>
      <c r="VM46" s="225"/>
      <c r="VN46" s="225"/>
      <c r="VO46" s="225"/>
      <c r="VP46" s="225"/>
      <c r="VQ46" s="225"/>
      <c r="VR46" s="225"/>
      <c r="VS46" s="225"/>
      <c r="VT46" s="225"/>
      <c r="VU46" s="225"/>
      <c r="VV46" s="225"/>
      <c r="VW46" s="225"/>
      <c r="VX46" s="225"/>
      <c r="VY46" s="225"/>
      <c r="VZ46" s="225"/>
      <c r="WA46" s="225"/>
      <c r="WB46" s="225"/>
      <c r="WC46" s="225"/>
      <c r="WD46" s="225"/>
      <c r="WE46" s="225"/>
      <c r="WF46" s="225"/>
      <c r="WG46" s="225"/>
      <c r="WH46" s="225"/>
      <c r="WI46" s="225"/>
      <c r="WJ46" s="225"/>
      <c r="WK46" s="225"/>
      <c r="WL46" s="225"/>
      <c r="WM46" s="225"/>
      <c r="WN46" s="225"/>
      <c r="WO46" s="225"/>
      <c r="WP46" s="225"/>
      <c r="WQ46" s="225"/>
      <c r="WR46" s="225"/>
      <c r="WS46" s="225"/>
      <c r="WT46" s="225"/>
      <c r="WU46" s="225"/>
      <c r="WV46" s="225"/>
      <c r="WW46" s="225"/>
      <c r="WX46" s="225"/>
      <c r="WY46" s="225"/>
      <c r="WZ46" s="225"/>
      <c r="XA46" s="225"/>
      <c r="XB46" s="225"/>
      <c r="XC46" s="225"/>
      <c r="XD46" s="225"/>
      <c r="XE46" s="225"/>
      <c r="XF46" s="225"/>
      <c r="XG46" s="225"/>
      <c r="XH46" s="225"/>
      <c r="XI46" s="225"/>
      <c r="XJ46" s="225"/>
      <c r="XK46" s="225"/>
      <c r="XL46" s="225"/>
      <c r="XM46" s="225"/>
      <c r="XN46" s="225"/>
      <c r="XO46" s="225"/>
      <c r="XP46" s="225"/>
      <c r="XQ46" s="225"/>
      <c r="XR46" s="225"/>
      <c r="XS46" s="225"/>
      <c r="XT46" s="225"/>
      <c r="XU46" s="225"/>
      <c r="XV46" s="225"/>
      <c r="XW46" s="225"/>
      <c r="XX46" s="225"/>
      <c r="XY46" s="225"/>
      <c r="XZ46" s="225"/>
      <c r="YA46" s="225"/>
      <c r="YB46" s="225"/>
      <c r="YC46" s="225"/>
      <c r="YD46" s="225"/>
      <c r="YE46" s="225"/>
      <c r="YF46" s="225"/>
      <c r="YG46" s="225"/>
      <c r="YH46" s="225"/>
      <c r="YI46" s="225"/>
      <c r="YJ46" s="225"/>
      <c r="YK46" s="225"/>
      <c r="YL46" s="225"/>
      <c r="YM46" s="225"/>
      <c r="YN46" s="225"/>
      <c r="YO46" s="225"/>
      <c r="YP46" s="225"/>
      <c r="YQ46" s="225"/>
      <c r="YR46" s="225"/>
      <c r="YS46" s="225"/>
      <c r="YT46" s="225"/>
      <c r="YU46" s="225"/>
      <c r="YV46" s="225"/>
      <c r="YW46" s="225"/>
      <c r="YX46" s="225"/>
      <c r="YY46" s="225"/>
      <c r="YZ46" s="225"/>
      <c r="ZA46" s="225"/>
      <c r="ZB46" s="225"/>
      <c r="ZC46" s="225"/>
      <c r="ZD46" s="225"/>
      <c r="ZE46" s="225"/>
      <c r="ZF46" s="225"/>
      <c r="ZG46" s="225"/>
      <c r="ZH46" s="225"/>
      <c r="ZI46" s="225"/>
      <c r="ZJ46" s="225"/>
      <c r="ZK46" s="225"/>
      <c r="ZL46" s="225"/>
      <c r="ZM46" s="225"/>
      <c r="ZN46" s="225"/>
      <c r="ZO46" s="225"/>
      <c r="ZP46" s="225"/>
      <c r="ZQ46" s="225"/>
      <c r="ZR46" s="225"/>
      <c r="ZS46" s="225"/>
      <c r="ZT46" s="225"/>
      <c r="ZU46" s="225"/>
      <c r="ZV46" s="225"/>
      <c r="ZW46" s="225"/>
      <c r="ZX46" s="225"/>
      <c r="ZY46" s="225"/>
      <c r="ZZ46" s="225"/>
      <c r="AAA46" s="225"/>
      <c r="AAB46" s="225"/>
      <c r="AAC46" s="225"/>
      <c r="AAD46" s="225"/>
      <c r="AAE46" s="225"/>
      <c r="AAF46" s="225"/>
      <c r="AAG46" s="225"/>
      <c r="AAH46" s="225"/>
      <c r="AAI46" s="225"/>
      <c r="AAJ46" s="225"/>
      <c r="AAK46" s="225"/>
      <c r="AAL46" s="225"/>
      <c r="AAM46" s="225"/>
      <c r="AAN46" s="225"/>
      <c r="AAO46" s="225"/>
      <c r="AAP46" s="225"/>
      <c r="AAQ46" s="225"/>
      <c r="AAR46" s="225"/>
      <c r="AAS46" s="225"/>
      <c r="AAT46" s="225"/>
      <c r="AAU46" s="225"/>
      <c r="AAV46" s="225"/>
      <c r="AAW46" s="225"/>
      <c r="AAX46" s="225"/>
      <c r="AAY46" s="225"/>
      <c r="AAZ46" s="225"/>
      <c r="ABA46" s="225"/>
      <c r="ABB46" s="225"/>
      <c r="ABC46" s="225"/>
      <c r="ABD46" s="225"/>
      <c r="ABE46" s="225"/>
      <c r="ABF46" s="225"/>
      <c r="ABG46" s="225"/>
      <c r="ABH46" s="225"/>
      <c r="ABI46" s="225"/>
      <c r="ABJ46" s="225"/>
      <c r="ABK46" s="225"/>
      <c r="ABL46" s="225"/>
      <c r="ABM46" s="225"/>
      <c r="ABN46" s="225"/>
      <c r="ABO46" s="225"/>
      <c r="ABP46" s="225"/>
      <c r="ABQ46" s="225"/>
      <c r="ABR46" s="225"/>
      <c r="ABS46" s="225"/>
      <c r="ABT46" s="225"/>
      <c r="ABU46" s="225"/>
      <c r="ABV46" s="225"/>
      <c r="ABW46" s="225"/>
      <c r="ABX46" s="225"/>
      <c r="ABY46" s="225"/>
      <c r="ABZ46" s="225"/>
      <c r="ACA46" s="225"/>
      <c r="ACB46" s="225"/>
      <c r="ACC46" s="225"/>
      <c r="ACD46" s="225"/>
      <c r="ACE46" s="225"/>
      <c r="ACF46" s="225"/>
      <c r="ACG46" s="225"/>
      <c r="ACH46" s="225"/>
      <c r="ACI46" s="225"/>
      <c r="ACJ46" s="225"/>
      <c r="ACK46" s="225"/>
      <c r="ACL46" s="225"/>
      <c r="ACM46" s="225"/>
      <c r="ACN46" s="225"/>
      <c r="ACO46" s="225"/>
      <c r="ACP46" s="225"/>
      <c r="ACQ46" s="225"/>
      <c r="ACR46" s="225"/>
      <c r="ACS46" s="225"/>
      <c r="ACT46" s="225"/>
      <c r="ACU46" s="225"/>
      <c r="ACV46" s="225"/>
      <c r="ACW46" s="225"/>
      <c r="ACX46" s="225"/>
      <c r="ACY46" s="225"/>
      <c r="ACZ46" s="225"/>
      <c r="ADA46" s="225"/>
      <c r="ADB46" s="225"/>
      <c r="ADC46" s="225"/>
      <c r="ADD46" s="225"/>
      <c r="ADE46" s="225"/>
      <c r="ADF46" s="225"/>
      <c r="ADG46" s="225"/>
      <c r="ADH46" s="225"/>
      <c r="ADI46" s="225"/>
      <c r="ADJ46" s="225"/>
      <c r="ADK46" s="225"/>
      <c r="ADL46" s="225"/>
      <c r="ADM46" s="225"/>
      <c r="ADN46" s="225"/>
      <c r="ADO46" s="225"/>
      <c r="ADP46" s="225"/>
      <c r="ADQ46" s="225"/>
      <c r="ADR46" s="225"/>
      <c r="ADS46" s="225"/>
      <c r="ADT46" s="225"/>
      <c r="ADU46" s="225"/>
      <c r="ADV46" s="225"/>
      <c r="ADW46" s="225"/>
      <c r="ADX46" s="225"/>
      <c r="ADY46" s="225"/>
      <c r="ADZ46" s="225"/>
      <c r="AEA46" s="225"/>
      <c r="AEB46" s="225"/>
      <c r="AEC46" s="225"/>
      <c r="AED46" s="225"/>
      <c r="AEE46" s="225"/>
      <c r="AEF46" s="225"/>
      <c r="AEG46" s="225"/>
      <c r="AEH46" s="225"/>
      <c r="AEI46" s="225"/>
      <c r="AEJ46" s="225"/>
      <c r="AEK46" s="225"/>
      <c r="AEL46" s="225"/>
      <c r="AEM46" s="225"/>
      <c r="AEN46" s="225"/>
      <c r="AEO46" s="225"/>
      <c r="AEP46" s="225"/>
      <c r="AEQ46" s="225"/>
      <c r="AER46" s="225"/>
      <c r="AES46" s="225"/>
      <c r="AET46" s="225"/>
      <c r="AEU46" s="225"/>
      <c r="AEV46" s="225"/>
      <c r="AEW46" s="225"/>
      <c r="AEX46" s="225"/>
      <c r="AEY46" s="225"/>
      <c r="AEZ46" s="225"/>
      <c r="AFA46" s="225"/>
      <c r="AFB46" s="225"/>
      <c r="AFC46" s="225"/>
      <c r="AFD46" s="225"/>
      <c r="AFE46" s="225"/>
      <c r="AFF46" s="225"/>
      <c r="AFG46" s="225"/>
      <c r="AFH46" s="225"/>
      <c r="AFI46" s="225"/>
      <c r="AFJ46" s="225"/>
      <c r="AFK46" s="225"/>
      <c r="AFL46" s="225"/>
      <c r="AFM46" s="225"/>
      <c r="AFN46" s="225"/>
      <c r="AFO46" s="225"/>
      <c r="AFP46" s="225"/>
      <c r="AFQ46" s="225"/>
      <c r="AFR46" s="225"/>
      <c r="AFS46" s="225"/>
      <c r="AFT46" s="225"/>
      <c r="AFU46" s="225"/>
      <c r="AFV46" s="225"/>
      <c r="AFW46" s="225"/>
      <c r="AFX46" s="225"/>
      <c r="AFY46" s="225"/>
      <c r="AFZ46" s="225"/>
      <c r="AGA46" s="225"/>
      <c r="AGB46" s="225"/>
      <c r="AGC46" s="225"/>
      <c r="AGD46" s="225"/>
      <c r="AGE46" s="225"/>
      <c r="AGF46" s="225"/>
      <c r="AGG46" s="225"/>
      <c r="AGH46" s="225"/>
      <c r="AGI46" s="225"/>
      <c r="AGJ46" s="225"/>
      <c r="AGK46" s="225"/>
      <c r="AGL46" s="225"/>
      <c r="AGM46" s="225"/>
      <c r="AGN46" s="225"/>
      <c r="AGO46" s="225"/>
      <c r="AGP46" s="225"/>
      <c r="AGQ46" s="225"/>
      <c r="AGR46" s="225"/>
      <c r="AGS46" s="225"/>
      <c r="AGT46" s="225"/>
      <c r="AGU46" s="225"/>
      <c r="AGV46" s="225"/>
      <c r="AGW46" s="225"/>
      <c r="AGX46" s="225"/>
      <c r="AGY46" s="225"/>
      <c r="AGZ46" s="225"/>
      <c r="AHA46" s="225"/>
      <c r="AHB46" s="225"/>
      <c r="AHC46" s="225"/>
      <c r="AHD46" s="225"/>
      <c r="AHE46" s="225"/>
      <c r="AHF46" s="225"/>
      <c r="AHG46" s="225"/>
      <c r="AHH46" s="225"/>
      <c r="AHI46" s="225"/>
      <c r="AHJ46" s="225"/>
      <c r="AHK46" s="225"/>
      <c r="AHL46" s="225"/>
      <c r="AHM46" s="225"/>
      <c r="AHN46" s="225"/>
      <c r="AHO46" s="225"/>
      <c r="AHP46" s="225"/>
      <c r="AHQ46" s="225"/>
      <c r="AHR46" s="225"/>
      <c r="AHS46" s="225"/>
      <c r="AHT46" s="225"/>
      <c r="AHU46" s="225"/>
      <c r="AHV46" s="225"/>
      <c r="AHW46" s="225"/>
      <c r="AHX46" s="225"/>
      <c r="AHY46" s="225"/>
      <c r="AHZ46" s="225"/>
      <c r="AIA46" s="225"/>
      <c r="AIB46" s="225"/>
      <c r="AIC46" s="225"/>
      <c r="AID46" s="225"/>
      <c r="AIE46" s="225"/>
      <c r="AIF46" s="225"/>
      <c r="AIG46" s="225"/>
      <c r="AIH46" s="225"/>
      <c r="AII46" s="225"/>
      <c r="AIJ46" s="225"/>
      <c r="AIK46" s="225"/>
      <c r="AIL46" s="225"/>
      <c r="AIM46" s="225"/>
      <c r="AIN46" s="225"/>
      <c r="AIO46" s="225"/>
      <c r="AIP46" s="225"/>
      <c r="AIQ46" s="225"/>
      <c r="AIR46" s="225"/>
      <c r="AIS46" s="225"/>
      <c r="AIT46" s="225"/>
      <c r="AIU46" s="225"/>
      <c r="AIV46" s="225"/>
      <c r="AIW46" s="225"/>
      <c r="AIX46" s="225"/>
      <c r="AIY46" s="225"/>
      <c r="AIZ46" s="225"/>
      <c r="AJA46" s="225"/>
      <c r="AJB46" s="225"/>
      <c r="AJC46" s="225"/>
      <c r="AJD46" s="225"/>
      <c r="AJE46" s="225"/>
      <c r="AJF46" s="225"/>
      <c r="AJG46" s="225"/>
      <c r="AJH46" s="225"/>
      <c r="AJI46" s="225"/>
      <c r="AJJ46" s="225"/>
      <c r="AJK46" s="225"/>
      <c r="AJL46" s="225"/>
      <c r="AJM46" s="225"/>
      <c r="AJN46" s="225"/>
      <c r="AJO46" s="225"/>
      <c r="AJP46" s="225"/>
      <c r="AJQ46" s="225"/>
      <c r="AJR46" s="225"/>
      <c r="AJS46" s="225"/>
      <c r="AJT46" s="225"/>
      <c r="AJU46" s="225"/>
      <c r="AJV46" s="225"/>
      <c r="AJW46" s="225"/>
      <c r="AJX46" s="225"/>
      <c r="AJY46" s="225"/>
      <c r="AJZ46" s="225"/>
      <c r="AKA46" s="225"/>
      <c r="AKB46" s="225"/>
      <c r="AKC46" s="225"/>
      <c r="AKD46" s="225"/>
      <c r="AKE46" s="225"/>
      <c r="AKF46" s="225"/>
      <c r="AKG46" s="225"/>
      <c r="AKH46" s="225"/>
      <c r="AKI46" s="225"/>
      <c r="AKJ46" s="225"/>
      <c r="AKK46" s="225"/>
      <c r="AKL46" s="225"/>
      <c r="AKM46" s="225"/>
      <c r="AKN46" s="225"/>
      <c r="AKO46" s="225"/>
      <c r="AKP46" s="225"/>
      <c r="AKQ46" s="225"/>
      <c r="AKR46" s="225"/>
      <c r="AKS46" s="225"/>
      <c r="AKT46" s="225"/>
      <c r="AKU46" s="225"/>
      <c r="AKV46" s="225"/>
      <c r="AKW46" s="225"/>
      <c r="AKX46" s="225"/>
      <c r="AKY46" s="225"/>
      <c r="AKZ46" s="225"/>
      <c r="ALA46" s="225"/>
      <c r="ALB46" s="225"/>
      <c r="ALC46" s="225"/>
      <c r="ALD46" s="225"/>
      <c r="ALE46" s="225"/>
      <c r="ALF46" s="225"/>
      <c r="ALG46" s="225"/>
      <c r="ALH46" s="225"/>
      <c r="ALI46" s="225"/>
      <c r="ALJ46" s="225"/>
      <c r="ALK46" s="225"/>
      <c r="ALL46" s="225"/>
      <c r="ALM46" s="225"/>
      <c r="ALN46" s="225"/>
      <c r="ALO46" s="225"/>
      <c r="ALP46" s="225"/>
      <c r="ALQ46" s="225"/>
      <c r="ALR46" s="225"/>
      <c r="ALS46" s="225"/>
      <c r="ALT46" s="225"/>
      <c r="ALU46" s="225"/>
      <c r="ALV46" s="225"/>
      <c r="ALW46" s="225"/>
      <c r="ALX46" s="225"/>
      <c r="ALY46" s="225"/>
      <c r="ALZ46" s="225"/>
      <c r="AMA46" s="225"/>
      <c r="AMB46" s="225"/>
      <c r="AMC46" s="225"/>
      <c r="AMD46" s="225"/>
      <c r="AME46" s="225"/>
      <c r="AMF46" s="225"/>
      <c r="AMG46" s="225"/>
      <c r="AMH46" s="225"/>
      <c r="AMI46" s="225"/>
      <c r="AMJ46" s="225"/>
      <c r="AMK46" s="225"/>
      <c r="AML46" s="225"/>
      <c r="AMM46" s="225"/>
      <c r="AMN46" s="225"/>
      <c r="AMO46" s="225"/>
      <c r="AMP46" s="225"/>
      <c r="AMQ46" s="225"/>
      <c r="AMR46" s="225"/>
      <c r="AMS46" s="225"/>
      <c r="AMT46" s="225"/>
      <c r="AMU46" s="225"/>
      <c r="AMV46" s="225"/>
      <c r="AMW46" s="225"/>
      <c r="AMX46" s="225"/>
      <c r="AMY46" s="225"/>
      <c r="AMZ46" s="225"/>
      <c r="ANA46" s="225"/>
      <c r="ANB46" s="225"/>
      <c r="ANC46" s="225"/>
      <c r="AND46" s="225"/>
      <c r="ANE46" s="225"/>
      <c r="ANF46" s="225"/>
      <c r="ANG46" s="225"/>
      <c r="ANH46" s="225"/>
      <c r="ANI46" s="225"/>
      <c r="ANJ46" s="225"/>
      <c r="ANK46" s="225"/>
      <c r="ANL46" s="225"/>
      <c r="ANM46" s="225"/>
      <c r="ANN46" s="225"/>
      <c r="ANO46" s="225"/>
      <c r="ANP46" s="225"/>
      <c r="ANQ46" s="225"/>
      <c r="ANR46" s="225"/>
      <c r="ANS46" s="225"/>
      <c r="ANT46" s="225"/>
      <c r="ANU46" s="225"/>
      <c r="ANV46" s="225"/>
      <c r="ANW46" s="225"/>
      <c r="ANX46" s="225"/>
      <c r="ANY46" s="225"/>
      <c r="ANZ46" s="225"/>
      <c r="AOA46" s="225"/>
      <c r="AOB46" s="225"/>
      <c r="AOC46" s="225"/>
      <c r="AOD46" s="225"/>
      <c r="AOE46" s="225"/>
      <c r="AOF46" s="225"/>
      <c r="AOG46" s="225"/>
      <c r="AOH46" s="225"/>
      <c r="AOI46" s="225"/>
      <c r="AOJ46" s="225"/>
      <c r="AOK46" s="225"/>
      <c r="AOL46" s="225"/>
      <c r="AOM46" s="225"/>
      <c r="AON46" s="225"/>
      <c r="AOO46" s="225"/>
      <c r="AOP46" s="225"/>
      <c r="AOQ46" s="225"/>
      <c r="AOR46" s="225"/>
      <c r="AOS46" s="225"/>
      <c r="AOT46" s="225"/>
      <c r="AOU46" s="225"/>
      <c r="AOV46" s="225"/>
      <c r="AOW46" s="225"/>
      <c r="AOX46" s="225"/>
      <c r="AOY46" s="225"/>
      <c r="AOZ46" s="225"/>
      <c r="APA46" s="225"/>
      <c r="APB46" s="225"/>
      <c r="APC46" s="225"/>
      <c r="APD46" s="225"/>
      <c r="APE46" s="225"/>
      <c r="APF46" s="225"/>
      <c r="APG46" s="225"/>
      <c r="APH46" s="225"/>
      <c r="API46" s="225"/>
      <c r="APJ46" s="225"/>
      <c r="APK46" s="225"/>
      <c r="APL46" s="225"/>
      <c r="APM46" s="225"/>
      <c r="APN46" s="225"/>
      <c r="APO46" s="225"/>
      <c r="APP46" s="225"/>
      <c r="APQ46" s="225"/>
      <c r="APR46" s="225"/>
      <c r="APS46" s="225"/>
      <c r="APT46" s="225"/>
      <c r="APU46" s="225"/>
      <c r="APV46" s="225"/>
      <c r="APW46" s="225"/>
      <c r="APX46" s="225"/>
      <c r="APY46" s="225"/>
      <c r="APZ46" s="225"/>
      <c r="AQA46" s="225"/>
      <c r="AQB46" s="225"/>
      <c r="AQC46" s="225"/>
      <c r="AQD46" s="225"/>
      <c r="AQE46" s="225"/>
      <c r="AQF46" s="225"/>
      <c r="AQG46" s="225"/>
      <c r="AQH46" s="225"/>
      <c r="AQI46" s="225"/>
      <c r="AQJ46" s="225"/>
      <c r="AQK46" s="225"/>
      <c r="AQL46" s="225"/>
      <c r="AQM46" s="225"/>
      <c r="AQN46" s="225"/>
      <c r="AQO46" s="225"/>
      <c r="AQP46" s="225"/>
      <c r="AQQ46" s="225"/>
      <c r="AQR46" s="225"/>
      <c r="AQS46" s="225"/>
      <c r="AQT46" s="225"/>
      <c r="AQU46" s="225"/>
      <c r="AQV46" s="225"/>
      <c r="AQW46" s="225"/>
      <c r="AQX46" s="225"/>
      <c r="AQY46" s="225"/>
      <c r="AQZ46" s="225"/>
      <c r="ARA46" s="225"/>
      <c r="ARB46" s="225"/>
      <c r="ARC46" s="225"/>
      <c r="ARD46" s="225"/>
      <c r="ARE46" s="225"/>
      <c r="ARF46" s="225"/>
      <c r="ARG46" s="225"/>
      <c r="ARH46" s="225"/>
      <c r="ARI46" s="225"/>
      <c r="ARJ46" s="225"/>
      <c r="ARK46" s="225"/>
      <c r="ARL46" s="225"/>
      <c r="ARM46" s="225"/>
      <c r="ARN46" s="225"/>
      <c r="ARO46" s="225"/>
      <c r="ARP46" s="225"/>
      <c r="ARQ46" s="225"/>
      <c r="ARR46" s="225"/>
      <c r="ARS46" s="225"/>
      <c r="ART46" s="225"/>
      <c r="ARU46" s="225"/>
      <c r="ARV46" s="225"/>
      <c r="ARW46" s="225"/>
      <c r="ARX46" s="225"/>
      <c r="ARY46" s="225"/>
      <c r="ARZ46" s="225"/>
      <c r="ASA46" s="225"/>
      <c r="ASB46" s="225"/>
      <c r="ASC46" s="225"/>
      <c r="ASD46" s="225"/>
      <c r="ASE46" s="225"/>
      <c r="ASF46" s="225"/>
      <c r="ASG46" s="225"/>
      <c r="ASH46" s="225"/>
      <c r="ASI46" s="225"/>
      <c r="ASJ46" s="225"/>
      <c r="ASK46" s="225"/>
      <c r="ASL46" s="225"/>
      <c r="ASM46" s="225"/>
      <c r="ASN46" s="225"/>
      <c r="ASO46" s="225"/>
      <c r="ASP46" s="225"/>
      <c r="ASQ46" s="225"/>
      <c r="ASR46" s="225"/>
      <c r="ASS46" s="225"/>
      <c r="AST46" s="225"/>
      <c r="ASU46" s="225"/>
      <c r="ASV46" s="225"/>
      <c r="ASW46" s="225"/>
      <c r="ASX46" s="225"/>
      <c r="ASY46" s="225"/>
      <c r="ASZ46" s="225"/>
      <c r="ATA46" s="225"/>
      <c r="ATB46" s="225"/>
      <c r="ATC46" s="225"/>
      <c r="ATD46" s="225"/>
      <c r="ATE46" s="225"/>
      <c r="ATF46" s="225"/>
      <c r="ATG46" s="225"/>
      <c r="ATH46" s="225"/>
      <c r="ATI46" s="225"/>
      <c r="ATJ46" s="225"/>
      <c r="ATK46" s="225"/>
      <c r="ATL46" s="225"/>
      <c r="ATM46" s="225"/>
      <c r="ATN46" s="225"/>
      <c r="ATO46" s="225"/>
      <c r="ATP46" s="225"/>
      <c r="ATQ46" s="225"/>
      <c r="ATR46" s="225"/>
      <c r="ATS46" s="225"/>
      <c r="ATT46" s="225"/>
      <c r="ATU46" s="225"/>
      <c r="ATV46" s="225"/>
      <c r="ATW46" s="225"/>
      <c r="ATX46" s="225"/>
      <c r="ATY46" s="225"/>
      <c r="ATZ46" s="225"/>
      <c r="AUA46" s="225"/>
      <c r="AUB46" s="225"/>
      <c r="AUC46" s="225"/>
      <c r="AUD46" s="225"/>
      <c r="AUE46" s="225"/>
      <c r="AUF46" s="225"/>
      <c r="AUG46" s="225"/>
      <c r="AUH46" s="225"/>
      <c r="AUI46" s="225"/>
      <c r="AUJ46" s="225"/>
      <c r="AUK46" s="225"/>
      <c r="AUL46" s="225"/>
      <c r="AUM46" s="225"/>
      <c r="AUN46" s="225"/>
      <c r="AUO46" s="225"/>
      <c r="AUP46" s="225"/>
      <c r="AUQ46" s="225"/>
      <c r="AUR46" s="225"/>
      <c r="AUS46" s="225"/>
      <c r="AUT46" s="225"/>
      <c r="AUU46" s="225"/>
      <c r="AUV46" s="225"/>
      <c r="AUW46" s="225"/>
      <c r="AUX46" s="225"/>
      <c r="AUY46" s="225"/>
      <c r="AUZ46" s="225"/>
      <c r="AVA46" s="225"/>
      <c r="AVB46" s="225"/>
      <c r="AVC46" s="225"/>
      <c r="AVD46" s="225"/>
      <c r="AVE46" s="225"/>
      <c r="AVF46" s="225"/>
      <c r="AVG46" s="225"/>
      <c r="AVH46" s="225"/>
      <c r="AVI46" s="225"/>
      <c r="AVJ46" s="225"/>
      <c r="AVK46" s="225"/>
      <c r="AVL46" s="225"/>
      <c r="AVM46" s="225"/>
      <c r="AVN46" s="225"/>
      <c r="AVO46" s="225"/>
      <c r="AVP46" s="225"/>
      <c r="AVQ46" s="225"/>
      <c r="AVR46" s="225"/>
      <c r="AVS46" s="225"/>
      <c r="AVT46" s="225"/>
      <c r="AVU46" s="225"/>
      <c r="AVV46" s="225"/>
      <c r="AVW46" s="225"/>
      <c r="AVX46" s="225"/>
      <c r="AVY46" s="225"/>
      <c r="AVZ46" s="225"/>
      <c r="AWA46" s="225"/>
      <c r="AWB46" s="225"/>
      <c r="AWC46" s="225"/>
      <c r="AWD46" s="225"/>
      <c r="AWE46" s="225"/>
      <c r="AWF46" s="225"/>
      <c r="AWG46" s="225"/>
      <c r="AWH46" s="225"/>
      <c r="AWI46" s="225"/>
      <c r="AWJ46" s="225"/>
      <c r="AWK46" s="225"/>
      <c r="AWL46" s="225"/>
      <c r="AWM46" s="225"/>
      <c r="AWN46" s="225"/>
      <c r="AWO46" s="225"/>
      <c r="AWP46" s="225"/>
      <c r="AWQ46" s="225"/>
      <c r="AWR46" s="225"/>
      <c r="AWS46" s="225"/>
      <c r="AWT46" s="225"/>
      <c r="AWU46" s="225"/>
      <c r="AWV46" s="225"/>
      <c r="AWW46" s="225"/>
      <c r="AWX46" s="225"/>
      <c r="AWY46" s="225"/>
      <c r="AWZ46" s="225"/>
      <c r="AXA46" s="225"/>
      <c r="AXB46" s="225"/>
      <c r="AXC46" s="225"/>
      <c r="AXD46" s="225"/>
      <c r="AXE46" s="225"/>
      <c r="AXF46" s="225"/>
      <c r="AXG46" s="225"/>
      <c r="AXH46" s="225"/>
      <c r="AXI46" s="225"/>
      <c r="AXJ46" s="225"/>
      <c r="AXK46" s="225"/>
      <c r="AXL46" s="225"/>
      <c r="AXM46" s="225"/>
      <c r="AXN46" s="225"/>
      <c r="AXO46" s="225"/>
      <c r="AXP46" s="225"/>
      <c r="AXQ46" s="225"/>
      <c r="AXR46" s="225"/>
      <c r="AXS46" s="225"/>
      <c r="AXT46" s="225"/>
      <c r="AXU46" s="225"/>
      <c r="AXV46" s="225"/>
      <c r="AXW46" s="225"/>
      <c r="AXX46" s="225"/>
      <c r="AXY46" s="225"/>
      <c r="AXZ46" s="225"/>
      <c r="AYA46" s="225"/>
      <c r="AYB46" s="225"/>
      <c r="AYC46" s="225"/>
      <c r="AYD46" s="225"/>
      <c r="AYE46" s="225"/>
      <c r="AYF46" s="225"/>
      <c r="AYG46" s="225"/>
      <c r="AYH46" s="225"/>
      <c r="AYI46" s="225"/>
      <c r="AYJ46" s="225"/>
      <c r="AYK46" s="225"/>
      <c r="AYL46" s="225"/>
      <c r="AYM46" s="225"/>
      <c r="AYN46" s="225"/>
      <c r="AYO46" s="225"/>
      <c r="AYP46" s="225"/>
      <c r="AYQ46" s="225"/>
      <c r="AYR46" s="225"/>
      <c r="AYS46" s="225"/>
      <c r="AYT46" s="225"/>
      <c r="AYU46" s="225"/>
      <c r="AYV46" s="225"/>
      <c r="AYW46" s="225"/>
      <c r="AYX46" s="225"/>
      <c r="AYY46" s="225"/>
      <c r="AYZ46" s="225"/>
      <c r="AZA46" s="225"/>
      <c r="AZB46" s="225"/>
      <c r="AZC46" s="225"/>
      <c r="AZD46" s="225"/>
      <c r="AZE46" s="225"/>
      <c r="AZF46" s="225"/>
      <c r="AZG46" s="225"/>
      <c r="AZH46" s="225"/>
      <c r="AZI46" s="225"/>
      <c r="AZJ46" s="225"/>
      <c r="AZK46" s="225"/>
      <c r="AZL46" s="225"/>
      <c r="AZM46" s="225"/>
      <c r="AZN46" s="225"/>
      <c r="AZO46" s="225"/>
      <c r="AZP46" s="225"/>
      <c r="AZQ46" s="225"/>
      <c r="AZR46" s="225"/>
      <c r="AZS46" s="225"/>
      <c r="AZT46" s="225"/>
      <c r="AZU46" s="225"/>
      <c r="AZV46" s="225"/>
      <c r="AZW46" s="225"/>
      <c r="AZX46" s="225"/>
      <c r="AZY46" s="225"/>
      <c r="AZZ46" s="225"/>
      <c r="BAA46" s="225"/>
      <c r="BAB46" s="225"/>
      <c r="BAC46" s="225"/>
      <c r="BAD46" s="225"/>
      <c r="BAE46" s="225"/>
      <c r="BAF46" s="225"/>
      <c r="BAG46" s="225"/>
      <c r="BAH46" s="225"/>
      <c r="BAI46" s="225"/>
      <c r="BAJ46" s="225"/>
      <c r="BAK46" s="225"/>
      <c r="BAL46" s="225"/>
      <c r="BAM46" s="225"/>
      <c r="BAN46" s="225"/>
      <c r="BAO46" s="225"/>
      <c r="BAP46" s="225"/>
      <c r="BAQ46" s="225"/>
      <c r="BAR46" s="225"/>
      <c r="BAS46" s="225"/>
      <c r="BAT46" s="225"/>
      <c r="BAU46" s="225"/>
      <c r="BAV46" s="225"/>
      <c r="BAW46" s="225"/>
      <c r="BAX46" s="225"/>
      <c r="BAY46" s="225"/>
      <c r="BAZ46" s="225"/>
      <c r="BBA46" s="225"/>
      <c r="BBB46" s="225"/>
      <c r="BBC46" s="225"/>
      <c r="BBD46" s="225"/>
      <c r="BBE46" s="225"/>
      <c r="BBF46" s="225"/>
      <c r="BBG46" s="225"/>
      <c r="BBH46" s="225"/>
      <c r="BBI46" s="225"/>
      <c r="BBJ46" s="225"/>
      <c r="BBK46" s="225"/>
      <c r="BBL46" s="225"/>
      <c r="BBM46" s="225"/>
      <c r="BBN46" s="225"/>
      <c r="BBO46" s="225"/>
      <c r="BBP46" s="225"/>
      <c r="BBQ46" s="225"/>
      <c r="BBR46" s="225"/>
      <c r="BBS46" s="225"/>
      <c r="BBT46" s="225"/>
      <c r="BBU46" s="225"/>
      <c r="BBV46" s="225"/>
      <c r="BBW46" s="225"/>
      <c r="BBX46" s="225"/>
      <c r="BBY46" s="225"/>
      <c r="BBZ46" s="225"/>
      <c r="BCA46" s="225"/>
      <c r="BCB46" s="225"/>
      <c r="BCC46" s="225"/>
      <c r="BCD46" s="225"/>
      <c r="BCE46" s="225"/>
      <c r="BCF46" s="225"/>
      <c r="BCG46" s="225"/>
      <c r="BCH46" s="225"/>
      <c r="BCI46" s="225"/>
      <c r="BCJ46" s="225"/>
      <c r="BCK46" s="225"/>
      <c r="BCL46" s="225"/>
      <c r="BCM46" s="225"/>
      <c r="BCN46" s="225"/>
      <c r="BCO46" s="225"/>
      <c r="BCP46" s="225"/>
      <c r="BCQ46" s="225"/>
      <c r="BCR46" s="225"/>
      <c r="BCS46" s="225"/>
      <c r="BCT46" s="225"/>
      <c r="BCU46" s="225"/>
      <c r="BCV46" s="225"/>
      <c r="BCW46" s="225"/>
      <c r="BCX46" s="225"/>
      <c r="BCY46" s="225"/>
      <c r="BCZ46" s="225"/>
      <c r="BDA46" s="225"/>
      <c r="BDB46" s="225"/>
      <c r="BDC46" s="225"/>
      <c r="BDD46" s="225"/>
      <c r="BDE46" s="225"/>
      <c r="BDF46" s="225"/>
      <c r="BDG46" s="225"/>
      <c r="BDH46" s="225"/>
      <c r="BDI46" s="225"/>
      <c r="BDJ46" s="225"/>
      <c r="BDK46" s="225"/>
      <c r="BDL46" s="225"/>
      <c r="BDM46" s="225"/>
      <c r="BDN46" s="225"/>
      <c r="BDO46" s="225"/>
      <c r="BDP46" s="225"/>
      <c r="BDQ46" s="225"/>
      <c r="BDR46" s="225"/>
      <c r="BDS46" s="225"/>
      <c r="BDT46" s="225"/>
      <c r="BDU46" s="225"/>
      <c r="BDV46" s="225"/>
      <c r="BDW46" s="225"/>
      <c r="BDX46" s="225"/>
      <c r="BDY46" s="225"/>
      <c r="BDZ46" s="225"/>
      <c r="BEA46" s="225"/>
      <c r="BEB46" s="225"/>
      <c r="BEC46" s="225"/>
      <c r="BED46" s="225"/>
      <c r="BEE46" s="225"/>
      <c r="BEF46" s="225"/>
      <c r="BEG46" s="225"/>
      <c r="BEH46" s="225"/>
      <c r="BEI46" s="225"/>
      <c r="BEJ46" s="225"/>
      <c r="BEK46" s="225"/>
      <c r="BEL46" s="225"/>
      <c r="BEM46" s="225"/>
      <c r="BEN46" s="225"/>
      <c r="BEO46" s="225"/>
      <c r="BEP46" s="225"/>
      <c r="BEQ46" s="225"/>
      <c r="BER46" s="225"/>
      <c r="BES46" s="225"/>
      <c r="BET46" s="225"/>
      <c r="BEU46" s="225"/>
      <c r="BEV46" s="225"/>
      <c r="BEW46" s="225"/>
      <c r="BEX46" s="225"/>
      <c r="BEY46" s="225"/>
      <c r="BEZ46" s="225"/>
      <c r="BFA46" s="225"/>
      <c r="BFB46" s="225"/>
      <c r="BFC46" s="225"/>
      <c r="BFD46" s="225"/>
      <c r="BFE46" s="225"/>
      <c r="BFF46" s="225"/>
      <c r="BFG46" s="225"/>
      <c r="BFH46" s="225"/>
      <c r="BFI46" s="225"/>
      <c r="BFJ46" s="225"/>
      <c r="BFK46" s="225"/>
      <c r="BFL46" s="225"/>
      <c r="BFM46" s="225"/>
      <c r="BFN46" s="225"/>
      <c r="BFO46" s="225"/>
      <c r="BFP46" s="225"/>
      <c r="BFQ46" s="225"/>
      <c r="BFR46" s="225"/>
      <c r="BFS46" s="225"/>
      <c r="BFT46" s="225"/>
      <c r="BFU46" s="225"/>
      <c r="BFV46" s="225"/>
      <c r="BFW46" s="225"/>
      <c r="BFX46" s="225"/>
      <c r="BFY46" s="225"/>
      <c r="BFZ46" s="225"/>
      <c r="BGA46" s="225"/>
      <c r="BGB46" s="225"/>
      <c r="BGC46" s="225"/>
      <c r="BGD46" s="225"/>
      <c r="BGE46" s="225"/>
      <c r="BGF46" s="225"/>
      <c r="BGG46" s="225"/>
      <c r="BGH46" s="225"/>
      <c r="BGI46" s="225"/>
      <c r="BGJ46" s="225"/>
      <c r="BGK46" s="225"/>
      <c r="BGL46" s="225"/>
      <c r="BGM46" s="225"/>
      <c r="BGN46" s="225"/>
      <c r="BGO46" s="225"/>
      <c r="BGP46" s="225"/>
      <c r="BGQ46" s="225"/>
      <c r="BGR46" s="225"/>
      <c r="BGS46" s="225"/>
      <c r="BGT46" s="225"/>
      <c r="BGU46" s="225"/>
      <c r="BGV46" s="225"/>
      <c r="BGW46" s="225"/>
      <c r="BGX46" s="225"/>
      <c r="BGY46" s="225"/>
      <c r="BGZ46" s="225"/>
      <c r="BHA46" s="225"/>
      <c r="BHB46" s="225"/>
      <c r="BHC46" s="225"/>
      <c r="BHD46" s="225"/>
      <c r="BHE46" s="225"/>
      <c r="BHF46" s="225"/>
      <c r="BHG46" s="225"/>
      <c r="BHH46" s="225"/>
      <c r="BHI46" s="225"/>
      <c r="BHJ46" s="225"/>
      <c r="BHK46" s="225"/>
      <c r="BHL46" s="225"/>
      <c r="BHM46" s="225"/>
      <c r="BHN46" s="225"/>
      <c r="BHO46" s="225"/>
      <c r="BHP46" s="225"/>
      <c r="BHQ46" s="225"/>
      <c r="BHR46" s="225"/>
      <c r="BHS46" s="225"/>
      <c r="BHT46" s="225"/>
      <c r="BHU46" s="225"/>
      <c r="BHV46" s="225"/>
      <c r="BHW46" s="225"/>
      <c r="BHX46" s="225"/>
      <c r="BHY46" s="225"/>
      <c r="BHZ46" s="225"/>
      <c r="BIA46" s="225"/>
      <c r="BIB46" s="225"/>
      <c r="BIC46" s="225"/>
      <c r="BID46" s="225"/>
      <c r="BIE46" s="225"/>
      <c r="BIF46" s="225"/>
      <c r="BIG46" s="225"/>
      <c r="BIH46" s="225"/>
      <c r="BII46" s="225"/>
      <c r="BIJ46" s="225"/>
      <c r="BIK46" s="225"/>
      <c r="BIL46" s="225"/>
      <c r="BIM46" s="225"/>
      <c r="BIN46" s="225"/>
      <c r="BIO46" s="225"/>
      <c r="BIP46" s="225"/>
      <c r="BIQ46" s="225"/>
      <c r="BIR46" s="225"/>
      <c r="BIS46" s="225"/>
      <c r="BIT46" s="225"/>
      <c r="BIU46" s="225"/>
      <c r="BIV46" s="225"/>
      <c r="BIW46" s="225"/>
      <c r="BIX46" s="225"/>
      <c r="BIY46" s="225"/>
      <c r="BIZ46" s="225"/>
      <c r="BJA46" s="225"/>
      <c r="BJB46" s="225"/>
      <c r="BJC46" s="225"/>
      <c r="BJD46" s="225"/>
      <c r="BJE46" s="225"/>
      <c r="BJF46" s="225"/>
      <c r="BJG46" s="225"/>
      <c r="BJH46" s="225"/>
      <c r="BJI46" s="225"/>
      <c r="BJJ46" s="225"/>
      <c r="BJK46" s="225"/>
      <c r="BJL46" s="225"/>
      <c r="BJM46" s="225"/>
      <c r="BJN46" s="225"/>
      <c r="BJO46" s="225"/>
      <c r="BJP46" s="225"/>
      <c r="BJQ46" s="225"/>
      <c r="BJR46" s="225"/>
      <c r="BJS46" s="225"/>
      <c r="BJT46" s="225"/>
      <c r="BJU46" s="225"/>
      <c r="BJV46" s="225"/>
      <c r="BJW46" s="225"/>
      <c r="BJX46" s="225"/>
      <c r="BJY46" s="225"/>
      <c r="BJZ46" s="225"/>
      <c r="BKA46" s="225"/>
      <c r="BKB46" s="225"/>
      <c r="BKC46" s="225"/>
      <c r="BKD46" s="225"/>
      <c r="BKE46" s="225"/>
      <c r="BKF46" s="225"/>
      <c r="BKG46" s="225"/>
      <c r="BKH46" s="225"/>
      <c r="BKI46" s="225"/>
      <c r="BKJ46" s="225"/>
      <c r="BKK46" s="225"/>
      <c r="BKL46" s="225"/>
      <c r="BKM46" s="225"/>
      <c r="BKN46" s="225"/>
      <c r="BKO46" s="225"/>
      <c r="BKP46" s="225"/>
      <c r="BKQ46" s="225"/>
      <c r="BKR46" s="225"/>
      <c r="BKS46" s="225"/>
      <c r="BKT46" s="225"/>
      <c r="BKU46" s="225"/>
      <c r="BKV46" s="225"/>
      <c r="BKW46" s="225"/>
      <c r="BKX46" s="225"/>
      <c r="BKY46" s="225"/>
      <c r="BKZ46" s="225"/>
      <c r="BLA46" s="225"/>
      <c r="BLB46" s="225"/>
      <c r="BLC46" s="225"/>
      <c r="BLD46" s="225"/>
      <c r="BLE46" s="225"/>
      <c r="BLF46" s="225"/>
      <c r="BLG46" s="225"/>
      <c r="BLH46" s="225"/>
      <c r="BLI46" s="225"/>
      <c r="BLJ46" s="225"/>
      <c r="BLK46" s="225"/>
      <c r="BLL46" s="225"/>
      <c r="BLM46" s="225"/>
      <c r="BLN46" s="225"/>
      <c r="BLO46" s="225"/>
      <c r="BLP46" s="225"/>
      <c r="BLQ46" s="225"/>
      <c r="BLR46" s="225"/>
      <c r="BLS46" s="225"/>
      <c r="BLT46" s="225"/>
      <c r="BLU46" s="225"/>
      <c r="BLV46" s="225"/>
      <c r="BLW46" s="225"/>
      <c r="BLX46" s="225"/>
      <c r="BLY46" s="225"/>
      <c r="BLZ46" s="225"/>
      <c r="BMA46" s="225"/>
      <c r="BMB46" s="225"/>
      <c r="BMC46" s="225"/>
      <c r="BMD46" s="225"/>
      <c r="BME46" s="225"/>
      <c r="BMF46" s="225"/>
      <c r="BMG46" s="225"/>
      <c r="BMH46" s="225"/>
      <c r="BMI46" s="225"/>
      <c r="BMJ46" s="225"/>
      <c r="BMK46" s="225"/>
      <c r="BML46" s="225"/>
      <c r="BMM46" s="225"/>
      <c r="BMN46" s="225"/>
      <c r="BMO46" s="225"/>
      <c r="BMP46" s="225"/>
      <c r="BMQ46" s="225"/>
      <c r="BMR46" s="225"/>
      <c r="BMS46" s="225"/>
      <c r="BMT46" s="225"/>
      <c r="BMU46" s="225"/>
      <c r="BMV46" s="225"/>
      <c r="BMW46" s="225"/>
      <c r="BMX46" s="225"/>
      <c r="BMY46" s="225"/>
      <c r="BMZ46" s="225"/>
      <c r="BNA46" s="225"/>
      <c r="BNB46" s="225"/>
      <c r="BNC46" s="225"/>
      <c r="BND46" s="225"/>
      <c r="BNE46" s="225"/>
      <c r="BNF46" s="225"/>
      <c r="BNG46" s="225"/>
      <c r="BNH46" s="225"/>
      <c r="BNI46" s="225"/>
      <c r="BNJ46" s="225"/>
      <c r="BNK46" s="225"/>
      <c r="BNL46" s="225"/>
      <c r="BNM46" s="225"/>
      <c r="BNN46" s="225"/>
      <c r="BNO46" s="225"/>
      <c r="BNP46" s="225"/>
      <c r="BNQ46" s="225"/>
      <c r="BNR46" s="225"/>
      <c r="BNS46" s="225"/>
      <c r="BNT46" s="225"/>
      <c r="BNU46" s="225"/>
      <c r="BNV46" s="225"/>
      <c r="BNW46" s="225"/>
      <c r="BNX46" s="225"/>
      <c r="BNY46" s="225"/>
      <c r="BNZ46" s="225"/>
      <c r="BOA46" s="225"/>
      <c r="BOB46" s="225"/>
      <c r="BOC46" s="225"/>
      <c r="BOD46" s="225"/>
      <c r="BOE46" s="225"/>
      <c r="BOF46" s="225"/>
      <c r="BOG46" s="225"/>
      <c r="BOH46" s="225"/>
      <c r="BOI46" s="225"/>
      <c r="BOJ46" s="225"/>
      <c r="BOK46" s="225"/>
      <c r="BOL46" s="225"/>
      <c r="BOM46" s="225"/>
      <c r="BON46" s="225"/>
      <c r="BOO46" s="225"/>
      <c r="BOP46" s="225"/>
      <c r="BOQ46" s="225"/>
      <c r="BOR46" s="225"/>
      <c r="BOS46" s="225"/>
      <c r="BOT46" s="225"/>
      <c r="BOU46" s="225"/>
      <c r="BOV46" s="225"/>
      <c r="BOW46" s="225"/>
      <c r="BOX46" s="225"/>
      <c r="BOY46" s="225"/>
      <c r="BOZ46" s="225"/>
      <c r="BPA46" s="225"/>
      <c r="BPB46" s="225"/>
      <c r="BPC46" s="225"/>
      <c r="BPD46" s="225"/>
      <c r="BPE46" s="225"/>
      <c r="BPF46" s="225"/>
      <c r="BPG46" s="225"/>
      <c r="BPH46" s="225"/>
      <c r="BPI46" s="225"/>
      <c r="BPJ46" s="225"/>
      <c r="BPK46" s="225"/>
      <c r="BPL46" s="225"/>
      <c r="BPM46" s="225"/>
      <c r="BPN46" s="225"/>
      <c r="BPO46" s="225"/>
      <c r="BPP46" s="225"/>
      <c r="BPQ46" s="225"/>
      <c r="BPR46" s="225"/>
      <c r="BPS46" s="225"/>
      <c r="BPT46" s="225"/>
      <c r="BPU46" s="225"/>
      <c r="BPV46" s="225"/>
      <c r="BPW46" s="225"/>
      <c r="BPX46" s="225"/>
      <c r="BPY46" s="225"/>
      <c r="BPZ46" s="225"/>
      <c r="BQA46" s="225"/>
      <c r="BQB46" s="225"/>
      <c r="BQC46" s="225"/>
      <c r="BQD46" s="225"/>
      <c r="BQE46" s="225"/>
      <c r="BQF46" s="225"/>
      <c r="BQG46" s="225"/>
      <c r="BQH46" s="225"/>
      <c r="BQI46" s="225"/>
      <c r="BQJ46" s="225"/>
      <c r="BQK46" s="225"/>
      <c r="BQL46" s="225"/>
      <c r="BQM46" s="225"/>
      <c r="BQN46" s="225"/>
      <c r="BQO46" s="225"/>
      <c r="BQP46" s="225"/>
      <c r="BQQ46" s="225"/>
      <c r="BQR46" s="225"/>
      <c r="BQS46" s="225"/>
      <c r="BQT46" s="225"/>
      <c r="BQU46" s="225"/>
      <c r="BQV46" s="225"/>
      <c r="BQW46" s="225"/>
      <c r="BQX46" s="225"/>
      <c r="BQY46" s="225"/>
      <c r="BQZ46" s="225"/>
      <c r="BRA46" s="225"/>
      <c r="BRB46" s="225"/>
      <c r="BRC46" s="225"/>
      <c r="BRD46" s="225"/>
      <c r="BRE46" s="225"/>
      <c r="BRF46" s="225"/>
      <c r="BRG46" s="225"/>
      <c r="BRH46" s="225"/>
      <c r="BRI46" s="225"/>
      <c r="BRJ46" s="225"/>
      <c r="BRK46" s="225"/>
      <c r="BRL46" s="225"/>
      <c r="BRM46" s="225"/>
      <c r="BRN46" s="225"/>
      <c r="BRO46" s="225"/>
      <c r="BRP46" s="225"/>
      <c r="BRQ46" s="225"/>
      <c r="BRR46" s="225"/>
      <c r="BRS46" s="225"/>
      <c r="BRT46" s="225"/>
      <c r="BRU46" s="225"/>
      <c r="BRV46" s="225"/>
      <c r="BRW46" s="225"/>
      <c r="BRX46" s="225"/>
      <c r="BRY46" s="225"/>
      <c r="BRZ46" s="225"/>
      <c r="BSA46" s="225"/>
      <c r="BSB46" s="225"/>
      <c r="BSC46" s="225"/>
      <c r="BSD46" s="225"/>
      <c r="BSE46" s="225"/>
      <c r="BSF46" s="225"/>
      <c r="BSG46" s="225"/>
      <c r="BSH46" s="225"/>
      <c r="BSI46" s="225"/>
      <c r="BSJ46" s="225"/>
      <c r="BSK46" s="225"/>
      <c r="BSL46" s="225"/>
      <c r="BSM46" s="225"/>
      <c r="BSN46" s="225"/>
      <c r="BSO46" s="225"/>
      <c r="BSP46" s="225"/>
      <c r="BSQ46" s="225"/>
      <c r="BSR46" s="225"/>
      <c r="BSS46" s="225"/>
      <c r="BST46" s="225"/>
      <c r="BSU46" s="225"/>
      <c r="BSV46" s="225"/>
      <c r="BSW46" s="225"/>
      <c r="BSX46" s="225"/>
      <c r="BSY46" s="225"/>
      <c r="BSZ46" s="225"/>
      <c r="BTA46" s="225"/>
      <c r="BTB46" s="225"/>
      <c r="BTC46" s="225"/>
      <c r="BTD46" s="225"/>
      <c r="BTE46" s="225"/>
      <c r="BTF46" s="225"/>
      <c r="BTG46" s="225"/>
      <c r="BTH46" s="225"/>
      <c r="BTI46" s="225"/>
      <c r="BTJ46" s="225"/>
      <c r="BTK46" s="225"/>
      <c r="BTL46" s="225"/>
      <c r="BTM46" s="225"/>
      <c r="BTN46" s="225"/>
      <c r="BTO46" s="225"/>
      <c r="BTP46" s="225"/>
      <c r="BTQ46" s="225"/>
      <c r="BTR46" s="225"/>
      <c r="BTS46" s="225"/>
      <c r="BTT46" s="225"/>
      <c r="BTU46" s="225"/>
      <c r="BTV46" s="225"/>
      <c r="BTW46" s="225"/>
      <c r="BTX46" s="225"/>
      <c r="BTY46" s="225"/>
      <c r="BTZ46" s="225"/>
      <c r="BUA46" s="225"/>
      <c r="BUB46" s="225"/>
      <c r="BUC46" s="225"/>
      <c r="BUD46" s="225"/>
      <c r="BUE46" s="225"/>
      <c r="BUF46" s="225"/>
      <c r="BUG46" s="225"/>
      <c r="BUH46" s="225"/>
      <c r="BUI46" s="225"/>
      <c r="BUJ46" s="225"/>
      <c r="BUK46" s="225"/>
      <c r="BUL46" s="225"/>
      <c r="BUM46" s="225"/>
      <c r="BUN46" s="225"/>
      <c r="BUO46" s="225"/>
      <c r="BUP46" s="225"/>
      <c r="BUQ46" s="225"/>
      <c r="BUR46" s="225"/>
      <c r="BUS46" s="225"/>
      <c r="BUT46" s="225"/>
      <c r="BUU46" s="225"/>
      <c r="BUV46" s="225"/>
      <c r="BUW46" s="225"/>
      <c r="BUX46" s="225"/>
      <c r="BUY46" s="225"/>
      <c r="BUZ46" s="225"/>
      <c r="BVA46" s="225"/>
      <c r="BVB46" s="225"/>
      <c r="BVC46" s="225"/>
      <c r="BVD46" s="225"/>
      <c r="BVE46" s="225"/>
      <c r="BVF46" s="225"/>
      <c r="BVG46" s="225"/>
      <c r="BVH46" s="225"/>
      <c r="BVI46" s="225"/>
      <c r="BVJ46" s="225"/>
      <c r="BVK46" s="225"/>
      <c r="BVL46" s="225"/>
      <c r="BVM46" s="225"/>
      <c r="BVN46" s="225"/>
      <c r="BVO46" s="225"/>
      <c r="BVP46" s="225"/>
      <c r="BVQ46" s="225"/>
      <c r="BVR46" s="225"/>
      <c r="BVS46" s="225"/>
      <c r="BVT46" s="225"/>
      <c r="BVU46" s="225"/>
      <c r="BVV46" s="225"/>
      <c r="BVW46" s="225"/>
      <c r="BVX46" s="225"/>
      <c r="BVY46" s="225"/>
      <c r="BVZ46" s="225"/>
      <c r="BWA46" s="225"/>
      <c r="BWB46" s="225"/>
      <c r="BWC46" s="225"/>
      <c r="BWD46" s="225"/>
      <c r="BWE46" s="225"/>
      <c r="BWF46" s="225"/>
      <c r="BWG46" s="225"/>
      <c r="BWH46" s="225"/>
      <c r="BWI46" s="225"/>
      <c r="BWJ46" s="225"/>
      <c r="BWK46" s="225"/>
      <c r="BWL46" s="225"/>
      <c r="BWM46" s="225"/>
      <c r="BWN46" s="225"/>
      <c r="BWO46" s="225"/>
      <c r="BWP46" s="225"/>
      <c r="BWQ46" s="225"/>
      <c r="BWR46" s="225"/>
      <c r="BWS46" s="225"/>
      <c r="BWT46" s="225"/>
      <c r="BWU46" s="225"/>
      <c r="BWV46" s="225"/>
      <c r="BWW46" s="225"/>
      <c r="BWX46" s="225"/>
      <c r="BWY46" s="225"/>
      <c r="BWZ46" s="225"/>
      <c r="BXA46" s="225"/>
      <c r="BXB46" s="225"/>
      <c r="BXC46" s="225"/>
      <c r="BXD46" s="225"/>
      <c r="BXE46" s="225"/>
      <c r="BXF46" s="225"/>
      <c r="BXG46" s="225"/>
      <c r="BXH46" s="225"/>
      <c r="BXI46" s="225"/>
      <c r="BXJ46" s="225"/>
      <c r="BXK46" s="225"/>
      <c r="BXL46" s="225"/>
      <c r="BXM46" s="225"/>
      <c r="BXN46" s="225"/>
      <c r="BXO46" s="225"/>
      <c r="BXP46" s="225"/>
      <c r="BXQ46" s="225"/>
      <c r="BXR46" s="225"/>
      <c r="BXS46" s="225"/>
      <c r="BXT46" s="225"/>
      <c r="BXU46" s="225"/>
      <c r="BXV46" s="225"/>
      <c r="BXW46" s="225"/>
      <c r="BXX46" s="225"/>
      <c r="BXY46" s="225"/>
      <c r="BXZ46" s="225"/>
      <c r="BYA46" s="225"/>
      <c r="BYB46" s="225"/>
      <c r="BYC46" s="225"/>
      <c r="BYD46" s="225"/>
      <c r="BYE46" s="225"/>
      <c r="BYF46" s="225"/>
      <c r="BYG46" s="225"/>
      <c r="BYH46" s="225"/>
      <c r="BYI46" s="225"/>
      <c r="BYJ46" s="225"/>
      <c r="BYK46" s="225"/>
      <c r="BYL46" s="225"/>
      <c r="BYM46" s="225"/>
      <c r="BYN46" s="225"/>
      <c r="BYO46" s="225"/>
      <c r="BYP46" s="225"/>
      <c r="BYQ46" s="225"/>
      <c r="BYR46" s="225"/>
      <c r="BYS46" s="225"/>
      <c r="BYT46" s="225"/>
      <c r="BYU46" s="225"/>
      <c r="BYV46" s="225"/>
      <c r="BYW46" s="225"/>
      <c r="BYX46" s="225"/>
      <c r="BYY46" s="225"/>
      <c r="BYZ46" s="225"/>
      <c r="BZA46" s="225"/>
      <c r="BZB46" s="225"/>
      <c r="BZC46" s="225"/>
      <c r="BZD46" s="225"/>
      <c r="BZE46" s="225"/>
      <c r="BZF46" s="225"/>
      <c r="BZG46" s="225"/>
      <c r="BZH46" s="225"/>
      <c r="BZI46" s="225"/>
      <c r="BZJ46" s="225"/>
      <c r="BZK46" s="225"/>
      <c r="BZL46" s="225"/>
      <c r="BZM46" s="225"/>
      <c r="BZN46" s="225"/>
      <c r="BZO46" s="225"/>
      <c r="BZP46" s="225"/>
      <c r="BZQ46" s="225"/>
      <c r="BZR46" s="225"/>
      <c r="BZS46" s="225"/>
      <c r="BZT46" s="225"/>
      <c r="BZU46" s="225"/>
      <c r="BZV46" s="225"/>
      <c r="BZW46" s="225"/>
      <c r="BZX46" s="225"/>
      <c r="BZY46" s="225"/>
      <c r="BZZ46" s="225"/>
      <c r="CAA46" s="225"/>
      <c r="CAB46" s="225"/>
      <c r="CAC46" s="225"/>
      <c r="CAD46" s="225"/>
      <c r="CAE46" s="225"/>
      <c r="CAF46" s="225"/>
      <c r="CAG46" s="225"/>
      <c r="CAH46" s="225"/>
      <c r="CAI46" s="225"/>
      <c r="CAJ46" s="225"/>
      <c r="CAK46" s="225"/>
      <c r="CAL46" s="225"/>
      <c r="CAM46" s="225"/>
      <c r="CAN46" s="225"/>
      <c r="CAO46" s="225"/>
      <c r="CAP46" s="225"/>
      <c r="CAQ46" s="225"/>
      <c r="CAR46" s="225"/>
      <c r="CAS46" s="225"/>
      <c r="CAT46" s="225"/>
      <c r="CAU46" s="225"/>
      <c r="CAV46" s="225"/>
      <c r="CAW46" s="225"/>
      <c r="CAX46" s="225"/>
      <c r="CAY46" s="225"/>
      <c r="CAZ46" s="225"/>
      <c r="CBA46" s="225"/>
      <c r="CBB46" s="225"/>
      <c r="CBC46" s="225"/>
      <c r="CBD46" s="225"/>
      <c r="CBE46" s="225"/>
      <c r="CBF46" s="225"/>
      <c r="CBG46" s="225"/>
      <c r="CBH46" s="225"/>
      <c r="CBI46" s="225"/>
      <c r="CBJ46" s="225"/>
      <c r="CBK46" s="225"/>
      <c r="CBL46" s="225"/>
      <c r="CBM46" s="225"/>
      <c r="CBN46" s="225"/>
      <c r="CBO46" s="225"/>
      <c r="CBP46" s="225"/>
      <c r="CBQ46" s="225"/>
      <c r="CBR46" s="225"/>
      <c r="CBS46" s="225"/>
      <c r="CBT46" s="225"/>
      <c r="CBU46" s="225"/>
      <c r="CBV46" s="225"/>
      <c r="CBW46" s="225"/>
      <c r="CBX46" s="225"/>
      <c r="CBY46" s="225"/>
      <c r="CBZ46" s="225"/>
      <c r="CCA46" s="225"/>
      <c r="CCB46" s="225"/>
      <c r="CCC46" s="225"/>
      <c r="CCD46" s="225"/>
      <c r="CCE46" s="225"/>
      <c r="CCF46" s="225"/>
      <c r="CCG46" s="225"/>
      <c r="CCH46" s="225"/>
      <c r="CCI46" s="225"/>
      <c r="CCJ46" s="225"/>
      <c r="CCK46" s="225"/>
      <c r="CCL46" s="225"/>
      <c r="CCM46" s="225"/>
      <c r="CCN46" s="225"/>
      <c r="CCO46" s="225"/>
      <c r="CCP46" s="225"/>
      <c r="CCQ46" s="225"/>
      <c r="CCR46" s="225"/>
      <c r="CCS46" s="225"/>
      <c r="CCT46" s="225"/>
      <c r="CCU46" s="225"/>
      <c r="CCV46" s="225"/>
      <c r="CCW46" s="225"/>
      <c r="CCX46" s="225"/>
      <c r="CCY46" s="225"/>
      <c r="CCZ46" s="225"/>
      <c r="CDA46" s="225"/>
      <c r="CDB46" s="225"/>
      <c r="CDC46" s="225"/>
      <c r="CDD46" s="225"/>
      <c r="CDE46" s="225"/>
      <c r="CDF46" s="225"/>
      <c r="CDG46" s="225"/>
      <c r="CDH46" s="225"/>
      <c r="CDI46" s="225"/>
      <c r="CDJ46" s="225"/>
      <c r="CDK46" s="225"/>
      <c r="CDL46" s="225"/>
      <c r="CDM46" s="225"/>
      <c r="CDN46" s="225"/>
      <c r="CDO46" s="225"/>
      <c r="CDP46" s="225"/>
      <c r="CDQ46" s="225"/>
      <c r="CDR46" s="225"/>
      <c r="CDS46" s="225"/>
      <c r="CDT46" s="225"/>
      <c r="CDU46" s="225"/>
      <c r="CDV46" s="225"/>
      <c r="CDW46" s="225"/>
      <c r="CDX46" s="225"/>
      <c r="CDY46" s="225"/>
      <c r="CDZ46" s="225"/>
      <c r="CEA46" s="225"/>
      <c r="CEB46" s="225"/>
      <c r="CEC46" s="225"/>
      <c r="CED46" s="225"/>
      <c r="CEE46" s="225"/>
      <c r="CEF46" s="225"/>
      <c r="CEG46" s="225"/>
      <c r="CEH46" s="225"/>
      <c r="CEI46" s="225"/>
      <c r="CEJ46" s="225"/>
      <c r="CEK46" s="225"/>
      <c r="CEL46" s="225"/>
      <c r="CEM46" s="225"/>
      <c r="CEN46" s="225"/>
      <c r="CEO46" s="225"/>
      <c r="CEP46" s="225"/>
      <c r="CEQ46" s="225"/>
      <c r="CER46" s="225"/>
      <c r="CES46" s="225"/>
      <c r="CET46" s="225"/>
      <c r="CEU46" s="225"/>
      <c r="CEV46" s="225"/>
      <c r="CEW46" s="225"/>
      <c r="CEX46" s="225"/>
      <c r="CEY46" s="225"/>
      <c r="CEZ46" s="225"/>
      <c r="CFA46" s="225"/>
      <c r="CFB46" s="225"/>
      <c r="CFC46" s="225"/>
      <c r="CFD46" s="225"/>
      <c r="CFE46" s="225"/>
      <c r="CFF46" s="225"/>
      <c r="CFG46" s="225"/>
      <c r="CFH46" s="225"/>
      <c r="CFI46" s="225"/>
      <c r="CFJ46" s="225"/>
      <c r="CFK46" s="225"/>
      <c r="CFL46" s="225"/>
      <c r="CFM46" s="225"/>
      <c r="CFN46" s="225"/>
      <c r="CFO46" s="225"/>
      <c r="CFP46" s="225"/>
      <c r="CFQ46" s="225"/>
      <c r="CFR46" s="225"/>
      <c r="CFS46" s="225"/>
      <c r="CFT46" s="225"/>
      <c r="CFU46" s="225"/>
      <c r="CFV46" s="225"/>
      <c r="CFW46" s="225"/>
      <c r="CFX46" s="225"/>
      <c r="CFY46" s="225"/>
      <c r="CFZ46" s="225"/>
      <c r="CGA46" s="225"/>
      <c r="CGB46" s="225"/>
      <c r="CGC46" s="225"/>
      <c r="CGD46" s="225"/>
      <c r="CGE46" s="225"/>
      <c r="CGF46" s="225"/>
      <c r="CGG46" s="225"/>
      <c r="CGH46" s="225"/>
      <c r="CGI46" s="225"/>
      <c r="CGJ46" s="225"/>
      <c r="CGK46" s="225"/>
      <c r="CGL46" s="225"/>
      <c r="CGM46" s="225"/>
      <c r="CGN46" s="225"/>
      <c r="CGO46" s="225"/>
      <c r="CGP46" s="225"/>
      <c r="CGQ46" s="225"/>
      <c r="CGR46" s="225"/>
      <c r="CGS46" s="225"/>
      <c r="CGT46" s="225"/>
      <c r="CGU46" s="225"/>
      <c r="CGV46" s="225"/>
      <c r="CGW46" s="225"/>
      <c r="CGX46" s="225"/>
      <c r="CGY46" s="225"/>
      <c r="CGZ46" s="225"/>
      <c r="CHA46" s="225"/>
      <c r="CHB46" s="225"/>
      <c r="CHC46" s="225"/>
      <c r="CHD46" s="225"/>
      <c r="CHE46" s="225"/>
      <c r="CHF46" s="225"/>
      <c r="CHG46" s="225"/>
      <c r="CHH46" s="225"/>
      <c r="CHI46" s="225"/>
      <c r="CHJ46" s="225"/>
      <c r="CHK46" s="225"/>
      <c r="CHL46" s="225"/>
      <c r="CHM46" s="225"/>
      <c r="CHN46" s="225"/>
      <c r="CHO46" s="225"/>
      <c r="CHP46" s="225"/>
      <c r="CHQ46" s="225"/>
      <c r="CHR46" s="225"/>
      <c r="CHS46" s="225"/>
      <c r="CHT46" s="225"/>
      <c r="CHU46" s="225"/>
      <c r="CHV46" s="225"/>
      <c r="CHW46" s="225"/>
      <c r="CHX46" s="225"/>
      <c r="CHY46" s="225"/>
      <c r="CHZ46" s="225"/>
      <c r="CIA46" s="225"/>
      <c r="CIB46" s="225"/>
      <c r="CIC46" s="225"/>
      <c r="CID46" s="225"/>
      <c r="CIE46" s="225"/>
      <c r="CIF46" s="225"/>
      <c r="CIG46" s="225"/>
      <c r="CIH46" s="225"/>
      <c r="CII46" s="225"/>
      <c r="CIJ46" s="225"/>
      <c r="CIK46" s="225"/>
      <c r="CIL46" s="225"/>
      <c r="CIM46" s="225"/>
      <c r="CIN46" s="225"/>
      <c r="CIO46" s="225"/>
      <c r="CIP46" s="225"/>
      <c r="CIQ46" s="225"/>
      <c r="CIR46" s="225"/>
      <c r="CIS46" s="225"/>
      <c r="CIT46" s="225"/>
      <c r="CIU46" s="225"/>
      <c r="CIV46" s="225"/>
      <c r="CIW46" s="225"/>
      <c r="CIX46" s="225"/>
      <c r="CIY46" s="225"/>
      <c r="CIZ46" s="225"/>
      <c r="CJA46" s="225"/>
      <c r="CJB46" s="225"/>
      <c r="CJC46" s="225"/>
      <c r="CJD46" s="225"/>
      <c r="CJE46" s="225"/>
      <c r="CJF46" s="225"/>
      <c r="CJG46" s="225"/>
      <c r="CJH46" s="225"/>
      <c r="CJI46" s="225"/>
      <c r="CJJ46" s="225"/>
      <c r="CJK46" s="225"/>
      <c r="CJL46" s="225"/>
      <c r="CJM46" s="225"/>
      <c r="CJN46" s="225"/>
      <c r="CJO46" s="225"/>
      <c r="CJP46" s="225"/>
      <c r="CJQ46" s="225"/>
      <c r="CJR46" s="225"/>
      <c r="CJS46" s="225"/>
      <c r="CJT46" s="225"/>
      <c r="CJU46" s="225"/>
      <c r="CJV46" s="225"/>
      <c r="CJW46" s="225"/>
      <c r="CJX46" s="225"/>
      <c r="CJY46" s="225"/>
      <c r="CJZ46" s="225"/>
      <c r="CKA46" s="225"/>
      <c r="CKB46" s="225"/>
      <c r="CKC46" s="225"/>
      <c r="CKD46" s="225"/>
      <c r="CKE46" s="225"/>
      <c r="CKF46" s="225"/>
      <c r="CKG46" s="225"/>
      <c r="CKH46" s="225"/>
      <c r="CKI46" s="225"/>
      <c r="CKJ46" s="225"/>
      <c r="CKK46" s="225"/>
      <c r="CKL46" s="225"/>
      <c r="CKM46" s="225"/>
      <c r="CKN46" s="225"/>
      <c r="CKO46" s="225"/>
      <c r="CKP46" s="225"/>
      <c r="CKQ46" s="225"/>
      <c r="CKR46" s="225"/>
      <c r="CKS46" s="225"/>
      <c r="CKT46" s="225"/>
      <c r="CKU46" s="225"/>
      <c r="CKV46" s="225"/>
      <c r="CKW46" s="225"/>
      <c r="CKX46" s="225"/>
      <c r="CKY46" s="225"/>
      <c r="CKZ46" s="225"/>
      <c r="CLA46" s="225"/>
      <c r="CLB46" s="225"/>
      <c r="CLC46" s="225"/>
      <c r="CLD46" s="225"/>
      <c r="CLE46" s="225"/>
      <c r="CLF46" s="225"/>
      <c r="CLG46" s="225"/>
      <c r="CLH46" s="225"/>
      <c r="CLI46" s="225"/>
      <c r="CLJ46" s="225"/>
      <c r="CLK46" s="225"/>
      <c r="CLL46" s="225"/>
      <c r="CLM46" s="225"/>
      <c r="CLN46" s="225"/>
      <c r="CLO46" s="225"/>
      <c r="CLP46" s="225"/>
      <c r="CLQ46" s="225"/>
      <c r="CLR46" s="225"/>
      <c r="CLS46" s="225"/>
      <c r="CLT46" s="225"/>
      <c r="CLU46" s="225"/>
      <c r="CLV46" s="225"/>
      <c r="CLW46" s="225"/>
      <c r="CLX46" s="225"/>
      <c r="CLY46" s="225"/>
      <c r="CLZ46" s="225"/>
      <c r="CMA46" s="225"/>
      <c r="CMB46" s="225"/>
      <c r="CMC46" s="225"/>
      <c r="CMD46" s="225"/>
      <c r="CME46" s="225"/>
      <c r="CMF46" s="225"/>
      <c r="CMG46" s="225"/>
      <c r="CMH46" s="225"/>
      <c r="CMI46" s="225"/>
      <c r="CMJ46" s="225"/>
      <c r="CMK46" s="225"/>
      <c r="CML46" s="225"/>
      <c r="CMM46" s="225"/>
      <c r="CMN46" s="225"/>
      <c r="CMO46" s="225"/>
      <c r="CMP46" s="225"/>
      <c r="CMQ46" s="225"/>
      <c r="CMR46" s="225"/>
      <c r="CMS46" s="225"/>
      <c r="CMT46" s="225"/>
      <c r="CMU46" s="225"/>
      <c r="CMV46" s="225"/>
      <c r="CMW46" s="225"/>
      <c r="CMX46" s="225"/>
      <c r="CMY46" s="225"/>
      <c r="CMZ46" s="225"/>
      <c r="CNA46" s="225"/>
      <c r="CNB46" s="225"/>
      <c r="CNC46" s="225"/>
      <c r="CND46" s="225"/>
      <c r="CNE46" s="225"/>
      <c r="CNF46" s="225"/>
      <c r="CNG46" s="225"/>
      <c r="CNH46" s="225"/>
      <c r="CNI46" s="225"/>
      <c r="CNJ46" s="225"/>
      <c r="CNK46" s="225"/>
      <c r="CNL46" s="225"/>
      <c r="CNM46" s="225"/>
      <c r="CNN46" s="225"/>
      <c r="CNO46" s="225"/>
      <c r="CNP46" s="225"/>
      <c r="CNQ46" s="225"/>
      <c r="CNR46" s="225"/>
      <c r="CNS46" s="225"/>
      <c r="CNT46" s="225"/>
      <c r="CNU46" s="225"/>
      <c r="CNV46" s="225"/>
      <c r="CNW46" s="225"/>
      <c r="CNX46" s="225"/>
      <c r="CNY46" s="225"/>
      <c r="CNZ46" s="225"/>
      <c r="COA46" s="225"/>
      <c r="COB46" s="225"/>
      <c r="COC46" s="225"/>
      <c r="COD46" s="225"/>
      <c r="COE46" s="225"/>
      <c r="COF46" s="225"/>
      <c r="COG46" s="225"/>
      <c r="COH46" s="225"/>
      <c r="COI46" s="225"/>
      <c r="COJ46" s="225"/>
      <c r="COK46" s="225"/>
      <c r="COL46" s="225"/>
      <c r="COM46" s="225"/>
      <c r="CON46" s="225"/>
      <c r="COO46" s="225"/>
      <c r="COP46" s="225"/>
      <c r="COQ46" s="225"/>
      <c r="COR46" s="225"/>
      <c r="COS46" s="225"/>
      <c r="COT46" s="225"/>
      <c r="COU46" s="225"/>
      <c r="COV46" s="225"/>
      <c r="COW46" s="225"/>
      <c r="COX46" s="225"/>
      <c r="COY46" s="225"/>
      <c r="COZ46" s="225"/>
      <c r="CPA46" s="225"/>
      <c r="CPB46" s="225"/>
      <c r="CPC46" s="225"/>
      <c r="CPD46" s="225"/>
      <c r="CPE46" s="225"/>
      <c r="CPF46" s="225"/>
      <c r="CPG46" s="225"/>
      <c r="CPH46" s="225"/>
      <c r="CPI46" s="225"/>
      <c r="CPJ46" s="225"/>
      <c r="CPK46" s="225"/>
      <c r="CPL46" s="225"/>
      <c r="CPM46" s="225"/>
      <c r="CPN46" s="225"/>
      <c r="CPO46" s="225"/>
      <c r="CPP46" s="225"/>
      <c r="CPQ46" s="225"/>
      <c r="CPR46" s="225"/>
      <c r="CPS46" s="225"/>
      <c r="CPT46" s="225"/>
      <c r="CPU46" s="225"/>
      <c r="CPV46" s="225"/>
      <c r="CPW46" s="225"/>
      <c r="CPX46" s="225"/>
      <c r="CPY46" s="225"/>
      <c r="CPZ46" s="225"/>
      <c r="CQA46" s="225"/>
      <c r="CQB46" s="225"/>
      <c r="CQC46" s="225"/>
      <c r="CQD46" s="225"/>
      <c r="CQE46" s="225"/>
      <c r="CQF46" s="225"/>
      <c r="CQG46" s="225"/>
      <c r="CQH46" s="225"/>
      <c r="CQI46" s="225"/>
      <c r="CQJ46" s="225"/>
      <c r="CQK46" s="225"/>
      <c r="CQL46" s="225"/>
      <c r="CQM46" s="225"/>
      <c r="CQN46" s="225"/>
      <c r="CQO46" s="225"/>
      <c r="CQP46" s="225"/>
      <c r="CQQ46" s="225"/>
      <c r="CQR46" s="225"/>
      <c r="CQS46" s="225"/>
      <c r="CQT46" s="225"/>
      <c r="CQU46" s="225"/>
      <c r="CQV46" s="225"/>
      <c r="CQW46" s="225"/>
      <c r="CQX46" s="225"/>
      <c r="CQY46" s="225"/>
      <c r="CQZ46" s="225"/>
      <c r="CRA46" s="225"/>
      <c r="CRB46" s="225"/>
      <c r="CRC46" s="225"/>
      <c r="CRD46" s="225"/>
      <c r="CRE46" s="225"/>
      <c r="CRF46" s="225"/>
      <c r="CRG46" s="225"/>
      <c r="CRH46" s="225"/>
      <c r="CRI46" s="225"/>
      <c r="CRJ46" s="225"/>
      <c r="CRK46" s="225"/>
      <c r="CRL46" s="225"/>
      <c r="CRM46" s="225"/>
      <c r="CRN46" s="225"/>
      <c r="CRO46" s="225"/>
      <c r="CRP46" s="225"/>
      <c r="CRQ46" s="225"/>
      <c r="CRR46" s="225"/>
      <c r="CRS46" s="225"/>
      <c r="CRT46" s="225"/>
      <c r="CRU46" s="225"/>
      <c r="CRV46" s="225"/>
      <c r="CRW46" s="225"/>
      <c r="CRX46" s="225"/>
      <c r="CRY46" s="225"/>
      <c r="CRZ46" s="225"/>
      <c r="CSA46" s="225"/>
      <c r="CSB46" s="225"/>
      <c r="CSC46" s="225"/>
      <c r="CSD46" s="225"/>
      <c r="CSE46" s="225"/>
      <c r="CSF46" s="225"/>
      <c r="CSG46" s="225"/>
      <c r="CSH46" s="225"/>
      <c r="CSI46" s="225"/>
      <c r="CSJ46" s="225"/>
      <c r="CSK46" s="225"/>
      <c r="CSL46" s="225"/>
      <c r="CSM46" s="225"/>
      <c r="CSN46" s="225"/>
      <c r="CSO46" s="225"/>
      <c r="CSP46" s="225"/>
      <c r="CSQ46" s="225"/>
      <c r="CSR46" s="225"/>
      <c r="CSS46" s="225"/>
      <c r="CST46" s="225"/>
      <c r="CSU46" s="225"/>
      <c r="CSV46" s="225"/>
      <c r="CSW46" s="225"/>
      <c r="CSX46" s="225"/>
      <c r="CSY46" s="225"/>
      <c r="CSZ46" s="225"/>
      <c r="CTA46" s="225"/>
      <c r="CTB46" s="225"/>
      <c r="CTC46" s="225"/>
      <c r="CTD46" s="225"/>
      <c r="CTE46" s="225"/>
      <c r="CTF46" s="225"/>
      <c r="CTG46" s="225"/>
      <c r="CTH46" s="225"/>
      <c r="CTI46" s="225"/>
      <c r="CTJ46" s="225"/>
      <c r="CTK46" s="225"/>
      <c r="CTL46" s="225"/>
      <c r="CTM46" s="225"/>
      <c r="CTN46" s="225"/>
      <c r="CTO46" s="225"/>
      <c r="CTP46" s="225"/>
      <c r="CTQ46" s="225"/>
      <c r="CTR46" s="225"/>
      <c r="CTS46" s="225"/>
      <c r="CTT46" s="225"/>
      <c r="CTU46" s="225"/>
      <c r="CTV46" s="225"/>
      <c r="CTW46" s="225"/>
      <c r="CTX46" s="225"/>
      <c r="CTY46" s="225"/>
      <c r="CTZ46" s="225"/>
      <c r="CUA46" s="225"/>
      <c r="CUB46" s="225"/>
      <c r="CUC46" s="225"/>
      <c r="CUD46" s="225"/>
      <c r="CUE46" s="225"/>
      <c r="CUF46" s="225"/>
      <c r="CUG46" s="225"/>
      <c r="CUH46" s="225"/>
      <c r="CUI46" s="225"/>
      <c r="CUJ46" s="225"/>
      <c r="CUK46" s="225"/>
      <c r="CUL46" s="225"/>
      <c r="CUM46" s="225"/>
      <c r="CUN46" s="225"/>
      <c r="CUO46" s="225"/>
      <c r="CUP46" s="225"/>
      <c r="CUQ46" s="225"/>
      <c r="CUR46" s="225"/>
      <c r="CUS46" s="225"/>
      <c r="CUT46" s="225"/>
      <c r="CUU46" s="225"/>
      <c r="CUV46" s="225"/>
      <c r="CUW46" s="225"/>
      <c r="CUX46" s="225"/>
      <c r="CUY46" s="225"/>
      <c r="CUZ46" s="225"/>
      <c r="CVA46" s="225"/>
      <c r="CVB46" s="225"/>
      <c r="CVC46" s="225"/>
      <c r="CVD46" s="225"/>
      <c r="CVE46" s="225"/>
      <c r="CVF46" s="225"/>
      <c r="CVG46" s="225"/>
      <c r="CVH46" s="225"/>
      <c r="CVI46" s="225"/>
      <c r="CVJ46" s="225"/>
      <c r="CVK46" s="225"/>
      <c r="CVL46" s="225"/>
      <c r="CVM46" s="225"/>
      <c r="CVN46" s="225"/>
      <c r="CVO46" s="225"/>
      <c r="CVP46" s="225"/>
      <c r="CVQ46" s="225"/>
      <c r="CVR46" s="225"/>
      <c r="CVS46" s="225"/>
      <c r="CVT46" s="225"/>
      <c r="CVU46" s="225"/>
      <c r="CVV46" s="225"/>
      <c r="CVW46" s="225"/>
      <c r="CVX46" s="225"/>
      <c r="CVY46" s="225"/>
      <c r="CVZ46" s="225"/>
      <c r="CWA46" s="225"/>
      <c r="CWB46" s="225"/>
      <c r="CWC46" s="225"/>
      <c r="CWD46" s="225"/>
      <c r="CWE46" s="225"/>
      <c r="CWF46" s="225"/>
      <c r="CWG46" s="225"/>
      <c r="CWH46" s="225"/>
      <c r="CWI46" s="225"/>
      <c r="CWJ46" s="225"/>
      <c r="CWK46" s="225"/>
      <c r="CWL46" s="225"/>
      <c r="CWM46" s="225"/>
      <c r="CWN46" s="225"/>
      <c r="CWO46" s="225"/>
      <c r="CWP46" s="225"/>
      <c r="CWQ46" s="225"/>
      <c r="CWR46" s="225"/>
      <c r="CWS46" s="225"/>
      <c r="CWT46" s="225"/>
      <c r="CWU46" s="225"/>
      <c r="CWV46" s="225"/>
      <c r="CWW46" s="225"/>
      <c r="CWX46" s="225"/>
      <c r="CWY46" s="225"/>
      <c r="CWZ46" s="225"/>
      <c r="CXA46" s="225"/>
      <c r="CXB46" s="225"/>
      <c r="CXC46" s="225"/>
      <c r="CXD46" s="225"/>
      <c r="CXE46" s="225"/>
      <c r="CXF46" s="225"/>
      <c r="CXG46" s="225"/>
      <c r="CXH46" s="225"/>
      <c r="CXI46" s="225"/>
      <c r="CXJ46" s="225"/>
      <c r="CXK46" s="225"/>
      <c r="CXL46" s="225"/>
      <c r="CXM46" s="225"/>
      <c r="CXN46" s="225"/>
      <c r="CXO46" s="225"/>
      <c r="CXP46" s="225"/>
      <c r="CXQ46" s="225"/>
      <c r="CXR46" s="225"/>
      <c r="CXS46" s="225"/>
      <c r="CXT46" s="225"/>
      <c r="CXU46" s="225"/>
      <c r="CXV46" s="225"/>
      <c r="CXW46" s="225"/>
      <c r="CXX46" s="225"/>
      <c r="CXY46" s="225"/>
      <c r="CXZ46" s="225"/>
      <c r="CYA46" s="225"/>
      <c r="CYB46" s="225"/>
      <c r="CYC46" s="225"/>
      <c r="CYD46" s="225"/>
      <c r="CYE46" s="225"/>
      <c r="CYF46" s="225"/>
      <c r="CYG46" s="225"/>
      <c r="CYH46" s="225"/>
      <c r="CYI46" s="225"/>
      <c r="CYJ46" s="225"/>
      <c r="CYK46" s="225"/>
      <c r="CYL46" s="225"/>
      <c r="CYM46" s="225"/>
      <c r="CYN46" s="225"/>
      <c r="CYO46" s="225"/>
      <c r="CYP46" s="225"/>
      <c r="CYQ46" s="225"/>
      <c r="CYR46" s="225"/>
      <c r="CYS46" s="225"/>
      <c r="CYT46" s="225"/>
      <c r="CYU46" s="225"/>
      <c r="CYV46" s="225"/>
      <c r="CYW46" s="225"/>
      <c r="CYX46" s="225"/>
      <c r="CYY46" s="225"/>
      <c r="CYZ46" s="225"/>
      <c r="CZA46" s="225"/>
      <c r="CZB46" s="225"/>
      <c r="CZC46" s="225"/>
      <c r="CZD46" s="225"/>
      <c r="CZE46" s="225"/>
      <c r="CZF46" s="225"/>
      <c r="CZG46" s="225"/>
      <c r="CZH46" s="225"/>
      <c r="CZI46" s="225"/>
      <c r="CZJ46" s="225"/>
      <c r="CZK46" s="225"/>
      <c r="CZL46" s="225"/>
      <c r="CZM46" s="225"/>
      <c r="CZN46" s="225"/>
      <c r="CZO46" s="225"/>
      <c r="CZP46" s="225"/>
      <c r="CZQ46" s="225"/>
      <c r="CZR46" s="225"/>
      <c r="CZS46" s="225"/>
      <c r="CZT46" s="225"/>
      <c r="CZU46" s="225"/>
      <c r="CZV46" s="225"/>
      <c r="CZW46" s="225"/>
      <c r="CZX46" s="225"/>
      <c r="CZY46" s="225"/>
      <c r="CZZ46" s="225"/>
      <c r="DAA46" s="225"/>
      <c r="DAB46" s="225"/>
      <c r="DAC46" s="225"/>
      <c r="DAD46" s="225"/>
      <c r="DAE46" s="225"/>
      <c r="DAF46" s="225"/>
      <c r="DAG46" s="225"/>
      <c r="DAH46" s="225"/>
      <c r="DAI46" s="225"/>
      <c r="DAJ46" s="225"/>
      <c r="DAK46" s="225"/>
      <c r="DAL46" s="225"/>
      <c r="DAM46" s="225"/>
      <c r="DAN46" s="225"/>
      <c r="DAO46" s="225"/>
      <c r="DAP46" s="225"/>
      <c r="DAQ46" s="225"/>
      <c r="DAR46" s="225"/>
      <c r="DAS46" s="225"/>
      <c r="DAT46" s="225"/>
      <c r="DAU46" s="225"/>
      <c r="DAV46" s="225"/>
      <c r="DAW46" s="225"/>
      <c r="DAX46" s="225"/>
      <c r="DAY46" s="225"/>
      <c r="DAZ46" s="225"/>
      <c r="DBA46" s="225"/>
      <c r="DBB46" s="225"/>
      <c r="DBC46" s="225"/>
      <c r="DBD46" s="225"/>
      <c r="DBE46" s="225"/>
      <c r="DBF46" s="225"/>
      <c r="DBG46" s="225"/>
      <c r="DBH46" s="225"/>
      <c r="DBI46" s="225"/>
      <c r="DBJ46" s="225"/>
      <c r="DBK46" s="225"/>
      <c r="DBL46" s="225"/>
      <c r="DBM46" s="225"/>
      <c r="DBN46" s="225"/>
      <c r="DBO46" s="225"/>
      <c r="DBP46" s="225"/>
      <c r="DBQ46" s="225"/>
      <c r="DBR46" s="225"/>
      <c r="DBS46" s="225"/>
      <c r="DBT46" s="225"/>
      <c r="DBU46" s="225"/>
      <c r="DBV46" s="225"/>
      <c r="DBW46" s="225"/>
      <c r="DBX46" s="225"/>
      <c r="DBY46" s="225"/>
      <c r="DBZ46" s="225"/>
      <c r="DCA46" s="225"/>
      <c r="DCB46" s="225"/>
      <c r="DCC46" s="225"/>
      <c r="DCD46" s="225"/>
      <c r="DCE46" s="225"/>
      <c r="DCF46" s="225"/>
      <c r="DCG46" s="225"/>
      <c r="DCH46" s="225"/>
      <c r="DCI46" s="225"/>
      <c r="DCJ46" s="225"/>
      <c r="DCK46" s="225"/>
      <c r="DCL46" s="225"/>
      <c r="DCM46" s="225"/>
      <c r="DCN46" s="225"/>
      <c r="DCO46" s="225"/>
      <c r="DCP46" s="225"/>
      <c r="DCQ46" s="225"/>
      <c r="DCR46" s="225"/>
      <c r="DCS46" s="225"/>
      <c r="DCT46" s="225"/>
      <c r="DCU46" s="225"/>
      <c r="DCV46" s="225"/>
      <c r="DCW46" s="225"/>
      <c r="DCX46" s="225"/>
      <c r="DCY46" s="225"/>
      <c r="DCZ46" s="225"/>
      <c r="DDA46" s="225"/>
      <c r="DDB46" s="225"/>
      <c r="DDC46" s="225"/>
      <c r="DDD46" s="225"/>
      <c r="DDE46" s="225"/>
      <c r="DDF46" s="225"/>
      <c r="DDG46" s="225"/>
      <c r="DDH46" s="225"/>
      <c r="DDI46" s="225"/>
      <c r="DDJ46" s="225"/>
      <c r="DDK46" s="225"/>
      <c r="DDL46" s="225"/>
      <c r="DDM46" s="225"/>
      <c r="DDN46" s="225"/>
      <c r="DDO46" s="225"/>
      <c r="DDP46" s="225"/>
      <c r="DDQ46" s="225"/>
      <c r="DDR46" s="225"/>
      <c r="DDS46" s="225"/>
      <c r="DDT46" s="225"/>
      <c r="DDU46" s="225"/>
      <c r="DDV46" s="225"/>
      <c r="DDW46" s="225"/>
      <c r="DDX46" s="225"/>
      <c r="DDY46" s="225"/>
      <c r="DDZ46" s="225"/>
      <c r="DEA46" s="225"/>
      <c r="DEB46" s="225"/>
      <c r="DEC46" s="225"/>
      <c r="DED46" s="225"/>
      <c r="DEE46" s="225"/>
      <c r="DEF46" s="225"/>
      <c r="DEG46" s="225"/>
      <c r="DEH46" s="225"/>
      <c r="DEI46" s="225"/>
      <c r="DEJ46" s="225"/>
      <c r="DEK46" s="225"/>
      <c r="DEL46" s="225"/>
      <c r="DEM46" s="225"/>
      <c r="DEN46" s="225"/>
      <c r="DEO46" s="225"/>
      <c r="DEP46" s="225"/>
      <c r="DEQ46" s="225"/>
      <c r="DER46" s="225"/>
      <c r="DES46" s="225"/>
      <c r="DET46" s="225"/>
      <c r="DEU46" s="225"/>
      <c r="DEV46" s="225"/>
      <c r="DEW46" s="225"/>
      <c r="DEX46" s="225"/>
      <c r="DEY46" s="225"/>
      <c r="DEZ46" s="225"/>
      <c r="DFA46" s="225"/>
      <c r="DFB46" s="225"/>
      <c r="DFC46" s="225"/>
      <c r="DFD46" s="225"/>
      <c r="DFE46" s="225"/>
      <c r="DFF46" s="225"/>
      <c r="DFG46" s="225"/>
      <c r="DFH46" s="225"/>
      <c r="DFI46" s="225"/>
      <c r="DFJ46" s="225"/>
      <c r="DFK46" s="225"/>
      <c r="DFL46" s="225"/>
      <c r="DFM46" s="225"/>
      <c r="DFN46" s="225"/>
      <c r="DFO46" s="225"/>
      <c r="DFP46" s="225"/>
      <c r="DFQ46" s="225"/>
      <c r="DFR46" s="225"/>
      <c r="DFS46" s="225"/>
      <c r="DFT46" s="225"/>
      <c r="DFU46" s="225"/>
      <c r="DFV46" s="225"/>
      <c r="DFW46" s="225"/>
      <c r="DFX46" s="225"/>
      <c r="DFY46" s="225"/>
      <c r="DFZ46" s="225"/>
      <c r="DGA46" s="225"/>
      <c r="DGB46" s="225"/>
      <c r="DGC46" s="225"/>
      <c r="DGD46" s="225"/>
      <c r="DGE46" s="225"/>
      <c r="DGF46" s="225"/>
      <c r="DGG46" s="225"/>
      <c r="DGH46" s="225"/>
      <c r="DGI46" s="225"/>
      <c r="DGJ46" s="225"/>
      <c r="DGK46" s="225"/>
      <c r="DGL46" s="225"/>
      <c r="DGM46" s="225"/>
      <c r="DGN46" s="225"/>
      <c r="DGO46" s="225"/>
      <c r="DGP46" s="225"/>
      <c r="DGQ46" s="225"/>
      <c r="DGR46" s="225"/>
      <c r="DGS46" s="225"/>
      <c r="DGT46" s="225"/>
      <c r="DGU46" s="225"/>
      <c r="DGV46" s="225"/>
      <c r="DGW46" s="225"/>
      <c r="DGX46" s="225"/>
      <c r="DGY46" s="225"/>
      <c r="DGZ46" s="225"/>
      <c r="DHA46" s="225"/>
      <c r="DHB46" s="225"/>
      <c r="DHC46" s="225"/>
      <c r="DHD46" s="225"/>
      <c r="DHE46" s="225"/>
      <c r="DHF46" s="225"/>
      <c r="DHG46" s="225"/>
      <c r="DHH46" s="225"/>
      <c r="DHI46" s="225"/>
      <c r="DHJ46" s="225"/>
      <c r="DHK46" s="225"/>
      <c r="DHL46" s="225"/>
      <c r="DHM46" s="225"/>
      <c r="DHN46" s="225"/>
      <c r="DHO46" s="225"/>
      <c r="DHP46" s="225"/>
      <c r="DHQ46" s="225"/>
      <c r="DHR46" s="225"/>
      <c r="DHS46" s="225"/>
      <c r="DHT46" s="225"/>
      <c r="DHU46" s="225"/>
      <c r="DHV46" s="225"/>
      <c r="DHW46" s="225"/>
      <c r="DHX46" s="225"/>
      <c r="DHY46" s="225"/>
      <c r="DHZ46" s="225"/>
      <c r="DIA46" s="225"/>
      <c r="DIB46" s="225"/>
      <c r="DIC46" s="225"/>
      <c r="DID46" s="225"/>
      <c r="DIE46" s="225"/>
      <c r="DIF46" s="225"/>
      <c r="DIG46" s="225"/>
      <c r="DIH46" s="225"/>
      <c r="DII46" s="225"/>
      <c r="DIJ46" s="225"/>
      <c r="DIK46" s="225"/>
      <c r="DIL46" s="225"/>
      <c r="DIM46" s="225"/>
      <c r="DIN46" s="225"/>
      <c r="DIO46" s="225"/>
      <c r="DIP46" s="225"/>
      <c r="DIQ46" s="225"/>
      <c r="DIR46" s="225"/>
      <c r="DIS46" s="225"/>
      <c r="DIT46" s="225"/>
      <c r="DIU46" s="225"/>
      <c r="DIV46" s="225"/>
      <c r="DIW46" s="225"/>
      <c r="DIX46" s="225"/>
      <c r="DIY46" s="225"/>
      <c r="DIZ46" s="225"/>
      <c r="DJA46" s="225"/>
      <c r="DJB46" s="225"/>
      <c r="DJC46" s="225"/>
      <c r="DJD46" s="225"/>
      <c r="DJE46" s="225"/>
      <c r="DJF46" s="225"/>
      <c r="DJG46" s="225"/>
      <c r="DJH46" s="225"/>
      <c r="DJI46" s="225"/>
      <c r="DJJ46" s="225"/>
      <c r="DJK46" s="225"/>
      <c r="DJL46" s="225"/>
      <c r="DJM46" s="225"/>
      <c r="DJN46" s="225"/>
      <c r="DJO46" s="225"/>
      <c r="DJP46" s="225"/>
      <c r="DJQ46" s="225"/>
      <c r="DJR46" s="225"/>
      <c r="DJS46" s="225"/>
      <c r="DJT46" s="225"/>
      <c r="DJU46" s="225"/>
      <c r="DJV46" s="225"/>
      <c r="DJW46" s="225"/>
      <c r="DJX46" s="225"/>
      <c r="DJY46" s="225"/>
      <c r="DJZ46" s="225"/>
      <c r="DKA46" s="225"/>
      <c r="DKB46" s="225"/>
      <c r="DKC46" s="225"/>
      <c r="DKD46" s="225"/>
      <c r="DKE46" s="225"/>
      <c r="DKF46" s="225"/>
      <c r="DKG46" s="225"/>
      <c r="DKH46" s="225"/>
      <c r="DKI46" s="225"/>
      <c r="DKJ46" s="225"/>
      <c r="DKK46" s="225"/>
      <c r="DKL46" s="225"/>
      <c r="DKM46" s="225"/>
      <c r="DKN46" s="225"/>
      <c r="DKO46" s="225"/>
      <c r="DKP46" s="225"/>
      <c r="DKQ46" s="225"/>
      <c r="DKR46" s="225"/>
      <c r="DKS46" s="225"/>
      <c r="DKT46" s="225"/>
      <c r="DKU46" s="225"/>
      <c r="DKV46" s="225"/>
      <c r="DKW46" s="225"/>
      <c r="DKX46" s="225"/>
      <c r="DKY46" s="225"/>
      <c r="DKZ46" s="225"/>
      <c r="DLA46" s="225"/>
      <c r="DLB46" s="225"/>
      <c r="DLC46" s="225"/>
      <c r="DLD46" s="225"/>
      <c r="DLE46" s="225"/>
      <c r="DLF46" s="225"/>
      <c r="DLG46" s="225"/>
      <c r="DLH46" s="225"/>
      <c r="DLI46" s="225"/>
      <c r="DLJ46" s="225"/>
      <c r="DLK46" s="225"/>
      <c r="DLL46" s="225"/>
      <c r="DLM46" s="225"/>
      <c r="DLN46" s="225"/>
      <c r="DLO46" s="225"/>
      <c r="DLP46" s="225"/>
      <c r="DLQ46" s="225"/>
      <c r="DLR46" s="225"/>
      <c r="DLS46" s="225"/>
      <c r="DLT46" s="225"/>
      <c r="DLU46" s="225"/>
      <c r="DLV46" s="225"/>
      <c r="DLW46" s="225"/>
      <c r="DLX46" s="225"/>
      <c r="DLY46" s="225"/>
      <c r="DLZ46" s="225"/>
      <c r="DMA46" s="225"/>
      <c r="DMB46" s="225"/>
      <c r="DMC46" s="225"/>
      <c r="DMD46" s="225"/>
      <c r="DME46" s="225"/>
      <c r="DMF46" s="225"/>
      <c r="DMG46" s="225"/>
      <c r="DMH46" s="225"/>
      <c r="DMI46" s="225"/>
      <c r="DMJ46" s="225"/>
      <c r="DMK46" s="225"/>
      <c r="DML46" s="225"/>
      <c r="DMM46" s="225"/>
      <c r="DMN46" s="225"/>
      <c r="DMO46" s="225"/>
      <c r="DMP46" s="225"/>
      <c r="DMQ46" s="225"/>
      <c r="DMR46" s="225"/>
      <c r="DMS46" s="225"/>
      <c r="DMT46" s="225"/>
      <c r="DMU46" s="225"/>
      <c r="DMV46" s="225"/>
      <c r="DMW46" s="225"/>
      <c r="DMX46" s="225"/>
      <c r="DMY46" s="225"/>
      <c r="DMZ46" s="225"/>
      <c r="DNA46" s="225"/>
      <c r="DNB46" s="225"/>
      <c r="DNC46" s="225"/>
      <c r="DND46" s="225"/>
      <c r="DNE46" s="225"/>
      <c r="DNF46" s="225"/>
      <c r="DNG46" s="225"/>
      <c r="DNH46" s="225"/>
      <c r="DNI46" s="225"/>
      <c r="DNJ46" s="225"/>
      <c r="DNK46" s="225"/>
      <c r="DNL46" s="225"/>
      <c r="DNM46" s="225"/>
      <c r="DNN46" s="225"/>
      <c r="DNO46" s="225"/>
      <c r="DNP46" s="225"/>
      <c r="DNQ46" s="225"/>
      <c r="DNR46" s="225"/>
      <c r="DNS46" s="225"/>
      <c r="DNT46" s="225"/>
      <c r="DNU46" s="225"/>
      <c r="DNV46" s="225"/>
      <c r="DNW46" s="225"/>
      <c r="DNX46" s="225"/>
      <c r="DNY46" s="225"/>
      <c r="DNZ46" s="225"/>
      <c r="DOA46" s="225"/>
      <c r="DOB46" s="225"/>
      <c r="DOC46" s="225"/>
      <c r="DOD46" s="225"/>
      <c r="DOE46" s="225"/>
      <c r="DOF46" s="225"/>
      <c r="DOG46" s="225"/>
      <c r="DOH46" s="225"/>
      <c r="DOI46" s="225"/>
      <c r="DOJ46" s="225"/>
      <c r="DOK46" s="225"/>
      <c r="DOL46" s="225"/>
      <c r="DOM46" s="225"/>
      <c r="DON46" s="225"/>
      <c r="DOO46" s="225"/>
      <c r="DOP46" s="225"/>
      <c r="DOQ46" s="225"/>
      <c r="DOR46" s="225"/>
      <c r="DOS46" s="225"/>
      <c r="DOT46" s="225"/>
      <c r="DOU46" s="225"/>
      <c r="DOV46" s="225"/>
      <c r="DOW46" s="225"/>
      <c r="DOX46" s="225"/>
      <c r="DOY46" s="225"/>
      <c r="DOZ46" s="225"/>
      <c r="DPA46" s="225"/>
      <c r="DPB46" s="225"/>
      <c r="DPC46" s="225"/>
      <c r="DPD46" s="225"/>
      <c r="DPE46" s="225"/>
      <c r="DPF46" s="225"/>
      <c r="DPG46" s="225"/>
      <c r="DPH46" s="225"/>
      <c r="DPI46" s="225"/>
      <c r="DPJ46" s="225"/>
      <c r="DPK46" s="225"/>
      <c r="DPL46" s="225"/>
      <c r="DPM46" s="225"/>
      <c r="DPN46" s="225"/>
      <c r="DPO46" s="225"/>
      <c r="DPP46" s="225"/>
      <c r="DPQ46" s="225"/>
      <c r="DPR46" s="225"/>
      <c r="DPS46" s="225"/>
      <c r="DPT46" s="225"/>
      <c r="DPU46" s="225"/>
      <c r="DPV46" s="225"/>
      <c r="DPW46" s="225"/>
      <c r="DPX46" s="225"/>
      <c r="DPY46" s="225"/>
      <c r="DPZ46" s="225"/>
      <c r="DQA46" s="225"/>
      <c r="DQB46" s="225"/>
      <c r="DQC46" s="225"/>
      <c r="DQD46" s="225"/>
      <c r="DQE46" s="225"/>
      <c r="DQF46" s="225"/>
      <c r="DQG46" s="225"/>
      <c r="DQH46" s="225"/>
      <c r="DQI46" s="225"/>
      <c r="DQJ46" s="225"/>
      <c r="DQK46" s="225"/>
      <c r="DQL46" s="225"/>
      <c r="DQM46" s="225"/>
      <c r="DQN46" s="225"/>
      <c r="DQO46" s="225"/>
      <c r="DQP46" s="225"/>
      <c r="DQQ46" s="225"/>
      <c r="DQR46" s="225"/>
      <c r="DQS46" s="225"/>
      <c r="DQT46" s="225"/>
      <c r="DQU46" s="225"/>
      <c r="DQV46" s="225"/>
      <c r="DQW46" s="225"/>
      <c r="DQX46" s="225"/>
      <c r="DQY46" s="225"/>
      <c r="DQZ46" s="225"/>
      <c r="DRA46" s="225"/>
      <c r="DRB46" s="225"/>
      <c r="DRC46" s="225"/>
      <c r="DRD46" s="225"/>
      <c r="DRE46" s="225"/>
      <c r="DRF46" s="225"/>
      <c r="DRG46" s="225"/>
      <c r="DRH46" s="225"/>
      <c r="DRI46" s="225"/>
      <c r="DRJ46" s="225"/>
      <c r="DRK46" s="225"/>
      <c r="DRL46" s="225"/>
      <c r="DRM46" s="225"/>
      <c r="DRN46" s="225"/>
      <c r="DRO46" s="225"/>
      <c r="DRP46" s="225"/>
      <c r="DRQ46" s="225"/>
      <c r="DRR46" s="225"/>
      <c r="DRS46" s="225"/>
      <c r="DRT46" s="225"/>
      <c r="DRU46" s="225"/>
      <c r="DRV46" s="225"/>
      <c r="DRW46" s="225"/>
      <c r="DRX46" s="225"/>
      <c r="DRY46" s="225"/>
      <c r="DRZ46" s="225"/>
      <c r="DSA46" s="225"/>
      <c r="DSB46" s="225"/>
      <c r="DSC46" s="225"/>
      <c r="DSD46" s="225"/>
      <c r="DSE46" s="225"/>
      <c r="DSF46" s="225"/>
      <c r="DSG46" s="225"/>
      <c r="DSH46" s="225"/>
      <c r="DSI46" s="225"/>
      <c r="DSJ46" s="225"/>
      <c r="DSK46" s="225"/>
      <c r="DSL46" s="225"/>
      <c r="DSM46" s="225"/>
      <c r="DSN46" s="225"/>
      <c r="DSO46" s="225"/>
      <c r="DSP46" s="225"/>
      <c r="DSQ46" s="225"/>
      <c r="DSR46" s="225"/>
      <c r="DSS46" s="225"/>
      <c r="DST46" s="225"/>
      <c r="DSU46" s="225"/>
      <c r="DSV46" s="225"/>
      <c r="DSW46" s="225"/>
      <c r="DSX46" s="225"/>
      <c r="DSY46" s="225"/>
      <c r="DSZ46" s="225"/>
      <c r="DTA46" s="225"/>
      <c r="DTB46" s="225"/>
      <c r="DTC46" s="225"/>
      <c r="DTD46" s="225"/>
      <c r="DTE46" s="225"/>
      <c r="DTF46" s="225"/>
      <c r="DTG46" s="225"/>
      <c r="DTH46" s="225"/>
      <c r="DTI46" s="225"/>
      <c r="DTJ46" s="225"/>
      <c r="DTK46" s="225"/>
      <c r="DTL46" s="225"/>
      <c r="DTM46" s="225"/>
      <c r="DTN46" s="225"/>
      <c r="DTO46" s="225"/>
      <c r="DTP46" s="225"/>
      <c r="DTQ46" s="225"/>
      <c r="DTR46" s="225"/>
      <c r="DTS46" s="225"/>
      <c r="DTT46" s="225"/>
      <c r="DTU46" s="225"/>
      <c r="DTV46" s="225"/>
      <c r="DTW46" s="225"/>
      <c r="DTX46" s="225"/>
      <c r="DTY46" s="225"/>
      <c r="DTZ46" s="225"/>
      <c r="DUA46" s="225"/>
      <c r="DUB46" s="225"/>
      <c r="DUC46" s="225"/>
      <c r="DUD46" s="225"/>
      <c r="DUE46" s="225"/>
      <c r="DUF46" s="225"/>
      <c r="DUG46" s="225"/>
      <c r="DUH46" s="225"/>
      <c r="DUI46" s="225"/>
      <c r="DUJ46" s="225"/>
      <c r="DUK46" s="225"/>
      <c r="DUL46" s="225"/>
      <c r="DUM46" s="225"/>
      <c r="DUN46" s="225"/>
      <c r="DUO46" s="225"/>
      <c r="DUP46" s="225"/>
      <c r="DUQ46" s="225"/>
      <c r="DUR46" s="225"/>
      <c r="DUS46" s="225"/>
      <c r="DUT46" s="225"/>
      <c r="DUU46" s="225"/>
      <c r="DUV46" s="225"/>
      <c r="DUW46" s="225"/>
      <c r="DUX46" s="225"/>
      <c r="DUY46" s="225"/>
      <c r="DUZ46" s="225"/>
      <c r="DVA46" s="225"/>
      <c r="DVB46" s="225"/>
      <c r="DVC46" s="225"/>
      <c r="DVD46" s="225"/>
      <c r="DVE46" s="225"/>
      <c r="DVF46" s="225"/>
      <c r="DVG46" s="225"/>
      <c r="DVH46" s="225"/>
      <c r="DVI46" s="225"/>
      <c r="DVJ46" s="225"/>
      <c r="DVK46" s="225"/>
      <c r="DVL46" s="225"/>
      <c r="DVM46" s="225"/>
      <c r="DVN46" s="225"/>
      <c r="DVO46" s="225"/>
      <c r="DVP46" s="225"/>
      <c r="DVQ46" s="225"/>
      <c r="DVR46" s="225"/>
      <c r="DVS46" s="225"/>
      <c r="DVT46" s="225"/>
      <c r="DVU46" s="225"/>
      <c r="DVV46" s="225"/>
      <c r="DVW46" s="225"/>
      <c r="DVX46" s="225"/>
      <c r="DVY46" s="225"/>
      <c r="DVZ46" s="225"/>
      <c r="DWA46" s="225"/>
      <c r="DWB46" s="225"/>
      <c r="DWC46" s="225"/>
      <c r="DWD46" s="225"/>
      <c r="DWE46" s="225"/>
      <c r="DWF46" s="225"/>
      <c r="DWG46" s="225"/>
      <c r="DWH46" s="225"/>
      <c r="DWI46" s="225"/>
      <c r="DWJ46" s="225"/>
      <c r="DWK46" s="225"/>
      <c r="DWL46" s="225"/>
      <c r="DWM46" s="225"/>
      <c r="DWN46" s="225"/>
      <c r="DWO46" s="225"/>
      <c r="DWP46" s="225"/>
      <c r="DWQ46" s="225"/>
      <c r="DWR46" s="225"/>
      <c r="DWS46" s="225"/>
      <c r="DWT46" s="225"/>
      <c r="DWU46" s="225"/>
      <c r="DWV46" s="225"/>
      <c r="DWW46" s="225"/>
      <c r="DWX46" s="225"/>
      <c r="DWY46" s="225"/>
      <c r="DWZ46" s="225"/>
      <c r="DXA46" s="225"/>
      <c r="DXB46" s="225"/>
      <c r="DXC46" s="225"/>
      <c r="DXD46" s="225"/>
      <c r="DXE46" s="225"/>
      <c r="DXF46" s="225"/>
      <c r="DXG46" s="225"/>
      <c r="DXH46" s="225"/>
      <c r="DXI46" s="225"/>
      <c r="DXJ46" s="225"/>
      <c r="DXK46" s="225"/>
      <c r="DXL46" s="225"/>
      <c r="DXM46" s="225"/>
      <c r="DXN46" s="225"/>
      <c r="DXO46" s="225"/>
      <c r="DXP46" s="225"/>
      <c r="DXQ46" s="225"/>
      <c r="DXR46" s="225"/>
      <c r="DXS46" s="225"/>
      <c r="DXT46" s="225"/>
      <c r="DXU46" s="225"/>
      <c r="DXV46" s="225"/>
      <c r="DXW46" s="225"/>
      <c r="DXX46" s="225"/>
      <c r="DXY46" s="225"/>
      <c r="DXZ46" s="225"/>
      <c r="DYA46" s="225"/>
      <c r="DYB46" s="225"/>
      <c r="DYC46" s="225"/>
      <c r="DYD46" s="225"/>
      <c r="DYE46" s="225"/>
      <c r="DYF46" s="225"/>
      <c r="DYG46" s="225"/>
      <c r="DYH46" s="225"/>
      <c r="DYI46" s="225"/>
      <c r="DYJ46" s="225"/>
      <c r="DYK46" s="225"/>
      <c r="DYL46" s="225"/>
      <c r="DYM46" s="225"/>
      <c r="DYN46" s="225"/>
      <c r="DYO46" s="225"/>
      <c r="DYP46" s="225"/>
      <c r="DYQ46" s="225"/>
      <c r="DYR46" s="225"/>
      <c r="DYS46" s="225"/>
      <c r="DYT46" s="225"/>
      <c r="DYU46" s="225"/>
      <c r="DYV46" s="225"/>
      <c r="DYW46" s="225"/>
      <c r="DYX46" s="225"/>
      <c r="DYY46" s="225"/>
      <c r="DYZ46" s="225"/>
      <c r="DZA46" s="225"/>
      <c r="DZB46" s="225"/>
      <c r="DZC46" s="225"/>
      <c r="DZD46" s="225"/>
      <c r="DZE46" s="225"/>
      <c r="DZF46" s="225"/>
      <c r="DZG46" s="225"/>
      <c r="DZH46" s="225"/>
      <c r="DZI46" s="225"/>
      <c r="DZJ46" s="225"/>
      <c r="DZK46" s="225"/>
      <c r="DZL46" s="225"/>
      <c r="DZM46" s="225"/>
      <c r="DZN46" s="225"/>
      <c r="DZO46" s="225"/>
      <c r="DZP46" s="225"/>
      <c r="DZQ46" s="225"/>
      <c r="DZR46" s="225"/>
      <c r="DZS46" s="225"/>
      <c r="DZT46" s="225"/>
      <c r="DZU46" s="225"/>
      <c r="DZV46" s="225"/>
      <c r="DZW46" s="225"/>
      <c r="DZX46" s="225"/>
      <c r="DZY46" s="225"/>
      <c r="DZZ46" s="225"/>
      <c r="EAA46" s="225"/>
      <c r="EAB46" s="225"/>
      <c r="EAC46" s="225"/>
      <c r="EAD46" s="225"/>
      <c r="EAE46" s="225"/>
      <c r="EAF46" s="225"/>
      <c r="EAG46" s="225"/>
      <c r="EAH46" s="225"/>
      <c r="EAI46" s="225"/>
      <c r="EAJ46" s="225"/>
      <c r="EAK46" s="225"/>
      <c r="EAL46" s="225"/>
      <c r="EAM46" s="225"/>
      <c r="EAN46" s="225"/>
      <c r="EAO46" s="225"/>
      <c r="EAP46" s="225"/>
      <c r="EAQ46" s="225"/>
      <c r="EAR46" s="225"/>
      <c r="EAS46" s="225"/>
      <c r="EAT46" s="225"/>
      <c r="EAU46" s="225"/>
      <c r="EAV46" s="225"/>
      <c r="EAW46" s="225"/>
      <c r="EAX46" s="225"/>
      <c r="EAY46" s="225"/>
      <c r="EAZ46" s="225"/>
      <c r="EBA46" s="225"/>
      <c r="EBB46" s="225"/>
      <c r="EBC46" s="225"/>
      <c r="EBD46" s="225"/>
      <c r="EBE46" s="225"/>
      <c r="EBF46" s="225"/>
      <c r="EBG46" s="225"/>
      <c r="EBH46" s="225"/>
      <c r="EBI46" s="225"/>
      <c r="EBJ46" s="225"/>
      <c r="EBK46" s="225"/>
      <c r="EBL46" s="225"/>
      <c r="EBM46" s="225"/>
      <c r="EBN46" s="225"/>
      <c r="EBO46" s="225"/>
      <c r="EBP46" s="225"/>
      <c r="EBQ46" s="225"/>
      <c r="EBR46" s="225"/>
      <c r="EBS46" s="225"/>
      <c r="EBT46" s="225"/>
      <c r="EBU46" s="225"/>
      <c r="EBV46" s="225"/>
      <c r="EBW46" s="225"/>
      <c r="EBX46" s="225"/>
      <c r="EBY46" s="225"/>
      <c r="EBZ46" s="225"/>
      <c r="ECA46" s="225"/>
      <c r="ECB46" s="225"/>
      <c r="ECC46" s="225"/>
      <c r="ECD46" s="225"/>
      <c r="ECE46" s="225"/>
      <c r="ECF46" s="225"/>
      <c r="ECG46" s="225"/>
      <c r="ECH46" s="225"/>
      <c r="ECI46" s="225"/>
      <c r="ECJ46" s="225"/>
      <c r="ECK46" s="225"/>
      <c r="ECL46" s="225"/>
      <c r="ECM46" s="225"/>
      <c r="ECN46" s="225"/>
      <c r="ECO46" s="225"/>
      <c r="ECP46" s="225"/>
      <c r="ECQ46" s="225"/>
      <c r="ECR46" s="225"/>
      <c r="ECS46" s="225"/>
      <c r="ECT46" s="225"/>
      <c r="ECU46" s="225"/>
      <c r="ECV46" s="225"/>
      <c r="ECW46" s="225"/>
      <c r="ECX46" s="225"/>
      <c r="ECY46" s="225"/>
      <c r="ECZ46" s="225"/>
      <c r="EDA46" s="225"/>
      <c r="EDB46" s="225"/>
      <c r="EDC46" s="225"/>
      <c r="EDD46" s="225"/>
      <c r="EDE46" s="225"/>
      <c r="EDF46" s="225"/>
      <c r="EDG46" s="225"/>
      <c r="EDH46" s="225"/>
      <c r="EDI46" s="225"/>
      <c r="EDJ46" s="225"/>
      <c r="EDK46" s="225"/>
      <c r="EDL46" s="225"/>
      <c r="EDM46" s="225"/>
      <c r="EDN46" s="225"/>
      <c r="EDO46" s="225"/>
      <c r="EDP46" s="225"/>
      <c r="EDQ46" s="225"/>
      <c r="EDR46" s="225"/>
      <c r="EDS46" s="225"/>
      <c r="EDT46" s="225"/>
      <c r="EDU46" s="225"/>
      <c r="EDV46" s="225"/>
      <c r="EDW46" s="225"/>
      <c r="EDX46" s="225"/>
      <c r="EDY46" s="225"/>
      <c r="EDZ46" s="225"/>
      <c r="EEA46" s="225"/>
      <c r="EEB46" s="225"/>
      <c r="EEC46" s="225"/>
      <c r="EED46" s="225"/>
      <c r="EEE46" s="225"/>
      <c r="EEF46" s="225"/>
      <c r="EEG46" s="225"/>
      <c r="EEH46" s="225"/>
      <c r="EEI46" s="225"/>
      <c r="EEJ46" s="225"/>
      <c r="EEK46" s="225"/>
      <c r="EEL46" s="225"/>
      <c r="EEM46" s="225"/>
      <c r="EEN46" s="225"/>
      <c r="EEO46" s="225"/>
      <c r="EEP46" s="225"/>
      <c r="EEQ46" s="225"/>
      <c r="EER46" s="225"/>
      <c r="EES46" s="225"/>
      <c r="EET46" s="225"/>
      <c r="EEU46" s="225"/>
      <c r="EEV46" s="225"/>
      <c r="EEW46" s="225"/>
      <c r="EEX46" s="225"/>
      <c r="EEY46" s="225"/>
      <c r="EEZ46" s="225"/>
      <c r="EFA46" s="225"/>
      <c r="EFB46" s="225"/>
      <c r="EFC46" s="225"/>
      <c r="EFD46" s="225"/>
      <c r="EFE46" s="225"/>
      <c r="EFF46" s="225"/>
      <c r="EFG46" s="225"/>
      <c r="EFH46" s="225"/>
      <c r="EFI46" s="225"/>
      <c r="EFJ46" s="225"/>
      <c r="EFK46" s="225"/>
      <c r="EFL46" s="225"/>
      <c r="EFM46" s="225"/>
      <c r="EFN46" s="225"/>
      <c r="EFO46" s="225"/>
      <c r="EFP46" s="225"/>
      <c r="EFQ46" s="225"/>
      <c r="EFR46" s="225"/>
      <c r="EFS46" s="225"/>
      <c r="EFT46" s="225"/>
      <c r="EFU46" s="225"/>
      <c r="EFV46" s="225"/>
      <c r="EFW46" s="225"/>
      <c r="EFX46" s="225"/>
      <c r="EFY46" s="225"/>
      <c r="EFZ46" s="225"/>
      <c r="EGA46" s="225"/>
      <c r="EGB46" s="225"/>
      <c r="EGC46" s="225"/>
      <c r="EGD46" s="225"/>
      <c r="EGE46" s="225"/>
      <c r="EGF46" s="225"/>
      <c r="EGG46" s="225"/>
      <c r="EGH46" s="225"/>
      <c r="EGI46" s="225"/>
      <c r="EGJ46" s="225"/>
      <c r="EGK46" s="225"/>
      <c r="EGL46" s="225"/>
      <c r="EGM46" s="225"/>
      <c r="EGN46" s="225"/>
      <c r="EGO46" s="225"/>
      <c r="EGP46" s="225"/>
      <c r="EGQ46" s="225"/>
      <c r="EGR46" s="225"/>
      <c r="EGS46" s="225"/>
      <c r="EGT46" s="225"/>
      <c r="EGU46" s="225"/>
      <c r="EGV46" s="225"/>
      <c r="EGW46" s="225"/>
      <c r="EGX46" s="225"/>
      <c r="EGY46" s="225"/>
      <c r="EGZ46" s="225"/>
      <c r="EHA46" s="225"/>
      <c r="EHB46" s="225"/>
      <c r="EHC46" s="225"/>
      <c r="EHD46" s="225"/>
      <c r="EHE46" s="225"/>
      <c r="EHF46" s="225"/>
      <c r="EHG46" s="225"/>
      <c r="EHH46" s="225"/>
      <c r="EHI46" s="225"/>
      <c r="EHJ46" s="225"/>
      <c r="EHK46" s="225"/>
      <c r="EHL46" s="225"/>
      <c r="EHM46" s="225"/>
      <c r="EHN46" s="225"/>
      <c r="EHO46" s="225"/>
      <c r="EHP46" s="225"/>
      <c r="EHQ46" s="225"/>
      <c r="EHR46" s="225"/>
      <c r="EHS46" s="225"/>
      <c r="EHT46" s="225"/>
      <c r="EHU46" s="225"/>
      <c r="EHV46" s="225"/>
      <c r="EHW46" s="225"/>
      <c r="EHX46" s="225"/>
      <c r="EHY46" s="225"/>
      <c r="EHZ46" s="225"/>
      <c r="EIA46" s="225"/>
      <c r="EIB46" s="225"/>
      <c r="EIC46" s="225"/>
      <c r="EID46" s="225"/>
      <c r="EIE46" s="225"/>
      <c r="EIF46" s="225"/>
      <c r="EIG46" s="225"/>
      <c r="EIH46" s="225"/>
      <c r="EII46" s="225"/>
      <c r="EIJ46" s="225"/>
      <c r="EIK46" s="225"/>
      <c r="EIL46" s="225"/>
      <c r="EIM46" s="225"/>
      <c r="EIN46" s="225"/>
      <c r="EIO46" s="225"/>
      <c r="EIP46" s="225"/>
      <c r="EIQ46" s="225"/>
      <c r="EIR46" s="225"/>
      <c r="EIS46" s="225"/>
      <c r="EIT46" s="225"/>
      <c r="EIU46" s="225"/>
      <c r="EIV46" s="225"/>
      <c r="EIW46" s="225"/>
      <c r="EIX46" s="225"/>
      <c r="EIY46" s="225"/>
      <c r="EIZ46" s="225"/>
      <c r="EJA46" s="225"/>
      <c r="EJB46" s="225"/>
      <c r="EJC46" s="225"/>
      <c r="EJD46" s="225"/>
      <c r="EJE46" s="225"/>
      <c r="EJF46" s="225"/>
      <c r="EJG46" s="225"/>
      <c r="EJH46" s="225"/>
      <c r="EJI46" s="225"/>
      <c r="EJJ46" s="225"/>
      <c r="EJK46" s="225"/>
      <c r="EJL46" s="225"/>
      <c r="EJM46" s="225"/>
      <c r="EJN46" s="225"/>
      <c r="EJO46" s="225"/>
      <c r="EJP46" s="225"/>
      <c r="EJQ46" s="225"/>
      <c r="EJR46" s="225"/>
      <c r="EJS46" s="225"/>
      <c r="EJT46" s="225"/>
      <c r="EJU46" s="225"/>
      <c r="EJV46" s="225"/>
      <c r="EJW46" s="225"/>
      <c r="EJX46" s="225"/>
      <c r="EJY46" s="225"/>
      <c r="EJZ46" s="225"/>
      <c r="EKA46" s="225"/>
      <c r="EKB46" s="225"/>
      <c r="EKC46" s="225"/>
      <c r="EKD46" s="225"/>
      <c r="EKE46" s="225"/>
      <c r="EKF46" s="225"/>
      <c r="EKG46" s="225"/>
      <c r="EKH46" s="225"/>
      <c r="EKI46" s="225"/>
      <c r="EKJ46" s="225"/>
      <c r="EKK46" s="225"/>
      <c r="EKL46" s="225"/>
      <c r="EKM46" s="225"/>
      <c r="EKN46" s="225"/>
      <c r="EKO46" s="225"/>
      <c r="EKP46" s="225"/>
      <c r="EKQ46" s="225"/>
      <c r="EKR46" s="225"/>
      <c r="EKS46" s="225"/>
      <c r="EKT46" s="225"/>
      <c r="EKU46" s="225"/>
      <c r="EKV46" s="225"/>
      <c r="EKW46" s="225"/>
      <c r="EKX46" s="225"/>
      <c r="EKY46" s="225"/>
      <c r="EKZ46" s="225"/>
      <c r="ELA46" s="225"/>
      <c r="ELB46" s="225"/>
      <c r="ELC46" s="225"/>
      <c r="ELD46" s="225"/>
      <c r="ELE46" s="225"/>
      <c r="ELF46" s="225"/>
      <c r="ELG46" s="225"/>
      <c r="ELH46" s="225"/>
      <c r="ELI46" s="225"/>
      <c r="ELJ46" s="225"/>
      <c r="ELK46" s="225"/>
      <c r="ELL46" s="225"/>
      <c r="ELM46" s="225"/>
      <c r="ELN46" s="225"/>
      <c r="ELO46" s="225"/>
      <c r="ELP46" s="225"/>
      <c r="ELQ46" s="225"/>
      <c r="ELR46" s="225"/>
      <c r="ELS46" s="225"/>
      <c r="ELT46" s="225"/>
      <c r="ELU46" s="225"/>
      <c r="ELV46" s="225"/>
      <c r="ELW46" s="225"/>
      <c r="ELX46" s="225"/>
      <c r="ELY46" s="225"/>
      <c r="ELZ46" s="225"/>
      <c r="EMA46" s="225"/>
      <c r="EMB46" s="225"/>
      <c r="EMC46" s="225"/>
      <c r="EMD46" s="225"/>
      <c r="EME46" s="225"/>
      <c r="EMF46" s="225"/>
      <c r="EMG46" s="225"/>
      <c r="EMH46" s="225"/>
      <c r="EMI46" s="225"/>
      <c r="EMJ46" s="225"/>
      <c r="EMK46" s="225"/>
      <c r="EML46" s="225"/>
      <c r="EMM46" s="225"/>
      <c r="EMN46" s="225"/>
      <c r="EMO46" s="225"/>
      <c r="EMP46" s="225"/>
      <c r="EMQ46" s="225"/>
      <c r="EMR46" s="225"/>
      <c r="EMS46" s="225"/>
      <c r="EMT46" s="225"/>
      <c r="EMU46" s="225"/>
      <c r="EMV46" s="225"/>
      <c r="EMW46" s="225"/>
      <c r="EMX46" s="225"/>
      <c r="EMY46" s="225"/>
      <c r="EMZ46" s="225"/>
      <c r="ENA46" s="225"/>
      <c r="ENB46" s="225"/>
      <c r="ENC46" s="225"/>
      <c r="END46" s="225"/>
      <c r="ENE46" s="225"/>
      <c r="ENF46" s="225"/>
      <c r="ENG46" s="225"/>
      <c r="ENH46" s="225"/>
      <c r="ENI46" s="225"/>
      <c r="ENJ46" s="225"/>
      <c r="ENK46" s="225"/>
      <c r="ENL46" s="225"/>
      <c r="ENM46" s="225"/>
      <c r="ENN46" s="225"/>
      <c r="ENO46" s="225"/>
      <c r="ENP46" s="225"/>
      <c r="ENQ46" s="225"/>
      <c r="ENR46" s="225"/>
      <c r="ENS46" s="225"/>
      <c r="ENT46" s="225"/>
      <c r="ENU46" s="225"/>
      <c r="ENV46" s="225"/>
      <c r="ENW46" s="225"/>
      <c r="ENX46" s="225"/>
      <c r="ENY46" s="225"/>
      <c r="ENZ46" s="225"/>
      <c r="EOA46" s="225"/>
      <c r="EOB46" s="225"/>
      <c r="EOC46" s="225"/>
      <c r="EOD46" s="225"/>
      <c r="EOE46" s="225"/>
      <c r="EOF46" s="225"/>
      <c r="EOG46" s="225"/>
      <c r="EOH46" s="225"/>
      <c r="EOI46" s="225"/>
      <c r="EOJ46" s="225"/>
      <c r="EOK46" s="225"/>
      <c r="EOL46" s="225"/>
      <c r="EOM46" s="225"/>
      <c r="EON46" s="225"/>
      <c r="EOO46" s="225"/>
      <c r="EOP46" s="225"/>
      <c r="EOQ46" s="225"/>
      <c r="EOR46" s="225"/>
      <c r="EOS46" s="225"/>
      <c r="EOT46" s="225"/>
      <c r="EOU46" s="225"/>
      <c r="EOV46" s="225"/>
      <c r="EOW46" s="225"/>
      <c r="EOX46" s="225"/>
      <c r="EOY46" s="225"/>
      <c r="EOZ46" s="225"/>
      <c r="EPA46" s="225"/>
      <c r="EPB46" s="225"/>
      <c r="EPC46" s="225"/>
      <c r="EPD46" s="225"/>
      <c r="EPE46" s="225"/>
      <c r="EPF46" s="225"/>
      <c r="EPG46" s="225"/>
      <c r="EPH46" s="225"/>
      <c r="EPI46" s="225"/>
      <c r="EPJ46" s="225"/>
      <c r="EPK46" s="225"/>
      <c r="EPL46" s="225"/>
      <c r="EPM46" s="225"/>
      <c r="EPN46" s="225"/>
      <c r="EPO46" s="225"/>
      <c r="EPP46" s="225"/>
      <c r="EPQ46" s="225"/>
      <c r="EPR46" s="225"/>
      <c r="EPS46" s="225"/>
      <c r="EPT46" s="225"/>
      <c r="EPU46" s="225"/>
      <c r="EPV46" s="225"/>
      <c r="EPW46" s="225"/>
      <c r="EPX46" s="225"/>
      <c r="EPY46" s="225"/>
      <c r="EPZ46" s="225"/>
      <c r="EQA46" s="225"/>
      <c r="EQB46" s="225"/>
      <c r="EQC46" s="225"/>
      <c r="EQD46" s="225"/>
      <c r="EQE46" s="225"/>
      <c r="EQF46" s="225"/>
      <c r="EQG46" s="225"/>
      <c r="EQH46" s="225"/>
      <c r="EQI46" s="225"/>
      <c r="EQJ46" s="225"/>
      <c r="EQK46" s="225"/>
      <c r="EQL46" s="225"/>
      <c r="EQM46" s="225"/>
      <c r="EQN46" s="225"/>
      <c r="EQO46" s="225"/>
      <c r="EQP46" s="225"/>
      <c r="EQQ46" s="225"/>
      <c r="EQR46" s="225"/>
      <c r="EQS46" s="225"/>
      <c r="EQT46" s="225"/>
      <c r="EQU46" s="225"/>
      <c r="EQV46" s="225"/>
      <c r="EQW46" s="225"/>
      <c r="EQX46" s="225"/>
      <c r="EQY46" s="225"/>
      <c r="EQZ46" s="225"/>
      <c r="ERA46" s="225"/>
      <c r="ERB46" s="225"/>
      <c r="ERC46" s="225"/>
      <c r="ERD46" s="225"/>
      <c r="ERE46" s="225"/>
      <c r="ERF46" s="225"/>
      <c r="ERG46" s="225"/>
      <c r="ERH46" s="225"/>
      <c r="ERI46" s="225"/>
      <c r="ERJ46" s="225"/>
      <c r="ERK46" s="225"/>
      <c r="ERL46" s="225"/>
      <c r="ERM46" s="225"/>
      <c r="ERN46" s="225"/>
      <c r="ERO46" s="225"/>
      <c r="ERP46" s="225"/>
      <c r="ERQ46" s="225"/>
      <c r="ERR46" s="225"/>
      <c r="ERS46" s="225"/>
      <c r="ERT46" s="225"/>
      <c r="ERU46" s="225"/>
      <c r="ERV46" s="225"/>
      <c r="ERW46" s="225"/>
      <c r="ERX46" s="225"/>
      <c r="ERY46" s="225"/>
      <c r="ERZ46" s="225"/>
      <c r="ESA46" s="225"/>
      <c r="ESB46" s="225"/>
      <c r="ESC46" s="225"/>
      <c r="ESD46" s="225"/>
      <c r="ESE46" s="225"/>
      <c r="ESF46" s="225"/>
      <c r="ESG46" s="225"/>
      <c r="ESH46" s="225"/>
      <c r="ESI46" s="225"/>
      <c r="ESJ46" s="225"/>
      <c r="ESK46" s="225"/>
      <c r="ESL46" s="225"/>
      <c r="ESM46" s="225"/>
      <c r="ESN46" s="225"/>
      <c r="ESO46" s="225"/>
      <c r="ESP46" s="225"/>
      <c r="ESQ46" s="225"/>
      <c r="ESR46" s="225"/>
      <c r="ESS46" s="225"/>
      <c r="EST46" s="225"/>
      <c r="ESU46" s="225"/>
      <c r="ESV46" s="225"/>
      <c r="ESW46" s="225"/>
      <c r="ESX46" s="225"/>
      <c r="ESY46" s="225"/>
      <c r="ESZ46" s="225"/>
      <c r="ETA46" s="225"/>
      <c r="ETB46" s="225"/>
      <c r="ETC46" s="225"/>
      <c r="ETD46" s="225"/>
      <c r="ETE46" s="225"/>
      <c r="ETF46" s="225"/>
      <c r="ETG46" s="225"/>
      <c r="ETH46" s="225"/>
      <c r="ETI46" s="225"/>
      <c r="ETJ46" s="225"/>
      <c r="ETK46" s="225"/>
      <c r="ETL46" s="225"/>
      <c r="ETM46" s="225"/>
      <c r="ETN46" s="225"/>
      <c r="ETO46" s="225"/>
      <c r="ETP46" s="225"/>
      <c r="ETQ46" s="225"/>
      <c r="ETR46" s="225"/>
      <c r="ETS46" s="225"/>
      <c r="ETT46" s="225"/>
      <c r="ETU46" s="225"/>
      <c r="ETV46" s="225"/>
      <c r="ETW46" s="225"/>
      <c r="ETX46" s="225"/>
      <c r="ETY46" s="225"/>
      <c r="ETZ46" s="225"/>
      <c r="EUA46" s="225"/>
      <c r="EUB46" s="225"/>
      <c r="EUC46" s="225"/>
      <c r="EUD46" s="225"/>
      <c r="EUE46" s="225"/>
      <c r="EUF46" s="225"/>
      <c r="EUG46" s="225"/>
      <c r="EUH46" s="225"/>
      <c r="EUI46" s="225"/>
      <c r="EUJ46" s="225"/>
      <c r="EUK46" s="225"/>
      <c r="EUL46" s="225"/>
      <c r="EUM46" s="225"/>
      <c r="EUN46" s="225"/>
      <c r="EUO46" s="225"/>
      <c r="EUP46" s="225"/>
      <c r="EUQ46" s="225"/>
      <c r="EUR46" s="225"/>
      <c r="EUS46" s="225"/>
      <c r="EUT46" s="225"/>
      <c r="EUU46" s="225"/>
      <c r="EUV46" s="225"/>
      <c r="EUW46" s="225"/>
      <c r="EUX46" s="225"/>
      <c r="EUY46" s="225"/>
      <c r="EUZ46" s="225"/>
      <c r="EVA46" s="225"/>
      <c r="EVB46" s="225"/>
      <c r="EVC46" s="225"/>
      <c r="EVD46" s="225"/>
      <c r="EVE46" s="225"/>
      <c r="EVF46" s="225"/>
      <c r="EVG46" s="225"/>
      <c r="EVH46" s="225"/>
      <c r="EVI46" s="225"/>
      <c r="EVJ46" s="225"/>
      <c r="EVK46" s="225"/>
      <c r="EVL46" s="225"/>
      <c r="EVM46" s="225"/>
      <c r="EVN46" s="225"/>
      <c r="EVO46" s="225"/>
      <c r="EVP46" s="225"/>
      <c r="EVQ46" s="225"/>
      <c r="EVR46" s="225"/>
      <c r="EVS46" s="225"/>
      <c r="EVT46" s="225"/>
      <c r="EVU46" s="225"/>
      <c r="EVV46" s="225"/>
      <c r="EVW46" s="225"/>
      <c r="EVX46" s="225"/>
      <c r="EVY46" s="225"/>
      <c r="EVZ46" s="225"/>
      <c r="EWA46" s="225"/>
      <c r="EWB46" s="225"/>
      <c r="EWC46" s="225"/>
      <c r="EWD46" s="225"/>
      <c r="EWE46" s="225"/>
      <c r="EWF46" s="225"/>
      <c r="EWG46" s="225"/>
      <c r="EWH46" s="225"/>
      <c r="EWI46" s="225"/>
      <c r="EWJ46" s="225"/>
      <c r="EWK46" s="225"/>
      <c r="EWL46" s="225"/>
      <c r="EWM46" s="225"/>
      <c r="EWN46" s="225"/>
      <c r="EWO46" s="225"/>
      <c r="EWP46" s="225"/>
      <c r="EWQ46" s="225"/>
      <c r="EWR46" s="225"/>
      <c r="EWS46" s="225"/>
      <c r="EWT46" s="225"/>
      <c r="EWU46" s="225"/>
      <c r="EWV46" s="225"/>
      <c r="EWW46" s="225"/>
      <c r="EWX46" s="225"/>
      <c r="EWY46" s="225"/>
      <c r="EWZ46" s="225"/>
      <c r="EXA46" s="225"/>
      <c r="EXB46" s="225"/>
      <c r="EXC46" s="225"/>
      <c r="EXD46" s="225"/>
      <c r="EXE46" s="225"/>
      <c r="EXF46" s="225"/>
      <c r="EXG46" s="225"/>
      <c r="EXH46" s="225"/>
      <c r="EXI46" s="225"/>
      <c r="EXJ46" s="225"/>
      <c r="EXK46" s="225"/>
      <c r="EXL46" s="225"/>
      <c r="EXM46" s="225"/>
      <c r="EXN46" s="225"/>
      <c r="EXO46" s="225"/>
      <c r="EXP46" s="225"/>
      <c r="EXQ46" s="225"/>
      <c r="EXR46" s="225"/>
      <c r="EXS46" s="225"/>
      <c r="EXT46" s="225"/>
      <c r="EXU46" s="225"/>
      <c r="EXV46" s="225"/>
      <c r="EXW46" s="225"/>
      <c r="EXX46" s="225"/>
      <c r="EXY46" s="225"/>
      <c r="EXZ46" s="225"/>
      <c r="EYA46" s="225"/>
      <c r="EYB46" s="225"/>
      <c r="EYC46" s="225"/>
      <c r="EYD46" s="225"/>
      <c r="EYE46" s="225"/>
      <c r="EYF46" s="225"/>
      <c r="EYG46" s="225"/>
      <c r="EYH46" s="225"/>
      <c r="EYI46" s="225"/>
      <c r="EYJ46" s="225"/>
      <c r="EYK46" s="225"/>
      <c r="EYL46" s="225"/>
      <c r="EYM46" s="225"/>
      <c r="EYN46" s="225"/>
      <c r="EYO46" s="225"/>
      <c r="EYP46" s="225"/>
      <c r="EYQ46" s="225"/>
      <c r="EYR46" s="225"/>
      <c r="EYS46" s="225"/>
      <c r="EYT46" s="225"/>
      <c r="EYU46" s="225"/>
      <c r="EYV46" s="225"/>
      <c r="EYW46" s="225"/>
      <c r="EYX46" s="225"/>
      <c r="EYY46" s="225"/>
      <c r="EYZ46" s="225"/>
      <c r="EZA46" s="225"/>
      <c r="EZB46" s="225"/>
      <c r="EZC46" s="225"/>
      <c r="EZD46" s="225"/>
      <c r="EZE46" s="225"/>
      <c r="EZF46" s="225"/>
      <c r="EZG46" s="225"/>
      <c r="EZH46" s="225"/>
      <c r="EZI46" s="225"/>
      <c r="EZJ46" s="225"/>
      <c r="EZK46" s="225"/>
      <c r="EZL46" s="225"/>
      <c r="EZM46" s="225"/>
      <c r="EZN46" s="225"/>
      <c r="EZO46" s="225"/>
      <c r="EZP46" s="225"/>
      <c r="EZQ46" s="225"/>
      <c r="EZR46" s="225"/>
      <c r="EZS46" s="225"/>
      <c r="EZT46" s="225"/>
      <c r="EZU46" s="225"/>
      <c r="EZV46" s="225"/>
      <c r="EZW46" s="225"/>
      <c r="EZX46" s="225"/>
      <c r="EZY46" s="225"/>
      <c r="EZZ46" s="225"/>
      <c r="FAA46" s="225"/>
      <c r="FAB46" s="225"/>
      <c r="FAC46" s="225"/>
      <c r="FAD46" s="225"/>
      <c r="FAE46" s="225"/>
      <c r="FAF46" s="225"/>
      <c r="FAG46" s="225"/>
      <c r="FAH46" s="225"/>
      <c r="FAI46" s="225"/>
      <c r="FAJ46" s="225"/>
      <c r="FAK46" s="225"/>
      <c r="FAL46" s="225"/>
      <c r="FAM46" s="225"/>
      <c r="FAN46" s="225"/>
      <c r="FAO46" s="225"/>
      <c r="FAP46" s="225"/>
      <c r="FAQ46" s="225"/>
      <c r="FAR46" s="225"/>
      <c r="FAS46" s="225"/>
      <c r="FAT46" s="225"/>
      <c r="FAU46" s="225"/>
      <c r="FAV46" s="225"/>
      <c r="FAW46" s="225"/>
      <c r="FAX46" s="225"/>
      <c r="FAY46" s="225"/>
      <c r="FAZ46" s="225"/>
      <c r="FBA46" s="225"/>
      <c r="FBB46" s="225"/>
      <c r="FBC46" s="225"/>
      <c r="FBD46" s="225"/>
      <c r="FBE46" s="225"/>
      <c r="FBF46" s="225"/>
      <c r="FBG46" s="225"/>
      <c r="FBH46" s="225"/>
      <c r="FBI46" s="225"/>
      <c r="FBJ46" s="225"/>
      <c r="FBK46" s="225"/>
      <c r="FBL46" s="225"/>
      <c r="FBM46" s="225"/>
      <c r="FBN46" s="225"/>
      <c r="FBO46" s="225"/>
      <c r="FBP46" s="225"/>
      <c r="FBQ46" s="225"/>
      <c r="FBR46" s="225"/>
      <c r="FBS46" s="225"/>
      <c r="FBT46" s="225"/>
      <c r="FBU46" s="225"/>
      <c r="FBV46" s="225"/>
      <c r="FBW46" s="225"/>
      <c r="FBX46" s="225"/>
      <c r="FBY46" s="225"/>
      <c r="FBZ46" s="225"/>
      <c r="FCA46" s="225"/>
      <c r="FCB46" s="225"/>
      <c r="FCC46" s="225"/>
      <c r="FCD46" s="225"/>
      <c r="FCE46" s="225"/>
      <c r="FCF46" s="225"/>
      <c r="FCG46" s="225"/>
      <c r="FCH46" s="225"/>
      <c r="FCI46" s="225"/>
      <c r="FCJ46" s="225"/>
      <c r="FCK46" s="225"/>
      <c r="FCL46" s="225"/>
      <c r="FCM46" s="225"/>
      <c r="FCN46" s="225"/>
      <c r="FCO46" s="225"/>
      <c r="FCP46" s="225"/>
      <c r="FCQ46" s="225"/>
      <c r="FCR46" s="225"/>
      <c r="FCS46" s="225"/>
      <c r="FCT46" s="225"/>
      <c r="FCU46" s="225"/>
      <c r="FCV46" s="225"/>
      <c r="FCW46" s="225"/>
      <c r="FCX46" s="225"/>
      <c r="FCY46" s="225"/>
      <c r="FCZ46" s="225"/>
      <c r="FDA46" s="225"/>
      <c r="FDB46" s="225"/>
      <c r="FDC46" s="225"/>
      <c r="FDD46" s="225"/>
      <c r="FDE46" s="225"/>
      <c r="FDF46" s="225"/>
      <c r="FDG46" s="225"/>
      <c r="FDH46" s="225"/>
      <c r="FDI46" s="225"/>
      <c r="FDJ46" s="225"/>
      <c r="FDK46" s="225"/>
      <c r="FDL46" s="225"/>
      <c r="FDM46" s="225"/>
      <c r="FDN46" s="225"/>
      <c r="FDO46" s="225"/>
      <c r="FDP46" s="225"/>
      <c r="FDQ46" s="225"/>
      <c r="FDR46" s="225"/>
      <c r="FDS46" s="225"/>
      <c r="FDT46" s="225"/>
      <c r="FDU46" s="225"/>
      <c r="FDV46" s="225"/>
      <c r="FDW46" s="225"/>
      <c r="FDX46" s="225"/>
      <c r="FDY46" s="225"/>
      <c r="FDZ46" s="225"/>
      <c r="FEA46" s="225"/>
      <c r="FEB46" s="225"/>
      <c r="FEC46" s="225"/>
      <c r="FED46" s="225"/>
      <c r="FEE46" s="225"/>
      <c r="FEF46" s="225"/>
      <c r="FEG46" s="225"/>
      <c r="FEH46" s="225"/>
      <c r="FEI46" s="225"/>
      <c r="FEJ46" s="225"/>
      <c r="FEK46" s="225"/>
      <c r="FEL46" s="225"/>
      <c r="FEM46" s="225"/>
      <c r="FEN46" s="225"/>
      <c r="FEO46" s="225"/>
      <c r="FEP46" s="225"/>
      <c r="FEQ46" s="225"/>
      <c r="FER46" s="225"/>
      <c r="FES46" s="225"/>
      <c r="FET46" s="225"/>
      <c r="FEU46" s="225"/>
      <c r="FEV46" s="225"/>
      <c r="FEW46" s="225"/>
      <c r="FEX46" s="225"/>
      <c r="FEY46" s="225"/>
      <c r="FEZ46" s="225"/>
      <c r="FFA46" s="225"/>
      <c r="FFB46" s="225"/>
      <c r="FFC46" s="225"/>
      <c r="FFD46" s="225"/>
      <c r="FFE46" s="225"/>
      <c r="FFF46" s="225"/>
      <c r="FFG46" s="225"/>
      <c r="FFH46" s="225"/>
      <c r="FFI46" s="225"/>
      <c r="FFJ46" s="225"/>
      <c r="FFK46" s="225"/>
      <c r="FFL46" s="225"/>
      <c r="FFM46" s="225"/>
      <c r="FFN46" s="225"/>
      <c r="FFO46" s="225"/>
      <c r="FFP46" s="225"/>
      <c r="FFQ46" s="225"/>
      <c r="FFR46" s="225"/>
      <c r="FFS46" s="225"/>
      <c r="FFT46" s="225"/>
      <c r="FFU46" s="225"/>
      <c r="FFV46" s="225"/>
      <c r="FFW46" s="225"/>
      <c r="FFX46" s="225"/>
      <c r="FFY46" s="225"/>
      <c r="FFZ46" s="225"/>
      <c r="FGA46" s="225"/>
      <c r="FGB46" s="225"/>
      <c r="FGC46" s="225"/>
      <c r="FGD46" s="225"/>
      <c r="FGE46" s="225"/>
      <c r="FGF46" s="225"/>
      <c r="FGG46" s="225"/>
      <c r="FGH46" s="225"/>
      <c r="FGI46" s="225"/>
      <c r="FGJ46" s="225"/>
      <c r="FGK46" s="225"/>
      <c r="FGL46" s="225"/>
      <c r="FGM46" s="225"/>
      <c r="FGN46" s="225"/>
      <c r="FGO46" s="225"/>
      <c r="FGP46" s="225"/>
      <c r="FGQ46" s="225"/>
      <c r="FGR46" s="225"/>
      <c r="FGS46" s="225"/>
      <c r="FGT46" s="225"/>
      <c r="FGU46" s="225"/>
      <c r="FGV46" s="225"/>
      <c r="FGW46" s="225"/>
      <c r="FGX46" s="225"/>
      <c r="FGY46" s="225"/>
      <c r="FGZ46" s="225"/>
      <c r="FHA46" s="225"/>
      <c r="FHB46" s="225"/>
      <c r="FHC46" s="225"/>
      <c r="FHD46" s="225"/>
      <c r="FHE46" s="225"/>
      <c r="FHF46" s="225"/>
      <c r="FHG46" s="225"/>
      <c r="FHH46" s="225"/>
      <c r="FHI46" s="225"/>
      <c r="FHJ46" s="225"/>
      <c r="FHK46" s="225"/>
      <c r="FHL46" s="225"/>
      <c r="FHM46" s="225"/>
      <c r="FHN46" s="225"/>
      <c r="FHO46" s="225"/>
      <c r="FHP46" s="225"/>
      <c r="FHQ46" s="225"/>
      <c r="FHR46" s="225"/>
      <c r="FHS46" s="225"/>
      <c r="FHT46" s="225"/>
      <c r="FHU46" s="225"/>
      <c r="FHV46" s="225"/>
      <c r="FHW46" s="225"/>
      <c r="FHX46" s="225"/>
      <c r="FHY46" s="225"/>
      <c r="FHZ46" s="225"/>
      <c r="FIA46" s="225"/>
      <c r="FIB46" s="225"/>
      <c r="FIC46" s="225"/>
      <c r="FID46" s="225"/>
      <c r="FIE46" s="225"/>
      <c r="FIF46" s="225"/>
      <c r="FIG46" s="225"/>
      <c r="FIH46" s="225"/>
      <c r="FII46" s="225"/>
      <c r="FIJ46" s="225"/>
      <c r="FIK46" s="225"/>
      <c r="FIL46" s="225"/>
      <c r="FIM46" s="225"/>
      <c r="FIN46" s="225"/>
      <c r="FIO46" s="225"/>
      <c r="FIP46" s="225"/>
      <c r="FIQ46" s="225"/>
      <c r="FIR46" s="225"/>
      <c r="FIS46" s="225"/>
      <c r="FIT46" s="225"/>
      <c r="FIU46" s="225"/>
      <c r="FIV46" s="225"/>
      <c r="FIW46" s="225"/>
      <c r="FIX46" s="225"/>
      <c r="FIY46" s="225"/>
      <c r="FIZ46" s="225"/>
      <c r="FJA46" s="225"/>
      <c r="FJB46" s="225"/>
      <c r="FJC46" s="225"/>
      <c r="FJD46" s="225"/>
      <c r="FJE46" s="225"/>
      <c r="FJF46" s="225"/>
      <c r="FJG46" s="225"/>
      <c r="FJH46" s="225"/>
      <c r="FJI46" s="225"/>
      <c r="FJJ46" s="225"/>
      <c r="FJK46" s="225"/>
      <c r="FJL46" s="225"/>
      <c r="FJM46" s="225"/>
      <c r="FJN46" s="225"/>
      <c r="FJO46" s="225"/>
      <c r="FJP46" s="225"/>
      <c r="FJQ46" s="225"/>
      <c r="FJR46" s="225"/>
      <c r="FJS46" s="225"/>
      <c r="FJT46" s="225"/>
      <c r="FJU46" s="225"/>
      <c r="FJV46" s="225"/>
      <c r="FJW46" s="225"/>
      <c r="FJX46" s="225"/>
      <c r="FJY46" s="225"/>
      <c r="FJZ46" s="225"/>
      <c r="FKA46" s="225"/>
      <c r="FKB46" s="225"/>
      <c r="FKC46" s="225"/>
      <c r="FKD46" s="225"/>
      <c r="FKE46" s="225"/>
      <c r="FKF46" s="225"/>
      <c r="FKG46" s="225"/>
      <c r="FKH46" s="225"/>
      <c r="FKI46" s="225"/>
      <c r="FKJ46" s="225"/>
      <c r="FKK46" s="225"/>
      <c r="FKL46" s="225"/>
      <c r="FKM46" s="225"/>
      <c r="FKN46" s="225"/>
      <c r="FKO46" s="225"/>
      <c r="FKP46" s="225"/>
      <c r="FKQ46" s="225"/>
      <c r="FKR46" s="225"/>
      <c r="FKS46" s="225"/>
      <c r="FKT46" s="225"/>
      <c r="FKU46" s="225"/>
      <c r="FKV46" s="225"/>
      <c r="FKW46" s="225"/>
      <c r="FKX46" s="225"/>
      <c r="FKY46" s="225"/>
      <c r="FKZ46" s="225"/>
      <c r="FLA46" s="225"/>
      <c r="FLB46" s="225"/>
      <c r="FLC46" s="225"/>
      <c r="FLD46" s="225"/>
      <c r="FLE46" s="225"/>
      <c r="FLF46" s="225"/>
      <c r="FLG46" s="225"/>
      <c r="FLH46" s="225"/>
      <c r="FLI46" s="225"/>
      <c r="FLJ46" s="225"/>
      <c r="FLK46" s="225"/>
      <c r="FLL46" s="225"/>
      <c r="FLM46" s="225"/>
      <c r="FLN46" s="225"/>
      <c r="FLO46" s="225"/>
      <c r="FLP46" s="225"/>
      <c r="FLQ46" s="225"/>
      <c r="FLR46" s="225"/>
      <c r="FLS46" s="225"/>
      <c r="FLT46" s="225"/>
      <c r="FLU46" s="225"/>
      <c r="FLV46" s="225"/>
      <c r="FLW46" s="225"/>
      <c r="FLX46" s="225"/>
      <c r="FLY46" s="225"/>
      <c r="FLZ46" s="225"/>
      <c r="FMA46" s="225"/>
      <c r="FMB46" s="225"/>
      <c r="FMC46" s="225"/>
      <c r="FMD46" s="225"/>
      <c r="FME46" s="225"/>
      <c r="FMF46" s="225"/>
      <c r="FMG46" s="225"/>
      <c r="FMH46" s="225"/>
      <c r="FMI46" s="225"/>
      <c r="FMJ46" s="225"/>
      <c r="FMK46" s="225"/>
      <c r="FML46" s="225"/>
      <c r="FMM46" s="225"/>
      <c r="FMN46" s="225"/>
      <c r="FMO46" s="225"/>
      <c r="FMP46" s="225"/>
      <c r="FMQ46" s="225"/>
      <c r="FMR46" s="225"/>
      <c r="FMS46" s="225"/>
      <c r="FMT46" s="225"/>
      <c r="FMU46" s="225"/>
      <c r="FMV46" s="225"/>
      <c r="FMW46" s="225"/>
      <c r="FMX46" s="225"/>
      <c r="FMY46" s="225"/>
      <c r="FMZ46" s="225"/>
      <c r="FNA46" s="225"/>
      <c r="FNB46" s="225"/>
      <c r="FNC46" s="225"/>
      <c r="FND46" s="225"/>
      <c r="FNE46" s="225"/>
      <c r="FNF46" s="225"/>
      <c r="FNG46" s="225"/>
      <c r="FNH46" s="225"/>
      <c r="FNI46" s="225"/>
      <c r="FNJ46" s="225"/>
      <c r="FNK46" s="225"/>
      <c r="FNL46" s="225"/>
      <c r="FNM46" s="225"/>
      <c r="FNN46" s="225"/>
      <c r="FNO46" s="225"/>
      <c r="FNP46" s="225"/>
      <c r="FNQ46" s="225"/>
      <c r="FNR46" s="225"/>
      <c r="FNS46" s="225"/>
      <c r="FNT46" s="225"/>
      <c r="FNU46" s="225"/>
      <c r="FNV46" s="225"/>
      <c r="FNW46" s="225"/>
      <c r="FNX46" s="225"/>
      <c r="FNY46" s="225"/>
      <c r="FNZ46" s="225"/>
      <c r="FOA46" s="225"/>
      <c r="FOB46" s="225"/>
      <c r="FOC46" s="225"/>
      <c r="FOD46" s="225"/>
      <c r="FOE46" s="225"/>
      <c r="FOF46" s="225"/>
      <c r="FOG46" s="225"/>
      <c r="FOH46" s="225"/>
      <c r="FOI46" s="225"/>
      <c r="FOJ46" s="225"/>
      <c r="FOK46" s="225"/>
      <c r="FOL46" s="225"/>
      <c r="FOM46" s="225"/>
      <c r="FON46" s="225"/>
      <c r="FOO46" s="225"/>
      <c r="FOP46" s="225"/>
      <c r="FOQ46" s="225"/>
      <c r="FOR46" s="225"/>
      <c r="FOS46" s="225"/>
      <c r="FOT46" s="225"/>
      <c r="FOU46" s="225"/>
      <c r="FOV46" s="225"/>
      <c r="FOW46" s="225"/>
      <c r="FOX46" s="225"/>
      <c r="FOY46" s="225"/>
      <c r="FOZ46" s="225"/>
      <c r="FPA46" s="225"/>
      <c r="FPB46" s="225"/>
      <c r="FPC46" s="225"/>
      <c r="FPD46" s="225"/>
      <c r="FPE46" s="225"/>
      <c r="FPF46" s="225"/>
      <c r="FPG46" s="225"/>
      <c r="FPH46" s="225"/>
      <c r="FPI46" s="225"/>
      <c r="FPJ46" s="225"/>
      <c r="FPK46" s="225"/>
      <c r="FPL46" s="225"/>
      <c r="FPM46" s="225"/>
      <c r="FPN46" s="225"/>
      <c r="FPO46" s="225"/>
      <c r="FPP46" s="225"/>
      <c r="FPQ46" s="225"/>
      <c r="FPR46" s="225"/>
      <c r="FPS46" s="225"/>
      <c r="FPT46" s="225"/>
      <c r="FPU46" s="225"/>
      <c r="FPV46" s="225"/>
      <c r="FPW46" s="225"/>
      <c r="FPX46" s="225"/>
      <c r="FPY46" s="225"/>
      <c r="FPZ46" s="225"/>
      <c r="FQA46" s="225"/>
      <c r="FQB46" s="225"/>
      <c r="FQC46" s="225"/>
      <c r="FQD46" s="225"/>
      <c r="FQE46" s="225"/>
      <c r="FQF46" s="225"/>
      <c r="FQG46" s="225"/>
      <c r="FQH46" s="225"/>
      <c r="FQI46" s="225"/>
      <c r="FQJ46" s="225"/>
      <c r="FQK46" s="225"/>
      <c r="FQL46" s="225"/>
      <c r="FQM46" s="225"/>
      <c r="FQN46" s="225"/>
      <c r="FQO46" s="225"/>
      <c r="FQP46" s="225"/>
      <c r="FQQ46" s="225"/>
      <c r="FQR46" s="225"/>
      <c r="FQS46" s="225"/>
      <c r="FQT46" s="225"/>
      <c r="FQU46" s="225"/>
      <c r="FQV46" s="225"/>
      <c r="FQW46" s="225"/>
      <c r="FQX46" s="225"/>
      <c r="FQY46" s="225"/>
      <c r="FQZ46" s="225"/>
      <c r="FRA46" s="225"/>
      <c r="FRB46" s="225"/>
      <c r="FRC46" s="225"/>
      <c r="FRD46" s="225"/>
      <c r="FRE46" s="225"/>
      <c r="FRF46" s="225"/>
      <c r="FRG46" s="225"/>
      <c r="FRH46" s="225"/>
      <c r="FRI46" s="225"/>
      <c r="FRJ46" s="225"/>
      <c r="FRK46" s="225"/>
      <c r="FRL46" s="225"/>
      <c r="FRM46" s="225"/>
      <c r="FRN46" s="225"/>
      <c r="FRO46" s="225"/>
      <c r="FRP46" s="225"/>
      <c r="FRQ46" s="225"/>
      <c r="FRR46" s="225"/>
      <c r="FRS46" s="225"/>
      <c r="FRT46" s="225"/>
      <c r="FRU46" s="225"/>
      <c r="FRV46" s="225"/>
      <c r="FRW46" s="225"/>
      <c r="FRX46" s="225"/>
      <c r="FRY46" s="225"/>
      <c r="FRZ46" s="225"/>
      <c r="FSA46" s="225"/>
      <c r="FSB46" s="225"/>
      <c r="FSC46" s="225"/>
      <c r="FSD46" s="225"/>
      <c r="FSE46" s="225"/>
      <c r="FSF46" s="225"/>
      <c r="FSG46" s="225"/>
      <c r="FSH46" s="225"/>
      <c r="FSI46" s="225"/>
      <c r="FSJ46" s="225"/>
      <c r="FSK46" s="225"/>
      <c r="FSL46" s="225"/>
      <c r="FSM46" s="225"/>
      <c r="FSN46" s="225"/>
      <c r="FSO46" s="225"/>
      <c r="FSP46" s="225"/>
      <c r="FSQ46" s="225"/>
      <c r="FSR46" s="225"/>
      <c r="FSS46" s="225"/>
      <c r="FST46" s="225"/>
      <c r="FSU46" s="225"/>
      <c r="FSV46" s="225"/>
      <c r="FSW46" s="225"/>
      <c r="FSX46" s="225"/>
      <c r="FSY46" s="225"/>
      <c r="FSZ46" s="225"/>
      <c r="FTA46" s="225"/>
      <c r="FTB46" s="225"/>
      <c r="FTC46" s="225"/>
      <c r="FTD46" s="225"/>
      <c r="FTE46" s="225"/>
      <c r="FTF46" s="225"/>
      <c r="FTG46" s="225"/>
      <c r="FTH46" s="225"/>
      <c r="FTI46" s="225"/>
      <c r="FTJ46" s="225"/>
      <c r="FTK46" s="225"/>
      <c r="FTL46" s="225"/>
      <c r="FTM46" s="225"/>
      <c r="FTN46" s="225"/>
      <c r="FTO46" s="225"/>
      <c r="FTP46" s="225"/>
      <c r="FTQ46" s="225"/>
      <c r="FTR46" s="225"/>
      <c r="FTS46" s="225"/>
      <c r="FTT46" s="225"/>
      <c r="FTU46" s="225"/>
      <c r="FTV46" s="225"/>
      <c r="FTW46" s="225"/>
      <c r="FTX46" s="225"/>
      <c r="FTY46" s="225"/>
      <c r="FTZ46" s="225"/>
      <c r="FUA46" s="225"/>
      <c r="FUB46" s="225"/>
      <c r="FUC46" s="225"/>
      <c r="FUD46" s="225"/>
      <c r="FUE46" s="225"/>
      <c r="FUF46" s="225"/>
      <c r="FUG46" s="225"/>
      <c r="FUH46" s="225"/>
      <c r="FUI46" s="225"/>
      <c r="FUJ46" s="225"/>
      <c r="FUK46" s="225"/>
      <c r="FUL46" s="225"/>
      <c r="FUM46" s="225"/>
      <c r="FUN46" s="225"/>
      <c r="FUO46" s="225"/>
      <c r="FUP46" s="225"/>
      <c r="FUQ46" s="225"/>
      <c r="FUR46" s="225"/>
      <c r="FUS46" s="225"/>
      <c r="FUT46" s="225"/>
      <c r="FUU46" s="225"/>
      <c r="FUV46" s="225"/>
      <c r="FUW46" s="225"/>
      <c r="FUX46" s="225"/>
      <c r="FUY46" s="225"/>
      <c r="FUZ46" s="225"/>
      <c r="FVA46" s="225"/>
      <c r="FVB46" s="225"/>
      <c r="FVC46" s="225"/>
      <c r="FVD46" s="225"/>
      <c r="FVE46" s="225"/>
      <c r="FVF46" s="225"/>
      <c r="FVG46" s="225"/>
      <c r="FVH46" s="225"/>
      <c r="FVI46" s="225"/>
      <c r="FVJ46" s="225"/>
      <c r="FVK46" s="225"/>
      <c r="FVL46" s="225"/>
      <c r="FVM46" s="225"/>
      <c r="FVN46" s="225"/>
      <c r="FVO46" s="225"/>
      <c r="FVP46" s="225"/>
      <c r="FVQ46" s="225"/>
      <c r="FVR46" s="225"/>
      <c r="FVS46" s="225"/>
      <c r="FVT46" s="225"/>
      <c r="FVU46" s="225"/>
      <c r="FVV46" s="225"/>
      <c r="FVW46" s="225"/>
      <c r="FVX46" s="225"/>
      <c r="FVY46" s="225"/>
      <c r="FVZ46" s="225"/>
      <c r="FWA46" s="225"/>
      <c r="FWB46" s="225"/>
      <c r="FWC46" s="225"/>
      <c r="FWD46" s="225"/>
      <c r="FWE46" s="225"/>
      <c r="FWF46" s="225"/>
      <c r="FWG46" s="225"/>
      <c r="FWH46" s="225"/>
      <c r="FWI46" s="225"/>
      <c r="FWJ46" s="225"/>
      <c r="FWK46" s="225"/>
      <c r="FWL46" s="225"/>
      <c r="FWM46" s="225"/>
      <c r="FWN46" s="225"/>
      <c r="FWO46" s="225"/>
      <c r="FWP46" s="225"/>
      <c r="FWQ46" s="225"/>
      <c r="FWR46" s="225"/>
      <c r="FWS46" s="225"/>
      <c r="FWT46" s="225"/>
      <c r="FWU46" s="225"/>
      <c r="FWV46" s="225"/>
      <c r="FWW46" s="225"/>
      <c r="FWX46" s="225"/>
      <c r="FWY46" s="225"/>
      <c r="FWZ46" s="225"/>
      <c r="FXA46" s="225"/>
      <c r="FXB46" s="225"/>
      <c r="FXC46" s="225"/>
      <c r="FXD46" s="225"/>
      <c r="FXE46" s="225"/>
      <c r="FXF46" s="225"/>
      <c r="FXG46" s="225"/>
      <c r="FXH46" s="225"/>
      <c r="FXI46" s="225"/>
      <c r="FXJ46" s="225"/>
      <c r="FXK46" s="225"/>
      <c r="FXL46" s="225"/>
      <c r="FXM46" s="225"/>
      <c r="FXN46" s="225"/>
      <c r="FXO46" s="225"/>
      <c r="FXP46" s="225"/>
      <c r="FXQ46" s="225"/>
      <c r="FXR46" s="225"/>
      <c r="FXS46" s="225"/>
      <c r="FXT46" s="225"/>
      <c r="FXU46" s="225"/>
      <c r="FXV46" s="225"/>
      <c r="FXW46" s="225"/>
      <c r="FXX46" s="225"/>
      <c r="FXY46" s="225"/>
      <c r="FXZ46" s="225"/>
      <c r="FYA46" s="225"/>
      <c r="FYB46" s="225"/>
      <c r="FYC46" s="225"/>
      <c r="FYD46" s="225"/>
      <c r="FYE46" s="225"/>
      <c r="FYF46" s="225"/>
      <c r="FYG46" s="225"/>
      <c r="FYH46" s="225"/>
      <c r="FYI46" s="225"/>
      <c r="FYJ46" s="225"/>
      <c r="FYK46" s="225"/>
      <c r="FYL46" s="225"/>
      <c r="FYM46" s="225"/>
      <c r="FYN46" s="225"/>
      <c r="FYO46" s="225"/>
      <c r="FYP46" s="225"/>
      <c r="FYQ46" s="225"/>
      <c r="FYR46" s="225"/>
      <c r="FYS46" s="225"/>
      <c r="FYT46" s="225"/>
      <c r="FYU46" s="225"/>
      <c r="FYV46" s="225"/>
      <c r="FYW46" s="225"/>
      <c r="FYX46" s="225"/>
      <c r="FYY46" s="225"/>
      <c r="FYZ46" s="225"/>
      <c r="FZA46" s="225"/>
      <c r="FZB46" s="225"/>
      <c r="FZC46" s="225"/>
      <c r="FZD46" s="225"/>
      <c r="FZE46" s="225"/>
      <c r="FZF46" s="225"/>
      <c r="FZG46" s="225"/>
      <c r="FZH46" s="225"/>
      <c r="FZI46" s="225"/>
      <c r="FZJ46" s="225"/>
      <c r="FZK46" s="225"/>
      <c r="FZL46" s="225"/>
      <c r="FZM46" s="225"/>
      <c r="FZN46" s="225"/>
      <c r="FZO46" s="225"/>
      <c r="FZP46" s="225"/>
      <c r="FZQ46" s="225"/>
      <c r="FZR46" s="225"/>
      <c r="FZS46" s="225"/>
      <c r="FZT46" s="225"/>
      <c r="FZU46" s="225"/>
      <c r="FZV46" s="225"/>
      <c r="FZW46" s="225"/>
      <c r="FZX46" s="225"/>
      <c r="FZY46" s="225"/>
      <c r="FZZ46" s="225"/>
      <c r="GAA46" s="225"/>
      <c r="GAB46" s="225"/>
      <c r="GAC46" s="225"/>
      <c r="GAD46" s="225"/>
      <c r="GAE46" s="225"/>
      <c r="GAF46" s="225"/>
      <c r="GAG46" s="225"/>
      <c r="GAH46" s="225"/>
      <c r="GAI46" s="225"/>
      <c r="GAJ46" s="225"/>
      <c r="GAK46" s="225"/>
      <c r="GAL46" s="225"/>
      <c r="GAM46" s="225"/>
      <c r="GAN46" s="225"/>
      <c r="GAO46" s="225"/>
      <c r="GAP46" s="225"/>
      <c r="GAQ46" s="225"/>
      <c r="GAR46" s="225"/>
      <c r="GAS46" s="225"/>
      <c r="GAT46" s="225"/>
      <c r="GAU46" s="225"/>
      <c r="GAV46" s="225"/>
      <c r="GAW46" s="225"/>
      <c r="GAX46" s="225"/>
      <c r="GAY46" s="225"/>
      <c r="GAZ46" s="225"/>
      <c r="GBA46" s="225"/>
      <c r="GBB46" s="225"/>
      <c r="GBC46" s="225"/>
      <c r="GBD46" s="225"/>
      <c r="GBE46" s="225"/>
      <c r="GBF46" s="225"/>
      <c r="GBG46" s="225"/>
      <c r="GBH46" s="225"/>
      <c r="GBI46" s="225"/>
      <c r="GBJ46" s="225"/>
      <c r="GBK46" s="225"/>
      <c r="GBL46" s="225"/>
      <c r="GBM46" s="225"/>
      <c r="GBN46" s="225"/>
      <c r="GBO46" s="225"/>
      <c r="GBP46" s="225"/>
      <c r="GBQ46" s="225"/>
      <c r="GBR46" s="225"/>
      <c r="GBS46" s="225"/>
      <c r="GBT46" s="225"/>
      <c r="GBU46" s="225"/>
      <c r="GBV46" s="225"/>
      <c r="GBW46" s="225"/>
      <c r="GBX46" s="225"/>
      <c r="GBY46" s="225"/>
      <c r="GBZ46" s="225"/>
      <c r="GCA46" s="225"/>
      <c r="GCB46" s="225"/>
      <c r="GCC46" s="225"/>
      <c r="GCD46" s="225"/>
      <c r="GCE46" s="225"/>
      <c r="GCF46" s="225"/>
      <c r="GCG46" s="225"/>
      <c r="GCH46" s="225"/>
      <c r="GCI46" s="225"/>
      <c r="GCJ46" s="225"/>
      <c r="GCK46" s="225"/>
      <c r="GCL46" s="225"/>
      <c r="GCM46" s="225"/>
      <c r="GCN46" s="225"/>
      <c r="GCO46" s="225"/>
      <c r="GCP46" s="225"/>
      <c r="GCQ46" s="225"/>
      <c r="GCR46" s="225"/>
      <c r="GCS46" s="225"/>
      <c r="GCT46" s="225"/>
      <c r="GCU46" s="225"/>
      <c r="GCV46" s="225"/>
      <c r="GCW46" s="225"/>
      <c r="GCX46" s="225"/>
      <c r="GCY46" s="225"/>
      <c r="GCZ46" s="225"/>
      <c r="GDA46" s="225"/>
      <c r="GDB46" s="225"/>
      <c r="GDC46" s="225"/>
      <c r="GDD46" s="225"/>
      <c r="GDE46" s="225"/>
      <c r="GDF46" s="225"/>
      <c r="GDG46" s="225"/>
      <c r="GDH46" s="225"/>
      <c r="GDI46" s="225"/>
      <c r="GDJ46" s="225"/>
      <c r="GDK46" s="225"/>
      <c r="GDL46" s="225"/>
      <c r="GDM46" s="225"/>
      <c r="GDN46" s="225"/>
      <c r="GDO46" s="225"/>
      <c r="GDP46" s="225"/>
      <c r="GDQ46" s="225"/>
      <c r="GDR46" s="225"/>
      <c r="GDS46" s="225"/>
      <c r="GDT46" s="225"/>
      <c r="GDU46" s="225"/>
      <c r="GDV46" s="225"/>
      <c r="GDW46" s="225"/>
      <c r="GDX46" s="225"/>
      <c r="GDY46" s="225"/>
      <c r="GDZ46" s="225"/>
      <c r="GEA46" s="225"/>
      <c r="GEB46" s="225"/>
      <c r="GEC46" s="225"/>
      <c r="GED46" s="225"/>
      <c r="GEE46" s="225"/>
      <c r="GEF46" s="225"/>
      <c r="GEG46" s="225"/>
      <c r="GEH46" s="225"/>
      <c r="GEI46" s="225"/>
      <c r="GEJ46" s="225"/>
      <c r="GEK46" s="225"/>
      <c r="GEL46" s="225"/>
      <c r="GEM46" s="225"/>
      <c r="GEN46" s="225"/>
      <c r="GEO46" s="225"/>
      <c r="GEP46" s="225"/>
      <c r="GEQ46" s="225"/>
      <c r="GER46" s="225"/>
      <c r="GES46" s="225"/>
      <c r="GET46" s="225"/>
      <c r="GEU46" s="225"/>
      <c r="GEV46" s="225"/>
      <c r="GEW46" s="225"/>
      <c r="GEX46" s="225"/>
      <c r="GEY46" s="225"/>
      <c r="GEZ46" s="225"/>
      <c r="GFA46" s="225"/>
      <c r="GFB46" s="225"/>
      <c r="GFC46" s="225"/>
      <c r="GFD46" s="225"/>
      <c r="GFE46" s="225"/>
      <c r="GFF46" s="225"/>
      <c r="GFG46" s="225"/>
      <c r="GFH46" s="225"/>
      <c r="GFI46" s="225"/>
      <c r="GFJ46" s="225"/>
      <c r="GFK46" s="225"/>
      <c r="GFL46" s="225"/>
      <c r="GFM46" s="225"/>
      <c r="GFN46" s="225"/>
      <c r="GFO46" s="225"/>
      <c r="GFP46" s="225"/>
      <c r="GFQ46" s="225"/>
      <c r="GFR46" s="225"/>
      <c r="GFS46" s="225"/>
      <c r="GFT46" s="225"/>
      <c r="GFU46" s="225"/>
      <c r="GFV46" s="225"/>
      <c r="GFW46" s="225"/>
      <c r="GFX46" s="225"/>
      <c r="GFY46" s="225"/>
      <c r="GFZ46" s="225"/>
      <c r="GGA46" s="225"/>
      <c r="GGB46" s="225"/>
      <c r="GGC46" s="225"/>
      <c r="GGD46" s="225"/>
      <c r="GGE46" s="225"/>
      <c r="GGF46" s="225"/>
      <c r="GGG46" s="225"/>
      <c r="GGH46" s="225"/>
      <c r="GGI46" s="225"/>
      <c r="GGJ46" s="225"/>
      <c r="GGK46" s="225"/>
      <c r="GGL46" s="225"/>
      <c r="GGM46" s="225"/>
      <c r="GGN46" s="225"/>
      <c r="GGO46" s="225"/>
      <c r="GGP46" s="225"/>
      <c r="GGQ46" s="225"/>
      <c r="GGR46" s="225"/>
      <c r="GGS46" s="225"/>
      <c r="GGT46" s="225"/>
      <c r="GGU46" s="225"/>
      <c r="GGV46" s="225"/>
      <c r="GGW46" s="225"/>
      <c r="GGX46" s="225"/>
      <c r="GGY46" s="225"/>
      <c r="GGZ46" s="225"/>
      <c r="GHA46" s="225"/>
      <c r="GHB46" s="225"/>
      <c r="GHC46" s="225"/>
      <c r="GHD46" s="225"/>
      <c r="GHE46" s="225"/>
      <c r="GHF46" s="225"/>
      <c r="GHG46" s="225"/>
      <c r="GHH46" s="225"/>
      <c r="GHI46" s="225"/>
      <c r="GHJ46" s="225"/>
      <c r="GHK46" s="225"/>
      <c r="GHL46" s="225"/>
      <c r="GHM46" s="225"/>
      <c r="GHN46" s="225"/>
      <c r="GHO46" s="225"/>
      <c r="GHP46" s="225"/>
      <c r="GHQ46" s="225"/>
      <c r="GHR46" s="225"/>
      <c r="GHS46" s="225"/>
      <c r="GHT46" s="225"/>
      <c r="GHU46" s="225"/>
      <c r="GHV46" s="225"/>
      <c r="GHW46" s="225"/>
      <c r="GHX46" s="225"/>
      <c r="GHY46" s="225"/>
      <c r="GHZ46" s="225"/>
      <c r="GIA46" s="225"/>
      <c r="GIB46" s="225"/>
      <c r="GIC46" s="225"/>
      <c r="GID46" s="225"/>
      <c r="GIE46" s="225"/>
      <c r="GIF46" s="225"/>
      <c r="GIG46" s="225"/>
      <c r="GIH46" s="225"/>
      <c r="GII46" s="225"/>
      <c r="GIJ46" s="225"/>
      <c r="GIK46" s="225"/>
      <c r="GIL46" s="225"/>
      <c r="GIM46" s="225"/>
      <c r="GIN46" s="225"/>
      <c r="GIO46" s="225"/>
      <c r="GIP46" s="225"/>
      <c r="GIQ46" s="225"/>
      <c r="GIR46" s="225"/>
      <c r="GIS46" s="225"/>
      <c r="GIT46" s="225"/>
      <c r="GIU46" s="225"/>
      <c r="GIV46" s="225"/>
      <c r="GIW46" s="225"/>
      <c r="GIX46" s="225"/>
      <c r="GIY46" s="225"/>
      <c r="GIZ46" s="225"/>
      <c r="GJA46" s="225"/>
      <c r="GJB46" s="225"/>
      <c r="GJC46" s="225"/>
      <c r="GJD46" s="225"/>
      <c r="GJE46" s="225"/>
      <c r="GJF46" s="225"/>
      <c r="GJG46" s="225"/>
      <c r="GJH46" s="225"/>
      <c r="GJI46" s="225"/>
      <c r="GJJ46" s="225"/>
      <c r="GJK46" s="225"/>
      <c r="GJL46" s="225"/>
      <c r="GJM46" s="225"/>
      <c r="GJN46" s="225"/>
      <c r="GJO46" s="225"/>
      <c r="GJP46" s="225"/>
      <c r="GJQ46" s="225"/>
      <c r="GJR46" s="225"/>
      <c r="GJS46" s="225"/>
      <c r="GJT46" s="225"/>
      <c r="GJU46" s="225"/>
      <c r="GJV46" s="225"/>
      <c r="GJW46" s="225"/>
      <c r="GJX46" s="225"/>
      <c r="GJY46" s="225"/>
      <c r="GJZ46" s="225"/>
      <c r="GKA46" s="225"/>
      <c r="GKB46" s="225"/>
      <c r="GKC46" s="225"/>
      <c r="GKD46" s="225"/>
      <c r="GKE46" s="225"/>
      <c r="GKF46" s="225"/>
      <c r="GKG46" s="225"/>
      <c r="GKH46" s="225"/>
      <c r="GKI46" s="225"/>
      <c r="GKJ46" s="225"/>
      <c r="GKK46" s="225"/>
      <c r="GKL46" s="225"/>
      <c r="GKM46" s="225"/>
      <c r="GKN46" s="225"/>
      <c r="GKO46" s="225"/>
      <c r="GKP46" s="225"/>
      <c r="GKQ46" s="225"/>
      <c r="GKR46" s="225"/>
      <c r="GKS46" s="225"/>
      <c r="GKT46" s="225"/>
      <c r="GKU46" s="225"/>
      <c r="GKV46" s="225"/>
      <c r="GKW46" s="225"/>
      <c r="GKX46" s="225"/>
      <c r="GKY46" s="225"/>
      <c r="GKZ46" s="225"/>
      <c r="GLA46" s="225"/>
      <c r="GLB46" s="225"/>
      <c r="GLC46" s="225"/>
      <c r="GLD46" s="225"/>
      <c r="GLE46" s="225"/>
      <c r="GLF46" s="225"/>
      <c r="GLG46" s="225"/>
      <c r="GLH46" s="225"/>
      <c r="GLI46" s="225"/>
      <c r="GLJ46" s="225"/>
      <c r="GLK46" s="225"/>
      <c r="GLL46" s="225"/>
      <c r="GLM46" s="225"/>
      <c r="GLN46" s="225"/>
      <c r="GLO46" s="225"/>
      <c r="GLP46" s="225"/>
      <c r="GLQ46" s="225"/>
      <c r="GLR46" s="225"/>
      <c r="GLS46" s="225"/>
      <c r="GLT46" s="225"/>
      <c r="GLU46" s="225"/>
      <c r="GLV46" s="225"/>
      <c r="GLW46" s="225"/>
      <c r="GLX46" s="225"/>
      <c r="GLY46" s="225"/>
      <c r="GLZ46" s="225"/>
      <c r="GMA46" s="225"/>
      <c r="GMB46" s="225"/>
      <c r="GMC46" s="225"/>
      <c r="GMD46" s="225"/>
      <c r="GME46" s="225"/>
      <c r="GMF46" s="225"/>
      <c r="GMG46" s="225"/>
      <c r="GMH46" s="225"/>
      <c r="GMI46" s="225"/>
      <c r="GMJ46" s="225"/>
      <c r="GMK46" s="225"/>
      <c r="GML46" s="225"/>
      <c r="GMM46" s="225"/>
      <c r="GMN46" s="225"/>
      <c r="GMO46" s="225"/>
      <c r="GMP46" s="225"/>
      <c r="GMQ46" s="225"/>
      <c r="GMR46" s="225"/>
      <c r="GMS46" s="225"/>
      <c r="GMT46" s="225"/>
      <c r="GMU46" s="225"/>
      <c r="GMV46" s="225"/>
      <c r="GMW46" s="225"/>
      <c r="GMX46" s="225"/>
      <c r="GMY46" s="225"/>
      <c r="GMZ46" s="225"/>
      <c r="GNA46" s="225"/>
      <c r="GNB46" s="225"/>
      <c r="GNC46" s="225"/>
      <c r="GND46" s="225"/>
      <c r="GNE46" s="225"/>
      <c r="GNF46" s="225"/>
      <c r="GNG46" s="225"/>
      <c r="GNH46" s="225"/>
      <c r="GNI46" s="225"/>
      <c r="GNJ46" s="225"/>
      <c r="GNK46" s="225"/>
      <c r="GNL46" s="225"/>
      <c r="GNM46" s="225"/>
      <c r="GNN46" s="225"/>
      <c r="GNO46" s="225"/>
      <c r="GNP46" s="225"/>
      <c r="GNQ46" s="225"/>
      <c r="GNR46" s="225"/>
      <c r="GNS46" s="225"/>
      <c r="GNT46" s="225"/>
      <c r="GNU46" s="225"/>
      <c r="GNV46" s="225"/>
      <c r="GNW46" s="225"/>
      <c r="GNX46" s="225"/>
      <c r="GNY46" s="225"/>
      <c r="GNZ46" s="225"/>
      <c r="GOA46" s="225"/>
      <c r="GOB46" s="225"/>
      <c r="GOC46" s="225"/>
      <c r="GOD46" s="225"/>
      <c r="GOE46" s="225"/>
      <c r="GOF46" s="225"/>
      <c r="GOG46" s="225"/>
      <c r="GOH46" s="225"/>
      <c r="GOI46" s="225"/>
      <c r="GOJ46" s="225"/>
      <c r="GOK46" s="225"/>
      <c r="GOL46" s="225"/>
      <c r="GOM46" s="225"/>
      <c r="GON46" s="225"/>
      <c r="GOO46" s="225"/>
      <c r="GOP46" s="225"/>
      <c r="GOQ46" s="225"/>
      <c r="GOR46" s="225"/>
      <c r="GOS46" s="225"/>
      <c r="GOT46" s="225"/>
      <c r="GOU46" s="225"/>
      <c r="GOV46" s="225"/>
      <c r="GOW46" s="225"/>
      <c r="GOX46" s="225"/>
      <c r="GOY46" s="225"/>
      <c r="GOZ46" s="225"/>
      <c r="GPA46" s="225"/>
      <c r="GPB46" s="225"/>
      <c r="GPC46" s="225"/>
      <c r="GPD46" s="225"/>
      <c r="GPE46" s="225"/>
      <c r="GPF46" s="225"/>
      <c r="GPG46" s="225"/>
      <c r="GPH46" s="225"/>
      <c r="GPI46" s="225"/>
      <c r="GPJ46" s="225"/>
      <c r="GPK46" s="225"/>
      <c r="GPL46" s="225"/>
      <c r="GPM46" s="225"/>
      <c r="GPN46" s="225"/>
      <c r="GPO46" s="225"/>
      <c r="GPP46" s="225"/>
      <c r="GPQ46" s="225"/>
      <c r="GPR46" s="225"/>
      <c r="GPS46" s="225"/>
      <c r="GPT46" s="225"/>
      <c r="GPU46" s="225"/>
      <c r="GPV46" s="225"/>
      <c r="GPW46" s="225"/>
      <c r="GPX46" s="225"/>
      <c r="GPY46" s="225"/>
      <c r="GPZ46" s="225"/>
      <c r="GQA46" s="225"/>
      <c r="GQB46" s="225"/>
      <c r="GQC46" s="225"/>
      <c r="GQD46" s="225"/>
      <c r="GQE46" s="225"/>
      <c r="GQF46" s="225"/>
      <c r="GQG46" s="225"/>
      <c r="GQH46" s="225"/>
      <c r="GQI46" s="225"/>
      <c r="GQJ46" s="225"/>
      <c r="GQK46" s="225"/>
      <c r="GQL46" s="225"/>
      <c r="GQM46" s="225"/>
      <c r="GQN46" s="225"/>
      <c r="GQO46" s="225"/>
      <c r="GQP46" s="225"/>
      <c r="GQQ46" s="225"/>
      <c r="GQR46" s="225"/>
      <c r="GQS46" s="225"/>
      <c r="GQT46" s="225"/>
      <c r="GQU46" s="225"/>
      <c r="GQV46" s="225"/>
      <c r="GQW46" s="225"/>
      <c r="GQX46" s="225"/>
      <c r="GQY46" s="225"/>
      <c r="GQZ46" s="225"/>
      <c r="GRA46" s="225"/>
      <c r="GRB46" s="225"/>
      <c r="GRC46" s="225"/>
      <c r="GRD46" s="225"/>
      <c r="GRE46" s="225"/>
      <c r="GRF46" s="225"/>
      <c r="GRG46" s="225"/>
      <c r="GRH46" s="225"/>
      <c r="GRI46" s="225"/>
      <c r="GRJ46" s="225"/>
      <c r="GRK46" s="225"/>
      <c r="GRL46" s="225"/>
      <c r="GRM46" s="225"/>
      <c r="GRN46" s="225"/>
      <c r="GRO46" s="225"/>
      <c r="GRP46" s="225"/>
      <c r="GRQ46" s="225"/>
      <c r="GRR46" s="225"/>
      <c r="GRS46" s="225"/>
      <c r="GRT46" s="225"/>
      <c r="GRU46" s="225"/>
      <c r="GRV46" s="225"/>
      <c r="GRW46" s="225"/>
      <c r="GRX46" s="225"/>
      <c r="GRY46" s="225"/>
      <c r="GRZ46" s="225"/>
      <c r="GSA46" s="225"/>
      <c r="GSB46" s="225"/>
      <c r="GSC46" s="225"/>
      <c r="GSD46" s="225"/>
      <c r="GSE46" s="225"/>
      <c r="GSF46" s="225"/>
      <c r="GSG46" s="225"/>
      <c r="GSH46" s="225"/>
      <c r="GSI46" s="225"/>
      <c r="GSJ46" s="225"/>
      <c r="GSK46" s="225"/>
      <c r="GSL46" s="225"/>
      <c r="GSM46" s="225"/>
      <c r="GSN46" s="225"/>
      <c r="GSO46" s="225"/>
      <c r="GSP46" s="225"/>
      <c r="GSQ46" s="225"/>
      <c r="GSR46" s="225"/>
      <c r="GSS46" s="225"/>
      <c r="GST46" s="225"/>
      <c r="GSU46" s="225"/>
      <c r="GSV46" s="225"/>
      <c r="GSW46" s="225"/>
      <c r="GSX46" s="225"/>
      <c r="GSY46" s="225"/>
      <c r="GSZ46" s="225"/>
      <c r="GTA46" s="225"/>
      <c r="GTB46" s="225"/>
      <c r="GTC46" s="225"/>
      <c r="GTD46" s="225"/>
      <c r="GTE46" s="225"/>
      <c r="GTF46" s="225"/>
      <c r="GTG46" s="225"/>
      <c r="GTH46" s="225"/>
      <c r="GTI46" s="225"/>
      <c r="GTJ46" s="225"/>
      <c r="GTK46" s="225"/>
      <c r="GTL46" s="225"/>
      <c r="GTM46" s="225"/>
      <c r="GTN46" s="225"/>
      <c r="GTO46" s="225"/>
      <c r="GTP46" s="225"/>
      <c r="GTQ46" s="225"/>
      <c r="GTR46" s="225"/>
      <c r="GTS46" s="225"/>
      <c r="GTT46" s="225"/>
      <c r="GTU46" s="225"/>
      <c r="GTV46" s="225"/>
      <c r="GTW46" s="225"/>
      <c r="GTX46" s="225"/>
      <c r="GTY46" s="225"/>
      <c r="GTZ46" s="225"/>
      <c r="GUA46" s="225"/>
      <c r="GUB46" s="225"/>
      <c r="GUC46" s="225"/>
      <c r="GUD46" s="225"/>
      <c r="GUE46" s="225"/>
      <c r="GUF46" s="225"/>
      <c r="GUG46" s="225"/>
      <c r="GUH46" s="225"/>
      <c r="GUI46" s="225"/>
      <c r="GUJ46" s="225"/>
      <c r="GUK46" s="225"/>
      <c r="GUL46" s="225"/>
      <c r="GUM46" s="225"/>
      <c r="GUN46" s="225"/>
      <c r="GUO46" s="225"/>
      <c r="GUP46" s="225"/>
      <c r="GUQ46" s="225"/>
      <c r="GUR46" s="225"/>
      <c r="GUS46" s="225"/>
      <c r="GUT46" s="225"/>
      <c r="GUU46" s="225"/>
      <c r="GUV46" s="225"/>
      <c r="GUW46" s="225"/>
      <c r="GUX46" s="225"/>
      <c r="GUY46" s="225"/>
      <c r="GUZ46" s="225"/>
      <c r="GVA46" s="225"/>
      <c r="GVB46" s="225"/>
      <c r="GVC46" s="225"/>
      <c r="GVD46" s="225"/>
      <c r="GVE46" s="225"/>
      <c r="GVF46" s="225"/>
      <c r="GVG46" s="225"/>
      <c r="GVH46" s="225"/>
      <c r="GVI46" s="225"/>
      <c r="GVJ46" s="225"/>
      <c r="GVK46" s="225"/>
      <c r="GVL46" s="225"/>
      <c r="GVM46" s="225"/>
      <c r="GVN46" s="225"/>
      <c r="GVO46" s="225"/>
      <c r="GVP46" s="225"/>
      <c r="GVQ46" s="225"/>
      <c r="GVR46" s="225"/>
      <c r="GVS46" s="225"/>
      <c r="GVT46" s="225"/>
      <c r="GVU46" s="225"/>
      <c r="GVV46" s="225"/>
      <c r="GVW46" s="225"/>
      <c r="GVX46" s="225"/>
      <c r="GVY46" s="225"/>
      <c r="GVZ46" s="225"/>
      <c r="GWA46" s="225"/>
      <c r="GWB46" s="225"/>
      <c r="GWC46" s="225"/>
      <c r="GWD46" s="225"/>
      <c r="GWE46" s="225"/>
      <c r="GWF46" s="225"/>
      <c r="GWG46" s="225"/>
      <c r="GWH46" s="225"/>
      <c r="GWI46" s="225"/>
      <c r="GWJ46" s="225"/>
      <c r="GWK46" s="225"/>
      <c r="GWL46" s="225"/>
      <c r="GWM46" s="225"/>
      <c r="GWN46" s="225"/>
      <c r="GWO46" s="225"/>
      <c r="GWP46" s="225"/>
      <c r="GWQ46" s="225"/>
      <c r="GWR46" s="225"/>
      <c r="GWS46" s="225"/>
      <c r="GWT46" s="225"/>
      <c r="GWU46" s="225"/>
      <c r="GWV46" s="225"/>
      <c r="GWW46" s="225"/>
      <c r="GWX46" s="225"/>
      <c r="GWY46" s="225"/>
      <c r="GWZ46" s="225"/>
      <c r="GXA46" s="225"/>
      <c r="GXB46" s="225"/>
      <c r="GXC46" s="225"/>
      <c r="GXD46" s="225"/>
      <c r="GXE46" s="225"/>
      <c r="GXF46" s="225"/>
      <c r="GXG46" s="225"/>
      <c r="GXH46" s="225"/>
      <c r="GXI46" s="225"/>
      <c r="GXJ46" s="225"/>
      <c r="GXK46" s="225"/>
      <c r="GXL46" s="225"/>
      <c r="GXM46" s="225"/>
      <c r="GXN46" s="225"/>
      <c r="GXO46" s="225"/>
      <c r="GXP46" s="225"/>
      <c r="GXQ46" s="225"/>
      <c r="GXR46" s="225"/>
      <c r="GXS46" s="225"/>
      <c r="GXT46" s="225"/>
      <c r="GXU46" s="225"/>
      <c r="GXV46" s="225"/>
      <c r="GXW46" s="225"/>
      <c r="GXX46" s="225"/>
      <c r="GXY46" s="225"/>
      <c r="GXZ46" s="225"/>
      <c r="GYA46" s="225"/>
      <c r="GYB46" s="225"/>
      <c r="GYC46" s="225"/>
      <c r="GYD46" s="225"/>
      <c r="GYE46" s="225"/>
      <c r="GYF46" s="225"/>
      <c r="GYG46" s="225"/>
      <c r="GYH46" s="225"/>
      <c r="GYI46" s="225"/>
      <c r="GYJ46" s="225"/>
      <c r="GYK46" s="225"/>
      <c r="GYL46" s="225"/>
      <c r="GYM46" s="225"/>
      <c r="GYN46" s="225"/>
      <c r="GYO46" s="225"/>
      <c r="GYP46" s="225"/>
      <c r="GYQ46" s="225"/>
      <c r="GYR46" s="225"/>
      <c r="GYS46" s="225"/>
      <c r="GYT46" s="225"/>
      <c r="GYU46" s="225"/>
      <c r="GYV46" s="225"/>
      <c r="GYW46" s="225"/>
      <c r="GYX46" s="225"/>
      <c r="GYY46" s="225"/>
      <c r="GYZ46" s="225"/>
      <c r="GZA46" s="225"/>
      <c r="GZB46" s="225"/>
      <c r="GZC46" s="225"/>
      <c r="GZD46" s="225"/>
      <c r="GZE46" s="225"/>
      <c r="GZF46" s="225"/>
      <c r="GZG46" s="225"/>
      <c r="GZH46" s="225"/>
      <c r="GZI46" s="225"/>
      <c r="GZJ46" s="225"/>
      <c r="GZK46" s="225"/>
      <c r="GZL46" s="225"/>
      <c r="GZM46" s="225"/>
      <c r="GZN46" s="225"/>
      <c r="GZO46" s="225"/>
      <c r="GZP46" s="225"/>
      <c r="GZQ46" s="225"/>
      <c r="GZR46" s="225"/>
      <c r="GZS46" s="225"/>
      <c r="GZT46" s="225"/>
      <c r="GZU46" s="225"/>
      <c r="GZV46" s="225"/>
      <c r="GZW46" s="225"/>
      <c r="GZX46" s="225"/>
      <c r="GZY46" s="225"/>
      <c r="GZZ46" s="225"/>
      <c r="HAA46" s="225"/>
      <c r="HAB46" s="225"/>
      <c r="HAC46" s="225"/>
      <c r="HAD46" s="225"/>
      <c r="HAE46" s="225"/>
      <c r="HAF46" s="225"/>
      <c r="HAG46" s="225"/>
      <c r="HAH46" s="225"/>
      <c r="HAI46" s="225"/>
      <c r="HAJ46" s="225"/>
      <c r="HAK46" s="225"/>
      <c r="HAL46" s="225"/>
      <c r="HAM46" s="225"/>
      <c r="HAN46" s="225"/>
      <c r="HAO46" s="225"/>
      <c r="HAP46" s="225"/>
      <c r="HAQ46" s="225"/>
      <c r="HAR46" s="225"/>
      <c r="HAS46" s="225"/>
      <c r="HAT46" s="225"/>
      <c r="HAU46" s="225"/>
      <c r="HAV46" s="225"/>
      <c r="HAW46" s="225"/>
      <c r="HAX46" s="225"/>
      <c r="HAY46" s="225"/>
      <c r="HAZ46" s="225"/>
      <c r="HBA46" s="225"/>
      <c r="HBB46" s="225"/>
      <c r="HBC46" s="225"/>
      <c r="HBD46" s="225"/>
      <c r="HBE46" s="225"/>
      <c r="HBF46" s="225"/>
      <c r="HBG46" s="225"/>
      <c r="HBH46" s="225"/>
      <c r="HBI46" s="225"/>
      <c r="HBJ46" s="225"/>
      <c r="HBK46" s="225"/>
      <c r="HBL46" s="225"/>
      <c r="HBM46" s="225"/>
      <c r="HBN46" s="225"/>
      <c r="HBO46" s="225"/>
      <c r="HBP46" s="225"/>
      <c r="HBQ46" s="225"/>
      <c r="HBR46" s="225"/>
      <c r="HBS46" s="225"/>
      <c r="HBT46" s="225"/>
      <c r="HBU46" s="225"/>
      <c r="HBV46" s="225"/>
      <c r="HBW46" s="225"/>
      <c r="HBX46" s="225"/>
      <c r="HBY46" s="225"/>
      <c r="HBZ46" s="225"/>
      <c r="HCA46" s="225"/>
      <c r="HCB46" s="225"/>
      <c r="HCC46" s="225"/>
      <c r="HCD46" s="225"/>
      <c r="HCE46" s="225"/>
      <c r="HCF46" s="225"/>
      <c r="HCG46" s="225"/>
      <c r="HCH46" s="225"/>
      <c r="HCI46" s="225"/>
      <c r="HCJ46" s="225"/>
      <c r="HCK46" s="225"/>
      <c r="HCL46" s="225"/>
      <c r="HCM46" s="225"/>
      <c r="HCN46" s="225"/>
      <c r="HCO46" s="225"/>
      <c r="HCP46" s="225"/>
      <c r="HCQ46" s="225"/>
      <c r="HCR46" s="225"/>
      <c r="HCS46" s="225"/>
      <c r="HCT46" s="225"/>
      <c r="HCU46" s="225"/>
      <c r="HCV46" s="225"/>
      <c r="HCW46" s="225"/>
      <c r="HCX46" s="225"/>
      <c r="HCY46" s="225"/>
      <c r="HCZ46" s="225"/>
      <c r="HDA46" s="225"/>
      <c r="HDB46" s="225"/>
      <c r="HDC46" s="225"/>
      <c r="HDD46" s="225"/>
      <c r="HDE46" s="225"/>
      <c r="HDF46" s="225"/>
      <c r="HDG46" s="225"/>
      <c r="HDH46" s="225"/>
      <c r="HDI46" s="225"/>
      <c r="HDJ46" s="225"/>
      <c r="HDK46" s="225"/>
      <c r="HDL46" s="225"/>
      <c r="HDM46" s="225"/>
      <c r="HDN46" s="225"/>
      <c r="HDO46" s="225"/>
      <c r="HDP46" s="225"/>
      <c r="HDQ46" s="225"/>
      <c r="HDR46" s="225"/>
      <c r="HDS46" s="225"/>
      <c r="HDT46" s="225"/>
      <c r="HDU46" s="225"/>
      <c r="HDV46" s="225"/>
      <c r="HDW46" s="225"/>
      <c r="HDX46" s="225"/>
      <c r="HDY46" s="225"/>
      <c r="HDZ46" s="225"/>
      <c r="HEA46" s="225"/>
      <c r="HEB46" s="225"/>
      <c r="HEC46" s="225"/>
      <c r="HED46" s="225"/>
      <c r="HEE46" s="225"/>
      <c r="HEF46" s="225"/>
      <c r="HEG46" s="225"/>
      <c r="HEH46" s="225"/>
      <c r="HEI46" s="225"/>
      <c r="HEJ46" s="225"/>
      <c r="HEK46" s="225"/>
      <c r="HEL46" s="225"/>
      <c r="HEM46" s="225"/>
      <c r="HEN46" s="225"/>
      <c r="HEO46" s="225"/>
      <c r="HEP46" s="225"/>
      <c r="HEQ46" s="225"/>
      <c r="HER46" s="225"/>
      <c r="HES46" s="225"/>
      <c r="HET46" s="225"/>
      <c r="HEU46" s="225"/>
      <c r="HEV46" s="225"/>
      <c r="HEW46" s="225"/>
      <c r="HEX46" s="225"/>
      <c r="HEY46" s="225"/>
      <c r="HEZ46" s="225"/>
      <c r="HFA46" s="225"/>
      <c r="HFB46" s="225"/>
      <c r="HFC46" s="225"/>
      <c r="HFD46" s="225"/>
      <c r="HFE46" s="225"/>
      <c r="HFF46" s="225"/>
      <c r="HFG46" s="225"/>
      <c r="HFH46" s="225"/>
      <c r="HFI46" s="225"/>
      <c r="HFJ46" s="225"/>
      <c r="HFK46" s="225"/>
      <c r="HFL46" s="225"/>
      <c r="HFM46" s="225"/>
      <c r="HFN46" s="225"/>
      <c r="HFO46" s="225"/>
      <c r="HFP46" s="225"/>
      <c r="HFQ46" s="225"/>
      <c r="HFR46" s="225"/>
      <c r="HFS46" s="225"/>
      <c r="HFT46" s="225"/>
      <c r="HFU46" s="225"/>
      <c r="HFV46" s="225"/>
      <c r="HFW46" s="225"/>
      <c r="HFX46" s="225"/>
      <c r="HFY46" s="225"/>
      <c r="HFZ46" s="225"/>
      <c r="HGA46" s="225"/>
      <c r="HGB46" s="225"/>
      <c r="HGC46" s="225"/>
      <c r="HGD46" s="225"/>
      <c r="HGE46" s="225"/>
      <c r="HGF46" s="225"/>
      <c r="HGG46" s="225"/>
      <c r="HGH46" s="225"/>
      <c r="HGI46" s="225"/>
      <c r="HGJ46" s="225"/>
      <c r="HGK46" s="225"/>
      <c r="HGL46" s="225"/>
      <c r="HGM46" s="225"/>
      <c r="HGN46" s="225"/>
      <c r="HGO46" s="225"/>
      <c r="HGP46" s="225"/>
      <c r="HGQ46" s="225"/>
      <c r="HGR46" s="225"/>
      <c r="HGS46" s="225"/>
      <c r="HGT46" s="225"/>
      <c r="HGU46" s="225"/>
      <c r="HGV46" s="225"/>
      <c r="HGW46" s="225"/>
      <c r="HGX46" s="225"/>
      <c r="HGY46" s="225"/>
      <c r="HGZ46" s="225"/>
      <c r="HHA46" s="225"/>
      <c r="HHB46" s="225"/>
      <c r="HHC46" s="225"/>
      <c r="HHD46" s="225"/>
      <c r="HHE46" s="225"/>
      <c r="HHF46" s="225"/>
      <c r="HHG46" s="225"/>
      <c r="HHH46" s="225"/>
      <c r="HHI46" s="225"/>
      <c r="HHJ46" s="225"/>
      <c r="HHK46" s="225"/>
      <c r="HHL46" s="225"/>
      <c r="HHM46" s="225"/>
      <c r="HHN46" s="225"/>
      <c r="HHO46" s="225"/>
      <c r="HHP46" s="225"/>
      <c r="HHQ46" s="225"/>
      <c r="HHR46" s="225"/>
      <c r="HHS46" s="225"/>
      <c r="HHT46" s="225"/>
      <c r="HHU46" s="225"/>
      <c r="HHV46" s="225"/>
      <c r="HHW46" s="225"/>
      <c r="HHX46" s="225"/>
      <c r="HHY46" s="225"/>
      <c r="HHZ46" s="225"/>
      <c r="HIA46" s="225"/>
      <c r="HIB46" s="225"/>
      <c r="HIC46" s="225"/>
      <c r="HID46" s="225"/>
      <c r="HIE46" s="225"/>
      <c r="HIF46" s="225"/>
      <c r="HIG46" s="225"/>
      <c r="HIH46" s="225"/>
      <c r="HII46" s="225"/>
      <c r="HIJ46" s="225"/>
      <c r="HIK46" s="225"/>
      <c r="HIL46" s="225"/>
      <c r="HIM46" s="225"/>
      <c r="HIN46" s="225"/>
      <c r="HIO46" s="225"/>
      <c r="HIP46" s="225"/>
      <c r="HIQ46" s="225"/>
      <c r="HIR46" s="225"/>
      <c r="HIS46" s="225"/>
      <c r="HIT46" s="225"/>
      <c r="HIU46" s="225"/>
      <c r="HIV46" s="225"/>
      <c r="HIW46" s="225"/>
      <c r="HIX46" s="225"/>
      <c r="HIY46" s="225"/>
      <c r="HIZ46" s="225"/>
      <c r="HJA46" s="225"/>
      <c r="HJB46" s="225"/>
      <c r="HJC46" s="225"/>
      <c r="HJD46" s="225"/>
      <c r="HJE46" s="225"/>
      <c r="HJF46" s="225"/>
      <c r="HJG46" s="225"/>
      <c r="HJH46" s="225"/>
      <c r="HJI46" s="225"/>
      <c r="HJJ46" s="225"/>
      <c r="HJK46" s="225"/>
      <c r="HJL46" s="225"/>
      <c r="HJM46" s="225"/>
      <c r="HJN46" s="225"/>
      <c r="HJO46" s="225"/>
      <c r="HJP46" s="225"/>
      <c r="HJQ46" s="225"/>
      <c r="HJR46" s="225"/>
      <c r="HJS46" s="225"/>
      <c r="HJT46" s="225"/>
      <c r="HJU46" s="225"/>
      <c r="HJV46" s="225"/>
      <c r="HJW46" s="225"/>
      <c r="HJX46" s="225"/>
      <c r="HJY46" s="225"/>
      <c r="HJZ46" s="225"/>
      <c r="HKA46" s="225"/>
      <c r="HKB46" s="225"/>
      <c r="HKC46" s="225"/>
      <c r="HKD46" s="225"/>
      <c r="HKE46" s="225"/>
      <c r="HKF46" s="225"/>
      <c r="HKG46" s="225"/>
      <c r="HKH46" s="225"/>
      <c r="HKI46" s="225"/>
      <c r="HKJ46" s="225"/>
      <c r="HKK46" s="225"/>
      <c r="HKL46" s="225"/>
      <c r="HKM46" s="225"/>
      <c r="HKN46" s="225"/>
      <c r="HKO46" s="225"/>
      <c r="HKP46" s="225"/>
      <c r="HKQ46" s="225"/>
      <c r="HKR46" s="225"/>
      <c r="HKS46" s="225"/>
      <c r="HKT46" s="225"/>
      <c r="HKU46" s="225"/>
      <c r="HKV46" s="225"/>
      <c r="HKW46" s="225"/>
      <c r="HKX46" s="225"/>
      <c r="HKY46" s="225"/>
      <c r="HKZ46" s="225"/>
      <c r="HLA46" s="225"/>
      <c r="HLB46" s="225"/>
      <c r="HLC46" s="225"/>
      <c r="HLD46" s="225"/>
      <c r="HLE46" s="225"/>
      <c r="HLF46" s="225"/>
      <c r="HLG46" s="225"/>
      <c r="HLH46" s="225"/>
      <c r="HLI46" s="225"/>
      <c r="HLJ46" s="225"/>
      <c r="HLK46" s="225"/>
      <c r="HLL46" s="225"/>
      <c r="HLM46" s="225"/>
      <c r="HLN46" s="225"/>
      <c r="HLO46" s="225"/>
      <c r="HLP46" s="225"/>
      <c r="HLQ46" s="225"/>
      <c r="HLR46" s="225"/>
      <c r="HLS46" s="225"/>
      <c r="HLT46" s="225"/>
      <c r="HLU46" s="225"/>
      <c r="HLV46" s="225"/>
      <c r="HLW46" s="225"/>
      <c r="HLX46" s="225"/>
      <c r="HLY46" s="225"/>
      <c r="HLZ46" s="225"/>
      <c r="HMA46" s="225"/>
      <c r="HMB46" s="225"/>
      <c r="HMC46" s="225"/>
      <c r="HMD46" s="225"/>
      <c r="HME46" s="225"/>
      <c r="HMF46" s="225"/>
      <c r="HMG46" s="225"/>
      <c r="HMH46" s="225"/>
      <c r="HMI46" s="225"/>
      <c r="HMJ46" s="225"/>
      <c r="HMK46" s="225"/>
      <c r="HML46" s="225"/>
      <c r="HMM46" s="225"/>
      <c r="HMN46" s="225"/>
      <c r="HMO46" s="225"/>
      <c r="HMP46" s="225"/>
      <c r="HMQ46" s="225"/>
      <c r="HMR46" s="225"/>
      <c r="HMS46" s="225"/>
      <c r="HMT46" s="225"/>
      <c r="HMU46" s="225"/>
      <c r="HMV46" s="225"/>
      <c r="HMW46" s="225"/>
      <c r="HMX46" s="225"/>
      <c r="HMY46" s="225"/>
      <c r="HMZ46" s="225"/>
      <c r="HNA46" s="225"/>
      <c r="HNB46" s="225"/>
      <c r="HNC46" s="225"/>
      <c r="HND46" s="225"/>
      <c r="HNE46" s="225"/>
      <c r="HNF46" s="225"/>
      <c r="HNG46" s="225"/>
      <c r="HNH46" s="225"/>
      <c r="HNI46" s="225"/>
      <c r="HNJ46" s="225"/>
      <c r="HNK46" s="225"/>
      <c r="HNL46" s="225"/>
      <c r="HNM46" s="225"/>
      <c r="HNN46" s="225"/>
      <c r="HNO46" s="225"/>
      <c r="HNP46" s="225"/>
      <c r="HNQ46" s="225"/>
      <c r="HNR46" s="225"/>
      <c r="HNS46" s="225"/>
      <c r="HNT46" s="225"/>
      <c r="HNU46" s="225"/>
      <c r="HNV46" s="225"/>
      <c r="HNW46" s="225"/>
      <c r="HNX46" s="225"/>
      <c r="HNY46" s="225"/>
      <c r="HNZ46" s="225"/>
      <c r="HOA46" s="225"/>
      <c r="HOB46" s="225"/>
      <c r="HOC46" s="225"/>
      <c r="HOD46" s="225"/>
      <c r="HOE46" s="225"/>
      <c r="HOF46" s="225"/>
      <c r="HOG46" s="225"/>
      <c r="HOH46" s="225"/>
      <c r="HOI46" s="225"/>
      <c r="HOJ46" s="225"/>
      <c r="HOK46" s="225"/>
      <c r="HOL46" s="225"/>
      <c r="HOM46" s="225"/>
      <c r="HON46" s="225"/>
      <c r="HOO46" s="225"/>
      <c r="HOP46" s="225"/>
      <c r="HOQ46" s="225"/>
      <c r="HOR46" s="225"/>
      <c r="HOS46" s="225"/>
      <c r="HOT46" s="225"/>
      <c r="HOU46" s="225"/>
      <c r="HOV46" s="225"/>
      <c r="HOW46" s="225"/>
      <c r="HOX46" s="225"/>
      <c r="HOY46" s="225"/>
      <c r="HOZ46" s="225"/>
      <c r="HPA46" s="225"/>
      <c r="HPB46" s="225"/>
      <c r="HPC46" s="225"/>
      <c r="HPD46" s="225"/>
      <c r="HPE46" s="225"/>
      <c r="HPF46" s="225"/>
      <c r="HPG46" s="225"/>
      <c r="HPH46" s="225"/>
      <c r="HPI46" s="225"/>
      <c r="HPJ46" s="225"/>
      <c r="HPK46" s="225"/>
      <c r="HPL46" s="225"/>
      <c r="HPM46" s="225"/>
      <c r="HPN46" s="225"/>
      <c r="HPO46" s="225"/>
      <c r="HPP46" s="225"/>
      <c r="HPQ46" s="225"/>
      <c r="HPR46" s="225"/>
      <c r="HPS46" s="225"/>
      <c r="HPT46" s="225"/>
      <c r="HPU46" s="225"/>
      <c r="HPV46" s="225"/>
      <c r="HPW46" s="225"/>
      <c r="HPX46" s="225"/>
      <c r="HPY46" s="225"/>
      <c r="HPZ46" s="225"/>
      <c r="HQA46" s="225"/>
      <c r="HQB46" s="225"/>
      <c r="HQC46" s="225"/>
      <c r="HQD46" s="225"/>
      <c r="HQE46" s="225"/>
      <c r="HQF46" s="225"/>
      <c r="HQG46" s="225"/>
      <c r="HQH46" s="225"/>
      <c r="HQI46" s="225"/>
      <c r="HQJ46" s="225"/>
      <c r="HQK46" s="225"/>
      <c r="HQL46" s="225"/>
      <c r="HQM46" s="225"/>
      <c r="HQN46" s="225"/>
      <c r="HQO46" s="225"/>
      <c r="HQP46" s="225"/>
      <c r="HQQ46" s="225"/>
      <c r="HQR46" s="225"/>
      <c r="HQS46" s="225"/>
      <c r="HQT46" s="225"/>
      <c r="HQU46" s="225"/>
      <c r="HQV46" s="225"/>
      <c r="HQW46" s="225"/>
      <c r="HQX46" s="225"/>
      <c r="HQY46" s="225"/>
      <c r="HQZ46" s="225"/>
      <c r="HRA46" s="225"/>
      <c r="HRB46" s="225"/>
      <c r="HRC46" s="225"/>
      <c r="HRD46" s="225"/>
      <c r="HRE46" s="225"/>
      <c r="HRF46" s="225"/>
      <c r="HRG46" s="225"/>
      <c r="HRH46" s="225"/>
      <c r="HRI46" s="225"/>
      <c r="HRJ46" s="225"/>
      <c r="HRK46" s="225"/>
      <c r="HRL46" s="225"/>
      <c r="HRM46" s="225"/>
      <c r="HRN46" s="225"/>
      <c r="HRO46" s="225"/>
      <c r="HRP46" s="225"/>
      <c r="HRQ46" s="225"/>
      <c r="HRR46" s="225"/>
      <c r="HRS46" s="225"/>
      <c r="HRT46" s="225"/>
      <c r="HRU46" s="225"/>
      <c r="HRV46" s="225"/>
      <c r="HRW46" s="225"/>
      <c r="HRX46" s="225"/>
      <c r="HRY46" s="225"/>
      <c r="HRZ46" s="225"/>
      <c r="HSA46" s="225"/>
      <c r="HSB46" s="225"/>
      <c r="HSC46" s="225"/>
      <c r="HSD46" s="225"/>
      <c r="HSE46" s="225"/>
      <c r="HSF46" s="225"/>
      <c r="HSG46" s="225"/>
      <c r="HSH46" s="225"/>
      <c r="HSI46" s="225"/>
      <c r="HSJ46" s="225"/>
      <c r="HSK46" s="225"/>
      <c r="HSL46" s="225"/>
      <c r="HSM46" s="225"/>
      <c r="HSN46" s="225"/>
      <c r="HSO46" s="225"/>
      <c r="HSP46" s="225"/>
      <c r="HSQ46" s="225"/>
      <c r="HSR46" s="225"/>
      <c r="HSS46" s="225"/>
      <c r="HST46" s="225"/>
      <c r="HSU46" s="225"/>
      <c r="HSV46" s="225"/>
      <c r="HSW46" s="225"/>
      <c r="HSX46" s="225"/>
      <c r="HSY46" s="225"/>
      <c r="HSZ46" s="225"/>
      <c r="HTA46" s="225"/>
      <c r="HTB46" s="225"/>
      <c r="HTC46" s="225"/>
      <c r="HTD46" s="225"/>
      <c r="HTE46" s="225"/>
      <c r="HTF46" s="225"/>
      <c r="HTG46" s="225"/>
      <c r="HTH46" s="225"/>
      <c r="HTI46" s="225"/>
      <c r="HTJ46" s="225"/>
      <c r="HTK46" s="225"/>
      <c r="HTL46" s="225"/>
      <c r="HTM46" s="225"/>
      <c r="HTN46" s="225"/>
      <c r="HTO46" s="225"/>
      <c r="HTP46" s="225"/>
      <c r="HTQ46" s="225"/>
      <c r="HTR46" s="225"/>
      <c r="HTS46" s="225"/>
      <c r="HTT46" s="225"/>
      <c r="HTU46" s="225"/>
      <c r="HTV46" s="225"/>
      <c r="HTW46" s="225"/>
      <c r="HTX46" s="225"/>
      <c r="HTY46" s="225"/>
      <c r="HTZ46" s="225"/>
      <c r="HUA46" s="225"/>
      <c r="HUB46" s="225"/>
      <c r="HUC46" s="225"/>
      <c r="HUD46" s="225"/>
      <c r="HUE46" s="225"/>
      <c r="HUF46" s="225"/>
      <c r="HUG46" s="225"/>
      <c r="HUH46" s="225"/>
      <c r="HUI46" s="225"/>
      <c r="HUJ46" s="225"/>
      <c r="HUK46" s="225"/>
      <c r="HUL46" s="225"/>
      <c r="HUM46" s="225"/>
      <c r="HUN46" s="225"/>
      <c r="HUO46" s="225"/>
      <c r="HUP46" s="225"/>
      <c r="HUQ46" s="225"/>
      <c r="HUR46" s="225"/>
      <c r="HUS46" s="225"/>
      <c r="HUT46" s="225"/>
      <c r="HUU46" s="225"/>
      <c r="HUV46" s="225"/>
      <c r="HUW46" s="225"/>
      <c r="HUX46" s="225"/>
      <c r="HUY46" s="225"/>
      <c r="HUZ46" s="225"/>
      <c r="HVA46" s="225"/>
      <c r="HVB46" s="225"/>
      <c r="HVC46" s="225"/>
      <c r="HVD46" s="225"/>
      <c r="HVE46" s="225"/>
      <c r="HVF46" s="225"/>
      <c r="HVG46" s="225"/>
      <c r="HVH46" s="225"/>
      <c r="HVI46" s="225"/>
      <c r="HVJ46" s="225"/>
      <c r="HVK46" s="225"/>
      <c r="HVL46" s="225"/>
      <c r="HVM46" s="225"/>
      <c r="HVN46" s="225"/>
      <c r="HVO46" s="225"/>
      <c r="HVP46" s="225"/>
      <c r="HVQ46" s="225"/>
      <c r="HVR46" s="225"/>
      <c r="HVS46" s="225"/>
      <c r="HVT46" s="225"/>
      <c r="HVU46" s="225"/>
      <c r="HVV46" s="225"/>
      <c r="HVW46" s="225"/>
      <c r="HVX46" s="225"/>
      <c r="HVY46" s="225"/>
      <c r="HVZ46" s="225"/>
      <c r="HWA46" s="225"/>
      <c r="HWB46" s="225"/>
      <c r="HWC46" s="225"/>
      <c r="HWD46" s="225"/>
      <c r="HWE46" s="225"/>
      <c r="HWF46" s="225"/>
      <c r="HWG46" s="225"/>
      <c r="HWH46" s="225"/>
      <c r="HWI46" s="225"/>
      <c r="HWJ46" s="225"/>
      <c r="HWK46" s="225"/>
      <c r="HWL46" s="225"/>
      <c r="HWM46" s="225"/>
      <c r="HWN46" s="225"/>
      <c r="HWO46" s="225"/>
      <c r="HWP46" s="225"/>
      <c r="HWQ46" s="225"/>
      <c r="HWR46" s="225"/>
      <c r="HWS46" s="225"/>
      <c r="HWT46" s="225"/>
      <c r="HWU46" s="225"/>
      <c r="HWV46" s="225"/>
      <c r="HWW46" s="225"/>
      <c r="HWX46" s="225"/>
      <c r="HWY46" s="225"/>
      <c r="HWZ46" s="225"/>
      <c r="HXA46" s="225"/>
      <c r="HXB46" s="225"/>
      <c r="HXC46" s="225"/>
      <c r="HXD46" s="225"/>
      <c r="HXE46" s="225"/>
      <c r="HXF46" s="225"/>
      <c r="HXG46" s="225"/>
      <c r="HXH46" s="225"/>
      <c r="HXI46" s="225"/>
      <c r="HXJ46" s="225"/>
      <c r="HXK46" s="225"/>
      <c r="HXL46" s="225"/>
      <c r="HXM46" s="225"/>
      <c r="HXN46" s="225"/>
      <c r="HXO46" s="225"/>
      <c r="HXP46" s="225"/>
      <c r="HXQ46" s="225"/>
      <c r="HXR46" s="225"/>
      <c r="HXS46" s="225"/>
      <c r="HXT46" s="225"/>
      <c r="HXU46" s="225"/>
      <c r="HXV46" s="225"/>
      <c r="HXW46" s="225"/>
      <c r="HXX46" s="225"/>
      <c r="HXY46" s="225"/>
      <c r="HXZ46" s="225"/>
      <c r="HYA46" s="225"/>
      <c r="HYB46" s="225"/>
      <c r="HYC46" s="225"/>
      <c r="HYD46" s="225"/>
      <c r="HYE46" s="225"/>
      <c r="HYF46" s="225"/>
      <c r="HYG46" s="225"/>
      <c r="HYH46" s="225"/>
      <c r="HYI46" s="225"/>
      <c r="HYJ46" s="225"/>
      <c r="HYK46" s="225"/>
      <c r="HYL46" s="225"/>
      <c r="HYM46" s="225"/>
      <c r="HYN46" s="225"/>
      <c r="HYO46" s="225"/>
      <c r="HYP46" s="225"/>
      <c r="HYQ46" s="225"/>
      <c r="HYR46" s="225"/>
      <c r="HYS46" s="225"/>
      <c r="HYT46" s="225"/>
      <c r="HYU46" s="225"/>
      <c r="HYV46" s="225"/>
      <c r="HYW46" s="225"/>
      <c r="HYX46" s="225"/>
      <c r="HYY46" s="225"/>
      <c r="HYZ46" s="225"/>
      <c r="HZA46" s="225"/>
      <c r="HZB46" s="225"/>
      <c r="HZC46" s="225"/>
      <c r="HZD46" s="225"/>
      <c r="HZE46" s="225"/>
      <c r="HZF46" s="225"/>
      <c r="HZG46" s="225"/>
      <c r="HZH46" s="225"/>
      <c r="HZI46" s="225"/>
      <c r="HZJ46" s="225"/>
      <c r="HZK46" s="225"/>
      <c r="HZL46" s="225"/>
      <c r="HZM46" s="225"/>
      <c r="HZN46" s="225"/>
      <c r="HZO46" s="225"/>
      <c r="HZP46" s="225"/>
      <c r="HZQ46" s="225"/>
      <c r="HZR46" s="225"/>
      <c r="HZS46" s="225"/>
      <c r="HZT46" s="225"/>
      <c r="HZU46" s="225"/>
      <c r="HZV46" s="225"/>
      <c r="HZW46" s="225"/>
      <c r="HZX46" s="225"/>
      <c r="HZY46" s="225"/>
      <c r="HZZ46" s="225"/>
      <c r="IAA46" s="225"/>
      <c r="IAB46" s="225"/>
      <c r="IAC46" s="225"/>
      <c r="IAD46" s="225"/>
      <c r="IAE46" s="225"/>
      <c r="IAF46" s="225"/>
      <c r="IAG46" s="225"/>
      <c r="IAH46" s="225"/>
      <c r="IAI46" s="225"/>
      <c r="IAJ46" s="225"/>
      <c r="IAK46" s="225"/>
      <c r="IAL46" s="225"/>
      <c r="IAM46" s="225"/>
      <c r="IAN46" s="225"/>
      <c r="IAO46" s="225"/>
      <c r="IAP46" s="225"/>
      <c r="IAQ46" s="225"/>
      <c r="IAR46" s="225"/>
      <c r="IAS46" s="225"/>
      <c r="IAT46" s="225"/>
      <c r="IAU46" s="225"/>
      <c r="IAV46" s="225"/>
      <c r="IAW46" s="225"/>
      <c r="IAX46" s="225"/>
      <c r="IAY46" s="225"/>
      <c r="IAZ46" s="225"/>
      <c r="IBA46" s="225"/>
      <c r="IBB46" s="225"/>
      <c r="IBC46" s="225"/>
      <c r="IBD46" s="225"/>
      <c r="IBE46" s="225"/>
      <c r="IBF46" s="225"/>
      <c r="IBG46" s="225"/>
      <c r="IBH46" s="225"/>
      <c r="IBI46" s="225"/>
      <c r="IBJ46" s="225"/>
      <c r="IBK46" s="225"/>
      <c r="IBL46" s="225"/>
      <c r="IBM46" s="225"/>
      <c r="IBN46" s="225"/>
      <c r="IBO46" s="225"/>
      <c r="IBP46" s="225"/>
      <c r="IBQ46" s="225"/>
      <c r="IBR46" s="225"/>
      <c r="IBS46" s="225"/>
      <c r="IBT46" s="225"/>
      <c r="IBU46" s="225"/>
      <c r="IBV46" s="225"/>
      <c r="IBW46" s="225"/>
      <c r="IBX46" s="225"/>
      <c r="IBY46" s="225"/>
      <c r="IBZ46" s="225"/>
      <c r="ICA46" s="225"/>
      <c r="ICB46" s="225"/>
      <c r="ICC46" s="225"/>
      <c r="ICD46" s="225"/>
      <c r="ICE46" s="225"/>
      <c r="ICF46" s="225"/>
      <c r="ICG46" s="225"/>
      <c r="ICH46" s="225"/>
      <c r="ICI46" s="225"/>
      <c r="ICJ46" s="225"/>
      <c r="ICK46" s="225"/>
      <c r="ICL46" s="225"/>
      <c r="ICM46" s="225"/>
      <c r="ICN46" s="225"/>
      <c r="ICO46" s="225"/>
      <c r="ICP46" s="225"/>
      <c r="ICQ46" s="225"/>
      <c r="ICR46" s="225"/>
      <c r="ICS46" s="225"/>
      <c r="ICT46" s="225"/>
      <c r="ICU46" s="225"/>
      <c r="ICV46" s="225"/>
      <c r="ICW46" s="225"/>
      <c r="ICX46" s="225"/>
      <c r="ICY46" s="225"/>
      <c r="ICZ46" s="225"/>
      <c r="IDA46" s="225"/>
      <c r="IDB46" s="225"/>
      <c r="IDC46" s="225"/>
      <c r="IDD46" s="225"/>
      <c r="IDE46" s="225"/>
      <c r="IDF46" s="225"/>
      <c r="IDG46" s="225"/>
      <c r="IDH46" s="225"/>
      <c r="IDI46" s="225"/>
      <c r="IDJ46" s="225"/>
      <c r="IDK46" s="225"/>
      <c r="IDL46" s="225"/>
      <c r="IDM46" s="225"/>
      <c r="IDN46" s="225"/>
      <c r="IDO46" s="225"/>
      <c r="IDP46" s="225"/>
      <c r="IDQ46" s="225"/>
      <c r="IDR46" s="225"/>
      <c r="IDS46" s="225"/>
      <c r="IDT46" s="225"/>
      <c r="IDU46" s="225"/>
      <c r="IDV46" s="225"/>
      <c r="IDW46" s="225"/>
      <c r="IDX46" s="225"/>
      <c r="IDY46" s="225"/>
      <c r="IDZ46" s="225"/>
      <c r="IEA46" s="225"/>
      <c r="IEB46" s="225"/>
      <c r="IEC46" s="225"/>
      <c r="IED46" s="225"/>
      <c r="IEE46" s="225"/>
      <c r="IEF46" s="225"/>
      <c r="IEG46" s="225"/>
      <c r="IEH46" s="225"/>
      <c r="IEI46" s="225"/>
      <c r="IEJ46" s="225"/>
      <c r="IEK46" s="225"/>
      <c r="IEL46" s="225"/>
      <c r="IEM46" s="225"/>
      <c r="IEN46" s="225"/>
      <c r="IEO46" s="225"/>
      <c r="IEP46" s="225"/>
      <c r="IEQ46" s="225"/>
      <c r="IER46" s="225"/>
      <c r="IES46" s="225"/>
      <c r="IET46" s="225"/>
      <c r="IEU46" s="225"/>
      <c r="IEV46" s="225"/>
      <c r="IEW46" s="225"/>
      <c r="IEX46" s="225"/>
      <c r="IEY46" s="225"/>
      <c r="IEZ46" s="225"/>
      <c r="IFA46" s="225"/>
      <c r="IFB46" s="225"/>
      <c r="IFC46" s="225"/>
      <c r="IFD46" s="225"/>
      <c r="IFE46" s="225"/>
      <c r="IFF46" s="225"/>
      <c r="IFG46" s="225"/>
      <c r="IFH46" s="225"/>
      <c r="IFI46" s="225"/>
      <c r="IFJ46" s="225"/>
      <c r="IFK46" s="225"/>
      <c r="IFL46" s="225"/>
      <c r="IFM46" s="225"/>
      <c r="IFN46" s="225"/>
      <c r="IFO46" s="225"/>
      <c r="IFP46" s="225"/>
      <c r="IFQ46" s="225"/>
      <c r="IFR46" s="225"/>
      <c r="IFS46" s="225"/>
      <c r="IFT46" s="225"/>
      <c r="IFU46" s="225"/>
      <c r="IFV46" s="225"/>
      <c r="IFW46" s="225"/>
      <c r="IFX46" s="225"/>
      <c r="IFY46" s="225"/>
      <c r="IFZ46" s="225"/>
      <c r="IGA46" s="225"/>
      <c r="IGB46" s="225"/>
      <c r="IGC46" s="225"/>
      <c r="IGD46" s="225"/>
      <c r="IGE46" s="225"/>
      <c r="IGF46" s="225"/>
      <c r="IGG46" s="225"/>
      <c r="IGH46" s="225"/>
      <c r="IGI46" s="225"/>
      <c r="IGJ46" s="225"/>
      <c r="IGK46" s="225"/>
      <c r="IGL46" s="225"/>
      <c r="IGM46" s="225"/>
      <c r="IGN46" s="225"/>
      <c r="IGO46" s="225"/>
      <c r="IGP46" s="225"/>
      <c r="IGQ46" s="225"/>
      <c r="IGR46" s="225"/>
      <c r="IGS46" s="225"/>
      <c r="IGT46" s="225"/>
      <c r="IGU46" s="225"/>
      <c r="IGV46" s="225"/>
      <c r="IGW46" s="225"/>
      <c r="IGX46" s="225"/>
      <c r="IGY46" s="225"/>
      <c r="IGZ46" s="225"/>
      <c r="IHA46" s="225"/>
      <c r="IHB46" s="225"/>
      <c r="IHC46" s="225"/>
      <c r="IHD46" s="225"/>
      <c r="IHE46" s="225"/>
      <c r="IHF46" s="225"/>
      <c r="IHG46" s="225"/>
      <c r="IHH46" s="225"/>
      <c r="IHI46" s="225"/>
      <c r="IHJ46" s="225"/>
      <c r="IHK46" s="225"/>
      <c r="IHL46" s="225"/>
      <c r="IHM46" s="225"/>
      <c r="IHN46" s="225"/>
      <c r="IHO46" s="225"/>
      <c r="IHP46" s="225"/>
      <c r="IHQ46" s="225"/>
      <c r="IHR46" s="225"/>
      <c r="IHS46" s="225"/>
      <c r="IHT46" s="225"/>
      <c r="IHU46" s="225"/>
      <c r="IHV46" s="225"/>
      <c r="IHW46" s="225"/>
      <c r="IHX46" s="225"/>
      <c r="IHY46" s="225"/>
      <c r="IHZ46" s="225"/>
      <c r="IIA46" s="225"/>
      <c r="IIB46" s="225"/>
      <c r="IIC46" s="225"/>
      <c r="IID46" s="225"/>
      <c r="IIE46" s="225"/>
      <c r="IIF46" s="225"/>
      <c r="IIG46" s="225"/>
      <c r="IIH46" s="225"/>
      <c r="III46" s="225"/>
      <c r="IIJ46" s="225"/>
      <c r="IIK46" s="225"/>
      <c r="IIL46" s="225"/>
      <c r="IIM46" s="225"/>
      <c r="IIN46" s="225"/>
      <c r="IIO46" s="225"/>
      <c r="IIP46" s="225"/>
      <c r="IIQ46" s="225"/>
      <c r="IIR46" s="225"/>
      <c r="IIS46" s="225"/>
      <c r="IIT46" s="225"/>
      <c r="IIU46" s="225"/>
      <c r="IIV46" s="225"/>
      <c r="IIW46" s="225"/>
      <c r="IIX46" s="225"/>
      <c r="IIY46" s="225"/>
      <c r="IIZ46" s="225"/>
      <c r="IJA46" s="225"/>
      <c r="IJB46" s="225"/>
      <c r="IJC46" s="225"/>
      <c r="IJD46" s="225"/>
      <c r="IJE46" s="225"/>
      <c r="IJF46" s="225"/>
      <c r="IJG46" s="225"/>
      <c r="IJH46" s="225"/>
      <c r="IJI46" s="225"/>
      <c r="IJJ46" s="225"/>
      <c r="IJK46" s="225"/>
      <c r="IJL46" s="225"/>
      <c r="IJM46" s="225"/>
      <c r="IJN46" s="225"/>
      <c r="IJO46" s="225"/>
      <c r="IJP46" s="225"/>
      <c r="IJQ46" s="225"/>
      <c r="IJR46" s="225"/>
      <c r="IJS46" s="225"/>
      <c r="IJT46" s="225"/>
      <c r="IJU46" s="225"/>
      <c r="IJV46" s="225"/>
      <c r="IJW46" s="225"/>
      <c r="IJX46" s="225"/>
      <c r="IJY46" s="225"/>
      <c r="IJZ46" s="225"/>
      <c r="IKA46" s="225"/>
      <c r="IKB46" s="225"/>
      <c r="IKC46" s="225"/>
      <c r="IKD46" s="225"/>
      <c r="IKE46" s="225"/>
      <c r="IKF46" s="225"/>
      <c r="IKG46" s="225"/>
      <c r="IKH46" s="225"/>
      <c r="IKI46" s="225"/>
      <c r="IKJ46" s="225"/>
      <c r="IKK46" s="225"/>
      <c r="IKL46" s="225"/>
      <c r="IKM46" s="225"/>
      <c r="IKN46" s="225"/>
      <c r="IKO46" s="225"/>
      <c r="IKP46" s="225"/>
      <c r="IKQ46" s="225"/>
      <c r="IKR46" s="225"/>
      <c r="IKS46" s="225"/>
      <c r="IKT46" s="225"/>
      <c r="IKU46" s="225"/>
      <c r="IKV46" s="225"/>
      <c r="IKW46" s="225"/>
      <c r="IKX46" s="225"/>
      <c r="IKY46" s="225"/>
      <c r="IKZ46" s="225"/>
      <c r="ILA46" s="225"/>
      <c r="ILB46" s="225"/>
      <c r="ILC46" s="225"/>
      <c r="ILD46" s="225"/>
      <c r="ILE46" s="225"/>
      <c r="ILF46" s="225"/>
      <c r="ILG46" s="225"/>
      <c r="ILH46" s="225"/>
      <c r="ILI46" s="225"/>
      <c r="ILJ46" s="225"/>
      <c r="ILK46" s="225"/>
      <c r="ILL46" s="225"/>
      <c r="ILM46" s="225"/>
      <c r="ILN46" s="225"/>
      <c r="ILO46" s="225"/>
      <c r="ILP46" s="225"/>
      <c r="ILQ46" s="225"/>
      <c r="ILR46" s="225"/>
      <c r="ILS46" s="225"/>
      <c r="ILT46" s="225"/>
      <c r="ILU46" s="225"/>
      <c r="ILV46" s="225"/>
      <c r="ILW46" s="225"/>
      <c r="ILX46" s="225"/>
      <c r="ILY46" s="225"/>
      <c r="ILZ46" s="225"/>
      <c r="IMA46" s="225"/>
      <c r="IMB46" s="225"/>
      <c r="IMC46" s="225"/>
      <c r="IMD46" s="225"/>
      <c r="IME46" s="225"/>
      <c r="IMF46" s="225"/>
      <c r="IMG46" s="225"/>
      <c r="IMH46" s="225"/>
      <c r="IMI46" s="225"/>
      <c r="IMJ46" s="225"/>
      <c r="IMK46" s="225"/>
      <c r="IML46" s="225"/>
      <c r="IMM46" s="225"/>
      <c r="IMN46" s="225"/>
      <c r="IMO46" s="225"/>
      <c r="IMP46" s="225"/>
      <c r="IMQ46" s="225"/>
      <c r="IMR46" s="225"/>
      <c r="IMS46" s="225"/>
      <c r="IMT46" s="225"/>
      <c r="IMU46" s="225"/>
      <c r="IMV46" s="225"/>
      <c r="IMW46" s="225"/>
      <c r="IMX46" s="225"/>
      <c r="IMY46" s="225"/>
      <c r="IMZ46" s="225"/>
      <c r="INA46" s="225"/>
      <c r="INB46" s="225"/>
      <c r="INC46" s="225"/>
      <c r="IND46" s="225"/>
      <c r="INE46" s="225"/>
      <c r="INF46" s="225"/>
      <c r="ING46" s="225"/>
      <c r="INH46" s="225"/>
      <c r="INI46" s="225"/>
      <c r="INJ46" s="225"/>
      <c r="INK46" s="225"/>
      <c r="INL46" s="225"/>
      <c r="INM46" s="225"/>
      <c r="INN46" s="225"/>
      <c r="INO46" s="225"/>
      <c r="INP46" s="225"/>
      <c r="INQ46" s="225"/>
      <c r="INR46" s="225"/>
      <c r="INS46" s="225"/>
      <c r="INT46" s="225"/>
      <c r="INU46" s="225"/>
      <c r="INV46" s="225"/>
      <c r="INW46" s="225"/>
      <c r="INX46" s="225"/>
      <c r="INY46" s="225"/>
      <c r="INZ46" s="225"/>
      <c r="IOA46" s="225"/>
      <c r="IOB46" s="225"/>
      <c r="IOC46" s="225"/>
      <c r="IOD46" s="225"/>
      <c r="IOE46" s="225"/>
      <c r="IOF46" s="225"/>
      <c r="IOG46" s="225"/>
      <c r="IOH46" s="225"/>
      <c r="IOI46" s="225"/>
      <c r="IOJ46" s="225"/>
      <c r="IOK46" s="225"/>
      <c r="IOL46" s="225"/>
      <c r="IOM46" s="225"/>
      <c r="ION46" s="225"/>
      <c r="IOO46" s="225"/>
      <c r="IOP46" s="225"/>
      <c r="IOQ46" s="225"/>
      <c r="IOR46" s="225"/>
      <c r="IOS46" s="225"/>
      <c r="IOT46" s="225"/>
      <c r="IOU46" s="225"/>
      <c r="IOV46" s="225"/>
      <c r="IOW46" s="225"/>
      <c r="IOX46" s="225"/>
      <c r="IOY46" s="225"/>
      <c r="IOZ46" s="225"/>
      <c r="IPA46" s="225"/>
      <c r="IPB46" s="225"/>
      <c r="IPC46" s="225"/>
      <c r="IPD46" s="225"/>
      <c r="IPE46" s="225"/>
      <c r="IPF46" s="225"/>
      <c r="IPG46" s="225"/>
      <c r="IPH46" s="225"/>
      <c r="IPI46" s="225"/>
      <c r="IPJ46" s="225"/>
      <c r="IPK46" s="225"/>
      <c r="IPL46" s="225"/>
      <c r="IPM46" s="225"/>
      <c r="IPN46" s="225"/>
      <c r="IPO46" s="225"/>
      <c r="IPP46" s="225"/>
      <c r="IPQ46" s="225"/>
      <c r="IPR46" s="225"/>
      <c r="IPS46" s="225"/>
      <c r="IPT46" s="225"/>
      <c r="IPU46" s="225"/>
      <c r="IPV46" s="225"/>
      <c r="IPW46" s="225"/>
      <c r="IPX46" s="225"/>
      <c r="IPY46" s="225"/>
      <c r="IPZ46" s="225"/>
      <c r="IQA46" s="225"/>
      <c r="IQB46" s="225"/>
      <c r="IQC46" s="225"/>
      <c r="IQD46" s="225"/>
      <c r="IQE46" s="225"/>
      <c r="IQF46" s="225"/>
      <c r="IQG46" s="225"/>
      <c r="IQH46" s="225"/>
      <c r="IQI46" s="225"/>
      <c r="IQJ46" s="225"/>
      <c r="IQK46" s="225"/>
      <c r="IQL46" s="225"/>
      <c r="IQM46" s="225"/>
      <c r="IQN46" s="225"/>
      <c r="IQO46" s="225"/>
      <c r="IQP46" s="225"/>
      <c r="IQQ46" s="225"/>
      <c r="IQR46" s="225"/>
      <c r="IQS46" s="225"/>
      <c r="IQT46" s="225"/>
      <c r="IQU46" s="225"/>
      <c r="IQV46" s="225"/>
      <c r="IQW46" s="225"/>
      <c r="IQX46" s="225"/>
      <c r="IQY46" s="225"/>
      <c r="IQZ46" s="225"/>
      <c r="IRA46" s="225"/>
      <c r="IRB46" s="225"/>
      <c r="IRC46" s="225"/>
      <c r="IRD46" s="225"/>
      <c r="IRE46" s="225"/>
      <c r="IRF46" s="225"/>
      <c r="IRG46" s="225"/>
      <c r="IRH46" s="225"/>
      <c r="IRI46" s="225"/>
      <c r="IRJ46" s="225"/>
      <c r="IRK46" s="225"/>
      <c r="IRL46" s="225"/>
      <c r="IRM46" s="225"/>
      <c r="IRN46" s="225"/>
      <c r="IRO46" s="225"/>
      <c r="IRP46" s="225"/>
      <c r="IRQ46" s="225"/>
      <c r="IRR46" s="225"/>
      <c r="IRS46" s="225"/>
      <c r="IRT46" s="225"/>
      <c r="IRU46" s="225"/>
      <c r="IRV46" s="225"/>
      <c r="IRW46" s="225"/>
      <c r="IRX46" s="225"/>
      <c r="IRY46" s="225"/>
      <c r="IRZ46" s="225"/>
      <c r="ISA46" s="225"/>
      <c r="ISB46" s="225"/>
      <c r="ISC46" s="225"/>
      <c r="ISD46" s="225"/>
      <c r="ISE46" s="225"/>
      <c r="ISF46" s="225"/>
      <c r="ISG46" s="225"/>
      <c r="ISH46" s="225"/>
      <c r="ISI46" s="225"/>
      <c r="ISJ46" s="225"/>
      <c r="ISK46" s="225"/>
      <c r="ISL46" s="225"/>
      <c r="ISM46" s="225"/>
      <c r="ISN46" s="225"/>
      <c r="ISO46" s="225"/>
      <c r="ISP46" s="225"/>
      <c r="ISQ46" s="225"/>
      <c r="ISR46" s="225"/>
      <c r="ISS46" s="225"/>
      <c r="IST46" s="225"/>
      <c r="ISU46" s="225"/>
      <c r="ISV46" s="225"/>
      <c r="ISW46" s="225"/>
      <c r="ISX46" s="225"/>
      <c r="ISY46" s="225"/>
      <c r="ISZ46" s="225"/>
      <c r="ITA46" s="225"/>
      <c r="ITB46" s="225"/>
      <c r="ITC46" s="225"/>
      <c r="ITD46" s="225"/>
      <c r="ITE46" s="225"/>
      <c r="ITF46" s="225"/>
      <c r="ITG46" s="225"/>
      <c r="ITH46" s="225"/>
      <c r="ITI46" s="225"/>
      <c r="ITJ46" s="225"/>
      <c r="ITK46" s="225"/>
      <c r="ITL46" s="225"/>
      <c r="ITM46" s="225"/>
      <c r="ITN46" s="225"/>
      <c r="ITO46" s="225"/>
      <c r="ITP46" s="225"/>
      <c r="ITQ46" s="225"/>
      <c r="ITR46" s="225"/>
      <c r="ITS46" s="225"/>
      <c r="ITT46" s="225"/>
      <c r="ITU46" s="225"/>
      <c r="ITV46" s="225"/>
      <c r="ITW46" s="225"/>
      <c r="ITX46" s="225"/>
      <c r="ITY46" s="225"/>
      <c r="ITZ46" s="225"/>
      <c r="IUA46" s="225"/>
      <c r="IUB46" s="225"/>
      <c r="IUC46" s="225"/>
      <c r="IUD46" s="225"/>
      <c r="IUE46" s="225"/>
      <c r="IUF46" s="225"/>
      <c r="IUG46" s="225"/>
      <c r="IUH46" s="225"/>
      <c r="IUI46" s="225"/>
      <c r="IUJ46" s="225"/>
      <c r="IUK46" s="225"/>
      <c r="IUL46" s="225"/>
      <c r="IUM46" s="225"/>
      <c r="IUN46" s="225"/>
      <c r="IUO46" s="225"/>
      <c r="IUP46" s="225"/>
      <c r="IUQ46" s="225"/>
      <c r="IUR46" s="225"/>
      <c r="IUS46" s="225"/>
      <c r="IUT46" s="225"/>
      <c r="IUU46" s="225"/>
      <c r="IUV46" s="225"/>
      <c r="IUW46" s="225"/>
      <c r="IUX46" s="225"/>
      <c r="IUY46" s="225"/>
      <c r="IUZ46" s="225"/>
      <c r="IVA46" s="225"/>
      <c r="IVB46" s="225"/>
      <c r="IVC46" s="225"/>
      <c r="IVD46" s="225"/>
      <c r="IVE46" s="225"/>
      <c r="IVF46" s="225"/>
      <c r="IVG46" s="225"/>
      <c r="IVH46" s="225"/>
      <c r="IVI46" s="225"/>
      <c r="IVJ46" s="225"/>
      <c r="IVK46" s="225"/>
      <c r="IVL46" s="225"/>
      <c r="IVM46" s="225"/>
      <c r="IVN46" s="225"/>
      <c r="IVO46" s="225"/>
      <c r="IVP46" s="225"/>
      <c r="IVQ46" s="225"/>
      <c r="IVR46" s="225"/>
      <c r="IVS46" s="225"/>
      <c r="IVT46" s="225"/>
      <c r="IVU46" s="225"/>
      <c r="IVV46" s="225"/>
      <c r="IVW46" s="225"/>
      <c r="IVX46" s="225"/>
      <c r="IVY46" s="225"/>
      <c r="IVZ46" s="225"/>
      <c r="IWA46" s="225"/>
      <c r="IWB46" s="225"/>
      <c r="IWC46" s="225"/>
      <c r="IWD46" s="225"/>
      <c r="IWE46" s="225"/>
      <c r="IWF46" s="225"/>
      <c r="IWG46" s="225"/>
      <c r="IWH46" s="225"/>
      <c r="IWI46" s="225"/>
      <c r="IWJ46" s="225"/>
      <c r="IWK46" s="225"/>
      <c r="IWL46" s="225"/>
      <c r="IWM46" s="225"/>
      <c r="IWN46" s="225"/>
      <c r="IWO46" s="225"/>
      <c r="IWP46" s="225"/>
      <c r="IWQ46" s="225"/>
      <c r="IWR46" s="225"/>
      <c r="IWS46" s="225"/>
      <c r="IWT46" s="225"/>
      <c r="IWU46" s="225"/>
      <c r="IWV46" s="225"/>
      <c r="IWW46" s="225"/>
      <c r="IWX46" s="225"/>
      <c r="IWY46" s="225"/>
      <c r="IWZ46" s="225"/>
      <c r="IXA46" s="225"/>
      <c r="IXB46" s="225"/>
      <c r="IXC46" s="225"/>
      <c r="IXD46" s="225"/>
      <c r="IXE46" s="225"/>
      <c r="IXF46" s="225"/>
      <c r="IXG46" s="225"/>
      <c r="IXH46" s="225"/>
      <c r="IXI46" s="225"/>
      <c r="IXJ46" s="225"/>
      <c r="IXK46" s="225"/>
      <c r="IXL46" s="225"/>
      <c r="IXM46" s="225"/>
      <c r="IXN46" s="225"/>
      <c r="IXO46" s="225"/>
      <c r="IXP46" s="225"/>
      <c r="IXQ46" s="225"/>
      <c r="IXR46" s="225"/>
      <c r="IXS46" s="225"/>
      <c r="IXT46" s="225"/>
      <c r="IXU46" s="225"/>
      <c r="IXV46" s="225"/>
      <c r="IXW46" s="225"/>
      <c r="IXX46" s="225"/>
      <c r="IXY46" s="225"/>
      <c r="IXZ46" s="225"/>
      <c r="IYA46" s="225"/>
      <c r="IYB46" s="225"/>
      <c r="IYC46" s="225"/>
      <c r="IYD46" s="225"/>
      <c r="IYE46" s="225"/>
      <c r="IYF46" s="225"/>
      <c r="IYG46" s="225"/>
      <c r="IYH46" s="225"/>
      <c r="IYI46" s="225"/>
      <c r="IYJ46" s="225"/>
      <c r="IYK46" s="225"/>
      <c r="IYL46" s="225"/>
      <c r="IYM46" s="225"/>
      <c r="IYN46" s="225"/>
      <c r="IYO46" s="225"/>
      <c r="IYP46" s="225"/>
      <c r="IYQ46" s="225"/>
      <c r="IYR46" s="225"/>
      <c r="IYS46" s="225"/>
      <c r="IYT46" s="225"/>
      <c r="IYU46" s="225"/>
      <c r="IYV46" s="225"/>
      <c r="IYW46" s="225"/>
      <c r="IYX46" s="225"/>
      <c r="IYY46" s="225"/>
      <c r="IYZ46" s="225"/>
      <c r="IZA46" s="225"/>
      <c r="IZB46" s="225"/>
      <c r="IZC46" s="225"/>
      <c r="IZD46" s="225"/>
      <c r="IZE46" s="225"/>
      <c r="IZF46" s="225"/>
      <c r="IZG46" s="225"/>
      <c r="IZH46" s="225"/>
      <c r="IZI46" s="225"/>
      <c r="IZJ46" s="225"/>
      <c r="IZK46" s="225"/>
      <c r="IZL46" s="225"/>
      <c r="IZM46" s="225"/>
      <c r="IZN46" s="225"/>
      <c r="IZO46" s="225"/>
      <c r="IZP46" s="225"/>
      <c r="IZQ46" s="225"/>
      <c r="IZR46" s="225"/>
      <c r="IZS46" s="225"/>
      <c r="IZT46" s="225"/>
      <c r="IZU46" s="225"/>
      <c r="IZV46" s="225"/>
      <c r="IZW46" s="225"/>
      <c r="IZX46" s="225"/>
      <c r="IZY46" s="225"/>
      <c r="IZZ46" s="225"/>
      <c r="JAA46" s="225"/>
      <c r="JAB46" s="225"/>
      <c r="JAC46" s="225"/>
      <c r="JAD46" s="225"/>
      <c r="JAE46" s="225"/>
      <c r="JAF46" s="225"/>
      <c r="JAG46" s="225"/>
      <c r="JAH46" s="225"/>
      <c r="JAI46" s="225"/>
      <c r="JAJ46" s="225"/>
      <c r="JAK46" s="225"/>
      <c r="JAL46" s="225"/>
      <c r="JAM46" s="225"/>
      <c r="JAN46" s="225"/>
      <c r="JAO46" s="225"/>
      <c r="JAP46" s="225"/>
      <c r="JAQ46" s="225"/>
      <c r="JAR46" s="225"/>
      <c r="JAS46" s="225"/>
      <c r="JAT46" s="225"/>
      <c r="JAU46" s="225"/>
      <c r="JAV46" s="225"/>
      <c r="JAW46" s="225"/>
      <c r="JAX46" s="225"/>
      <c r="JAY46" s="225"/>
      <c r="JAZ46" s="225"/>
      <c r="JBA46" s="225"/>
      <c r="JBB46" s="225"/>
      <c r="JBC46" s="225"/>
      <c r="JBD46" s="225"/>
      <c r="JBE46" s="225"/>
      <c r="JBF46" s="225"/>
      <c r="JBG46" s="225"/>
      <c r="JBH46" s="225"/>
      <c r="JBI46" s="225"/>
      <c r="JBJ46" s="225"/>
      <c r="JBK46" s="225"/>
      <c r="JBL46" s="225"/>
      <c r="JBM46" s="225"/>
      <c r="JBN46" s="225"/>
      <c r="JBO46" s="225"/>
      <c r="JBP46" s="225"/>
      <c r="JBQ46" s="225"/>
      <c r="JBR46" s="225"/>
      <c r="JBS46" s="225"/>
      <c r="JBT46" s="225"/>
      <c r="JBU46" s="225"/>
      <c r="JBV46" s="225"/>
      <c r="JBW46" s="225"/>
      <c r="JBX46" s="225"/>
      <c r="JBY46" s="225"/>
      <c r="JBZ46" s="225"/>
      <c r="JCA46" s="225"/>
      <c r="JCB46" s="225"/>
      <c r="JCC46" s="225"/>
      <c r="JCD46" s="225"/>
      <c r="JCE46" s="225"/>
      <c r="JCF46" s="225"/>
      <c r="JCG46" s="225"/>
      <c r="JCH46" s="225"/>
      <c r="JCI46" s="225"/>
      <c r="JCJ46" s="225"/>
      <c r="JCK46" s="225"/>
      <c r="JCL46" s="225"/>
      <c r="JCM46" s="225"/>
      <c r="JCN46" s="225"/>
      <c r="JCO46" s="225"/>
      <c r="JCP46" s="225"/>
      <c r="JCQ46" s="225"/>
      <c r="JCR46" s="225"/>
      <c r="JCS46" s="225"/>
      <c r="JCT46" s="225"/>
      <c r="JCU46" s="225"/>
      <c r="JCV46" s="225"/>
      <c r="JCW46" s="225"/>
      <c r="JCX46" s="225"/>
      <c r="JCY46" s="225"/>
      <c r="JCZ46" s="225"/>
      <c r="JDA46" s="225"/>
      <c r="JDB46" s="225"/>
      <c r="JDC46" s="225"/>
      <c r="JDD46" s="225"/>
      <c r="JDE46" s="225"/>
      <c r="JDF46" s="225"/>
      <c r="JDG46" s="225"/>
      <c r="JDH46" s="225"/>
      <c r="JDI46" s="225"/>
      <c r="JDJ46" s="225"/>
      <c r="JDK46" s="225"/>
      <c r="JDL46" s="225"/>
      <c r="JDM46" s="225"/>
      <c r="JDN46" s="225"/>
      <c r="JDO46" s="225"/>
      <c r="JDP46" s="225"/>
      <c r="JDQ46" s="225"/>
      <c r="JDR46" s="225"/>
      <c r="JDS46" s="225"/>
      <c r="JDT46" s="225"/>
      <c r="JDU46" s="225"/>
      <c r="JDV46" s="225"/>
      <c r="JDW46" s="225"/>
      <c r="JDX46" s="225"/>
      <c r="JDY46" s="225"/>
      <c r="JDZ46" s="225"/>
      <c r="JEA46" s="225"/>
      <c r="JEB46" s="225"/>
      <c r="JEC46" s="225"/>
      <c r="JED46" s="225"/>
      <c r="JEE46" s="225"/>
      <c r="JEF46" s="225"/>
      <c r="JEG46" s="225"/>
      <c r="JEH46" s="225"/>
      <c r="JEI46" s="225"/>
      <c r="JEJ46" s="225"/>
      <c r="JEK46" s="225"/>
      <c r="JEL46" s="225"/>
      <c r="JEM46" s="225"/>
      <c r="JEN46" s="225"/>
      <c r="JEO46" s="225"/>
      <c r="JEP46" s="225"/>
      <c r="JEQ46" s="225"/>
      <c r="JER46" s="225"/>
      <c r="JES46" s="225"/>
      <c r="JET46" s="225"/>
      <c r="JEU46" s="225"/>
      <c r="JEV46" s="225"/>
      <c r="JEW46" s="225"/>
      <c r="JEX46" s="225"/>
      <c r="JEY46" s="225"/>
      <c r="JEZ46" s="225"/>
      <c r="JFA46" s="225"/>
      <c r="JFB46" s="225"/>
      <c r="JFC46" s="225"/>
      <c r="JFD46" s="225"/>
      <c r="JFE46" s="225"/>
      <c r="JFF46" s="225"/>
      <c r="JFG46" s="225"/>
      <c r="JFH46" s="225"/>
      <c r="JFI46" s="225"/>
      <c r="JFJ46" s="225"/>
      <c r="JFK46" s="225"/>
      <c r="JFL46" s="225"/>
      <c r="JFM46" s="225"/>
      <c r="JFN46" s="225"/>
      <c r="JFO46" s="225"/>
      <c r="JFP46" s="225"/>
      <c r="JFQ46" s="225"/>
      <c r="JFR46" s="225"/>
      <c r="JFS46" s="225"/>
      <c r="JFT46" s="225"/>
      <c r="JFU46" s="225"/>
      <c r="JFV46" s="225"/>
      <c r="JFW46" s="225"/>
      <c r="JFX46" s="225"/>
      <c r="JFY46" s="225"/>
      <c r="JFZ46" s="225"/>
      <c r="JGA46" s="225"/>
      <c r="JGB46" s="225"/>
      <c r="JGC46" s="225"/>
      <c r="JGD46" s="225"/>
      <c r="JGE46" s="225"/>
      <c r="JGF46" s="225"/>
      <c r="JGG46" s="225"/>
      <c r="JGH46" s="225"/>
      <c r="JGI46" s="225"/>
      <c r="JGJ46" s="225"/>
      <c r="JGK46" s="225"/>
      <c r="JGL46" s="225"/>
      <c r="JGM46" s="225"/>
      <c r="JGN46" s="225"/>
      <c r="JGO46" s="225"/>
      <c r="JGP46" s="225"/>
      <c r="JGQ46" s="225"/>
      <c r="JGR46" s="225"/>
      <c r="JGS46" s="225"/>
      <c r="JGT46" s="225"/>
      <c r="JGU46" s="225"/>
      <c r="JGV46" s="225"/>
      <c r="JGW46" s="225"/>
      <c r="JGX46" s="225"/>
      <c r="JGY46" s="225"/>
      <c r="JGZ46" s="225"/>
      <c r="JHA46" s="225"/>
      <c r="JHB46" s="225"/>
      <c r="JHC46" s="225"/>
      <c r="JHD46" s="225"/>
      <c r="JHE46" s="225"/>
      <c r="JHF46" s="225"/>
      <c r="JHG46" s="225"/>
      <c r="JHH46" s="225"/>
      <c r="JHI46" s="225"/>
      <c r="JHJ46" s="225"/>
      <c r="JHK46" s="225"/>
      <c r="JHL46" s="225"/>
      <c r="JHM46" s="225"/>
      <c r="JHN46" s="225"/>
      <c r="JHO46" s="225"/>
      <c r="JHP46" s="225"/>
      <c r="JHQ46" s="225"/>
      <c r="JHR46" s="225"/>
      <c r="JHS46" s="225"/>
      <c r="JHT46" s="225"/>
      <c r="JHU46" s="225"/>
      <c r="JHV46" s="225"/>
      <c r="JHW46" s="225"/>
      <c r="JHX46" s="225"/>
      <c r="JHY46" s="225"/>
      <c r="JHZ46" s="225"/>
      <c r="JIA46" s="225"/>
      <c r="JIB46" s="225"/>
      <c r="JIC46" s="225"/>
      <c r="JID46" s="225"/>
      <c r="JIE46" s="225"/>
      <c r="JIF46" s="225"/>
      <c r="JIG46" s="225"/>
      <c r="JIH46" s="225"/>
      <c r="JII46" s="225"/>
      <c r="JIJ46" s="225"/>
      <c r="JIK46" s="225"/>
      <c r="JIL46" s="225"/>
      <c r="JIM46" s="225"/>
      <c r="JIN46" s="225"/>
      <c r="JIO46" s="225"/>
      <c r="JIP46" s="225"/>
      <c r="JIQ46" s="225"/>
      <c r="JIR46" s="225"/>
      <c r="JIS46" s="225"/>
      <c r="JIT46" s="225"/>
      <c r="JIU46" s="225"/>
      <c r="JIV46" s="225"/>
      <c r="JIW46" s="225"/>
      <c r="JIX46" s="225"/>
      <c r="JIY46" s="225"/>
      <c r="JIZ46" s="225"/>
      <c r="JJA46" s="225"/>
      <c r="JJB46" s="225"/>
      <c r="JJC46" s="225"/>
      <c r="JJD46" s="225"/>
      <c r="JJE46" s="225"/>
      <c r="JJF46" s="225"/>
      <c r="JJG46" s="225"/>
      <c r="JJH46" s="225"/>
      <c r="JJI46" s="225"/>
      <c r="JJJ46" s="225"/>
      <c r="JJK46" s="225"/>
      <c r="JJL46" s="225"/>
      <c r="JJM46" s="225"/>
      <c r="JJN46" s="225"/>
      <c r="JJO46" s="225"/>
      <c r="JJP46" s="225"/>
      <c r="JJQ46" s="225"/>
      <c r="JJR46" s="225"/>
      <c r="JJS46" s="225"/>
      <c r="JJT46" s="225"/>
      <c r="JJU46" s="225"/>
      <c r="JJV46" s="225"/>
      <c r="JJW46" s="225"/>
      <c r="JJX46" s="225"/>
      <c r="JJY46" s="225"/>
      <c r="JJZ46" s="225"/>
      <c r="JKA46" s="225"/>
      <c r="JKB46" s="225"/>
      <c r="JKC46" s="225"/>
      <c r="JKD46" s="225"/>
      <c r="JKE46" s="225"/>
      <c r="JKF46" s="225"/>
      <c r="JKG46" s="225"/>
      <c r="JKH46" s="225"/>
      <c r="JKI46" s="225"/>
      <c r="JKJ46" s="225"/>
      <c r="JKK46" s="225"/>
      <c r="JKL46" s="225"/>
      <c r="JKM46" s="225"/>
      <c r="JKN46" s="225"/>
      <c r="JKO46" s="225"/>
      <c r="JKP46" s="225"/>
      <c r="JKQ46" s="225"/>
      <c r="JKR46" s="225"/>
      <c r="JKS46" s="225"/>
      <c r="JKT46" s="225"/>
      <c r="JKU46" s="225"/>
      <c r="JKV46" s="225"/>
      <c r="JKW46" s="225"/>
      <c r="JKX46" s="225"/>
      <c r="JKY46" s="225"/>
      <c r="JKZ46" s="225"/>
      <c r="JLA46" s="225"/>
      <c r="JLB46" s="225"/>
      <c r="JLC46" s="225"/>
      <c r="JLD46" s="225"/>
      <c r="JLE46" s="225"/>
      <c r="JLF46" s="225"/>
      <c r="JLG46" s="225"/>
      <c r="JLH46" s="225"/>
      <c r="JLI46" s="225"/>
      <c r="JLJ46" s="225"/>
      <c r="JLK46" s="225"/>
      <c r="JLL46" s="225"/>
      <c r="JLM46" s="225"/>
      <c r="JLN46" s="225"/>
      <c r="JLO46" s="225"/>
      <c r="JLP46" s="225"/>
      <c r="JLQ46" s="225"/>
      <c r="JLR46" s="225"/>
      <c r="JLS46" s="225"/>
      <c r="JLT46" s="225"/>
      <c r="JLU46" s="225"/>
      <c r="JLV46" s="225"/>
      <c r="JLW46" s="225"/>
      <c r="JLX46" s="225"/>
      <c r="JLY46" s="225"/>
      <c r="JLZ46" s="225"/>
      <c r="JMA46" s="225"/>
      <c r="JMB46" s="225"/>
      <c r="JMC46" s="225"/>
      <c r="JMD46" s="225"/>
      <c r="JME46" s="225"/>
      <c r="JMF46" s="225"/>
      <c r="JMG46" s="225"/>
      <c r="JMH46" s="225"/>
      <c r="JMI46" s="225"/>
      <c r="JMJ46" s="225"/>
      <c r="JMK46" s="225"/>
      <c r="JML46" s="225"/>
      <c r="JMM46" s="225"/>
      <c r="JMN46" s="225"/>
      <c r="JMO46" s="225"/>
      <c r="JMP46" s="225"/>
      <c r="JMQ46" s="225"/>
      <c r="JMR46" s="225"/>
      <c r="JMS46" s="225"/>
      <c r="JMT46" s="225"/>
      <c r="JMU46" s="225"/>
      <c r="JMV46" s="225"/>
      <c r="JMW46" s="225"/>
      <c r="JMX46" s="225"/>
      <c r="JMY46" s="225"/>
      <c r="JMZ46" s="225"/>
      <c r="JNA46" s="225"/>
      <c r="JNB46" s="225"/>
      <c r="JNC46" s="225"/>
      <c r="JND46" s="225"/>
      <c r="JNE46" s="225"/>
      <c r="JNF46" s="225"/>
      <c r="JNG46" s="225"/>
      <c r="JNH46" s="225"/>
      <c r="JNI46" s="225"/>
      <c r="JNJ46" s="225"/>
      <c r="JNK46" s="225"/>
      <c r="JNL46" s="225"/>
      <c r="JNM46" s="225"/>
      <c r="JNN46" s="225"/>
      <c r="JNO46" s="225"/>
      <c r="JNP46" s="225"/>
      <c r="JNQ46" s="225"/>
      <c r="JNR46" s="225"/>
      <c r="JNS46" s="225"/>
      <c r="JNT46" s="225"/>
      <c r="JNU46" s="225"/>
      <c r="JNV46" s="225"/>
      <c r="JNW46" s="225"/>
      <c r="JNX46" s="225"/>
      <c r="JNY46" s="225"/>
      <c r="JNZ46" s="225"/>
      <c r="JOA46" s="225"/>
      <c r="JOB46" s="225"/>
      <c r="JOC46" s="225"/>
      <c r="JOD46" s="225"/>
      <c r="JOE46" s="225"/>
      <c r="JOF46" s="225"/>
      <c r="JOG46" s="225"/>
      <c r="JOH46" s="225"/>
      <c r="JOI46" s="225"/>
      <c r="JOJ46" s="225"/>
      <c r="JOK46" s="225"/>
      <c r="JOL46" s="225"/>
      <c r="JOM46" s="225"/>
      <c r="JON46" s="225"/>
      <c r="JOO46" s="225"/>
      <c r="JOP46" s="225"/>
      <c r="JOQ46" s="225"/>
      <c r="JOR46" s="225"/>
      <c r="JOS46" s="225"/>
      <c r="JOT46" s="225"/>
      <c r="JOU46" s="225"/>
      <c r="JOV46" s="225"/>
      <c r="JOW46" s="225"/>
      <c r="JOX46" s="225"/>
      <c r="JOY46" s="225"/>
      <c r="JOZ46" s="225"/>
      <c r="JPA46" s="225"/>
      <c r="JPB46" s="225"/>
      <c r="JPC46" s="225"/>
      <c r="JPD46" s="225"/>
      <c r="JPE46" s="225"/>
      <c r="JPF46" s="225"/>
      <c r="JPG46" s="225"/>
      <c r="JPH46" s="225"/>
      <c r="JPI46" s="225"/>
      <c r="JPJ46" s="225"/>
      <c r="JPK46" s="225"/>
      <c r="JPL46" s="225"/>
      <c r="JPM46" s="225"/>
      <c r="JPN46" s="225"/>
      <c r="JPO46" s="225"/>
      <c r="JPP46" s="225"/>
      <c r="JPQ46" s="225"/>
      <c r="JPR46" s="225"/>
      <c r="JPS46" s="225"/>
      <c r="JPT46" s="225"/>
      <c r="JPU46" s="225"/>
      <c r="JPV46" s="225"/>
      <c r="JPW46" s="225"/>
      <c r="JPX46" s="225"/>
      <c r="JPY46" s="225"/>
      <c r="JPZ46" s="225"/>
      <c r="JQA46" s="225"/>
      <c r="JQB46" s="225"/>
      <c r="JQC46" s="225"/>
      <c r="JQD46" s="225"/>
      <c r="JQE46" s="225"/>
      <c r="JQF46" s="225"/>
      <c r="JQG46" s="225"/>
      <c r="JQH46" s="225"/>
      <c r="JQI46" s="225"/>
      <c r="JQJ46" s="225"/>
      <c r="JQK46" s="225"/>
      <c r="JQL46" s="225"/>
      <c r="JQM46" s="225"/>
      <c r="JQN46" s="225"/>
      <c r="JQO46" s="225"/>
      <c r="JQP46" s="225"/>
      <c r="JQQ46" s="225"/>
      <c r="JQR46" s="225"/>
      <c r="JQS46" s="225"/>
      <c r="JQT46" s="225"/>
      <c r="JQU46" s="225"/>
      <c r="JQV46" s="225"/>
      <c r="JQW46" s="225"/>
      <c r="JQX46" s="225"/>
      <c r="JQY46" s="225"/>
      <c r="JQZ46" s="225"/>
      <c r="JRA46" s="225"/>
      <c r="JRB46" s="225"/>
      <c r="JRC46" s="225"/>
      <c r="JRD46" s="225"/>
      <c r="JRE46" s="225"/>
      <c r="JRF46" s="225"/>
      <c r="JRG46" s="225"/>
      <c r="JRH46" s="225"/>
      <c r="JRI46" s="225"/>
      <c r="JRJ46" s="225"/>
      <c r="JRK46" s="225"/>
      <c r="JRL46" s="225"/>
      <c r="JRM46" s="225"/>
      <c r="JRN46" s="225"/>
      <c r="JRO46" s="225"/>
      <c r="JRP46" s="225"/>
      <c r="JRQ46" s="225"/>
      <c r="JRR46" s="225"/>
      <c r="JRS46" s="225"/>
      <c r="JRT46" s="225"/>
      <c r="JRU46" s="225"/>
      <c r="JRV46" s="225"/>
      <c r="JRW46" s="225"/>
      <c r="JRX46" s="225"/>
      <c r="JRY46" s="225"/>
      <c r="JRZ46" s="225"/>
      <c r="JSA46" s="225"/>
      <c r="JSB46" s="225"/>
      <c r="JSC46" s="225"/>
      <c r="JSD46" s="225"/>
      <c r="JSE46" s="225"/>
      <c r="JSF46" s="225"/>
      <c r="JSG46" s="225"/>
      <c r="JSH46" s="225"/>
      <c r="JSI46" s="225"/>
      <c r="JSJ46" s="225"/>
      <c r="JSK46" s="225"/>
      <c r="JSL46" s="225"/>
      <c r="JSM46" s="225"/>
      <c r="JSN46" s="225"/>
      <c r="JSO46" s="225"/>
      <c r="JSP46" s="225"/>
      <c r="JSQ46" s="225"/>
      <c r="JSR46" s="225"/>
      <c r="JSS46" s="225"/>
      <c r="JST46" s="225"/>
      <c r="JSU46" s="225"/>
      <c r="JSV46" s="225"/>
      <c r="JSW46" s="225"/>
      <c r="JSX46" s="225"/>
      <c r="JSY46" s="225"/>
      <c r="JSZ46" s="225"/>
      <c r="JTA46" s="225"/>
      <c r="JTB46" s="225"/>
      <c r="JTC46" s="225"/>
      <c r="JTD46" s="225"/>
      <c r="JTE46" s="225"/>
      <c r="JTF46" s="225"/>
      <c r="JTG46" s="225"/>
      <c r="JTH46" s="225"/>
      <c r="JTI46" s="225"/>
      <c r="JTJ46" s="225"/>
      <c r="JTK46" s="225"/>
      <c r="JTL46" s="225"/>
      <c r="JTM46" s="225"/>
      <c r="JTN46" s="225"/>
      <c r="JTO46" s="225"/>
      <c r="JTP46" s="225"/>
      <c r="JTQ46" s="225"/>
      <c r="JTR46" s="225"/>
      <c r="JTS46" s="225"/>
      <c r="JTT46" s="225"/>
      <c r="JTU46" s="225"/>
      <c r="JTV46" s="225"/>
      <c r="JTW46" s="225"/>
      <c r="JTX46" s="225"/>
      <c r="JTY46" s="225"/>
      <c r="JTZ46" s="225"/>
      <c r="JUA46" s="225"/>
      <c r="JUB46" s="225"/>
      <c r="JUC46" s="225"/>
      <c r="JUD46" s="225"/>
      <c r="JUE46" s="225"/>
      <c r="JUF46" s="225"/>
      <c r="JUG46" s="225"/>
      <c r="JUH46" s="225"/>
      <c r="JUI46" s="225"/>
      <c r="JUJ46" s="225"/>
      <c r="JUK46" s="225"/>
      <c r="JUL46" s="225"/>
      <c r="JUM46" s="225"/>
      <c r="JUN46" s="225"/>
      <c r="JUO46" s="225"/>
      <c r="JUP46" s="225"/>
      <c r="JUQ46" s="225"/>
      <c r="JUR46" s="225"/>
      <c r="JUS46" s="225"/>
      <c r="JUT46" s="225"/>
      <c r="JUU46" s="225"/>
      <c r="JUV46" s="225"/>
      <c r="JUW46" s="225"/>
      <c r="JUX46" s="225"/>
      <c r="JUY46" s="225"/>
      <c r="JUZ46" s="225"/>
      <c r="JVA46" s="225"/>
      <c r="JVB46" s="225"/>
      <c r="JVC46" s="225"/>
      <c r="JVD46" s="225"/>
      <c r="JVE46" s="225"/>
      <c r="JVF46" s="225"/>
      <c r="JVG46" s="225"/>
      <c r="JVH46" s="225"/>
      <c r="JVI46" s="225"/>
      <c r="JVJ46" s="225"/>
      <c r="JVK46" s="225"/>
      <c r="JVL46" s="225"/>
      <c r="JVM46" s="225"/>
      <c r="JVN46" s="225"/>
      <c r="JVO46" s="225"/>
      <c r="JVP46" s="225"/>
      <c r="JVQ46" s="225"/>
      <c r="JVR46" s="225"/>
      <c r="JVS46" s="225"/>
      <c r="JVT46" s="225"/>
      <c r="JVU46" s="225"/>
      <c r="JVV46" s="225"/>
      <c r="JVW46" s="225"/>
      <c r="JVX46" s="225"/>
      <c r="JVY46" s="225"/>
      <c r="JVZ46" s="225"/>
      <c r="JWA46" s="225"/>
      <c r="JWB46" s="225"/>
      <c r="JWC46" s="225"/>
      <c r="JWD46" s="225"/>
      <c r="JWE46" s="225"/>
      <c r="JWF46" s="225"/>
      <c r="JWG46" s="225"/>
      <c r="JWH46" s="225"/>
      <c r="JWI46" s="225"/>
      <c r="JWJ46" s="225"/>
      <c r="JWK46" s="225"/>
      <c r="JWL46" s="225"/>
      <c r="JWM46" s="225"/>
      <c r="JWN46" s="225"/>
      <c r="JWO46" s="225"/>
      <c r="JWP46" s="225"/>
      <c r="JWQ46" s="225"/>
      <c r="JWR46" s="225"/>
      <c r="JWS46" s="225"/>
      <c r="JWT46" s="225"/>
      <c r="JWU46" s="225"/>
      <c r="JWV46" s="225"/>
      <c r="JWW46" s="225"/>
      <c r="JWX46" s="225"/>
      <c r="JWY46" s="225"/>
      <c r="JWZ46" s="225"/>
      <c r="JXA46" s="225"/>
      <c r="JXB46" s="225"/>
      <c r="JXC46" s="225"/>
      <c r="JXD46" s="225"/>
      <c r="JXE46" s="225"/>
      <c r="JXF46" s="225"/>
      <c r="JXG46" s="225"/>
      <c r="JXH46" s="225"/>
      <c r="JXI46" s="225"/>
      <c r="JXJ46" s="225"/>
      <c r="JXK46" s="225"/>
      <c r="JXL46" s="225"/>
      <c r="JXM46" s="225"/>
      <c r="JXN46" s="225"/>
      <c r="JXO46" s="225"/>
      <c r="JXP46" s="225"/>
      <c r="JXQ46" s="225"/>
      <c r="JXR46" s="225"/>
      <c r="JXS46" s="225"/>
      <c r="JXT46" s="225"/>
      <c r="JXU46" s="225"/>
      <c r="JXV46" s="225"/>
      <c r="JXW46" s="225"/>
      <c r="JXX46" s="225"/>
      <c r="JXY46" s="225"/>
      <c r="JXZ46" s="225"/>
      <c r="JYA46" s="225"/>
      <c r="JYB46" s="225"/>
      <c r="JYC46" s="225"/>
      <c r="JYD46" s="225"/>
      <c r="JYE46" s="225"/>
      <c r="JYF46" s="225"/>
      <c r="JYG46" s="225"/>
      <c r="JYH46" s="225"/>
      <c r="JYI46" s="225"/>
      <c r="JYJ46" s="225"/>
      <c r="JYK46" s="225"/>
      <c r="JYL46" s="225"/>
      <c r="JYM46" s="225"/>
      <c r="JYN46" s="225"/>
      <c r="JYO46" s="225"/>
      <c r="JYP46" s="225"/>
      <c r="JYQ46" s="225"/>
      <c r="JYR46" s="225"/>
      <c r="JYS46" s="225"/>
      <c r="JYT46" s="225"/>
      <c r="JYU46" s="225"/>
      <c r="JYV46" s="225"/>
      <c r="JYW46" s="225"/>
      <c r="JYX46" s="225"/>
      <c r="JYY46" s="225"/>
      <c r="JYZ46" s="225"/>
      <c r="JZA46" s="225"/>
      <c r="JZB46" s="225"/>
      <c r="JZC46" s="225"/>
      <c r="JZD46" s="225"/>
      <c r="JZE46" s="225"/>
      <c r="JZF46" s="225"/>
      <c r="JZG46" s="225"/>
      <c r="JZH46" s="225"/>
      <c r="JZI46" s="225"/>
      <c r="JZJ46" s="225"/>
      <c r="JZK46" s="225"/>
      <c r="JZL46" s="225"/>
      <c r="JZM46" s="225"/>
      <c r="JZN46" s="225"/>
      <c r="JZO46" s="225"/>
      <c r="JZP46" s="225"/>
      <c r="JZQ46" s="225"/>
      <c r="JZR46" s="225"/>
      <c r="JZS46" s="225"/>
      <c r="JZT46" s="225"/>
      <c r="JZU46" s="225"/>
      <c r="JZV46" s="225"/>
      <c r="JZW46" s="225"/>
      <c r="JZX46" s="225"/>
      <c r="JZY46" s="225"/>
      <c r="JZZ46" s="225"/>
      <c r="KAA46" s="225"/>
      <c r="KAB46" s="225"/>
      <c r="KAC46" s="225"/>
      <c r="KAD46" s="225"/>
      <c r="KAE46" s="225"/>
      <c r="KAF46" s="225"/>
      <c r="KAG46" s="225"/>
      <c r="KAH46" s="225"/>
      <c r="KAI46" s="225"/>
      <c r="KAJ46" s="225"/>
      <c r="KAK46" s="225"/>
      <c r="KAL46" s="225"/>
      <c r="KAM46" s="225"/>
      <c r="KAN46" s="225"/>
      <c r="KAO46" s="225"/>
      <c r="KAP46" s="225"/>
      <c r="KAQ46" s="225"/>
      <c r="KAR46" s="225"/>
      <c r="KAS46" s="225"/>
      <c r="KAT46" s="225"/>
      <c r="KAU46" s="225"/>
      <c r="KAV46" s="225"/>
      <c r="KAW46" s="225"/>
      <c r="KAX46" s="225"/>
      <c r="KAY46" s="225"/>
      <c r="KAZ46" s="225"/>
      <c r="KBA46" s="225"/>
      <c r="KBB46" s="225"/>
      <c r="KBC46" s="225"/>
      <c r="KBD46" s="225"/>
      <c r="KBE46" s="225"/>
      <c r="KBF46" s="225"/>
      <c r="KBG46" s="225"/>
      <c r="KBH46" s="225"/>
      <c r="KBI46" s="225"/>
      <c r="KBJ46" s="225"/>
      <c r="KBK46" s="225"/>
      <c r="KBL46" s="225"/>
      <c r="KBM46" s="225"/>
      <c r="KBN46" s="225"/>
      <c r="KBO46" s="225"/>
      <c r="KBP46" s="225"/>
      <c r="KBQ46" s="225"/>
      <c r="KBR46" s="225"/>
      <c r="KBS46" s="225"/>
      <c r="KBT46" s="225"/>
      <c r="KBU46" s="225"/>
      <c r="KBV46" s="225"/>
      <c r="KBW46" s="225"/>
      <c r="KBX46" s="225"/>
      <c r="KBY46" s="225"/>
      <c r="KBZ46" s="225"/>
      <c r="KCA46" s="225"/>
      <c r="KCB46" s="225"/>
      <c r="KCC46" s="225"/>
      <c r="KCD46" s="225"/>
      <c r="KCE46" s="225"/>
      <c r="KCF46" s="225"/>
      <c r="KCG46" s="225"/>
      <c r="KCH46" s="225"/>
      <c r="KCI46" s="225"/>
      <c r="KCJ46" s="225"/>
      <c r="KCK46" s="225"/>
      <c r="KCL46" s="225"/>
      <c r="KCM46" s="225"/>
      <c r="KCN46" s="225"/>
      <c r="KCO46" s="225"/>
      <c r="KCP46" s="225"/>
      <c r="KCQ46" s="225"/>
      <c r="KCR46" s="225"/>
      <c r="KCS46" s="225"/>
      <c r="KCT46" s="225"/>
      <c r="KCU46" s="225"/>
      <c r="KCV46" s="225"/>
      <c r="KCW46" s="225"/>
      <c r="KCX46" s="225"/>
      <c r="KCY46" s="225"/>
      <c r="KCZ46" s="225"/>
      <c r="KDA46" s="225"/>
      <c r="KDB46" s="225"/>
      <c r="KDC46" s="225"/>
      <c r="KDD46" s="225"/>
      <c r="KDE46" s="225"/>
      <c r="KDF46" s="225"/>
      <c r="KDG46" s="225"/>
      <c r="KDH46" s="225"/>
      <c r="KDI46" s="225"/>
      <c r="KDJ46" s="225"/>
      <c r="KDK46" s="225"/>
      <c r="KDL46" s="225"/>
      <c r="KDM46" s="225"/>
      <c r="KDN46" s="225"/>
      <c r="KDO46" s="225"/>
      <c r="KDP46" s="225"/>
      <c r="KDQ46" s="225"/>
      <c r="KDR46" s="225"/>
      <c r="KDS46" s="225"/>
      <c r="KDT46" s="225"/>
      <c r="KDU46" s="225"/>
      <c r="KDV46" s="225"/>
      <c r="KDW46" s="225"/>
      <c r="KDX46" s="225"/>
      <c r="KDY46" s="225"/>
      <c r="KDZ46" s="225"/>
      <c r="KEA46" s="225"/>
      <c r="KEB46" s="225"/>
      <c r="KEC46" s="225"/>
      <c r="KED46" s="225"/>
      <c r="KEE46" s="225"/>
      <c r="KEF46" s="225"/>
      <c r="KEG46" s="225"/>
      <c r="KEH46" s="225"/>
      <c r="KEI46" s="225"/>
      <c r="KEJ46" s="225"/>
      <c r="KEK46" s="225"/>
      <c r="KEL46" s="225"/>
      <c r="KEM46" s="225"/>
      <c r="KEN46" s="225"/>
      <c r="KEO46" s="225"/>
      <c r="KEP46" s="225"/>
      <c r="KEQ46" s="225"/>
      <c r="KER46" s="225"/>
      <c r="KES46" s="225"/>
      <c r="KET46" s="225"/>
      <c r="KEU46" s="225"/>
      <c r="KEV46" s="225"/>
      <c r="KEW46" s="225"/>
      <c r="KEX46" s="225"/>
      <c r="KEY46" s="225"/>
      <c r="KEZ46" s="225"/>
      <c r="KFA46" s="225"/>
      <c r="KFB46" s="225"/>
      <c r="KFC46" s="225"/>
      <c r="KFD46" s="225"/>
      <c r="KFE46" s="225"/>
      <c r="KFF46" s="225"/>
      <c r="KFG46" s="225"/>
      <c r="KFH46" s="225"/>
      <c r="KFI46" s="225"/>
      <c r="KFJ46" s="225"/>
      <c r="KFK46" s="225"/>
      <c r="KFL46" s="225"/>
      <c r="KFM46" s="225"/>
      <c r="KFN46" s="225"/>
      <c r="KFO46" s="225"/>
      <c r="KFP46" s="225"/>
      <c r="KFQ46" s="225"/>
      <c r="KFR46" s="225"/>
      <c r="KFS46" s="225"/>
      <c r="KFT46" s="225"/>
      <c r="KFU46" s="225"/>
      <c r="KFV46" s="225"/>
      <c r="KFW46" s="225"/>
      <c r="KFX46" s="225"/>
      <c r="KFY46" s="225"/>
      <c r="KFZ46" s="225"/>
      <c r="KGA46" s="225"/>
      <c r="KGB46" s="225"/>
      <c r="KGC46" s="225"/>
      <c r="KGD46" s="225"/>
      <c r="KGE46" s="225"/>
      <c r="KGF46" s="225"/>
      <c r="KGG46" s="225"/>
      <c r="KGH46" s="225"/>
      <c r="KGI46" s="225"/>
      <c r="KGJ46" s="225"/>
      <c r="KGK46" s="225"/>
      <c r="KGL46" s="225"/>
      <c r="KGM46" s="225"/>
      <c r="KGN46" s="225"/>
      <c r="KGO46" s="225"/>
      <c r="KGP46" s="225"/>
      <c r="KGQ46" s="225"/>
      <c r="KGR46" s="225"/>
      <c r="KGS46" s="225"/>
      <c r="KGT46" s="225"/>
      <c r="KGU46" s="225"/>
      <c r="KGV46" s="225"/>
      <c r="KGW46" s="225"/>
      <c r="KGX46" s="225"/>
      <c r="KGY46" s="225"/>
      <c r="KGZ46" s="225"/>
      <c r="KHA46" s="225"/>
      <c r="KHB46" s="225"/>
      <c r="KHC46" s="225"/>
      <c r="KHD46" s="225"/>
      <c r="KHE46" s="225"/>
      <c r="KHF46" s="225"/>
      <c r="KHG46" s="225"/>
      <c r="KHH46" s="225"/>
      <c r="KHI46" s="225"/>
      <c r="KHJ46" s="225"/>
      <c r="KHK46" s="225"/>
      <c r="KHL46" s="225"/>
      <c r="KHM46" s="225"/>
      <c r="KHN46" s="225"/>
      <c r="KHO46" s="225"/>
      <c r="KHP46" s="225"/>
      <c r="KHQ46" s="225"/>
      <c r="KHR46" s="225"/>
      <c r="KHS46" s="225"/>
      <c r="KHT46" s="225"/>
      <c r="KHU46" s="225"/>
      <c r="KHV46" s="225"/>
      <c r="KHW46" s="225"/>
      <c r="KHX46" s="225"/>
      <c r="KHY46" s="225"/>
      <c r="KHZ46" s="225"/>
      <c r="KIA46" s="225"/>
      <c r="KIB46" s="225"/>
      <c r="KIC46" s="225"/>
      <c r="KID46" s="225"/>
      <c r="KIE46" s="225"/>
      <c r="KIF46" s="225"/>
      <c r="KIG46" s="225"/>
      <c r="KIH46" s="225"/>
      <c r="KII46" s="225"/>
      <c r="KIJ46" s="225"/>
      <c r="KIK46" s="225"/>
      <c r="KIL46" s="225"/>
      <c r="KIM46" s="225"/>
      <c r="KIN46" s="225"/>
      <c r="KIO46" s="225"/>
      <c r="KIP46" s="225"/>
      <c r="KIQ46" s="225"/>
      <c r="KIR46" s="225"/>
      <c r="KIS46" s="225"/>
      <c r="KIT46" s="225"/>
      <c r="KIU46" s="225"/>
      <c r="KIV46" s="225"/>
      <c r="KIW46" s="225"/>
      <c r="KIX46" s="225"/>
      <c r="KIY46" s="225"/>
      <c r="KIZ46" s="225"/>
      <c r="KJA46" s="225"/>
      <c r="KJB46" s="225"/>
      <c r="KJC46" s="225"/>
      <c r="KJD46" s="225"/>
      <c r="KJE46" s="225"/>
      <c r="KJF46" s="225"/>
      <c r="KJG46" s="225"/>
      <c r="KJH46" s="225"/>
      <c r="KJI46" s="225"/>
      <c r="KJJ46" s="225"/>
      <c r="KJK46" s="225"/>
      <c r="KJL46" s="225"/>
      <c r="KJM46" s="225"/>
      <c r="KJN46" s="225"/>
      <c r="KJO46" s="225"/>
      <c r="KJP46" s="225"/>
      <c r="KJQ46" s="225"/>
      <c r="KJR46" s="225"/>
      <c r="KJS46" s="225"/>
      <c r="KJT46" s="225"/>
      <c r="KJU46" s="225"/>
      <c r="KJV46" s="225"/>
      <c r="KJW46" s="225"/>
      <c r="KJX46" s="225"/>
      <c r="KJY46" s="225"/>
      <c r="KJZ46" s="225"/>
      <c r="KKA46" s="225"/>
      <c r="KKB46" s="225"/>
      <c r="KKC46" s="225"/>
      <c r="KKD46" s="225"/>
      <c r="KKE46" s="225"/>
      <c r="KKF46" s="225"/>
      <c r="KKG46" s="225"/>
      <c r="KKH46" s="225"/>
      <c r="KKI46" s="225"/>
      <c r="KKJ46" s="225"/>
      <c r="KKK46" s="225"/>
      <c r="KKL46" s="225"/>
      <c r="KKM46" s="225"/>
      <c r="KKN46" s="225"/>
      <c r="KKO46" s="225"/>
      <c r="KKP46" s="225"/>
      <c r="KKQ46" s="225"/>
      <c r="KKR46" s="225"/>
      <c r="KKS46" s="225"/>
      <c r="KKT46" s="225"/>
      <c r="KKU46" s="225"/>
      <c r="KKV46" s="225"/>
      <c r="KKW46" s="225"/>
      <c r="KKX46" s="225"/>
      <c r="KKY46" s="225"/>
      <c r="KKZ46" s="225"/>
      <c r="KLA46" s="225"/>
      <c r="KLB46" s="225"/>
      <c r="KLC46" s="225"/>
      <c r="KLD46" s="225"/>
      <c r="KLE46" s="225"/>
      <c r="KLF46" s="225"/>
      <c r="KLG46" s="225"/>
      <c r="KLH46" s="225"/>
      <c r="KLI46" s="225"/>
      <c r="KLJ46" s="225"/>
      <c r="KLK46" s="225"/>
      <c r="KLL46" s="225"/>
      <c r="KLM46" s="225"/>
      <c r="KLN46" s="225"/>
      <c r="KLO46" s="225"/>
      <c r="KLP46" s="225"/>
      <c r="KLQ46" s="225"/>
      <c r="KLR46" s="225"/>
      <c r="KLS46" s="225"/>
      <c r="KLT46" s="225"/>
      <c r="KLU46" s="225"/>
      <c r="KLV46" s="225"/>
      <c r="KLW46" s="225"/>
      <c r="KLX46" s="225"/>
      <c r="KLY46" s="225"/>
      <c r="KLZ46" s="225"/>
      <c r="KMA46" s="225"/>
      <c r="KMB46" s="225"/>
      <c r="KMC46" s="225"/>
      <c r="KMD46" s="225"/>
      <c r="KME46" s="225"/>
      <c r="KMF46" s="225"/>
      <c r="KMG46" s="225"/>
      <c r="KMH46" s="225"/>
      <c r="KMI46" s="225"/>
      <c r="KMJ46" s="225"/>
      <c r="KMK46" s="225"/>
      <c r="KML46" s="225"/>
      <c r="KMM46" s="225"/>
      <c r="KMN46" s="225"/>
      <c r="KMO46" s="225"/>
      <c r="KMP46" s="225"/>
      <c r="KMQ46" s="225"/>
      <c r="KMR46" s="225"/>
      <c r="KMS46" s="225"/>
      <c r="KMT46" s="225"/>
      <c r="KMU46" s="225"/>
      <c r="KMV46" s="225"/>
      <c r="KMW46" s="225"/>
      <c r="KMX46" s="225"/>
      <c r="KMY46" s="225"/>
      <c r="KMZ46" s="225"/>
      <c r="KNA46" s="225"/>
      <c r="KNB46" s="225"/>
      <c r="KNC46" s="225"/>
      <c r="KND46" s="225"/>
      <c r="KNE46" s="225"/>
      <c r="KNF46" s="225"/>
      <c r="KNG46" s="225"/>
      <c r="KNH46" s="225"/>
      <c r="KNI46" s="225"/>
      <c r="KNJ46" s="225"/>
      <c r="KNK46" s="225"/>
      <c r="KNL46" s="225"/>
      <c r="KNM46" s="225"/>
      <c r="KNN46" s="225"/>
      <c r="KNO46" s="225"/>
      <c r="KNP46" s="225"/>
      <c r="KNQ46" s="225"/>
      <c r="KNR46" s="225"/>
      <c r="KNS46" s="225"/>
      <c r="KNT46" s="225"/>
      <c r="KNU46" s="225"/>
      <c r="KNV46" s="225"/>
      <c r="KNW46" s="225"/>
      <c r="KNX46" s="225"/>
      <c r="KNY46" s="225"/>
      <c r="KNZ46" s="225"/>
      <c r="KOA46" s="225"/>
      <c r="KOB46" s="225"/>
      <c r="KOC46" s="225"/>
      <c r="KOD46" s="225"/>
      <c r="KOE46" s="225"/>
      <c r="KOF46" s="225"/>
      <c r="KOG46" s="225"/>
      <c r="KOH46" s="225"/>
      <c r="KOI46" s="225"/>
      <c r="KOJ46" s="225"/>
      <c r="KOK46" s="225"/>
      <c r="KOL46" s="225"/>
      <c r="KOM46" s="225"/>
      <c r="KON46" s="225"/>
      <c r="KOO46" s="225"/>
      <c r="KOP46" s="225"/>
      <c r="KOQ46" s="225"/>
      <c r="KOR46" s="225"/>
      <c r="KOS46" s="225"/>
      <c r="KOT46" s="225"/>
      <c r="KOU46" s="225"/>
      <c r="KOV46" s="225"/>
      <c r="KOW46" s="225"/>
      <c r="KOX46" s="225"/>
      <c r="KOY46" s="225"/>
      <c r="KOZ46" s="225"/>
      <c r="KPA46" s="225"/>
      <c r="KPB46" s="225"/>
      <c r="KPC46" s="225"/>
      <c r="KPD46" s="225"/>
      <c r="KPE46" s="225"/>
      <c r="KPF46" s="225"/>
      <c r="KPG46" s="225"/>
      <c r="KPH46" s="225"/>
      <c r="KPI46" s="225"/>
      <c r="KPJ46" s="225"/>
      <c r="KPK46" s="225"/>
      <c r="KPL46" s="225"/>
      <c r="KPM46" s="225"/>
      <c r="KPN46" s="225"/>
      <c r="KPO46" s="225"/>
      <c r="KPP46" s="225"/>
      <c r="KPQ46" s="225"/>
      <c r="KPR46" s="225"/>
      <c r="KPS46" s="225"/>
      <c r="KPT46" s="225"/>
      <c r="KPU46" s="225"/>
      <c r="KPV46" s="225"/>
      <c r="KPW46" s="225"/>
      <c r="KPX46" s="225"/>
      <c r="KPY46" s="225"/>
      <c r="KPZ46" s="225"/>
      <c r="KQA46" s="225"/>
      <c r="KQB46" s="225"/>
      <c r="KQC46" s="225"/>
      <c r="KQD46" s="225"/>
      <c r="KQE46" s="225"/>
      <c r="KQF46" s="225"/>
      <c r="KQG46" s="225"/>
      <c r="KQH46" s="225"/>
      <c r="KQI46" s="225"/>
      <c r="KQJ46" s="225"/>
      <c r="KQK46" s="225"/>
      <c r="KQL46" s="225"/>
      <c r="KQM46" s="225"/>
      <c r="KQN46" s="225"/>
      <c r="KQO46" s="225"/>
      <c r="KQP46" s="225"/>
      <c r="KQQ46" s="225"/>
      <c r="KQR46" s="225"/>
      <c r="KQS46" s="225"/>
      <c r="KQT46" s="225"/>
      <c r="KQU46" s="225"/>
      <c r="KQV46" s="225"/>
      <c r="KQW46" s="225"/>
      <c r="KQX46" s="225"/>
      <c r="KQY46" s="225"/>
      <c r="KQZ46" s="225"/>
      <c r="KRA46" s="225"/>
      <c r="KRB46" s="225"/>
      <c r="KRC46" s="225"/>
      <c r="KRD46" s="225"/>
      <c r="KRE46" s="225"/>
      <c r="KRF46" s="225"/>
      <c r="KRG46" s="225"/>
      <c r="KRH46" s="225"/>
      <c r="KRI46" s="225"/>
      <c r="KRJ46" s="225"/>
      <c r="KRK46" s="225"/>
      <c r="KRL46" s="225"/>
      <c r="KRM46" s="225"/>
      <c r="KRN46" s="225"/>
      <c r="KRO46" s="225"/>
      <c r="KRP46" s="225"/>
      <c r="KRQ46" s="225"/>
      <c r="KRR46" s="225"/>
      <c r="KRS46" s="225"/>
      <c r="KRT46" s="225"/>
      <c r="KRU46" s="225"/>
      <c r="KRV46" s="225"/>
      <c r="KRW46" s="225"/>
      <c r="KRX46" s="225"/>
      <c r="KRY46" s="225"/>
      <c r="KRZ46" s="225"/>
      <c r="KSA46" s="225"/>
      <c r="KSB46" s="225"/>
      <c r="KSC46" s="225"/>
      <c r="KSD46" s="225"/>
      <c r="KSE46" s="225"/>
      <c r="KSF46" s="225"/>
      <c r="KSG46" s="225"/>
      <c r="KSH46" s="225"/>
      <c r="KSI46" s="225"/>
      <c r="KSJ46" s="225"/>
      <c r="KSK46" s="225"/>
      <c r="KSL46" s="225"/>
      <c r="KSM46" s="225"/>
      <c r="KSN46" s="225"/>
      <c r="KSO46" s="225"/>
      <c r="KSP46" s="225"/>
      <c r="KSQ46" s="225"/>
      <c r="KSR46" s="225"/>
      <c r="KSS46" s="225"/>
      <c r="KST46" s="225"/>
      <c r="KSU46" s="225"/>
      <c r="KSV46" s="225"/>
      <c r="KSW46" s="225"/>
      <c r="KSX46" s="225"/>
      <c r="KSY46" s="225"/>
      <c r="KSZ46" s="225"/>
      <c r="KTA46" s="225"/>
      <c r="KTB46" s="225"/>
      <c r="KTC46" s="225"/>
      <c r="KTD46" s="225"/>
      <c r="KTE46" s="225"/>
      <c r="KTF46" s="225"/>
      <c r="KTG46" s="225"/>
      <c r="KTH46" s="225"/>
      <c r="KTI46" s="225"/>
      <c r="KTJ46" s="225"/>
      <c r="KTK46" s="225"/>
      <c r="KTL46" s="225"/>
      <c r="KTM46" s="225"/>
      <c r="KTN46" s="225"/>
      <c r="KTO46" s="225"/>
      <c r="KTP46" s="225"/>
      <c r="KTQ46" s="225"/>
      <c r="KTR46" s="225"/>
      <c r="KTS46" s="225"/>
      <c r="KTT46" s="225"/>
      <c r="KTU46" s="225"/>
      <c r="KTV46" s="225"/>
      <c r="KTW46" s="225"/>
      <c r="KTX46" s="225"/>
      <c r="KTY46" s="225"/>
      <c r="KTZ46" s="225"/>
      <c r="KUA46" s="225"/>
      <c r="KUB46" s="225"/>
      <c r="KUC46" s="225"/>
      <c r="KUD46" s="225"/>
      <c r="KUE46" s="225"/>
      <c r="KUF46" s="225"/>
      <c r="KUG46" s="225"/>
      <c r="KUH46" s="225"/>
      <c r="KUI46" s="225"/>
      <c r="KUJ46" s="225"/>
      <c r="KUK46" s="225"/>
      <c r="KUL46" s="225"/>
      <c r="KUM46" s="225"/>
      <c r="KUN46" s="225"/>
      <c r="KUO46" s="225"/>
      <c r="KUP46" s="225"/>
      <c r="KUQ46" s="225"/>
      <c r="KUR46" s="225"/>
      <c r="KUS46" s="225"/>
      <c r="KUT46" s="225"/>
      <c r="KUU46" s="225"/>
      <c r="KUV46" s="225"/>
      <c r="KUW46" s="225"/>
      <c r="KUX46" s="225"/>
      <c r="KUY46" s="225"/>
      <c r="KUZ46" s="225"/>
      <c r="KVA46" s="225"/>
      <c r="KVB46" s="225"/>
      <c r="KVC46" s="225"/>
      <c r="KVD46" s="225"/>
      <c r="KVE46" s="225"/>
      <c r="KVF46" s="225"/>
      <c r="KVG46" s="225"/>
      <c r="KVH46" s="225"/>
      <c r="KVI46" s="225"/>
      <c r="KVJ46" s="225"/>
      <c r="KVK46" s="225"/>
      <c r="KVL46" s="225"/>
      <c r="KVM46" s="225"/>
      <c r="KVN46" s="225"/>
      <c r="KVO46" s="225"/>
      <c r="KVP46" s="225"/>
      <c r="KVQ46" s="225"/>
      <c r="KVR46" s="225"/>
      <c r="KVS46" s="225"/>
      <c r="KVT46" s="225"/>
      <c r="KVU46" s="225"/>
      <c r="KVV46" s="225"/>
      <c r="KVW46" s="225"/>
      <c r="KVX46" s="225"/>
      <c r="KVY46" s="225"/>
      <c r="KVZ46" s="225"/>
      <c r="KWA46" s="225"/>
      <c r="KWB46" s="225"/>
      <c r="KWC46" s="225"/>
      <c r="KWD46" s="225"/>
      <c r="KWE46" s="225"/>
      <c r="KWF46" s="225"/>
      <c r="KWG46" s="225"/>
      <c r="KWH46" s="225"/>
      <c r="KWI46" s="225"/>
      <c r="KWJ46" s="225"/>
      <c r="KWK46" s="225"/>
      <c r="KWL46" s="225"/>
      <c r="KWM46" s="225"/>
      <c r="KWN46" s="225"/>
      <c r="KWO46" s="225"/>
      <c r="KWP46" s="225"/>
      <c r="KWQ46" s="225"/>
      <c r="KWR46" s="225"/>
      <c r="KWS46" s="225"/>
      <c r="KWT46" s="225"/>
      <c r="KWU46" s="225"/>
      <c r="KWV46" s="225"/>
      <c r="KWW46" s="225"/>
      <c r="KWX46" s="225"/>
      <c r="KWY46" s="225"/>
      <c r="KWZ46" s="225"/>
      <c r="KXA46" s="225"/>
      <c r="KXB46" s="225"/>
      <c r="KXC46" s="225"/>
      <c r="KXD46" s="225"/>
      <c r="KXE46" s="225"/>
      <c r="KXF46" s="225"/>
      <c r="KXG46" s="225"/>
      <c r="KXH46" s="225"/>
      <c r="KXI46" s="225"/>
      <c r="KXJ46" s="225"/>
      <c r="KXK46" s="225"/>
      <c r="KXL46" s="225"/>
      <c r="KXM46" s="225"/>
      <c r="KXN46" s="225"/>
      <c r="KXO46" s="225"/>
      <c r="KXP46" s="225"/>
      <c r="KXQ46" s="225"/>
      <c r="KXR46" s="225"/>
      <c r="KXS46" s="225"/>
      <c r="KXT46" s="225"/>
      <c r="KXU46" s="225"/>
      <c r="KXV46" s="225"/>
      <c r="KXW46" s="225"/>
      <c r="KXX46" s="225"/>
      <c r="KXY46" s="225"/>
      <c r="KXZ46" s="225"/>
      <c r="KYA46" s="225"/>
      <c r="KYB46" s="225"/>
      <c r="KYC46" s="225"/>
      <c r="KYD46" s="225"/>
      <c r="KYE46" s="225"/>
      <c r="KYF46" s="225"/>
      <c r="KYG46" s="225"/>
      <c r="KYH46" s="225"/>
      <c r="KYI46" s="225"/>
      <c r="KYJ46" s="225"/>
      <c r="KYK46" s="225"/>
      <c r="KYL46" s="225"/>
      <c r="KYM46" s="225"/>
      <c r="KYN46" s="225"/>
      <c r="KYO46" s="225"/>
      <c r="KYP46" s="225"/>
      <c r="KYQ46" s="225"/>
      <c r="KYR46" s="225"/>
      <c r="KYS46" s="225"/>
      <c r="KYT46" s="225"/>
      <c r="KYU46" s="225"/>
      <c r="KYV46" s="225"/>
      <c r="KYW46" s="225"/>
      <c r="KYX46" s="225"/>
      <c r="KYY46" s="225"/>
      <c r="KYZ46" s="225"/>
      <c r="KZA46" s="225"/>
      <c r="KZB46" s="225"/>
      <c r="KZC46" s="225"/>
      <c r="KZD46" s="225"/>
      <c r="KZE46" s="225"/>
      <c r="KZF46" s="225"/>
      <c r="KZG46" s="225"/>
      <c r="KZH46" s="225"/>
      <c r="KZI46" s="225"/>
      <c r="KZJ46" s="225"/>
      <c r="KZK46" s="225"/>
      <c r="KZL46" s="225"/>
      <c r="KZM46" s="225"/>
      <c r="KZN46" s="225"/>
      <c r="KZO46" s="225"/>
      <c r="KZP46" s="225"/>
      <c r="KZQ46" s="225"/>
      <c r="KZR46" s="225"/>
      <c r="KZS46" s="225"/>
      <c r="KZT46" s="225"/>
      <c r="KZU46" s="225"/>
      <c r="KZV46" s="225"/>
      <c r="KZW46" s="225"/>
      <c r="KZX46" s="225"/>
      <c r="KZY46" s="225"/>
      <c r="KZZ46" s="225"/>
      <c r="LAA46" s="225"/>
      <c r="LAB46" s="225"/>
      <c r="LAC46" s="225"/>
      <c r="LAD46" s="225"/>
      <c r="LAE46" s="225"/>
      <c r="LAF46" s="225"/>
      <c r="LAG46" s="225"/>
      <c r="LAH46" s="225"/>
      <c r="LAI46" s="225"/>
      <c r="LAJ46" s="225"/>
      <c r="LAK46" s="225"/>
      <c r="LAL46" s="225"/>
      <c r="LAM46" s="225"/>
      <c r="LAN46" s="225"/>
      <c r="LAO46" s="225"/>
      <c r="LAP46" s="225"/>
      <c r="LAQ46" s="225"/>
      <c r="LAR46" s="225"/>
      <c r="LAS46" s="225"/>
      <c r="LAT46" s="225"/>
      <c r="LAU46" s="225"/>
      <c r="LAV46" s="225"/>
      <c r="LAW46" s="225"/>
      <c r="LAX46" s="225"/>
      <c r="LAY46" s="225"/>
      <c r="LAZ46" s="225"/>
      <c r="LBA46" s="225"/>
      <c r="LBB46" s="225"/>
      <c r="LBC46" s="225"/>
      <c r="LBD46" s="225"/>
      <c r="LBE46" s="225"/>
      <c r="LBF46" s="225"/>
      <c r="LBG46" s="225"/>
      <c r="LBH46" s="225"/>
      <c r="LBI46" s="225"/>
      <c r="LBJ46" s="225"/>
      <c r="LBK46" s="225"/>
      <c r="LBL46" s="225"/>
      <c r="LBM46" s="225"/>
      <c r="LBN46" s="225"/>
      <c r="LBO46" s="225"/>
      <c r="LBP46" s="225"/>
      <c r="LBQ46" s="225"/>
      <c r="LBR46" s="225"/>
      <c r="LBS46" s="225"/>
      <c r="LBT46" s="225"/>
      <c r="LBU46" s="225"/>
      <c r="LBV46" s="225"/>
      <c r="LBW46" s="225"/>
      <c r="LBX46" s="225"/>
      <c r="LBY46" s="225"/>
      <c r="LBZ46" s="225"/>
      <c r="LCA46" s="225"/>
      <c r="LCB46" s="225"/>
      <c r="LCC46" s="225"/>
      <c r="LCD46" s="225"/>
      <c r="LCE46" s="225"/>
      <c r="LCF46" s="225"/>
      <c r="LCG46" s="225"/>
      <c r="LCH46" s="225"/>
      <c r="LCI46" s="225"/>
      <c r="LCJ46" s="225"/>
      <c r="LCK46" s="225"/>
      <c r="LCL46" s="225"/>
      <c r="LCM46" s="225"/>
      <c r="LCN46" s="225"/>
      <c r="LCO46" s="225"/>
      <c r="LCP46" s="225"/>
      <c r="LCQ46" s="225"/>
      <c r="LCR46" s="225"/>
      <c r="LCS46" s="225"/>
      <c r="LCT46" s="225"/>
      <c r="LCU46" s="225"/>
      <c r="LCV46" s="225"/>
      <c r="LCW46" s="225"/>
      <c r="LCX46" s="225"/>
      <c r="LCY46" s="225"/>
      <c r="LCZ46" s="225"/>
      <c r="LDA46" s="225"/>
      <c r="LDB46" s="225"/>
      <c r="LDC46" s="225"/>
      <c r="LDD46" s="225"/>
      <c r="LDE46" s="225"/>
      <c r="LDF46" s="225"/>
      <c r="LDG46" s="225"/>
      <c r="LDH46" s="225"/>
      <c r="LDI46" s="225"/>
      <c r="LDJ46" s="225"/>
      <c r="LDK46" s="225"/>
      <c r="LDL46" s="225"/>
      <c r="LDM46" s="225"/>
      <c r="LDN46" s="225"/>
      <c r="LDO46" s="225"/>
      <c r="LDP46" s="225"/>
      <c r="LDQ46" s="225"/>
      <c r="LDR46" s="225"/>
      <c r="LDS46" s="225"/>
      <c r="LDT46" s="225"/>
      <c r="LDU46" s="225"/>
      <c r="LDV46" s="225"/>
      <c r="LDW46" s="225"/>
      <c r="LDX46" s="225"/>
      <c r="LDY46" s="225"/>
      <c r="LDZ46" s="225"/>
      <c r="LEA46" s="225"/>
      <c r="LEB46" s="225"/>
      <c r="LEC46" s="225"/>
      <c r="LED46" s="225"/>
      <c r="LEE46" s="225"/>
      <c r="LEF46" s="225"/>
      <c r="LEG46" s="225"/>
      <c r="LEH46" s="225"/>
      <c r="LEI46" s="225"/>
      <c r="LEJ46" s="225"/>
      <c r="LEK46" s="225"/>
      <c r="LEL46" s="225"/>
      <c r="LEM46" s="225"/>
      <c r="LEN46" s="225"/>
      <c r="LEO46" s="225"/>
      <c r="LEP46" s="225"/>
      <c r="LEQ46" s="225"/>
      <c r="LER46" s="225"/>
      <c r="LES46" s="225"/>
      <c r="LET46" s="225"/>
      <c r="LEU46" s="225"/>
      <c r="LEV46" s="225"/>
      <c r="LEW46" s="225"/>
      <c r="LEX46" s="225"/>
      <c r="LEY46" s="225"/>
      <c r="LEZ46" s="225"/>
      <c r="LFA46" s="225"/>
      <c r="LFB46" s="225"/>
      <c r="LFC46" s="225"/>
      <c r="LFD46" s="225"/>
      <c r="LFE46" s="225"/>
      <c r="LFF46" s="225"/>
      <c r="LFG46" s="225"/>
      <c r="LFH46" s="225"/>
      <c r="LFI46" s="225"/>
      <c r="LFJ46" s="225"/>
      <c r="LFK46" s="225"/>
      <c r="LFL46" s="225"/>
      <c r="LFM46" s="225"/>
      <c r="LFN46" s="225"/>
      <c r="LFO46" s="225"/>
      <c r="LFP46" s="225"/>
      <c r="LFQ46" s="225"/>
      <c r="LFR46" s="225"/>
      <c r="LFS46" s="225"/>
      <c r="LFT46" s="225"/>
      <c r="LFU46" s="225"/>
      <c r="LFV46" s="225"/>
      <c r="LFW46" s="225"/>
      <c r="LFX46" s="225"/>
      <c r="LFY46" s="225"/>
      <c r="LFZ46" s="225"/>
      <c r="LGA46" s="225"/>
      <c r="LGB46" s="225"/>
      <c r="LGC46" s="225"/>
      <c r="LGD46" s="225"/>
      <c r="LGE46" s="225"/>
      <c r="LGF46" s="225"/>
      <c r="LGG46" s="225"/>
      <c r="LGH46" s="225"/>
      <c r="LGI46" s="225"/>
      <c r="LGJ46" s="225"/>
      <c r="LGK46" s="225"/>
      <c r="LGL46" s="225"/>
      <c r="LGM46" s="225"/>
      <c r="LGN46" s="225"/>
      <c r="LGO46" s="225"/>
      <c r="LGP46" s="225"/>
      <c r="LGQ46" s="225"/>
      <c r="LGR46" s="225"/>
      <c r="LGS46" s="225"/>
      <c r="LGT46" s="225"/>
      <c r="LGU46" s="225"/>
      <c r="LGV46" s="225"/>
      <c r="LGW46" s="225"/>
      <c r="LGX46" s="225"/>
      <c r="LGY46" s="225"/>
      <c r="LGZ46" s="225"/>
      <c r="LHA46" s="225"/>
      <c r="LHB46" s="225"/>
      <c r="LHC46" s="225"/>
      <c r="LHD46" s="225"/>
      <c r="LHE46" s="225"/>
      <c r="LHF46" s="225"/>
      <c r="LHG46" s="225"/>
      <c r="LHH46" s="225"/>
      <c r="LHI46" s="225"/>
      <c r="LHJ46" s="225"/>
      <c r="LHK46" s="225"/>
      <c r="LHL46" s="225"/>
      <c r="LHM46" s="225"/>
      <c r="LHN46" s="225"/>
      <c r="LHO46" s="225"/>
      <c r="LHP46" s="225"/>
      <c r="LHQ46" s="225"/>
      <c r="LHR46" s="225"/>
      <c r="LHS46" s="225"/>
      <c r="LHT46" s="225"/>
      <c r="LHU46" s="225"/>
      <c r="LHV46" s="225"/>
      <c r="LHW46" s="225"/>
      <c r="LHX46" s="225"/>
      <c r="LHY46" s="225"/>
      <c r="LHZ46" s="225"/>
      <c r="LIA46" s="225"/>
      <c r="LIB46" s="225"/>
      <c r="LIC46" s="225"/>
      <c r="LID46" s="225"/>
      <c r="LIE46" s="225"/>
      <c r="LIF46" s="225"/>
      <c r="LIG46" s="225"/>
      <c r="LIH46" s="225"/>
      <c r="LII46" s="225"/>
      <c r="LIJ46" s="225"/>
      <c r="LIK46" s="225"/>
      <c r="LIL46" s="225"/>
      <c r="LIM46" s="225"/>
      <c r="LIN46" s="225"/>
      <c r="LIO46" s="225"/>
      <c r="LIP46" s="225"/>
      <c r="LIQ46" s="225"/>
      <c r="LIR46" s="225"/>
      <c r="LIS46" s="225"/>
      <c r="LIT46" s="225"/>
      <c r="LIU46" s="225"/>
      <c r="LIV46" s="225"/>
      <c r="LIW46" s="225"/>
      <c r="LIX46" s="225"/>
      <c r="LIY46" s="225"/>
      <c r="LIZ46" s="225"/>
      <c r="LJA46" s="225"/>
      <c r="LJB46" s="225"/>
      <c r="LJC46" s="225"/>
      <c r="LJD46" s="225"/>
      <c r="LJE46" s="225"/>
      <c r="LJF46" s="225"/>
      <c r="LJG46" s="225"/>
      <c r="LJH46" s="225"/>
      <c r="LJI46" s="225"/>
      <c r="LJJ46" s="225"/>
      <c r="LJK46" s="225"/>
      <c r="LJL46" s="225"/>
      <c r="LJM46" s="225"/>
      <c r="LJN46" s="225"/>
      <c r="LJO46" s="225"/>
      <c r="LJP46" s="225"/>
      <c r="LJQ46" s="225"/>
      <c r="LJR46" s="225"/>
      <c r="LJS46" s="225"/>
      <c r="LJT46" s="225"/>
      <c r="LJU46" s="225"/>
      <c r="LJV46" s="225"/>
      <c r="LJW46" s="225"/>
      <c r="LJX46" s="225"/>
      <c r="LJY46" s="225"/>
      <c r="LJZ46" s="225"/>
      <c r="LKA46" s="225"/>
      <c r="LKB46" s="225"/>
      <c r="LKC46" s="225"/>
      <c r="LKD46" s="225"/>
      <c r="LKE46" s="225"/>
      <c r="LKF46" s="225"/>
      <c r="LKG46" s="225"/>
      <c r="LKH46" s="225"/>
      <c r="LKI46" s="225"/>
      <c r="LKJ46" s="225"/>
      <c r="LKK46" s="225"/>
      <c r="LKL46" s="225"/>
      <c r="LKM46" s="225"/>
      <c r="LKN46" s="225"/>
      <c r="LKO46" s="225"/>
      <c r="LKP46" s="225"/>
      <c r="LKQ46" s="225"/>
      <c r="LKR46" s="225"/>
      <c r="LKS46" s="225"/>
      <c r="LKT46" s="225"/>
      <c r="LKU46" s="225"/>
      <c r="LKV46" s="225"/>
      <c r="LKW46" s="225"/>
      <c r="LKX46" s="225"/>
      <c r="LKY46" s="225"/>
      <c r="LKZ46" s="225"/>
      <c r="LLA46" s="225"/>
      <c r="LLB46" s="225"/>
      <c r="LLC46" s="225"/>
      <c r="LLD46" s="225"/>
      <c r="LLE46" s="225"/>
      <c r="LLF46" s="225"/>
      <c r="LLG46" s="225"/>
      <c r="LLH46" s="225"/>
      <c r="LLI46" s="225"/>
      <c r="LLJ46" s="225"/>
      <c r="LLK46" s="225"/>
      <c r="LLL46" s="225"/>
      <c r="LLM46" s="225"/>
      <c r="LLN46" s="225"/>
      <c r="LLO46" s="225"/>
      <c r="LLP46" s="225"/>
      <c r="LLQ46" s="225"/>
      <c r="LLR46" s="225"/>
      <c r="LLS46" s="225"/>
      <c r="LLT46" s="225"/>
      <c r="LLU46" s="225"/>
      <c r="LLV46" s="225"/>
      <c r="LLW46" s="225"/>
      <c r="LLX46" s="225"/>
      <c r="LLY46" s="225"/>
      <c r="LLZ46" s="225"/>
      <c r="LMA46" s="225"/>
      <c r="LMB46" s="225"/>
      <c r="LMC46" s="225"/>
      <c r="LMD46" s="225"/>
      <c r="LME46" s="225"/>
      <c r="LMF46" s="225"/>
      <c r="LMG46" s="225"/>
      <c r="LMH46" s="225"/>
      <c r="LMI46" s="225"/>
      <c r="LMJ46" s="225"/>
      <c r="LMK46" s="225"/>
      <c r="LML46" s="225"/>
      <c r="LMM46" s="225"/>
      <c r="LMN46" s="225"/>
      <c r="LMO46" s="225"/>
      <c r="LMP46" s="225"/>
      <c r="LMQ46" s="225"/>
      <c r="LMR46" s="225"/>
      <c r="LMS46" s="225"/>
      <c r="LMT46" s="225"/>
      <c r="LMU46" s="225"/>
      <c r="LMV46" s="225"/>
      <c r="LMW46" s="225"/>
      <c r="LMX46" s="225"/>
      <c r="LMY46" s="225"/>
      <c r="LMZ46" s="225"/>
      <c r="LNA46" s="225"/>
      <c r="LNB46" s="225"/>
      <c r="LNC46" s="225"/>
      <c r="LND46" s="225"/>
      <c r="LNE46" s="225"/>
      <c r="LNF46" s="225"/>
      <c r="LNG46" s="225"/>
      <c r="LNH46" s="225"/>
      <c r="LNI46" s="225"/>
      <c r="LNJ46" s="225"/>
      <c r="LNK46" s="225"/>
      <c r="LNL46" s="225"/>
      <c r="LNM46" s="225"/>
      <c r="LNN46" s="225"/>
      <c r="LNO46" s="225"/>
      <c r="LNP46" s="225"/>
      <c r="LNQ46" s="225"/>
      <c r="LNR46" s="225"/>
      <c r="LNS46" s="225"/>
      <c r="LNT46" s="225"/>
      <c r="LNU46" s="225"/>
      <c r="LNV46" s="225"/>
      <c r="LNW46" s="225"/>
      <c r="LNX46" s="225"/>
      <c r="LNY46" s="225"/>
      <c r="LNZ46" s="225"/>
      <c r="LOA46" s="225"/>
      <c r="LOB46" s="225"/>
      <c r="LOC46" s="225"/>
      <c r="LOD46" s="225"/>
      <c r="LOE46" s="225"/>
      <c r="LOF46" s="225"/>
      <c r="LOG46" s="225"/>
      <c r="LOH46" s="225"/>
      <c r="LOI46" s="225"/>
      <c r="LOJ46" s="225"/>
      <c r="LOK46" s="225"/>
      <c r="LOL46" s="225"/>
      <c r="LOM46" s="225"/>
      <c r="LON46" s="225"/>
      <c r="LOO46" s="225"/>
      <c r="LOP46" s="225"/>
      <c r="LOQ46" s="225"/>
      <c r="LOR46" s="225"/>
      <c r="LOS46" s="225"/>
      <c r="LOT46" s="225"/>
      <c r="LOU46" s="225"/>
      <c r="LOV46" s="225"/>
      <c r="LOW46" s="225"/>
      <c r="LOX46" s="225"/>
      <c r="LOY46" s="225"/>
      <c r="LOZ46" s="225"/>
      <c r="LPA46" s="225"/>
      <c r="LPB46" s="225"/>
      <c r="LPC46" s="225"/>
      <c r="LPD46" s="225"/>
      <c r="LPE46" s="225"/>
      <c r="LPF46" s="225"/>
      <c r="LPG46" s="225"/>
      <c r="LPH46" s="225"/>
      <c r="LPI46" s="225"/>
      <c r="LPJ46" s="225"/>
      <c r="LPK46" s="225"/>
      <c r="LPL46" s="225"/>
      <c r="LPM46" s="225"/>
      <c r="LPN46" s="225"/>
      <c r="LPO46" s="225"/>
      <c r="LPP46" s="225"/>
      <c r="LPQ46" s="225"/>
      <c r="LPR46" s="225"/>
      <c r="LPS46" s="225"/>
      <c r="LPT46" s="225"/>
      <c r="LPU46" s="225"/>
      <c r="LPV46" s="225"/>
      <c r="LPW46" s="225"/>
      <c r="LPX46" s="225"/>
      <c r="LPY46" s="225"/>
      <c r="LPZ46" s="225"/>
      <c r="LQA46" s="225"/>
      <c r="LQB46" s="225"/>
      <c r="LQC46" s="225"/>
      <c r="LQD46" s="225"/>
      <c r="LQE46" s="225"/>
      <c r="LQF46" s="225"/>
      <c r="LQG46" s="225"/>
      <c r="LQH46" s="225"/>
      <c r="LQI46" s="225"/>
      <c r="LQJ46" s="225"/>
      <c r="LQK46" s="225"/>
      <c r="LQL46" s="225"/>
      <c r="LQM46" s="225"/>
      <c r="LQN46" s="225"/>
      <c r="LQO46" s="225"/>
      <c r="LQP46" s="225"/>
      <c r="LQQ46" s="225"/>
      <c r="LQR46" s="225"/>
      <c r="LQS46" s="225"/>
      <c r="LQT46" s="225"/>
      <c r="LQU46" s="225"/>
      <c r="LQV46" s="225"/>
      <c r="LQW46" s="225"/>
      <c r="LQX46" s="225"/>
      <c r="LQY46" s="225"/>
      <c r="LQZ46" s="225"/>
      <c r="LRA46" s="225"/>
      <c r="LRB46" s="225"/>
      <c r="LRC46" s="225"/>
      <c r="LRD46" s="225"/>
      <c r="LRE46" s="225"/>
      <c r="LRF46" s="225"/>
      <c r="LRG46" s="225"/>
      <c r="LRH46" s="225"/>
      <c r="LRI46" s="225"/>
      <c r="LRJ46" s="225"/>
      <c r="LRK46" s="225"/>
      <c r="LRL46" s="225"/>
      <c r="LRM46" s="225"/>
      <c r="LRN46" s="225"/>
      <c r="LRO46" s="225"/>
      <c r="LRP46" s="225"/>
      <c r="LRQ46" s="225"/>
      <c r="LRR46" s="225"/>
      <c r="LRS46" s="225"/>
      <c r="LRT46" s="225"/>
      <c r="LRU46" s="225"/>
      <c r="LRV46" s="225"/>
      <c r="LRW46" s="225"/>
      <c r="LRX46" s="225"/>
      <c r="LRY46" s="225"/>
      <c r="LRZ46" s="225"/>
      <c r="LSA46" s="225"/>
      <c r="LSB46" s="225"/>
      <c r="LSC46" s="225"/>
      <c r="LSD46" s="225"/>
      <c r="LSE46" s="225"/>
      <c r="LSF46" s="225"/>
      <c r="LSG46" s="225"/>
      <c r="LSH46" s="225"/>
      <c r="LSI46" s="225"/>
      <c r="LSJ46" s="225"/>
      <c r="LSK46" s="225"/>
      <c r="LSL46" s="225"/>
      <c r="LSM46" s="225"/>
      <c r="LSN46" s="225"/>
      <c r="LSO46" s="225"/>
      <c r="LSP46" s="225"/>
      <c r="LSQ46" s="225"/>
      <c r="LSR46" s="225"/>
      <c r="LSS46" s="225"/>
      <c r="LST46" s="225"/>
      <c r="LSU46" s="225"/>
      <c r="LSV46" s="225"/>
      <c r="LSW46" s="225"/>
      <c r="LSX46" s="225"/>
      <c r="LSY46" s="225"/>
      <c r="LSZ46" s="225"/>
      <c r="LTA46" s="225"/>
      <c r="LTB46" s="225"/>
      <c r="LTC46" s="225"/>
      <c r="LTD46" s="225"/>
      <c r="LTE46" s="225"/>
      <c r="LTF46" s="225"/>
      <c r="LTG46" s="225"/>
      <c r="LTH46" s="225"/>
      <c r="LTI46" s="225"/>
      <c r="LTJ46" s="225"/>
      <c r="LTK46" s="225"/>
      <c r="LTL46" s="225"/>
      <c r="LTM46" s="225"/>
      <c r="LTN46" s="225"/>
      <c r="LTO46" s="225"/>
      <c r="LTP46" s="225"/>
      <c r="LTQ46" s="225"/>
      <c r="LTR46" s="225"/>
      <c r="LTS46" s="225"/>
      <c r="LTT46" s="225"/>
      <c r="LTU46" s="225"/>
      <c r="LTV46" s="225"/>
      <c r="LTW46" s="225"/>
      <c r="LTX46" s="225"/>
      <c r="LTY46" s="225"/>
      <c r="LTZ46" s="225"/>
      <c r="LUA46" s="225"/>
      <c r="LUB46" s="225"/>
      <c r="LUC46" s="225"/>
      <c r="LUD46" s="225"/>
      <c r="LUE46" s="225"/>
      <c r="LUF46" s="225"/>
      <c r="LUG46" s="225"/>
      <c r="LUH46" s="225"/>
      <c r="LUI46" s="225"/>
      <c r="LUJ46" s="225"/>
      <c r="LUK46" s="225"/>
      <c r="LUL46" s="225"/>
      <c r="LUM46" s="225"/>
      <c r="LUN46" s="225"/>
      <c r="LUO46" s="225"/>
      <c r="LUP46" s="225"/>
      <c r="LUQ46" s="225"/>
      <c r="LUR46" s="225"/>
      <c r="LUS46" s="225"/>
      <c r="LUT46" s="225"/>
      <c r="LUU46" s="225"/>
      <c r="LUV46" s="225"/>
      <c r="LUW46" s="225"/>
      <c r="LUX46" s="225"/>
      <c r="LUY46" s="225"/>
      <c r="LUZ46" s="225"/>
      <c r="LVA46" s="225"/>
      <c r="LVB46" s="225"/>
      <c r="LVC46" s="225"/>
      <c r="LVD46" s="225"/>
      <c r="LVE46" s="225"/>
      <c r="LVF46" s="225"/>
      <c r="LVG46" s="225"/>
      <c r="LVH46" s="225"/>
      <c r="LVI46" s="225"/>
      <c r="LVJ46" s="225"/>
      <c r="LVK46" s="225"/>
      <c r="LVL46" s="225"/>
      <c r="LVM46" s="225"/>
      <c r="LVN46" s="225"/>
      <c r="LVO46" s="225"/>
      <c r="LVP46" s="225"/>
      <c r="LVQ46" s="225"/>
      <c r="LVR46" s="225"/>
      <c r="LVS46" s="225"/>
      <c r="LVT46" s="225"/>
      <c r="LVU46" s="225"/>
      <c r="LVV46" s="225"/>
      <c r="LVW46" s="225"/>
      <c r="LVX46" s="225"/>
      <c r="LVY46" s="225"/>
      <c r="LVZ46" s="225"/>
      <c r="LWA46" s="225"/>
      <c r="LWB46" s="225"/>
      <c r="LWC46" s="225"/>
      <c r="LWD46" s="225"/>
      <c r="LWE46" s="225"/>
      <c r="LWF46" s="225"/>
      <c r="LWG46" s="225"/>
      <c r="LWH46" s="225"/>
      <c r="LWI46" s="225"/>
      <c r="LWJ46" s="225"/>
      <c r="LWK46" s="225"/>
      <c r="LWL46" s="225"/>
      <c r="LWM46" s="225"/>
      <c r="LWN46" s="225"/>
      <c r="LWO46" s="225"/>
      <c r="LWP46" s="225"/>
      <c r="LWQ46" s="225"/>
      <c r="LWR46" s="225"/>
      <c r="LWS46" s="225"/>
      <c r="LWT46" s="225"/>
      <c r="LWU46" s="225"/>
      <c r="LWV46" s="225"/>
      <c r="LWW46" s="225"/>
      <c r="LWX46" s="225"/>
      <c r="LWY46" s="225"/>
      <c r="LWZ46" s="225"/>
      <c r="LXA46" s="225"/>
      <c r="LXB46" s="225"/>
      <c r="LXC46" s="225"/>
      <c r="LXD46" s="225"/>
      <c r="LXE46" s="225"/>
      <c r="LXF46" s="225"/>
      <c r="LXG46" s="225"/>
      <c r="LXH46" s="225"/>
      <c r="LXI46" s="225"/>
      <c r="LXJ46" s="225"/>
      <c r="LXK46" s="225"/>
      <c r="LXL46" s="225"/>
      <c r="LXM46" s="225"/>
      <c r="LXN46" s="225"/>
      <c r="LXO46" s="225"/>
      <c r="LXP46" s="225"/>
      <c r="LXQ46" s="225"/>
      <c r="LXR46" s="225"/>
      <c r="LXS46" s="225"/>
      <c r="LXT46" s="225"/>
      <c r="LXU46" s="225"/>
      <c r="LXV46" s="225"/>
      <c r="LXW46" s="225"/>
      <c r="LXX46" s="225"/>
      <c r="LXY46" s="225"/>
      <c r="LXZ46" s="225"/>
      <c r="LYA46" s="225"/>
      <c r="LYB46" s="225"/>
      <c r="LYC46" s="225"/>
      <c r="LYD46" s="225"/>
      <c r="LYE46" s="225"/>
      <c r="LYF46" s="225"/>
      <c r="LYG46" s="225"/>
      <c r="LYH46" s="225"/>
      <c r="LYI46" s="225"/>
      <c r="LYJ46" s="225"/>
      <c r="LYK46" s="225"/>
      <c r="LYL46" s="225"/>
      <c r="LYM46" s="225"/>
      <c r="LYN46" s="225"/>
      <c r="LYO46" s="225"/>
      <c r="LYP46" s="225"/>
      <c r="LYQ46" s="225"/>
      <c r="LYR46" s="225"/>
      <c r="LYS46" s="225"/>
      <c r="LYT46" s="225"/>
      <c r="LYU46" s="225"/>
      <c r="LYV46" s="225"/>
      <c r="LYW46" s="225"/>
      <c r="LYX46" s="225"/>
      <c r="LYY46" s="225"/>
      <c r="LYZ46" s="225"/>
      <c r="LZA46" s="225"/>
      <c r="LZB46" s="225"/>
      <c r="LZC46" s="225"/>
      <c r="LZD46" s="225"/>
      <c r="LZE46" s="225"/>
      <c r="LZF46" s="225"/>
      <c r="LZG46" s="225"/>
      <c r="LZH46" s="225"/>
      <c r="LZI46" s="225"/>
      <c r="LZJ46" s="225"/>
      <c r="LZK46" s="225"/>
      <c r="LZL46" s="225"/>
      <c r="LZM46" s="225"/>
      <c r="LZN46" s="225"/>
      <c r="LZO46" s="225"/>
      <c r="LZP46" s="225"/>
      <c r="LZQ46" s="225"/>
      <c r="LZR46" s="225"/>
      <c r="LZS46" s="225"/>
      <c r="LZT46" s="225"/>
      <c r="LZU46" s="225"/>
      <c r="LZV46" s="225"/>
      <c r="LZW46" s="225"/>
      <c r="LZX46" s="225"/>
      <c r="LZY46" s="225"/>
      <c r="LZZ46" s="225"/>
      <c r="MAA46" s="225"/>
      <c r="MAB46" s="225"/>
      <c r="MAC46" s="225"/>
      <c r="MAD46" s="225"/>
      <c r="MAE46" s="225"/>
      <c r="MAF46" s="225"/>
      <c r="MAG46" s="225"/>
      <c r="MAH46" s="225"/>
      <c r="MAI46" s="225"/>
      <c r="MAJ46" s="225"/>
      <c r="MAK46" s="225"/>
      <c r="MAL46" s="225"/>
      <c r="MAM46" s="225"/>
      <c r="MAN46" s="225"/>
      <c r="MAO46" s="225"/>
      <c r="MAP46" s="225"/>
      <c r="MAQ46" s="225"/>
      <c r="MAR46" s="225"/>
      <c r="MAS46" s="225"/>
      <c r="MAT46" s="225"/>
      <c r="MAU46" s="225"/>
      <c r="MAV46" s="225"/>
      <c r="MAW46" s="225"/>
      <c r="MAX46" s="225"/>
      <c r="MAY46" s="225"/>
      <c r="MAZ46" s="225"/>
      <c r="MBA46" s="225"/>
      <c r="MBB46" s="225"/>
      <c r="MBC46" s="225"/>
      <c r="MBD46" s="225"/>
      <c r="MBE46" s="225"/>
      <c r="MBF46" s="225"/>
      <c r="MBG46" s="225"/>
      <c r="MBH46" s="225"/>
      <c r="MBI46" s="225"/>
      <c r="MBJ46" s="225"/>
      <c r="MBK46" s="225"/>
      <c r="MBL46" s="225"/>
      <c r="MBM46" s="225"/>
      <c r="MBN46" s="225"/>
      <c r="MBO46" s="225"/>
      <c r="MBP46" s="225"/>
      <c r="MBQ46" s="225"/>
      <c r="MBR46" s="225"/>
      <c r="MBS46" s="225"/>
      <c r="MBT46" s="225"/>
      <c r="MBU46" s="225"/>
      <c r="MBV46" s="225"/>
      <c r="MBW46" s="225"/>
      <c r="MBX46" s="225"/>
      <c r="MBY46" s="225"/>
      <c r="MBZ46" s="225"/>
      <c r="MCA46" s="225"/>
      <c r="MCB46" s="225"/>
      <c r="MCC46" s="225"/>
      <c r="MCD46" s="225"/>
      <c r="MCE46" s="225"/>
      <c r="MCF46" s="225"/>
      <c r="MCG46" s="225"/>
      <c r="MCH46" s="225"/>
      <c r="MCI46" s="225"/>
      <c r="MCJ46" s="225"/>
      <c r="MCK46" s="225"/>
      <c r="MCL46" s="225"/>
      <c r="MCM46" s="225"/>
      <c r="MCN46" s="225"/>
      <c r="MCO46" s="225"/>
      <c r="MCP46" s="225"/>
      <c r="MCQ46" s="225"/>
      <c r="MCR46" s="225"/>
      <c r="MCS46" s="225"/>
      <c r="MCT46" s="225"/>
      <c r="MCU46" s="225"/>
      <c r="MCV46" s="225"/>
      <c r="MCW46" s="225"/>
      <c r="MCX46" s="225"/>
      <c r="MCY46" s="225"/>
      <c r="MCZ46" s="225"/>
      <c r="MDA46" s="225"/>
      <c r="MDB46" s="225"/>
      <c r="MDC46" s="225"/>
      <c r="MDD46" s="225"/>
      <c r="MDE46" s="225"/>
      <c r="MDF46" s="225"/>
      <c r="MDG46" s="225"/>
      <c r="MDH46" s="225"/>
      <c r="MDI46" s="225"/>
      <c r="MDJ46" s="225"/>
      <c r="MDK46" s="225"/>
      <c r="MDL46" s="225"/>
      <c r="MDM46" s="225"/>
      <c r="MDN46" s="225"/>
      <c r="MDO46" s="225"/>
      <c r="MDP46" s="225"/>
      <c r="MDQ46" s="225"/>
      <c r="MDR46" s="225"/>
      <c r="MDS46" s="225"/>
      <c r="MDT46" s="225"/>
      <c r="MDU46" s="225"/>
      <c r="MDV46" s="225"/>
      <c r="MDW46" s="225"/>
      <c r="MDX46" s="225"/>
      <c r="MDY46" s="225"/>
      <c r="MDZ46" s="225"/>
      <c r="MEA46" s="225"/>
      <c r="MEB46" s="225"/>
      <c r="MEC46" s="225"/>
      <c r="MED46" s="225"/>
      <c r="MEE46" s="225"/>
      <c r="MEF46" s="225"/>
      <c r="MEG46" s="225"/>
      <c r="MEH46" s="225"/>
      <c r="MEI46" s="225"/>
      <c r="MEJ46" s="225"/>
      <c r="MEK46" s="225"/>
      <c r="MEL46" s="225"/>
      <c r="MEM46" s="225"/>
      <c r="MEN46" s="225"/>
      <c r="MEO46" s="225"/>
      <c r="MEP46" s="225"/>
      <c r="MEQ46" s="225"/>
      <c r="MER46" s="225"/>
      <c r="MES46" s="225"/>
      <c r="MET46" s="225"/>
      <c r="MEU46" s="225"/>
      <c r="MEV46" s="225"/>
      <c r="MEW46" s="225"/>
      <c r="MEX46" s="225"/>
      <c r="MEY46" s="225"/>
      <c r="MEZ46" s="225"/>
      <c r="MFA46" s="225"/>
      <c r="MFB46" s="225"/>
      <c r="MFC46" s="225"/>
      <c r="MFD46" s="225"/>
      <c r="MFE46" s="225"/>
      <c r="MFF46" s="225"/>
      <c r="MFG46" s="225"/>
      <c r="MFH46" s="225"/>
      <c r="MFI46" s="225"/>
      <c r="MFJ46" s="225"/>
      <c r="MFK46" s="225"/>
      <c r="MFL46" s="225"/>
      <c r="MFM46" s="225"/>
      <c r="MFN46" s="225"/>
      <c r="MFO46" s="225"/>
      <c r="MFP46" s="225"/>
      <c r="MFQ46" s="225"/>
      <c r="MFR46" s="225"/>
      <c r="MFS46" s="225"/>
      <c r="MFT46" s="225"/>
      <c r="MFU46" s="225"/>
      <c r="MFV46" s="225"/>
      <c r="MFW46" s="225"/>
      <c r="MFX46" s="225"/>
      <c r="MFY46" s="225"/>
      <c r="MFZ46" s="225"/>
      <c r="MGA46" s="225"/>
      <c r="MGB46" s="225"/>
      <c r="MGC46" s="225"/>
      <c r="MGD46" s="225"/>
      <c r="MGE46" s="225"/>
      <c r="MGF46" s="225"/>
      <c r="MGG46" s="225"/>
      <c r="MGH46" s="225"/>
      <c r="MGI46" s="225"/>
      <c r="MGJ46" s="225"/>
      <c r="MGK46" s="225"/>
      <c r="MGL46" s="225"/>
      <c r="MGM46" s="225"/>
      <c r="MGN46" s="225"/>
      <c r="MGO46" s="225"/>
      <c r="MGP46" s="225"/>
      <c r="MGQ46" s="225"/>
      <c r="MGR46" s="225"/>
      <c r="MGS46" s="225"/>
      <c r="MGT46" s="225"/>
      <c r="MGU46" s="225"/>
      <c r="MGV46" s="225"/>
      <c r="MGW46" s="225"/>
      <c r="MGX46" s="225"/>
      <c r="MGY46" s="225"/>
      <c r="MGZ46" s="225"/>
      <c r="MHA46" s="225"/>
      <c r="MHB46" s="225"/>
      <c r="MHC46" s="225"/>
      <c r="MHD46" s="225"/>
      <c r="MHE46" s="225"/>
      <c r="MHF46" s="225"/>
      <c r="MHG46" s="225"/>
      <c r="MHH46" s="225"/>
      <c r="MHI46" s="225"/>
      <c r="MHJ46" s="225"/>
      <c r="MHK46" s="225"/>
      <c r="MHL46" s="225"/>
      <c r="MHM46" s="225"/>
      <c r="MHN46" s="225"/>
      <c r="MHO46" s="225"/>
      <c r="MHP46" s="225"/>
      <c r="MHQ46" s="225"/>
      <c r="MHR46" s="225"/>
      <c r="MHS46" s="225"/>
      <c r="MHT46" s="225"/>
      <c r="MHU46" s="225"/>
      <c r="MHV46" s="225"/>
      <c r="MHW46" s="225"/>
      <c r="MHX46" s="225"/>
      <c r="MHY46" s="225"/>
      <c r="MHZ46" s="225"/>
      <c r="MIA46" s="225"/>
      <c r="MIB46" s="225"/>
      <c r="MIC46" s="225"/>
      <c r="MID46" s="225"/>
      <c r="MIE46" s="225"/>
      <c r="MIF46" s="225"/>
      <c r="MIG46" s="225"/>
      <c r="MIH46" s="225"/>
      <c r="MII46" s="225"/>
      <c r="MIJ46" s="225"/>
      <c r="MIK46" s="225"/>
      <c r="MIL46" s="225"/>
      <c r="MIM46" s="225"/>
      <c r="MIN46" s="225"/>
      <c r="MIO46" s="225"/>
      <c r="MIP46" s="225"/>
      <c r="MIQ46" s="225"/>
      <c r="MIR46" s="225"/>
      <c r="MIS46" s="225"/>
      <c r="MIT46" s="225"/>
      <c r="MIU46" s="225"/>
      <c r="MIV46" s="225"/>
      <c r="MIW46" s="225"/>
      <c r="MIX46" s="225"/>
      <c r="MIY46" s="225"/>
      <c r="MIZ46" s="225"/>
      <c r="MJA46" s="225"/>
      <c r="MJB46" s="225"/>
      <c r="MJC46" s="225"/>
      <c r="MJD46" s="225"/>
      <c r="MJE46" s="225"/>
      <c r="MJF46" s="225"/>
      <c r="MJG46" s="225"/>
      <c r="MJH46" s="225"/>
      <c r="MJI46" s="225"/>
      <c r="MJJ46" s="225"/>
      <c r="MJK46" s="225"/>
      <c r="MJL46" s="225"/>
      <c r="MJM46" s="225"/>
      <c r="MJN46" s="225"/>
      <c r="MJO46" s="225"/>
      <c r="MJP46" s="225"/>
      <c r="MJQ46" s="225"/>
      <c r="MJR46" s="225"/>
      <c r="MJS46" s="225"/>
      <c r="MJT46" s="225"/>
      <c r="MJU46" s="225"/>
      <c r="MJV46" s="225"/>
      <c r="MJW46" s="225"/>
      <c r="MJX46" s="225"/>
      <c r="MJY46" s="225"/>
      <c r="MJZ46" s="225"/>
      <c r="MKA46" s="225"/>
      <c r="MKB46" s="225"/>
      <c r="MKC46" s="225"/>
      <c r="MKD46" s="225"/>
      <c r="MKE46" s="225"/>
      <c r="MKF46" s="225"/>
      <c r="MKG46" s="225"/>
      <c r="MKH46" s="225"/>
      <c r="MKI46" s="225"/>
      <c r="MKJ46" s="225"/>
      <c r="MKK46" s="225"/>
      <c r="MKL46" s="225"/>
      <c r="MKM46" s="225"/>
      <c r="MKN46" s="225"/>
      <c r="MKO46" s="225"/>
      <c r="MKP46" s="225"/>
      <c r="MKQ46" s="225"/>
      <c r="MKR46" s="225"/>
      <c r="MKS46" s="225"/>
      <c r="MKT46" s="225"/>
      <c r="MKU46" s="225"/>
      <c r="MKV46" s="225"/>
      <c r="MKW46" s="225"/>
      <c r="MKX46" s="225"/>
      <c r="MKY46" s="225"/>
      <c r="MKZ46" s="225"/>
      <c r="MLA46" s="225"/>
      <c r="MLB46" s="225"/>
      <c r="MLC46" s="225"/>
      <c r="MLD46" s="225"/>
      <c r="MLE46" s="225"/>
      <c r="MLF46" s="225"/>
      <c r="MLG46" s="225"/>
      <c r="MLH46" s="225"/>
      <c r="MLI46" s="225"/>
      <c r="MLJ46" s="225"/>
      <c r="MLK46" s="225"/>
      <c r="MLL46" s="225"/>
      <c r="MLM46" s="225"/>
      <c r="MLN46" s="225"/>
      <c r="MLO46" s="225"/>
      <c r="MLP46" s="225"/>
      <c r="MLQ46" s="225"/>
      <c r="MLR46" s="225"/>
      <c r="MLS46" s="225"/>
      <c r="MLT46" s="225"/>
      <c r="MLU46" s="225"/>
      <c r="MLV46" s="225"/>
      <c r="MLW46" s="225"/>
      <c r="MLX46" s="225"/>
      <c r="MLY46" s="225"/>
      <c r="MLZ46" s="225"/>
      <c r="MMA46" s="225"/>
      <c r="MMB46" s="225"/>
      <c r="MMC46" s="225"/>
      <c r="MMD46" s="225"/>
      <c r="MME46" s="225"/>
      <c r="MMF46" s="225"/>
      <c r="MMG46" s="225"/>
      <c r="MMH46" s="225"/>
      <c r="MMI46" s="225"/>
      <c r="MMJ46" s="225"/>
      <c r="MMK46" s="225"/>
      <c r="MML46" s="225"/>
      <c r="MMM46" s="225"/>
      <c r="MMN46" s="225"/>
      <c r="MMO46" s="225"/>
      <c r="MMP46" s="225"/>
      <c r="MMQ46" s="225"/>
      <c r="MMR46" s="225"/>
      <c r="MMS46" s="225"/>
      <c r="MMT46" s="225"/>
      <c r="MMU46" s="225"/>
      <c r="MMV46" s="225"/>
      <c r="MMW46" s="225"/>
      <c r="MMX46" s="225"/>
      <c r="MMY46" s="225"/>
      <c r="MMZ46" s="225"/>
      <c r="MNA46" s="225"/>
      <c r="MNB46" s="225"/>
      <c r="MNC46" s="225"/>
      <c r="MND46" s="225"/>
      <c r="MNE46" s="225"/>
      <c r="MNF46" s="225"/>
      <c r="MNG46" s="225"/>
      <c r="MNH46" s="225"/>
      <c r="MNI46" s="225"/>
      <c r="MNJ46" s="225"/>
      <c r="MNK46" s="225"/>
      <c r="MNL46" s="225"/>
      <c r="MNM46" s="225"/>
      <c r="MNN46" s="225"/>
      <c r="MNO46" s="225"/>
      <c r="MNP46" s="225"/>
      <c r="MNQ46" s="225"/>
      <c r="MNR46" s="225"/>
      <c r="MNS46" s="225"/>
      <c r="MNT46" s="225"/>
      <c r="MNU46" s="225"/>
      <c r="MNV46" s="225"/>
      <c r="MNW46" s="225"/>
      <c r="MNX46" s="225"/>
      <c r="MNY46" s="225"/>
      <c r="MNZ46" s="225"/>
      <c r="MOA46" s="225"/>
      <c r="MOB46" s="225"/>
      <c r="MOC46" s="225"/>
      <c r="MOD46" s="225"/>
      <c r="MOE46" s="225"/>
      <c r="MOF46" s="225"/>
      <c r="MOG46" s="225"/>
      <c r="MOH46" s="225"/>
      <c r="MOI46" s="225"/>
      <c r="MOJ46" s="225"/>
      <c r="MOK46" s="225"/>
      <c r="MOL46" s="225"/>
      <c r="MOM46" s="225"/>
      <c r="MON46" s="225"/>
      <c r="MOO46" s="225"/>
      <c r="MOP46" s="225"/>
      <c r="MOQ46" s="225"/>
      <c r="MOR46" s="225"/>
      <c r="MOS46" s="225"/>
      <c r="MOT46" s="225"/>
      <c r="MOU46" s="225"/>
      <c r="MOV46" s="225"/>
      <c r="MOW46" s="225"/>
      <c r="MOX46" s="225"/>
      <c r="MOY46" s="225"/>
      <c r="MOZ46" s="225"/>
      <c r="MPA46" s="225"/>
      <c r="MPB46" s="225"/>
      <c r="MPC46" s="225"/>
      <c r="MPD46" s="225"/>
      <c r="MPE46" s="225"/>
      <c r="MPF46" s="225"/>
      <c r="MPG46" s="225"/>
      <c r="MPH46" s="225"/>
      <c r="MPI46" s="225"/>
      <c r="MPJ46" s="225"/>
      <c r="MPK46" s="225"/>
      <c r="MPL46" s="225"/>
      <c r="MPM46" s="225"/>
      <c r="MPN46" s="225"/>
      <c r="MPO46" s="225"/>
      <c r="MPP46" s="225"/>
      <c r="MPQ46" s="225"/>
      <c r="MPR46" s="225"/>
      <c r="MPS46" s="225"/>
      <c r="MPT46" s="225"/>
      <c r="MPU46" s="225"/>
      <c r="MPV46" s="225"/>
      <c r="MPW46" s="225"/>
      <c r="MPX46" s="225"/>
      <c r="MPY46" s="225"/>
      <c r="MPZ46" s="225"/>
      <c r="MQA46" s="225"/>
      <c r="MQB46" s="225"/>
      <c r="MQC46" s="225"/>
      <c r="MQD46" s="225"/>
      <c r="MQE46" s="225"/>
      <c r="MQF46" s="225"/>
      <c r="MQG46" s="225"/>
      <c r="MQH46" s="225"/>
      <c r="MQI46" s="225"/>
      <c r="MQJ46" s="225"/>
      <c r="MQK46" s="225"/>
      <c r="MQL46" s="225"/>
      <c r="MQM46" s="225"/>
      <c r="MQN46" s="225"/>
      <c r="MQO46" s="225"/>
      <c r="MQP46" s="225"/>
      <c r="MQQ46" s="225"/>
      <c r="MQR46" s="225"/>
      <c r="MQS46" s="225"/>
      <c r="MQT46" s="225"/>
      <c r="MQU46" s="225"/>
      <c r="MQV46" s="225"/>
      <c r="MQW46" s="225"/>
      <c r="MQX46" s="225"/>
      <c r="MQY46" s="225"/>
      <c r="MQZ46" s="225"/>
      <c r="MRA46" s="225"/>
      <c r="MRB46" s="225"/>
      <c r="MRC46" s="225"/>
      <c r="MRD46" s="225"/>
      <c r="MRE46" s="225"/>
      <c r="MRF46" s="225"/>
      <c r="MRG46" s="225"/>
      <c r="MRH46" s="225"/>
      <c r="MRI46" s="225"/>
      <c r="MRJ46" s="225"/>
      <c r="MRK46" s="225"/>
      <c r="MRL46" s="225"/>
      <c r="MRM46" s="225"/>
      <c r="MRN46" s="225"/>
      <c r="MRO46" s="225"/>
      <c r="MRP46" s="225"/>
      <c r="MRQ46" s="225"/>
      <c r="MRR46" s="225"/>
      <c r="MRS46" s="225"/>
      <c r="MRT46" s="225"/>
      <c r="MRU46" s="225"/>
      <c r="MRV46" s="225"/>
      <c r="MRW46" s="225"/>
      <c r="MRX46" s="225"/>
      <c r="MRY46" s="225"/>
      <c r="MRZ46" s="225"/>
      <c r="MSA46" s="225"/>
      <c r="MSB46" s="225"/>
      <c r="MSC46" s="225"/>
      <c r="MSD46" s="225"/>
      <c r="MSE46" s="225"/>
      <c r="MSF46" s="225"/>
      <c r="MSG46" s="225"/>
      <c r="MSH46" s="225"/>
      <c r="MSI46" s="225"/>
      <c r="MSJ46" s="225"/>
      <c r="MSK46" s="225"/>
      <c r="MSL46" s="225"/>
      <c r="MSM46" s="225"/>
      <c r="MSN46" s="225"/>
      <c r="MSO46" s="225"/>
      <c r="MSP46" s="225"/>
      <c r="MSQ46" s="225"/>
      <c r="MSR46" s="225"/>
      <c r="MSS46" s="225"/>
      <c r="MST46" s="225"/>
      <c r="MSU46" s="225"/>
      <c r="MSV46" s="225"/>
      <c r="MSW46" s="225"/>
      <c r="MSX46" s="225"/>
      <c r="MSY46" s="225"/>
      <c r="MSZ46" s="225"/>
      <c r="MTA46" s="225"/>
      <c r="MTB46" s="225"/>
      <c r="MTC46" s="225"/>
      <c r="MTD46" s="225"/>
      <c r="MTE46" s="225"/>
      <c r="MTF46" s="225"/>
      <c r="MTG46" s="225"/>
      <c r="MTH46" s="225"/>
      <c r="MTI46" s="225"/>
      <c r="MTJ46" s="225"/>
      <c r="MTK46" s="225"/>
      <c r="MTL46" s="225"/>
      <c r="MTM46" s="225"/>
      <c r="MTN46" s="225"/>
      <c r="MTO46" s="225"/>
      <c r="MTP46" s="225"/>
      <c r="MTQ46" s="225"/>
      <c r="MTR46" s="225"/>
      <c r="MTS46" s="225"/>
      <c r="MTT46" s="225"/>
      <c r="MTU46" s="225"/>
      <c r="MTV46" s="225"/>
      <c r="MTW46" s="225"/>
      <c r="MTX46" s="225"/>
      <c r="MTY46" s="225"/>
      <c r="MTZ46" s="225"/>
      <c r="MUA46" s="225"/>
      <c r="MUB46" s="225"/>
      <c r="MUC46" s="225"/>
      <c r="MUD46" s="225"/>
      <c r="MUE46" s="225"/>
      <c r="MUF46" s="225"/>
      <c r="MUG46" s="225"/>
      <c r="MUH46" s="225"/>
      <c r="MUI46" s="225"/>
      <c r="MUJ46" s="225"/>
      <c r="MUK46" s="225"/>
      <c r="MUL46" s="225"/>
      <c r="MUM46" s="225"/>
      <c r="MUN46" s="225"/>
      <c r="MUO46" s="225"/>
      <c r="MUP46" s="225"/>
      <c r="MUQ46" s="225"/>
      <c r="MUR46" s="225"/>
      <c r="MUS46" s="225"/>
      <c r="MUT46" s="225"/>
      <c r="MUU46" s="225"/>
      <c r="MUV46" s="225"/>
      <c r="MUW46" s="225"/>
      <c r="MUX46" s="225"/>
      <c r="MUY46" s="225"/>
      <c r="MUZ46" s="225"/>
      <c r="MVA46" s="225"/>
      <c r="MVB46" s="225"/>
      <c r="MVC46" s="225"/>
      <c r="MVD46" s="225"/>
      <c r="MVE46" s="225"/>
      <c r="MVF46" s="225"/>
      <c r="MVG46" s="225"/>
      <c r="MVH46" s="225"/>
      <c r="MVI46" s="225"/>
      <c r="MVJ46" s="225"/>
      <c r="MVK46" s="225"/>
      <c r="MVL46" s="225"/>
      <c r="MVM46" s="225"/>
      <c r="MVN46" s="225"/>
      <c r="MVO46" s="225"/>
      <c r="MVP46" s="225"/>
      <c r="MVQ46" s="225"/>
      <c r="MVR46" s="225"/>
      <c r="MVS46" s="225"/>
      <c r="MVT46" s="225"/>
      <c r="MVU46" s="225"/>
      <c r="MVV46" s="225"/>
      <c r="MVW46" s="225"/>
      <c r="MVX46" s="225"/>
      <c r="MVY46" s="225"/>
      <c r="MVZ46" s="225"/>
      <c r="MWA46" s="225"/>
      <c r="MWB46" s="225"/>
      <c r="MWC46" s="225"/>
      <c r="MWD46" s="225"/>
      <c r="MWE46" s="225"/>
      <c r="MWF46" s="225"/>
      <c r="MWG46" s="225"/>
      <c r="MWH46" s="225"/>
      <c r="MWI46" s="225"/>
      <c r="MWJ46" s="225"/>
      <c r="MWK46" s="225"/>
      <c r="MWL46" s="225"/>
      <c r="MWM46" s="225"/>
      <c r="MWN46" s="225"/>
      <c r="MWO46" s="225"/>
      <c r="MWP46" s="225"/>
      <c r="MWQ46" s="225"/>
      <c r="MWR46" s="225"/>
      <c r="MWS46" s="225"/>
      <c r="MWT46" s="225"/>
      <c r="MWU46" s="225"/>
      <c r="MWV46" s="225"/>
      <c r="MWW46" s="225"/>
      <c r="MWX46" s="225"/>
      <c r="MWY46" s="225"/>
      <c r="MWZ46" s="225"/>
      <c r="MXA46" s="225"/>
      <c r="MXB46" s="225"/>
      <c r="MXC46" s="225"/>
      <c r="MXD46" s="225"/>
      <c r="MXE46" s="225"/>
      <c r="MXF46" s="225"/>
      <c r="MXG46" s="225"/>
      <c r="MXH46" s="225"/>
      <c r="MXI46" s="225"/>
      <c r="MXJ46" s="225"/>
      <c r="MXK46" s="225"/>
      <c r="MXL46" s="225"/>
      <c r="MXM46" s="225"/>
      <c r="MXN46" s="225"/>
      <c r="MXO46" s="225"/>
      <c r="MXP46" s="225"/>
      <c r="MXQ46" s="225"/>
      <c r="MXR46" s="225"/>
      <c r="MXS46" s="225"/>
      <c r="MXT46" s="225"/>
      <c r="MXU46" s="225"/>
      <c r="MXV46" s="225"/>
      <c r="MXW46" s="225"/>
      <c r="MXX46" s="225"/>
      <c r="MXY46" s="225"/>
      <c r="MXZ46" s="225"/>
      <c r="MYA46" s="225"/>
      <c r="MYB46" s="225"/>
      <c r="MYC46" s="225"/>
      <c r="MYD46" s="225"/>
      <c r="MYE46" s="225"/>
      <c r="MYF46" s="225"/>
      <c r="MYG46" s="225"/>
      <c r="MYH46" s="225"/>
      <c r="MYI46" s="225"/>
      <c r="MYJ46" s="225"/>
      <c r="MYK46" s="225"/>
      <c r="MYL46" s="225"/>
      <c r="MYM46" s="225"/>
      <c r="MYN46" s="225"/>
      <c r="MYO46" s="225"/>
      <c r="MYP46" s="225"/>
      <c r="MYQ46" s="225"/>
      <c r="MYR46" s="225"/>
      <c r="MYS46" s="225"/>
      <c r="MYT46" s="225"/>
      <c r="MYU46" s="225"/>
      <c r="MYV46" s="225"/>
      <c r="MYW46" s="225"/>
      <c r="MYX46" s="225"/>
      <c r="MYY46" s="225"/>
      <c r="MYZ46" s="225"/>
      <c r="MZA46" s="225"/>
      <c r="MZB46" s="225"/>
      <c r="MZC46" s="225"/>
      <c r="MZD46" s="225"/>
      <c r="MZE46" s="225"/>
      <c r="MZF46" s="225"/>
      <c r="MZG46" s="225"/>
      <c r="MZH46" s="225"/>
      <c r="MZI46" s="225"/>
      <c r="MZJ46" s="225"/>
      <c r="MZK46" s="225"/>
      <c r="MZL46" s="225"/>
      <c r="MZM46" s="225"/>
      <c r="MZN46" s="225"/>
      <c r="MZO46" s="225"/>
      <c r="MZP46" s="225"/>
      <c r="MZQ46" s="225"/>
      <c r="MZR46" s="225"/>
      <c r="MZS46" s="225"/>
      <c r="MZT46" s="225"/>
      <c r="MZU46" s="225"/>
      <c r="MZV46" s="225"/>
      <c r="MZW46" s="225"/>
      <c r="MZX46" s="225"/>
      <c r="MZY46" s="225"/>
      <c r="MZZ46" s="225"/>
      <c r="NAA46" s="225"/>
      <c r="NAB46" s="225"/>
      <c r="NAC46" s="225"/>
      <c r="NAD46" s="225"/>
      <c r="NAE46" s="225"/>
      <c r="NAF46" s="225"/>
      <c r="NAG46" s="225"/>
      <c r="NAH46" s="225"/>
      <c r="NAI46" s="225"/>
      <c r="NAJ46" s="225"/>
      <c r="NAK46" s="225"/>
      <c r="NAL46" s="225"/>
      <c r="NAM46" s="225"/>
      <c r="NAN46" s="225"/>
      <c r="NAO46" s="225"/>
      <c r="NAP46" s="225"/>
      <c r="NAQ46" s="225"/>
      <c r="NAR46" s="225"/>
      <c r="NAS46" s="225"/>
      <c r="NAT46" s="225"/>
      <c r="NAU46" s="225"/>
      <c r="NAV46" s="225"/>
      <c r="NAW46" s="225"/>
      <c r="NAX46" s="225"/>
      <c r="NAY46" s="225"/>
      <c r="NAZ46" s="225"/>
      <c r="NBA46" s="225"/>
      <c r="NBB46" s="225"/>
      <c r="NBC46" s="225"/>
      <c r="NBD46" s="225"/>
      <c r="NBE46" s="225"/>
      <c r="NBF46" s="225"/>
      <c r="NBG46" s="225"/>
      <c r="NBH46" s="225"/>
      <c r="NBI46" s="225"/>
      <c r="NBJ46" s="225"/>
      <c r="NBK46" s="225"/>
      <c r="NBL46" s="225"/>
      <c r="NBM46" s="225"/>
      <c r="NBN46" s="225"/>
      <c r="NBO46" s="225"/>
      <c r="NBP46" s="225"/>
      <c r="NBQ46" s="225"/>
      <c r="NBR46" s="225"/>
      <c r="NBS46" s="225"/>
      <c r="NBT46" s="225"/>
      <c r="NBU46" s="225"/>
      <c r="NBV46" s="225"/>
      <c r="NBW46" s="225"/>
      <c r="NBX46" s="225"/>
      <c r="NBY46" s="225"/>
      <c r="NBZ46" s="225"/>
      <c r="NCA46" s="225"/>
      <c r="NCB46" s="225"/>
      <c r="NCC46" s="225"/>
      <c r="NCD46" s="225"/>
      <c r="NCE46" s="225"/>
      <c r="NCF46" s="225"/>
      <c r="NCG46" s="225"/>
      <c r="NCH46" s="225"/>
      <c r="NCI46" s="225"/>
      <c r="NCJ46" s="225"/>
      <c r="NCK46" s="225"/>
      <c r="NCL46" s="225"/>
      <c r="NCM46" s="225"/>
      <c r="NCN46" s="225"/>
      <c r="NCO46" s="225"/>
      <c r="NCP46" s="225"/>
      <c r="NCQ46" s="225"/>
      <c r="NCR46" s="225"/>
      <c r="NCS46" s="225"/>
      <c r="NCT46" s="225"/>
      <c r="NCU46" s="225"/>
      <c r="NCV46" s="225"/>
      <c r="NCW46" s="225"/>
      <c r="NCX46" s="225"/>
      <c r="NCY46" s="225"/>
      <c r="NCZ46" s="225"/>
      <c r="NDA46" s="225"/>
      <c r="NDB46" s="225"/>
      <c r="NDC46" s="225"/>
      <c r="NDD46" s="225"/>
      <c r="NDE46" s="225"/>
      <c r="NDF46" s="225"/>
      <c r="NDG46" s="225"/>
      <c r="NDH46" s="225"/>
      <c r="NDI46" s="225"/>
      <c r="NDJ46" s="225"/>
      <c r="NDK46" s="225"/>
      <c r="NDL46" s="225"/>
      <c r="NDM46" s="225"/>
      <c r="NDN46" s="225"/>
      <c r="NDO46" s="225"/>
      <c r="NDP46" s="225"/>
      <c r="NDQ46" s="225"/>
      <c r="NDR46" s="225"/>
      <c r="NDS46" s="225"/>
      <c r="NDT46" s="225"/>
      <c r="NDU46" s="225"/>
      <c r="NDV46" s="225"/>
      <c r="NDW46" s="225"/>
      <c r="NDX46" s="225"/>
      <c r="NDY46" s="225"/>
      <c r="NDZ46" s="225"/>
      <c r="NEA46" s="225"/>
      <c r="NEB46" s="225"/>
      <c r="NEC46" s="225"/>
      <c r="NED46" s="225"/>
      <c r="NEE46" s="225"/>
      <c r="NEF46" s="225"/>
      <c r="NEG46" s="225"/>
      <c r="NEH46" s="225"/>
      <c r="NEI46" s="225"/>
      <c r="NEJ46" s="225"/>
      <c r="NEK46" s="225"/>
      <c r="NEL46" s="225"/>
      <c r="NEM46" s="225"/>
      <c r="NEN46" s="225"/>
      <c r="NEO46" s="225"/>
      <c r="NEP46" s="225"/>
      <c r="NEQ46" s="225"/>
      <c r="NER46" s="225"/>
      <c r="NES46" s="225"/>
      <c r="NET46" s="225"/>
      <c r="NEU46" s="225"/>
      <c r="NEV46" s="225"/>
      <c r="NEW46" s="225"/>
      <c r="NEX46" s="225"/>
      <c r="NEY46" s="225"/>
      <c r="NEZ46" s="225"/>
      <c r="NFA46" s="225"/>
      <c r="NFB46" s="225"/>
      <c r="NFC46" s="225"/>
      <c r="NFD46" s="225"/>
      <c r="NFE46" s="225"/>
      <c r="NFF46" s="225"/>
      <c r="NFG46" s="225"/>
      <c r="NFH46" s="225"/>
      <c r="NFI46" s="225"/>
      <c r="NFJ46" s="225"/>
      <c r="NFK46" s="225"/>
      <c r="NFL46" s="225"/>
      <c r="NFM46" s="225"/>
      <c r="NFN46" s="225"/>
      <c r="NFO46" s="225"/>
      <c r="NFP46" s="225"/>
      <c r="NFQ46" s="225"/>
      <c r="NFR46" s="225"/>
      <c r="NFS46" s="225"/>
      <c r="NFT46" s="225"/>
      <c r="NFU46" s="225"/>
      <c r="NFV46" s="225"/>
      <c r="NFW46" s="225"/>
      <c r="NFX46" s="225"/>
      <c r="NFY46" s="225"/>
      <c r="NFZ46" s="225"/>
      <c r="NGA46" s="225"/>
      <c r="NGB46" s="225"/>
      <c r="NGC46" s="225"/>
      <c r="NGD46" s="225"/>
      <c r="NGE46" s="225"/>
      <c r="NGF46" s="225"/>
      <c r="NGG46" s="225"/>
      <c r="NGH46" s="225"/>
      <c r="NGI46" s="225"/>
      <c r="NGJ46" s="225"/>
      <c r="NGK46" s="225"/>
      <c r="NGL46" s="225"/>
      <c r="NGM46" s="225"/>
      <c r="NGN46" s="225"/>
      <c r="NGO46" s="225"/>
      <c r="NGP46" s="225"/>
      <c r="NGQ46" s="225"/>
      <c r="NGR46" s="225"/>
      <c r="NGS46" s="225"/>
      <c r="NGT46" s="225"/>
      <c r="NGU46" s="225"/>
      <c r="NGV46" s="225"/>
      <c r="NGW46" s="225"/>
      <c r="NGX46" s="225"/>
      <c r="NGY46" s="225"/>
      <c r="NGZ46" s="225"/>
      <c r="NHA46" s="225"/>
      <c r="NHB46" s="225"/>
      <c r="NHC46" s="225"/>
      <c r="NHD46" s="225"/>
      <c r="NHE46" s="225"/>
      <c r="NHF46" s="225"/>
      <c r="NHG46" s="225"/>
      <c r="NHH46" s="225"/>
      <c r="NHI46" s="225"/>
      <c r="NHJ46" s="225"/>
      <c r="NHK46" s="225"/>
      <c r="NHL46" s="225"/>
      <c r="NHM46" s="225"/>
      <c r="NHN46" s="225"/>
      <c r="NHO46" s="225"/>
      <c r="NHP46" s="225"/>
      <c r="NHQ46" s="225"/>
      <c r="NHR46" s="225"/>
      <c r="NHS46" s="225"/>
      <c r="NHT46" s="225"/>
      <c r="NHU46" s="225"/>
      <c r="NHV46" s="225"/>
      <c r="NHW46" s="225"/>
      <c r="NHX46" s="225"/>
      <c r="NHY46" s="225"/>
      <c r="NHZ46" s="225"/>
      <c r="NIA46" s="225"/>
      <c r="NIB46" s="225"/>
      <c r="NIC46" s="225"/>
      <c r="NID46" s="225"/>
      <c r="NIE46" s="225"/>
      <c r="NIF46" s="225"/>
      <c r="NIG46" s="225"/>
      <c r="NIH46" s="225"/>
      <c r="NII46" s="225"/>
      <c r="NIJ46" s="225"/>
      <c r="NIK46" s="225"/>
      <c r="NIL46" s="225"/>
      <c r="NIM46" s="225"/>
      <c r="NIN46" s="225"/>
      <c r="NIO46" s="225"/>
      <c r="NIP46" s="225"/>
      <c r="NIQ46" s="225"/>
      <c r="NIR46" s="225"/>
      <c r="NIS46" s="225"/>
      <c r="NIT46" s="225"/>
      <c r="NIU46" s="225"/>
      <c r="NIV46" s="225"/>
      <c r="NIW46" s="225"/>
      <c r="NIX46" s="225"/>
      <c r="NIY46" s="225"/>
      <c r="NIZ46" s="225"/>
      <c r="NJA46" s="225"/>
      <c r="NJB46" s="225"/>
      <c r="NJC46" s="225"/>
      <c r="NJD46" s="225"/>
      <c r="NJE46" s="225"/>
      <c r="NJF46" s="225"/>
      <c r="NJG46" s="225"/>
      <c r="NJH46" s="225"/>
      <c r="NJI46" s="225"/>
      <c r="NJJ46" s="225"/>
      <c r="NJK46" s="225"/>
      <c r="NJL46" s="225"/>
      <c r="NJM46" s="225"/>
      <c r="NJN46" s="225"/>
      <c r="NJO46" s="225"/>
      <c r="NJP46" s="225"/>
      <c r="NJQ46" s="225"/>
      <c r="NJR46" s="225"/>
      <c r="NJS46" s="225"/>
      <c r="NJT46" s="225"/>
      <c r="NJU46" s="225"/>
      <c r="NJV46" s="225"/>
      <c r="NJW46" s="225"/>
      <c r="NJX46" s="225"/>
      <c r="NJY46" s="225"/>
      <c r="NJZ46" s="225"/>
      <c r="NKA46" s="225"/>
      <c r="NKB46" s="225"/>
      <c r="NKC46" s="225"/>
      <c r="NKD46" s="225"/>
      <c r="NKE46" s="225"/>
      <c r="NKF46" s="225"/>
      <c r="NKG46" s="225"/>
      <c r="NKH46" s="225"/>
      <c r="NKI46" s="225"/>
      <c r="NKJ46" s="225"/>
      <c r="NKK46" s="225"/>
      <c r="NKL46" s="225"/>
      <c r="NKM46" s="225"/>
      <c r="NKN46" s="225"/>
      <c r="NKO46" s="225"/>
      <c r="NKP46" s="225"/>
      <c r="NKQ46" s="225"/>
      <c r="NKR46" s="225"/>
      <c r="NKS46" s="225"/>
      <c r="NKT46" s="225"/>
      <c r="NKU46" s="225"/>
      <c r="NKV46" s="225"/>
      <c r="NKW46" s="225"/>
      <c r="NKX46" s="225"/>
      <c r="NKY46" s="225"/>
      <c r="NKZ46" s="225"/>
      <c r="NLA46" s="225"/>
      <c r="NLB46" s="225"/>
      <c r="NLC46" s="225"/>
      <c r="NLD46" s="225"/>
      <c r="NLE46" s="225"/>
      <c r="NLF46" s="225"/>
      <c r="NLG46" s="225"/>
      <c r="NLH46" s="225"/>
      <c r="NLI46" s="225"/>
      <c r="NLJ46" s="225"/>
      <c r="NLK46" s="225"/>
      <c r="NLL46" s="225"/>
      <c r="NLM46" s="225"/>
      <c r="NLN46" s="225"/>
      <c r="NLO46" s="225"/>
      <c r="NLP46" s="225"/>
      <c r="NLQ46" s="225"/>
      <c r="NLR46" s="225"/>
      <c r="NLS46" s="225"/>
      <c r="NLT46" s="225"/>
      <c r="NLU46" s="225"/>
      <c r="NLV46" s="225"/>
      <c r="NLW46" s="225"/>
      <c r="NLX46" s="225"/>
      <c r="NLY46" s="225"/>
      <c r="NLZ46" s="225"/>
      <c r="NMA46" s="225"/>
      <c r="NMB46" s="225"/>
      <c r="NMC46" s="225"/>
      <c r="NMD46" s="225"/>
      <c r="NME46" s="225"/>
      <c r="NMF46" s="225"/>
      <c r="NMG46" s="225"/>
      <c r="NMH46" s="225"/>
      <c r="NMI46" s="225"/>
      <c r="NMJ46" s="225"/>
      <c r="NMK46" s="225"/>
      <c r="NML46" s="225"/>
      <c r="NMM46" s="225"/>
      <c r="NMN46" s="225"/>
      <c r="NMO46" s="225"/>
      <c r="NMP46" s="225"/>
      <c r="NMQ46" s="225"/>
      <c r="NMR46" s="225"/>
      <c r="NMS46" s="225"/>
      <c r="NMT46" s="225"/>
      <c r="NMU46" s="225"/>
      <c r="NMV46" s="225"/>
      <c r="NMW46" s="225"/>
      <c r="NMX46" s="225"/>
      <c r="NMY46" s="225"/>
      <c r="NMZ46" s="225"/>
      <c r="NNA46" s="225"/>
      <c r="NNB46" s="225"/>
      <c r="NNC46" s="225"/>
      <c r="NND46" s="225"/>
      <c r="NNE46" s="225"/>
      <c r="NNF46" s="225"/>
      <c r="NNG46" s="225"/>
      <c r="NNH46" s="225"/>
      <c r="NNI46" s="225"/>
      <c r="NNJ46" s="225"/>
      <c r="NNK46" s="225"/>
      <c r="NNL46" s="225"/>
      <c r="NNM46" s="225"/>
      <c r="NNN46" s="225"/>
      <c r="NNO46" s="225"/>
      <c r="NNP46" s="225"/>
      <c r="NNQ46" s="225"/>
      <c r="NNR46" s="225"/>
      <c r="NNS46" s="225"/>
      <c r="NNT46" s="225"/>
      <c r="NNU46" s="225"/>
      <c r="NNV46" s="225"/>
      <c r="NNW46" s="225"/>
      <c r="NNX46" s="225"/>
      <c r="NNY46" s="225"/>
      <c r="NNZ46" s="225"/>
      <c r="NOA46" s="225"/>
      <c r="NOB46" s="225"/>
      <c r="NOC46" s="225"/>
      <c r="NOD46" s="225"/>
      <c r="NOE46" s="225"/>
      <c r="NOF46" s="225"/>
      <c r="NOG46" s="225"/>
      <c r="NOH46" s="225"/>
      <c r="NOI46" s="225"/>
      <c r="NOJ46" s="225"/>
      <c r="NOK46" s="225"/>
      <c r="NOL46" s="225"/>
      <c r="NOM46" s="225"/>
      <c r="NON46" s="225"/>
      <c r="NOO46" s="225"/>
      <c r="NOP46" s="225"/>
      <c r="NOQ46" s="225"/>
      <c r="NOR46" s="225"/>
      <c r="NOS46" s="225"/>
      <c r="NOT46" s="225"/>
      <c r="NOU46" s="225"/>
      <c r="NOV46" s="225"/>
      <c r="NOW46" s="225"/>
      <c r="NOX46" s="225"/>
      <c r="NOY46" s="225"/>
      <c r="NOZ46" s="225"/>
      <c r="NPA46" s="225"/>
      <c r="NPB46" s="225"/>
      <c r="NPC46" s="225"/>
      <c r="NPD46" s="225"/>
      <c r="NPE46" s="225"/>
      <c r="NPF46" s="225"/>
      <c r="NPG46" s="225"/>
      <c r="NPH46" s="225"/>
      <c r="NPI46" s="225"/>
      <c r="NPJ46" s="225"/>
      <c r="NPK46" s="225"/>
      <c r="NPL46" s="225"/>
      <c r="NPM46" s="225"/>
      <c r="NPN46" s="225"/>
      <c r="NPO46" s="225"/>
      <c r="NPP46" s="225"/>
      <c r="NPQ46" s="225"/>
      <c r="NPR46" s="225"/>
      <c r="NPS46" s="225"/>
      <c r="NPT46" s="225"/>
      <c r="NPU46" s="225"/>
      <c r="NPV46" s="225"/>
      <c r="NPW46" s="225"/>
      <c r="NPX46" s="225"/>
      <c r="NPY46" s="225"/>
      <c r="NPZ46" s="225"/>
      <c r="NQA46" s="225"/>
      <c r="NQB46" s="225"/>
      <c r="NQC46" s="225"/>
      <c r="NQD46" s="225"/>
      <c r="NQE46" s="225"/>
      <c r="NQF46" s="225"/>
      <c r="NQG46" s="225"/>
      <c r="NQH46" s="225"/>
      <c r="NQI46" s="225"/>
      <c r="NQJ46" s="225"/>
      <c r="NQK46" s="225"/>
      <c r="NQL46" s="225"/>
      <c r="NQM46" s="225"/>
      <c r="NQN46" s="225"/>
      <c r="NQO46" s="225"/>
      <c r="NQP46" s="225"/>
      <c r="NQQ46" s="225"/>
      <c r="NQR46" s="225"/>
      <c r="NQS46" s="225"/>
      <c r="NQT46" s="225"/>
      <c r="NQU46" s="225"/>
      <c r="NQV46" s="225"/>
      <c r="NQW46" s="225"/>
      <c r="NQX46" s="225"/>
      <c r="NQY46" s="225"/>
      <c r="NQZ46" s="225"/>
      <c r="NRA46" s="225"/>
      <c r="NRB46" s="225"/>
      <c r="NRC46" s="225"/>
      <c r="NRD46" s="225"/>
      <c r="NRE46" s="225"/>
      <c r="NRF46" s="225"/>
      <c r="NRG46" s="225"/>
      <c r="NRH46" s="225"/>
      <c r="NRI46" s="225"/>
      <c r="NRJ46" s="225"/>
      <c r="NRK46" s="225"/>
      <c r="NRL46" s="225"/>
      <c r="NRM46" s="225"/>
      <c r="NRN46" s="225"/>
      <c r="NRO46" s="225"/>
      <c r="NRP46" s="225"/>
      <c r="NRQ46" s="225"/>
      <c r="NRR46" s="225"/>
      <c r="NRS46" s="225"/>
      <c r="NRT46" s="225"/>
      <c r="NRU46" s="225"/>
      <c r="NRV46" s="225"/>
      <c r="NRW46" s="225"/>
      <c r="NRX46" s="225"/>
      <c r="NRY46" s="225"/>
      <c r="NRZ46" s="225"/>
      <c r="NSA46" s="225"/>
      <c r="NSB46" s="225"/>
      <c r="NSC46" s="225"/>
      <c r="NSD46" s="225"/>
      <c r="NSE46" s="225"/>
      <c r="NSF46" s="225"/>
      <c r="NSG46" s="225"/>
      <c r="NSH46" s="225"/>
      <c r="NSI46" s="225"/>
      <c r="NSJ46" s="225"/>
      <c r="NSK46" s="225"/>
      <c r="NSL46" s="225"/>
      <c r="NSM46" s="225"/>
      <c r="NSN46" s="225"/>
      <c r="NSO46" s="225"/>
      <c r="NSP46" s="225"/>
      <c r="NSQ46" s="225"/>
      <c r="NSR46" s="225"/>
      <c r="NSS46" s="225"/>
      <c r="NST46" s="225"/>
      <c r="NSU46" s="225"/>
      <c r="NSV46" s="225"/>
      <c r="NSW46" s="225"/>
      <c r="NSX46" s="225"/>
      <c r="NSY46" s="225"/>
      <c r="NSZ46" s="225"/>
      <c r="NTA46" s="225"/>
      <c r="NTB46" s="225"/>
      <c r="NTC46" s="225"/>
      <c r="NTD46" s="225"/>
      <c r="NTE46" s="225"/>
      <c r="NTF46" s="225"/>
      <c r="NTG46" s="225"/>
      <c r="NTH46" s="225"/>
      <c r="NTI46" s="225"/>
      <c r="NTJ46" s="225"/>
      <c r="NTK46" s="225"/>
      <c r="NTL46" s="225"/>
      <c r="NTM46" s="225"/>
      <c r="NTN46" s="225"/>
      <c r="NTO46" s="225"/>
      <c r="NTP46" s="225"/>
      <c r="NTQ46" s="225"/>
      <c r="NTR46" s="225"/>
      <c r="NTS46" s="225"/>
      <c r="NTT46" s="225"/>
      <c r="NTU46" s="225"/>
      <c r="NTV46" s="225"/>
      <c r="NTW46" s="225"/>
      <c r="NTX46" s="225"/>
      <c r="NTY46" s="225"/>
      <c r="NTZ46" s="225"/>
      <c r="NUA46" s="225"/>
      <c r="NUB46" s="225"/>
      <c r="NUC46" s="225"/>
      <c r="NUD46" s="225"/>
      <c r="NUE46" s="225"/>
      <c r="NUF46" s="225"/>
      <c r="NUG46" s="225"/>
      <c r="NUH46" s="225"/>
      <c r="NUI46" s="225"/>
      <c r="NUJ46" s="225"/>
      <c r="NUK46" s="225"/>
      <c r="NUL46" s="225"/>
      <c r="NUM46" s="225"/>
      <c r="NUN46" s="225"/>
      <c r="NUO46" s="225"/>
      <c r="NUP46" s="225"/>
      <c r="NUQ46" s="225"/>
      <c r="NUR46" s="225"/>
      <c r="NUS46" s="225"/>
      <c r="NUT46" s="225"/>
      <c r="NUU46" s="225"/>
      <c r="NUV46" s="225"/>
      <c r="NUW46" s="225"/>
      <c r="NUX46" s="225"/>
      <c r="NUY46" s="225"/>
      <c r="NUZ46" s="225"/>
      <c r="NVA46" s="225"/>
      <c r="NVB46" s="225"/>
      <c r="NVC46" s="225"/>
      <c r="NVD46" s="225"/>
      <c r="NVE46" s="225"/>
      <c r="NVF46" s="225"/>
      <c r="NVG46" s="225"/>
      <c r="NVH46" s="225"/>
      <c r="NVI46" s="225"/>
      <c r="NVJ46" s="225"/>
      <c r="NVK46" s="225"/>
      <c r="NVL46" s="225"/>
      <c r="NVM46" s="225"/>
      <c r="NVN46" s="225"/>
      <c r="NVO46" s="225"/>
      <c r="NVP46" s="225"/>
      <c r="NVQ46" s="225"/>
      <c r="NVR46" s="225"/>
      <c r="NVS46" s="225"/>
      <c r="NVT46" s="225"/>
      <c r="NVU46" s="225"/>
      <c r="NVV46" s="225"/>
      <c r="NVW46" s="225"/>
      <c r="NVX46" s="225"/>
      <c r="NVY46" s="225"/>
      <c r="NVZ46" s="225"/>
      <c r="NWA46" s="225"/>
      <c r="NWB46" s="225"/>
      <c r="NWC46" s="225"/>
      <c r="NWD46" s="225"/>
      <c r="NWE46" s="225"/>
      <c r="NWF46" s="225"/>
      <c r="NWG46" s="225"/>
      <c r="NWH46" s="225"/>
      <c r="NWI46" s="225"/>
      <c r="NWJ46" s="225"/>
      <c r="NWK46" s="225"/>
      <c r="NWL46" s="225"/>
      <c r="NWM46" s="225"/>
      <c r="NWN46" s="225"/>
      <c r="NWO46" s="225"/>
      <c r="NWP46" s="225"/>
      <c r="NWQ46" s="225"/>
      <c r="NWR46" s="225"/>
      <c r="NWS46" s="225"/>
      <c r="NWT46" s="225"/>
      <c r="NWU46" s="225"/>
      <c r="NWV46" s="225"/>
      <c r="NWW46" s="225"/>
      <c r="NWX46" s="225"/>
      <c r="NWY46" s="225"/>
      <c r="NWZ46" s="225"/>
      <c r="NXA46" s="225"/>
      <c r="NXB46" s="225"/>
      <c r="NXC46" s="225"/>
      <c r="NXD46" s="225"/>
      <c r="NXE46" s="225"/>
      <c r="NXF46" s="225"/>
      <c r="NXG46" s="225"/>
      <c r="NXH46" s="225"/>
      <c r="NXI46" s="225"/>
      <c r="NXJ46" s="225"/>
      <c r="NXK46" s="225"/>
      <c r="NXL46" s="225"/>
      <c r="NXM46" s="225"/>
      <c r="NXN46" s="225"/>
      <c r="NXO46" s="225"/>
      <c r="NXP46" s="225"/>
      <c r="NXQ46" s="225"/>
      <c r="NXR46" s="225"/>
      <c r="NXS46" s="225"/>
      <c r="NXT46" s="225"/>
      <c r="NXU46" s="225"/>
      <c r="NXV46" s="225"/>
      <c r="NXW46" s="225"/>
      <c r="NXX46" s="225"/>
      <c r="NXY46" s="225"/>
      <c r="NXZ46" s="225"/>
      <c r="NYA46" s="225"/>
      <c r="NYB46" s="225"/>
      <c r="NYC46" s="225"/>
      <c r="NYD46" s="225"/>
      <c r="NYE46" s="225"/>
      <c r="NYF46" s="225"/>
      <c r="NYG46" s="225"/>
      <c r="NYH46" s="225"/>
      <c r="NYI46" s="225"/>
      <c r="NYJ46" s="225"/>
      <c r="NYK46" s="225"/>
      <c r="NYL46" s="225"/>
      <c r="NYM46" s="225"/>
      <c r="NYN46" s="225"/>
      <c r="NYO46" s="225"/>
      <c r="NYP46" s="225"/>
      <c r="NYQ46" s="225"/>
      <c r="NYR46" s="225"/>
      <c r="NYS46" s="225"/>
      <c r="NYT46" s="225"/>
      <c r="NYU46" s="225"/>
      <c r="NYV46" s="225"/>
      <c r="NYW46" s="225"/>
      <c r="NYX46" s="225"/>
      <c r="NYY46" s="225"/>
      <c r="NYZ46" s="225"/>
      <c r="NZA46" s="225"/>
      <c r="NZB46" s="225"/>
      <c r="NZC46" s="225"/>
      <c r="NZD46" s="225"/>
      <c r="NZE46" s="225"/>
      <c r="NZF46" s="225"/>
      <c r="NZG46" s="225"/>
      <c r="NZH46" s="225"/>
      <c r="NZI46" s="225"/>
      <c r="NZJ46" s="225"/>
      <c r="NZK46" s="225"/>
      <c r="NZL46" s="225"/>
      <c r="NZM46" s="225"/>
      <c r="NZN46" s="225"/>
      <c r="NZO46" s="225"/>
      <c r="NZP46" s="225"/>
      <c r="NZQ46" s="225"/>
      <c r="NZR46" s="225"/>
      <c r="NZS46" s="225"/>
      <c r="NZT46" s="225"/>
      <c r="NZU46" s="225"/>
      <c r="NZV46" s="225"/>
      <c r="NZW46" s="225"/>
      <c r="NZX46" s="225"/>
      <c r="NZY46" s="225"/>
      <c r="NZZ46" s="225"/>
      <c r="OAA46" s="225"/>
      <c r="OAB46" s="225"/>
      <c r="OAC46" s="225"/>
      <c r="OAD46" s="225"/>
      <c r="OAE46" s="225"/>
      <c r="OAF46" s="225"/>
      <c r="OAG46" s="225"/>
      <c r="OAH46" s="225"/>
      <c r="OAI46" s="225"/>
      <c r="OAJ46" s="225"/>
      <c r="OAK46" s="225"/>
      <c r="OAL46" s="225"/>
      <c r="OAM46" s="225"/>
      <c r="OAN46" s="225"/>
      <c r="OAO46" s="225"/>
      <c r="OAP46" s="225"/>
      <c r="OAQ46" s="225"/>
      <c r="OAR46" s="225"/>
      <c r="OAS46" s="225"/>
      <c r="OAT46" s="225"/>
      <c r="OAU46" s="225"/>
      <c r="OAV46" s="225"/>
      <c r="OAW46" s="225"/>
      <c r="OAX46" s="225"/>
      <c r="OAY46" s="225"/>
      <c r="OAZ46" s="225"/>
      <c r="OBA46" s="225"/>
      <c r="OBB46" s="225"/>
      <c r="OBC46" s="225"/>
      <c r="OBD46" s="225"/>
      <c r="OBE46" s="225"/>
      <c r="OBF46" s="225"/>
      <c r="OBG46" s="225"/>
      <c r="OBH46" s="225"/>
      <c r="OBI46" s="225"/>
      <c r="OBJ46" s="225"/>
      <c r="OBK46" s="225"/>
      <c r="OBL46" s="225"/>
      <c r="OBM46" s="225"/>
      <c r="OBN46" s="225"/>
      <c r="OBO46" s="225"/>
      <c r="OBP46" s="225"/>
      <c r="OBQ46" s="225"/>
      <c r="OBR46" s="225"/>
      <c r="OBS46" s="225"/>
      <c r="OBT46" s="225"/>
      <c r="OBU46" s="225"/>
      <c r="OBV46" s="225"/>
      <c r="OBW46" s="225"/>
      <c r="OBX46" s="225"/>
      <c r="OBY46" s="225"/>
      <c r="OBZ46" s="225"/>
      <c r="OCA46" s="225"/>
      <c r="OCB46" s="225"/>
      <c r="OCC46" s="225"/>
      <c r="OCD46" s="225"/>
      <c r="OCE46" s="225"/>
      <c r="OCF46" s="225"/>
      <c r="OCG46" s="225"/>
      <c r="OCH46" s="225"/>
      <c r="OCI46" s="225"/>
      <c r="OCJ46" s="225"/>
      <c r="OCK46" s="225"/>
      <c r="OCL46" s="225"/>
      <c r="OCM46" s="225"/>
      <c r="OCN46" s="225"/>
      <c r="OCO46" s="225"/>
      <c r="OCP46" s="225"/>
      <c r="OCQ46" s="225"/>
      <c r="OCR46" s="225"/>
      <c r="OCS46" s="225"/>
      <c r="OCT46" s="225"/>
      <c r="OCU46" s="225"/>
      <c r="OCV46" s="225"/>
      <c r="OCW46" s="225"/>
      <c r="OCX46" s="225"/>
      <c r="OCY46" s="225"/>
      <c r="OCZ46" s="225"/>
      <c r="ODA46" s="225"/>
      <c r="ODB46" s="225"/>
      <c r="ODC46" s="225"/>
      <c r="ODD46" s="225"/>
      <c r="ODE46" s="225"/>
      <c r="ODF46" s="225"/>
      <c r="ODG46" s="225"/>
      <c r="ODH46" s="225"/>
      <c r="ODI46" s="225"/>
      <c r="ODJ46" s="225"/>
      <c r="ODK46" s="225"/>
      <c r="ODL46" s="225"/>
      <c r="ODM46" s="225"/>
      <c r="ODN46" s="225"/>
      <c r="ODO46" s="225"/>
      <c r="ODP46" s="225"/>
      <c r="ODQ46" s="225"/>
      <c r="ODR46" s="225"/>
      <c r="ODS46" s="225"/>
      <c r="ODT46" s="225"/>
      <c r="ODU46" s="225"/>
      <c r="ODV46" s="225"/>
      <c r="ODW46" s="225"/>
      <c r="ODX46" s="225"/>
      <c r="ODY46" s="225"/>
      <c r="ODZ46" s="225"/>
      <c r="OEA46" s="225"/>
      <c r="OEB46" s="225"/>
      <c r="OEC46" s="225"/>
      <c r="OED46" s="225"/>
      <c r="OEE46" s="225"/>
      <c r="OEF46" s="225"/>
      <c r="OEG46" s="225"/>
      <c r="OEH46" s="225"/>
      <c r="OEI46" s="225"/>
      <c r="OEJ46" s="225"/>
      <c r="OEK46" s="225"/>
      <c r="OEL46" s="225"/>
      <c r="OEM46" s="225"/>
      <c r="OEN46" s="225"/>
      <c r="OEO46" s="225"/>
      <c r="OEP46" s="225"/>
      <c r="OEQ46" s="225"/>
      <c r="OER46" s="225"/>
      <c r="OES46" s="225"/>
      <c r="OET46" s="225"/>
      <c r="OEU46" s="225"/>
      <c r="OEV46" s="225"/>
      <c r="OEW46" s="225"/>
      <c r="OEX46" s="225"/>
      <c r="OEY46" s="225"/>
      <c r="OEZ46" s="225"/>
      <c r="OFA46" s="225"/>
      <c r="OFB46" s="225"/>
      <c r="OFC46" s="225"/>
      <c r="OFD46" s="225"/>
      <c r="OFE46" s="225"/>
      <c r="OFF46" s="225"/>
      <c r="OFG46" s="225"/>
      <c r="OFH46" s="225"/>
      <c r="OFI46" s="225"/>
      <c r="OFJ46" s="225"/>
      <c r="OFK46" s="225"/>
      <c r="OFL46" s="225"/>
      <c r="OFM46" s="225"/>
      <c r="OFN46" s="225"/>
      <c r="OFO46" s="225"/>
      <c r="OFP46" s="225"/>
      <c r="OFQ46" s="225"/>
      <c r="OFR46" s="225"/>
      <c r="OFS46" s="225"/>
      <c r="OFT46" s="225"/>
      <c r="OFU46" s="225"/>
      <c r="OFV46" s="225"/>
      <c r="OFW46" s="225"/>
      <c r="OFX46" s="225"/>
      <c r="OFY46" s="225"/>
      <c r="OFZ46" s="225"/>
      <c r="OGA46" s="225"/>
      <c r="OGB46" s="225"/>
      <c r="OGC46" s="225"/>
      <c r="OGD46" s="225"/>
      <c r="OGE46" s="225"/>
      <c r="OGF46" s="225"/>
      <c r="OGG46" s="225"/>
      <c r="OGH46" s="225"/>
      <c r="OGI46" s="225"/>
      <c r="OGJ46" s="225"/>
      <c r="OGK46" s="225"/>
      <c r="OGL46" s="225"/>
      <c r="OGM46" s="225"/>
      <c r="OGN46" s="225"/>
      <c r="OGO46" s="225"/>
      <c r="OGP46" s="225"/>
      <c r="OGQ46" s="225"/>
      <c r="OGR46" s="225"/>
      <c r="OGS46" s="225"/>
      <c r="OGT46" s="225"/>
      <c r="OGU46" s="225"/>
      <c r="OGV46" s="225"/>
      <c r="OGW46" s="225"/>
      <c r="OGX46" s="225"/>
      <c r="OGY46" s="225"/>
      <c r="OGZ46" s="225"/>
      <c r="OHA46" s="225"/>
      <c r="OHB46" s="225"/>
      <c r="OHC46" s="225"/>
      <c r="OHD46" s="225"/>
      <c r="OHE46" s="225"/>
      <c r="OHF46" s="225"/>
      <c r="OHG46" s="225"/>
      <c r="OHH46" s="225"/>
      <c r="OHI46" s="225"/>
      <c r="OHJ46" s="225"/>
      <c r="OHK46" s="225"/>
      <c r="OHL46" s="225"/>
      <c r="OHM46" s="225"/>
      <c r="OHN46" s="225"/>
      <c r="OHO46" s="225"/>
      <c r="OHP46" s="225"/>
      <c r="OHQ46" s="225"/>
      <c r="OHR46" s="225"/>
      <c r="OHS46" s="225"/>
      <c r="OHT46" s="225"/>
      <c r="OHU46" s="225"/>
      <c r="OHV46" s="225"/>
      <c r="OHW46" s="225"/>
      <c r="OHX46" s="225"/>
      <c r="OHY46" s="225"/>
      <c r="OHZ46" s="225"/>
      <c r="OIA46" s="225"/>
      <c r="OIB46" s="225"/>
      <c r="OIC46" s="225"/>
      <c r="OID46" s="225"/>
      <c r="OIE46" s="225"/>
      <c r="OIF46" s="225"/>
      <c r="OIG46" s="225"/>
      <c r="OIH46" s="225"/>
      <c r="OII46" s="225"/>
      <c r="OIJ46" s="225"/>
      <c r="OIK46" s="225"/>
      <c r="OIL46" s="225"/>
      <c r="OIM46" s="225"/>
      <c r="OIN46" s="225"/>
      <c r="OIO46" s="225"/>
      <c r="OIP46" s="225"/>
      <c r="OIQ46" s="225"/>
      <c r="OIR46" s="225"/>
      <c r="OIS46" s="225"/>
      <c r="OIT46" s="225"/>
      <c r="OIU46" s="225"/>
      <c r="OIV46" s="225"/>
      <c r="OIW46" s="225"/>
      <c r="OIX46" s="225"/>
      <c r="OIY46" s="225"/>
      <c r="OIZ46" s="225"/>
      <c r="OJA46" s="225"/>
      <c r="OJB46" s="225"/>
      <c r="OJC46" s="225"/>
      <c r="OJD46" s="225"/>
      <c r="OJE46" s="225"/>
      <c r="OJF46" s="225"/>
      <c r="OJG46" s="225"/>
      <c r="OJH46" s="225"/>
      <c r="OJI46" s="225"/>
      <c r="OJJ46" s="225"/>
      <c r="OJK46" s="225"/>
      <c r="OJL46" s="225"/>
      <c r="OJM46" s="225"/>
      <c r="OJN46" s="225"/>
      <c r="OJO46" s="225"/>
      <c r="OJP46" s="225"/>
      <c r="OJQ46" s="225"/>
      <c r="OJR46" s="225"/>
      <c r="OJS46" s="225"/>
      <c r="OJT46" s="225"/>
      <c r="OJU46" s="225"/>
      <c r="OJV46" s="225"/>
      <c r="OJW46" s="225"/>
      <c r="OJX46" s="225"/>
      <c r="OJY46" s="225"/>
      <c r="OJZ46" s="225"/>
      <c r="OKA46" s="225"/>
      <c r="OKB46" s="225"/>
      <c r="OKC46" s="225"/>
      <c r="OKD46" s="225"/>
      <c r="OKE46" s="225"/>
      <c r="OKF46" s="225"/>
      <c r="OKG46" s="225"/>
      <c r="OKH46" s="225"/>
      <c r="OKI46" s="225"/>
      <c r="OKJ46" s="225"/>
      <c r="OKK46" s="225"/>
      <c r="OKL46" s="225"/>
      <c r="OKM46" s="225"/>
      <c r="OKN46" s="225"/>
      <c r="OKO46" s="225"/>
      <c r="OKP46" s="225"/>
      <c r="OKQ46" s="225"/>
      <c r="OKR46" s="225"/>
      <c r="OKS46" s="225"/>
      <c r="OKT46" s="225"/>
      <c r="OKU46" s="225"/>
      <c r="OKV46" s="225"/>
      <c r="OKW46" s="225"/>
      <c r="OKX46" s="225"/>
      <c r="OKY46" s="225"/>
      <c r="OKZ46" s="225"/>
      <c r="OLA46" s="225"/>
      <c r="OLB46" s="225"/>
      <c r="OLC46" s="225"/>
      <c r="OLD46" s="225"/>
      <c r="OLE46" s="225"/>
      <c r="OLF46" s="225"/>
      <c r="OLG46" s="225"/>
      <c r="OLH46" s="225"/>
      <c r="OLI46" s="225"/>
      <c r="OLJ46" s="225"/>
      <c r="OLK46" s="225"/>
      <c r="OLL46" s="225"/>
      <c r="OLM46" s="225"/>
      <c r="OLN46" s="225"/>
      <c r="OLO46" s="225"/>
      <c r="OLP46" s="225"/>
      <c r="OLQ46" s="225"/>
      <c r="OLR46" s="225"/>
      <c r="OLS46" s="225"/>
      <c r="OLT46" s="225"/>
      <c r="OLU46" s="225"/>
      <c r="OLV46" s="225"/>
      <c r="OLW46" s="225"/>
      <c r="OLX46" s="225"/>
      <c r="OLY46" s="225"/>
      <c r="OLZ46" s="225"/>
      <c r="OMA46" s="225"/>
      <c r="OMB46" s="225"/>
      <c r="OMC46" s="225"/>
      <c r="OMD46" s="225"/>
      <c r="OME46" s="225"/>
      <c r="OMF46" s="225"/>
      <c r="OMG46" s="225"/>
      <c r="OMH46" s="225"/>
      <c r="OMI46" s="225"/>
      <c r="OMJ46" s="225"/>
      <c r="OMK46" s="225"/>
      <c r="OML46" s="225"/>
      <c r="OMM46" s="225"/>
      <c r="OMN46" s="225"/>
      <c r="OMO46" s="225"/>
      <c r="OMP46" s="225"/>
      <c r="OMQ46" s="225"/>
      <c r="OMR46" s="225"/>
      <c r="OMS46" s="225"/>
      <c r="OMT46" s="225"/>
      <c r="OMU46" s="225"/>
      <c r="OMV46" s="225"/>
      <c r="OMW46" s="225"/>
      <c r="OMX46" s="225"/>
      <c r="OMY46" s="225"/>
      <c r="OMZ46" s="225"/>
      <c r="ONA46" s="225"/>
      <c r="ONB46" s="225"/>
      <c r="ONC46" s="225"/>
      <c r="OND46" s="225"/>
      <c r="ONE46" s="225"/>
      <c r="ONF46" s="225"/>
      <c r="ONG46" s="225"/>
      <c r="ONH46" s="225"/>
      <c r="ONI46" s="225"/>
      <c r="ONJ46" s="225"/>
      <c r="ONK46" s="225"/>
      <c r="ONL46" s="225"/>
      <c r="ONM46" s="225"/>
      <c r="ONN46" s="225"/>
      <c r="ONO46" s="225"/>
      <c r="ONP46" s="225"/>
      <c r="ONQ46" s="225"/>
      <c r="ONR46" s="225"/>
      <c r="ONS46" s="225"/>
      <c r="ONT46" s="225"/>
      <c r="ONU46" s="225"/>
      <c r="ONV46" s="225"/>
      <c r="ONW46" s="225"/>
      <c r="ONX46" s="225"/>
      <c r="ONY46" s="225"/>
      <c r="ONZ46" s="225"/>
      <c r="OOA46" s="225"/>
      <c r="OOB46" s="225"/>
      <c r="OOC46" s="225"/>
      <c r="OOD46" s="225"/>
      <c r="OOE46" s="225"/>
      <c r="OOF46" s="225"/>
      <c r="OOG46" s="225"/>
      <c r="OOH46" s="225"/>
      <c r="OOI46" s="225"/>
      <c r="OOJ46" s="225"/>
      <c r="OOK46" s="225"/>
      <c r="OOL46" s="225"/>
      <c r="OOM46" s="225"/>
      <c r="OON46" s="225"/>
      <c r="OOO46" s="225"/>
      <c r="OOP46" s="225"/>
      <c r="OOQ46" s="225"/>
      <c r="OOR46" s="225"/>
      <c r="OOS46" s="225"/>
      <c r="OOT46" s="225"/>
      <c r="OOU46" s="225"/>
      <c r="OOV46" s="225"/>
      <c r="OOW46" s="225"/>
      <c r="OOX46" s="225"/>
      <c r="OOY46" s="225"/>
      <c r="OOZ46" s="225"/>
      <c r="OPA46" s="225"/>
      <c r="OPB46" s="225"/>
      <c r="OPC46" s="225"/>
      <c r="OPD46" s="225"/>
      <c r="OPE46" s="225"/>
      <c r="OPF46" s="225"/>
      <c r="OPG46" s="225"/>
      <c r="OPH46" s="225"/>
      <c r="OPI46" s="225"/>
      <c r="OPJ46" s="225"/>
      <c r="OPK46" s="225"/>
      <c r="OPL46" s="225"/>
      <c r="OPM46" s="225"/>
      <c r="OPN46" s="225"/>
      <c r="OPO46" s="225"/>
      <c r="OPP46" s="225"/>
      <c r="OPQ46" s="225"/>
      <c r="OPR46" s="225"/>
      <c r="OPS46" s="225"/>
      <c r="OPT46" s="225"/>
      <c r="OPU46" s="225"/>
      <c r="OPV46" s="225"/>
      <c r="OPW46" s="225"/>
      <c r="OPX46" s="225"/>
      <c r="OPY46" s="225"/>
      <c r="OPZ46" s="225"/>
      <c r="OQA46" s="225"/>
      <c r="OQB46" s="225"/>
      <c r="OQC46" s="225"/>
      <c r="OQD46" s="225"/>
      <c r="OQE46" s="225"/>
      <c r="OQF46" s="225"/>
      <c r="OQG46" s="225"/>
      <c r="OQH46" s="225"/>
      <c r="OQI46" s="225"/>
      <c r="OQJ46" s="225"/>
      <c r="OQK46" s="225"/>
      <c r="OQL46" s="225"/>
      <c r="OQM46" s="225"/>
      <c r="OQN46" s="225"/>
      <c r="OQO46" s="225"/>
      <c r="OQP46" s="225"/>
      <c r="OQQ46" s="225"/>
      <c r="OQR46" s="225"/>
      <c r="OQS46" s="225"/>
      <c r="OQT46" s="225"/>
      <c r="OQU46" s="225"/>
      <c r="OQV46" s="225"/>
      <c r="OQW46" s="225"/>
      <c r="OQX46" s="225"/>
      <c r="OQY46" s="225"/>
      <c r="OQZ46" s="225"/>
      <c r="ORA46" s="225"/>
      <c r="ORB46" s="225"/>
      <c r="ORC46" s="225"/>
      <c r="ORD46" s="225"/>
      <c r="ORE46" s="225"/>
      <c r="ORF46" s="225"/>
      <c r="ORG46" s="225"/>
      <c r="ORH46" s="225"/>
      <c r="ORI46" s="225"/>
      <c r="ORJ46" s="225"/>
      <c r="ORK46" s="225"/>
      <c r="ORL46" s="225"/>
      <c r="ORM46" s="225"/>
      <c r="ORN46" s="225"/>
      <c r="ORO46" s="225"/>
      <c r="ORP46" s="225"/>
      <c r="ORQ46" s="225"/>
      <c r="ORR46" s="225"/>
      <c r="ORS46" s="225"/>
      <c r="ORT46" s="225"/>
      <c r="ORU46" s="225"/>
      <c r="ORV46" s="225"/>
      <c r="ORW46" s="225"/>
      <c r="ORX46" s="225"/>
      <c r="ORY46" s="225"/>
      <c r="ORZ46" s="225"/>
      <c r="OSA46" s="225"/>
      <c r="OSB46" s="225"/>
      <c r="OSC46" s="225"/>
      <c r="OSD46" s="225"/>
      <c r="OSE46" s="225"/>
      <c r="OSF46" s="225"/>
      <c r="OSG46" s="225"/>
      <c r="OSH46" s="225"/>
      <c r="OSI46" s="225"/>
      <c r="OSJ46" s="225"/>
      <c r="OSK46" s="225"/>
      <c r="OSL46" s="225"/>
      <c r="OSM46" s="225"/>
      <c r="OSN46" s="225"/>
      <c r="OSO46" s="225"/>
      <c r="OSP46" s="225"/>
      <c r="OSQ46" s="225"/>
      <c r="OSR46" s="225"/>
      <c r="OSS46" s="225"/>
      <c r="OST46" s="225"/>
      <c r="OSU46" s="225"/>
      <c r="OSV46" s="225"/>
      <c r="OSW46" s="225"/>
      <c r="OSX46" s="225"/>
      <c r="OSY46" s="225"/>
      <c r="OSZ46" s="225"/>
      <c r="OTA46" s="225"/>
      <c r="OTB46" s="225"/>
      <c r="OTC46" s="225"/>
      <c r="OTD46" s="225"/>
      <c r="OTE46" s="225"/>
      <c r="OTF46" s="225"/>
      <c r="OTG46" s="225"/>
      <c r="OTH46" s="225"/>
      <c r="OTI46" s="225"/>
      <c r="OTJ46" s="225"/>
      <c r="OTK46" s="225"/>
      <c r="OTL46" s="225"/>
      <c r="OTM46" s="225"/>
      <c r="OTN46" s="225"/>
      <c r="OTO46" s="225"/>
      <c r="OTP46" s="225"/>
      <c r="OTQ46" s="225"/>
      <c r="OTR46" s="225"/>
      <c r="OTS46" s="225"/>
      <c r="OTT46" s="225"/>
      <c r="OTU46" s="225"/>
      <c r="OTV46" s="225"/>
      <c r="OTW46" s="225"/>
      <c r="OTX46" s="225"/>
      <c r="OTY46" s="225"/>
      <c r="OTZ46" s="225"/>
      <c r="OUA46" s="225"/>
      <c r="OUB46" s="225"/>
      <c r="OUC46" s="225"/>
      <c r="OUD46" s="225"/>
      <c r="OUE46" s="225"/>
      <c r="OUF46" s="225"/>
      <c r="OUG46" s="225"/>
      <c r="OUH46" s="225"/>
      <c r="OUI46" s="225"/>
      <c r="OUJ46" s="225"/>
      <c r="OUK46" s="225"/>
      <c r="OUL46" s="225"/>
      <c r="OUM46" s="225"/>
      <c r="OUN46" s="225"/>
      <c r="OUO46" s="225"/>
      <c r="OUP46" s="225"/>
      <c r="OUQ46" s="225"/>
      <c r="OUR46" s="225"/>
      <c r="OUS46" s="225"/>
      <c r="OUT46" s="225"/>
      <c r="OUU46" s="225"/>
      <c r="OUV46" s="225"/>
      <c r="OUW46" s="225"/>
      <c r="OUX46" s="225"/>
      <c r="OUY46" s="225"/>
      <c r="OUZ46" s="225"/>
      <c r="OVA46" s="225"/>
      <c r="OVB46" s="225"/>
      <c r="OVC46" s="225"/>
      <c r="OVD46" s="225"/>
      <c r="OVE46" s="225"/>
      <c r="OVF46" s="225"/>
      <c r="OVG46" s="225"/>
      <c r="OVH46" s="225"/>
      <c r="OVI46" s="225"/>
      <c r="OVJ46" s="225"/>
      <c r="OVK46" s="225"/>
      <c r="OVL46" s="225"/>
      <c r="OVM46" s="225"/>
      <c r="OVN46" s="225"/>
      <c r="OVO46" s="225"/>
      <c r="OVP46" s="225"/>
      <c r="OVQ46" s="225"/>
      <c r="OVR46" s="225"/>
      <c r="OVS46" s="225"/>
      <c r="OVT46" s="225"/>
      <c r="OVU46" s="225"/>
      <c r="OVV46" s="225"/>
      <c r="OVW46" s="225"/>
      <c r="OVX46" s="225"/>
      <c r="OVY46" s="225"/>
      <c r="OVZ46" s="225"/>
      <c r="OWA46" s="225"/>
      <c r="OWB46" s="225"/>
      <c r="OWC46" s="225"/>
      <c r="OWD46" s="225"/>
      <c r="OWE46" s="225"/>
      <c r="OWF46" s="225"/>
      <c r="OWG46" s="225"/>
      <c r="OWH46" s="225"/>
      <c r="OWI46" s="225"/>
      <c r="OWJ46" s="225"/>
      <c r="OWK46" s="225"/>
      <c r="OWL46" s="225"/>
      <c r="OWM46" s="225"/>
      <c r="OWN46" s="225"/>
      <c r="OWO46" s="225"/>
      <c r="OWP46" s="225"/>
      <c r="OWQ46" s="225"/>
      <c r="OWR46" s="225"/>
      <c r="OWS46" s="225"/>
      <c r="OWT46" s="225"/>
      <c r="OWU46" s="225"/>
      <c r="OWV46" s="225"/>
      <c r="OWW46" s="225"/>
      <c r="OWX46" s="225"/>
      <c r="OWY46" s="225"/>
      <c r="OWZ46" s="225"/>
      <c r="OXA46" s="225"/>
      <c r="OXB46" s="225"/>
      <c r="OXC46" s="225"/>
      <c r="OXD46" s="225"/>
      <c r="OXE46" s="225"/>
      <c r="OXF46" s="225"/>
      <c r="OXG46" s="225"/>
      <c r="OXH46" s="225"/>
      <c r="OXI46" s="225"/>
      <c r="OXJ46" s="225"/>
      <c r="OXK46" s="225"/>
      <c r="OXL46" s="225"/>
      <c r="OXM46" s="225"/>
      <c r="OXN46" s="225"/>
      <c r="OXO46" s="225"/>
      <c r="OXP46" s="225"/>
      <c r="OXQ46" s="225"/>
      <c r="OXR46" s="225"/>
      <c r="OXS46" s="225"/>
      <c r="OXT46" s="225"/>
      <c r="OXU46" s="225"/>
      <c r="OXV46" s="225"/>
      <c r="OXW46" s="225"/>
      <c r="OXX46" s="225"/>
      <c r="OXY46" s="225"/>
      <c r="OXZ46" s="225"/>
      <c r="OYA46" s="225"/>
      <c r="OYB46" s="225"/>
      <c r="OYC46" s="225"/>
      <c r="OYD46" s="225"/>
      <c r="OYE46" s="225"/>
      <c r="OYF46" s="225"/>
      <c r="OYG46" s="225"/>
      <c r="OYH46" s="225"/>
      <c r="OYI46" s="225"/>
      <c r="OYJ46" s="225"/>
      <c r="OYK46" s="225"/>
      <c r="OYL46" s="225"/>
      <c r="OYM46" s="225"/>
      <c r="OYN46" s="225"/>
      <c r="OYO46" s="225"/>
      <c r="OYP46" s="225"/>
      <c r="OYQ46" s="225"/>
      <c r="OYR46" s="225"/>
      <c r="OYS46" s="225"/>
      <c r="OYT46" s="225"/>
      <c r="OYU46" s="225"/>
      <c r="OYV46" s="225"/>
      <c r="OYW46" s="225"/>
      <c r="OYX46" s="225"/>
      <c r="OYY46" s="225"/>
      <c r="OYZ46" s="225"/>
      <c r="OZA46" s="225"/>
      <c r="OZB46" s="225"/>
      <c r="OZC46" s="225"/>
      <c r="OZD46" s="225"/>
      <c r="OZE46" s="225"/>
      <c r="OZF46" s="225"/>
      <c r="OZG46" s="225"/>
      <c r="OZH46" s="225"/>
      <c r="OZI46" s="225"/>
      <c r="OZJ46" s="225"/>
      <c r="OZK46" s="225"/>
      <c r="OZL46" s="225"/>
      <c r="OZM46" s="225"/>
      <c r="OZN46" s="225"/>
      <c r="OZO46" s="225"/>
      <c r="OZP46" s="225"/>
      <c r="OZQ46" s="225"/>
      <c r="OZR46" s="225"/>
      <c r="OZS46" s="225"/>
      <c r="OZT46" s="225"/>
      <c r="OZU46" s="225"/>
      <c r="OZV46" s="225"/>
      <c r="OZW46" s="225"/>
      <c r="OZX46" s="225"/>
      <c r="OZY46" s="225"/>
      <c r="OZZ46" s="225"/>
      <c r="PAA46" s="225"/>
      <c r="PAB46" s="225"/>
      <c r="PAC46" s="225"/>
      <c r="PAD46" s="225"/>
      <c r="PAE46" s="225"/>
      <c r="PAF46" s="225"/>
      <c r="PAG46" s="225"/>
      <c r="PAH46" s="225"/>
      <c r="PAI46" s="225"/>
      <c r="PAJ46" s="225"/>
      <c r="PAK46" s="225"/>
      <c r="PAL46" s="225"/>
      <c r="PAM46" s="225"/>
      <c r="PAN46" s="225"/>
      <c r="PAO46" s="225"/>
      <c r="PAP46" s="225"/>
      <c r="PAQ46" s="225"/>
      <c r="PAR46" s="225"/>
      <c r="PAS46" s="225"/>
      <c r="PAT46" s="225"/>
      <c r="PAU46" s="225"/>
      <c r="PAV46" s="225"/>
      <c r="PAW46" s="225"/>
      <c r="PAX46" s="225"/>
      <c r="PAY46" s="225"/>
      <c r="PAZ46" s="225"/>
      <c r="PBA46" s="225"/>
      <c r="PBB46" s="225"/>
      <c r="PBC46" s="225"/>
      <c r="PBD46" s="225"/>
      <c r="PBE46" s="225"/>
      <c r="PBF46" s="225"/>
      <c r="PBG46" s="225"/>
      <c r="PBH46" s="225"/>
      <c r="PBI46" s="225"/>
      <c r="PBJ46" s="225"/>
      <c r="PBK46" s="225"/>
      <c r="PBL46" s="225"/>
      <c r="PBM46" s="225"/>
      <c r="PBN46" s="225"/>
      <c r="PBO46" s="225"/>
      <c r="PBP46" s="225"/>
      <c r="PBQ46" s="225"/>
      <c r="PBR46" s="225"/>
      <c r="PBS46" s="225"/>
      <c r="PBT46" s="225"/>
      <c r="PBU46" s="225"/>
      <c r="PBV46" s="225"/>
      <c r="PBW46" s="225"/>
      <c r="PBX46" s="225"/>
      <c r="PBY46" s="225"/>
      <c r="PBZ46" s="225"/>
      <c r="PCA46" s="225"/>
      <c r="PCB46" s="225"/>
      <c r="PCC46" s="225"/>
      <c r="PCD46" s="225"/>
      <c r="PCE46" s="225"/>
      <c r="PCF46" s="225"/>
      <c r="PCG46" s="225"/>
      <c r="PCH46" s="225"/>
      <c r="PCI46" s="225"/>
      <c r="PCJ46" s="225"/>
      <c r="PCK46" s="225"/>
      <c r="PCL46" s="225"/>
      <c r="PCM46" s="225"/>
      <c r="PCN46" s="225"/>
      <c r="PCO46" s="225"/>
      <c r="PCP46" s="225"/>
      <c r="PCQ46" s="225"/>
      <c r="PCR46" s="225"/>
      <c r="PCS46" s="225"/>
      <c r="PCT46" s="225"/>
      <c r="PCU46" s="225"/>
      <c r="PCV46" s="225"/>
      <c r="PCW46" s="225"/>
      <c r="PCX46" s="225"/>
      <c r="PCY46" s="225"/>
      <c r="PCZ46" s="225"/>
      <c r="PDA46" s="225"/>
      <c r="PDB46" s="225"/>
      <c r="PDC46" s="225"/>
      <c r="PDD46" s="225"/>
      <c r="PDE46" s="225"/>
      <c r="PDF46" s="225"/>
      <c r="PDG46" s="225"/>
      <c r="PDH46" s="225"/>
      <c r="PDI46" s="225"/>
      <c r="PDJ46" s="225"/>
      <c r="PDK46" s="225"/>
      <c r="PDL46" s="225"/>
      <c r="PDM46" s="225"/>
      <c r="PDN46" s="225"/>
      <c r="PDO46" s="225"/>
      <c r="PDP46" s="225"/>
      <c r="PDQ46" s="225"/>
      <c r="PDR46" s="225"/>
      <c r="PDS46" s="225"/>
      <c r="PDT46" s="225"/>
      <c r="PDU46" s="225"/>
      <c r="PDV46" s="225"/>
      <c r="PDW46" s="225"/>
      <c r="PDX46" s="225"/>
      <c r="PDY46" s="225"/>
      <c r="PDZ46" s="225"/>
      <c r="PEA46" s="225"/>
      <c r="PEB46" s="225"/>
      <c r="PEC46" s="225"/>
      <c r="PED46" s="225"/>
      <c r="PEE46" s="225"/>
      <c r="PEF46" s="225"/>
      <c r="PEG46" s="225"/>
      <c r="PEH46" s="225"/>
      <c r="PEI46" s="225"/>
      <c r="PEJ46" s="225"/>
      <c r="PEK46" s="225"/>
      <c r="PEL46" s="225"/>
      <c r="PEM46" s="225"/>
      <c r="PEN46" s="225"/>
      <c r="PEO46" s="225"/>
      <c r="PEP46" s="225"/>
      <c r="PEQ46" s="225"/>
      <c r="PER46" s="225"/>
      <c r="PES46" s="225"/>
      <c r="PET46" s="225"/>
      <c r="PEU46" s="225"/>
      <c r="PEV46" s="225"/>
      <c r="PEW46" s="225"/>
      <c r="PEX46" s="225"/>
      <c r="PEY46" s="225"/>
      <c r="PEZ46" s="225"/>
      <c r="PFA46" s="225"/>
      <c r="PFB46" s="225"/>
      <c r="PFC46" s="225"/>
      <c r="PFD46" s="225"/>
      <c r="PFE46" s="225"/>
      <c r="PFF46" s="225"/>
      <c r="PFG46" s="225"/>
      <c r="PFH46" s="225"/>
      <c r="PFI46" s="225"/>
      <c r="PFJ46" s="225"/>
      <c r="PFK46" s="225"/>
      <c r="PFL46" s="225"/>
      <c r="PFM46" s="225"/>
      <c r="PFN46" s="225"/>
      <c r="PFO46" s="225"/>
      <c r="PFP46" s="225"/>
      <c r="PFQ46" s="225"/>
      <c r="PFR46" s="225"/>
      <c r="PFS46" s="225"/>
      <c r="PFT46" s="225"/>
      <c r="PFU46" s="225"/>
      <c r="PFV46" s="225"/>
      <c r="PFW46" s="225"/>
      <c r="PFX46" s="225"/>
      <c r="PFY46" s="225"/>
      <c r="PFZ46" s="225"/>
      <c r="PGA46" s="225"/>
      <c r="PGB46" s="225"/>
      <c r="PGC46" s="225"/>
      <c r="PGD46" s="225"/>
      <c r="PGE46" s="225"/>
      <c r="PGF46" s="225"/>
      <c r="PGG46" s="225"/>
      <c r="PGH46" s="225"/>
      <c r="PGI46" s="225"/>
      <c r="PGJ46" s="225"/>
      <c r="PGK46" s="225"/>
      <c r="PGL46" s="225"/>
      <c r="PGM46" s="225"/>
      <c r="PGN46" s="225"/>
      <c r="PGO46" s="225"/>
      <c r="PGP46" s="225"/>
      <c r="PGQ46" s="225"/>
      <c r="PGR46" s="225"/>
      <c r="PGS46" s="225"/>
      <c r="PGT46" s="225"/>
      <c r="PGU46" s="225"/>
      <c r="PGV46" s="225"/>
      <c r="PGW46" s="225"/>
      <c r="PGX46" s="225"/>
      <c r="PGY46" s="225"/>
      <c r="PGZ46" s="225"/>
      <c r="PHA46" s="225"/>
      <c r="PHB46" s="225"/>
      <c r="PHC46" s="225"/>
      <c r="PHD46" s="225"/>
      <c r="PHE46" s="225"/>
      <c r="PHF46" s="225"/>
      <c r="PHG46" s="225"/>
      <c r="PHH46" s="225"/>
      <c r="PHI46" s="225"/>
      <c r="PHJ46" s="225"/>
      <c r="PHK46" s="225"/>
      <c r="PHL46" s="225"/>
      <c r="PHM46" s="225"/>
      <c r="PHN46" s="225"/>
      <c r="PHO46" s="225"/>
      <c r="PHP46" s="225"/>
      <c r="PHQ46" s="225"/>
      <c r="PHR46" s="225"/>
      <c r="PHS46" s="225"/>
      <c r="PHT46" s="225"/>
      <c r="PHU46" s="225"/>
      <c r="PHV46" s="225"/>
      <c r="PHW46" s="225"/>
      <c r="PHX46" s="225"/>
      <c r="PHY46" s="225"/>
      <c r="PHZ46" s="225"/>
      <c r="PIA46" s="225"/>
      <c r="PIB46" s="225"/>
      <c r="PIC46" s="225"/>
      <c r="PID46" s="225"/>
      <c r="PIE46" s="225"/>
      <c r="PIF46" s="225"/>
      <c r="PIG46" s="225"/>
      <c r="PIH46" s="225"/>
      <c r="PII46" s="225"/>
      <c r="PIJ46" s="225"/>
      <c r="PIK46" s="225"/>
      <c r="PIL46" s="225"/>
      <c r="PIM46" s="225"/>
      <c r="PIN46" s="225"/>
      <c r="PIO46" s="225"/>
      <c r="PIP46" s="225"/>
      <c r="PIQ46" s="225"/>
      <c r="PIR46" s="225"/>
      <c r="PIS46" s="225"/>
      <c r="PIT46" s="225"/>
      <c r="PIU46" s="225"/>
      <c r="PIV46" s="225"/>
      <c r="PIW46" s="225"/>
      <c r="PIX46" s="225"/>
      <c r="PIY46" s="225"/>
      <c r="PIZ46" s="225"/>
      <c r="PJA46" s="225"/>
      <c r="PJB46" s="225"/>
      <c r="PJC46" s="225"/>
      <c r="PJD46" s="225"/>
      <c r="PJE46" s="225"/>
      <c r="PJF46" s="225"/>
      <c r="PJG46" s="225"/>
      <c r="PJH46" s="225"/>
      <c r="PJI46" s="225"/>
      <c r="PJJ46" s="225"/>
      <c r="PJK46" s="225"/>
      <c r="PJL46" s="225"/>
      <c r="PJM46" s="225"/>
      <c r="PJN46" s="225"/>
      <c r="PJO46" s="225"/>
      <c r="PJP46" s="225"/>
      <c r="PJQ46" s="225"/>
      <c r="PJR46" s="225"/>
      <c r="PJS46" s="225"/>
      <c r="PJT46" s="225"/>
      <c r="PJU46" s="225"/>
      <c r="PJV46" s="225"/>
      <c r="PJW46" s="225"/>
      <c r="PJX46" s="225"/>
      <c r="PJY46" s="225"/>
      <c r="PJZ46" s="225"/>
      <c r="PKA46" s="225"/>
      <c r="PKB46" s="225"/>
      <c r="PKC46" s="225"/>
      <c r="PKD46" s="225"/>
      <c r="PKE46" s="225"/>
      <c r="PKF46" s="225"/>
      <c r="PKG46" s="225"/>
      <c r="PKH46" s="225"/>
      <c r="PKI46" s="225"/>
      <c r="PKJ46" s="225"/>
      <c r="PKK46" s="225"/>
      <c r="PKL46" s="225"/>
      <c r="PKM46" s="225"/>
      <c r="PKN46" s="225"/>
      <c r="PKO46" s="225"/>
      <c r="PKP46" s="225"/>
      <c r="PKQ46" s="225"/>
      <c r="PKR46" s="225"/>
      <c r="PKS46" s="225"/>
      <c r="PKT46" s="225"/>
      <c r="PKU46" s="225"/>
      <c r="PKV46" s="225"/>
      <c r="PKW46" s="225"/>
      <c r="PKX46" s="225"/>
      <c r="PKY46" s="225"/>
      <c r="PKZ46" s="225"/>
      <c r="PLA46" s="225"/>
      <c r="PLB46" s="225"/>
      <c r="PLC46" s="225"/>
      <c r="PLD46" s="225"/>
      <c r="PLE46" s="225"/>
      <c r="PLF46" s="225"/>
      <c r="PLG46" s="225"/>
      <c r="PLH46" s="225"/>
      <c r="PLI46" s="225"/>
      <c r="PLJ46" s="225"/>
      <c r="PLK46" s="225"/>
      <c r="PLL46" s="225"/>
      <c r="PLM46" s="225"/>
      <c r="PLN46" s="225"/>
      <c r="PLO46" s="225"/>
      <c r="PLP46" s="225"/>
      <c r="PLQ46" s="225"/>
      <c r="PLR46" s="225"/>
      <c r="PLS46" s="225"/>
      <c r="PLT46" s="225"/>
      <c r="PLU46" s="225"/>
      <c r="PLV46" s="225"/>
      <c r="PLW46" s="225"/>
      <c r="PLX46" s="225"/>
      <c r="PLY46" s="225"/>
      <c r="PLZ46" s="225"/>
      <c r="PMA46" s="225"/>
      <c r="PMB46" s="225"/>
      <c r="PMC46" s="225"/>
      <c r="PMD46" s="225"/>
      <c r="PME46" s="225"/>
      <c r="PMF46" s="225"/>
      <c r="PMG46" s="225"/>
      <c r="PMH46" s="225"/>
      <c r="PMI46" s="225"/>
      <c r="PMJ46" s="225"/>
      <c r="PMK46" s="225"/>
      <c r="PML46" s="225"/>
      <c r="PMM46" s="225"/>
      <c r="PMN46" s="225"/>
      <c r="PMO46" s="225"/>
      <c r="PMP46" s="225"/>
      <c r="PMQ46" s="225"/>
      <c r="PMR46" s="225"/>
      <c r="PMS46" s="225"/>
      <c r="PMT46" s="225"/>
      <c r="PMU46" s="225"/>
      <c r="PMV46" s="225"/>
      <c r="PMW46" s="225"/>
      <c r="PMX46" s="225"/>
      <c r="PMY46" s="225"/>
      <c r="PMZ46" s="225"/>
      <c r="PNA46" s="225"/>
      <c r="PNB46" s="225"/>
      <c r="PNC46" s="225"/>
      <c r="PND46" s="225"/>
      <c r="PNE46" s="225"/>
      <c r="PNF46" s="225"/>
      <c r="PNG46" s="225"/>
      <c r="PNH46" s="225"/>
      <c r="PNI46" s="225"/>
      <c r="PNJ46" s="225"/>
      <c r="PNK46" s="225"/>
      <c r="PNL46" s="225"/>
      <c r="PNM46" s="225"/>
      <c r="PNN46" s="225"/>
      <c r="PNO46" s="225"/>
      <c r="PNP46" s="225"/>
      <c r="PNQ46" s="225"/>
      <c r="PNR46" s="225"/>
      <c r="PNS46" s="225"/>
      <c r="PNT46" s="225"/>
      <c r="PNU46" s="225"/>
      <c r="PNV46" s="225"/>
      <c r="PNW46" s="225"/>
      <c r="PNX46" s="225"/>
      <c r="PNY46" s="225"/>
      <c r="PNZ46" s="225"/>
      <c r="POA46" s="225"/>
      <c r="POB46" s="225"/>
      <c r="POC46" s="225"/>
      <c r="POD46" s="225"/>
      <c r="POE46" s="225"/>
      <c r="POF46" s="225"/>
      <c r="POG46" s="225"/>
      <c r="POH46" s="225"/>
      <c r="POI46" s="225"/>
      <c r="POJ46" s="225"/>
      <c r="POK46" s="225"/>
      <c r="POL46" s="225"/>
      <c r="POM46" s="225"/>
      <c r="PON46" s="225"/>
      <c r="POO46" s="225"/>
      <c r="POP46" s="225"/>
      <c r="POQ46" s="225"/>
      <c r="POR46" s="225"/>
      <c r="POS46" s="225"/>
      <c r="POT46" s="225"/>
      <c r="POU46" s="225"/>
      <c r="POV46" s="225"/>
      <c r="POW46" s="225"/>
      <c r="POX46" s="225"/>
      <c r="POY46" s="225"/>
      <c r="POZ46" s="225"/>
      <c r="PPA46" s="225"/>
      <c r="PPB46" s="225"/>
      <c r="PPC46" s="225"/>
      <c r="PPD46" s="225"/>
      <c r="PPE46" s="225"/>
      <c r="PPF46" s="225"/>
      <c r="PPG46" s="225"/>
      <c r="PPH46" s="225"/>
      <c r="PPI46" s="225"/>
      <c r="PPJ46" s="225"/>
      <c r="PPK46" s="225"/>
      <c r="PPL46" s="225"/>
      <c r="PPM46" s="225"/>
      <c r="PPN46" s="225"/>
      <c r="PPO46" s="225"/>
      <c r="PPP46" s="225"/>
      <c r="PPQ46" s="225"/>
      <c r="PPR46" s="225"/>
      <c r="PPS46" s="225"/>
      <c r="PPT46" s="225"/>
      <c r="PPU46" s="225"/>
      <c r="PPV46" s="225"/>
      <c r="PPW46" s="225"/>
      <c r="PPX46" s="225"/>
      <c r="PPY46" s="225"/>
      <c r="PPZ46" s="225"/>
      <c r="PQA46" s="225"/>
      <c r="PQB46" s="225"/>
      <c r="PQC46" s="225"/>
      <c r="PQD46" s="225"/>
      <c r="PQE46" s="225"/>
      <c r="PQF46" s="225"/>
      <c r="PQG46" s="225"/>
      <c r="PQH46" s="225"/>
      <c r="PQI46" s="225"/>
      <c r="PQJ46" s="225"/>
      <c r="PQK46" s="225"/>
      <c r="PQL46" s="225"/>
      <c r="PQM46" s="225"/>
      <c r="PQN46" s="225"/>
      <c r="PQO46" s="225"/>
      <c r="PQP46" s="225"/>
      <c r="PQQ46" s="225"/>
      <c r="PQR46" s="225"/>
      <c r="PQS46" s="225"/>
      <c r="PQT46" s="225"/>
      <c r="PQU46" s="225"/>
      <c r="PQV46" s="225"/>
      <c r="PQW46" s="225"/>
      <c r="PQX46" s="225"/>
      <c r="PQY46" s="225"/>
      <c r="PQZ46" s="225"/>
      <c r="PRA46" s="225"/>
      <c r="PRB46" s="225"/>
      <c r="PRC46" s="225"/>
      <c r="PRD46" s="225"/>
      <c r="PRE46" s="225"/>
      <c r="PRF46" s="225"/>
      <c r="PRG46" s="225"/>
      <c r="PRH46" s="225"/>
      <c r="PRI46" s="225"/>
      <c r="PRJ46" s="225"/>
      <c r="PRK46" s="225"/>
      <c r="PRL46" s="225"/>
      <c r="PRM46" s="225"/>
      <c r="PRN46" s="225"/>
      <c r="PRO46" s="225"/>
      <c r="PRP46" s="225"/>
      <c r="PRQ46" s="225"/>
      <c r="PRR46" s="225"/>
      <c r="PRS46" s="225"/>
      <c r="PRT46" s="225"/>
      <c r="PRU46" s="225"/>
      <c r="PRV46" s="225"/>
      <c r="PRW46" s="225"/>
      <c r="PRX46" s="225"/>
      <c r="PRY46" s="225"/>
      <c r="PRZ46" s="225"/>
      <c r="PSA46" s="225"/>
      <c r="PSB46" s="225"/>
      <c r="PSC46" s="225"/>
      <c r="PSD46" s="225"/>
      <c r="PSE46" s="225"/>
      <c r="PSF46" s="225"/>
      <c r="PSG46" s="225"/>
      <c r="PSH46" s="225"/>
      <c r="PSI46" s="225"/>
      <c r="PSJ46" s="225"/>
      <c r="PSK46" s="225"/>
      <c r="PSL46" s="225"/>
      <c r="PSM46" s="225"/>
      <c r="PSN46" s="225"/>
      <c r="PSO46" s="225"/>
      <c r="PSP46" s="225"/>
      <c r="PSQ46" s="225"/>
      <c r="PSR46" s="225"/>
      <c r="PSS46" s="225"/>
      <c r="PST46" s="225"/>
      <c r="PSU46" s="225"/>
      <c r="PSV46" s="225"/>
      <c r="PSW46" s="225"/>
      <c r="PSX46" s="225"/>
      <c r="PSY46" s="225"/>
      <c r="PSZ46" s="225"/>
      <c r="PTA46" s="225"/>
      <c r="PTB46" s="225"/>
      <c r="PTC46" s="225"/>
      <c r="PTD46" s="225"/>
      <c r="PTE46" s="225"/>
      <c r="PTF46" s="225"/>
      <c r="PTG46" s="225"/>
      <c r="PTH46" s="225"/>
      <c r="PTI46" s="225"/>
      <c r="PTJ46" s="225"/>
      <c r="PTK46" s="225"/>
      <c r="PTL46" s="225"/>
      <c r="PTM46" s="225"/>
      <c r="PTN46" s="225"/>
      <c r="PTO46" s="225"/>
      <c r="PTP46" s="225"/>
      <c r="PTQ46" s="225"/>
      <c r="PTR46" s="225"/>
      <c r="PTS46" s="225"/>
      <c r="PTT46" s="225"/>
      <c r="PTU46" s="225"/>
      <c r="PTV46" s="225"/>
      <c r="PTW46" s="225"/>
      <c r="PTX46" s="225"/>
      <c r="PTY46" s="225"/>
      <c r="PTZ46" s="225"/>
      <c r="PUA46" s="225"/>
      <c r="PUB46" s="225"/>
      <c r="PUC46" s="225"/>
      <c r="PUD46" s="225"/>
      <c r="PUE46" s="225"/>
      <c r="PUF46" s="225"/>
      <c r="PUG46" s="225"/>
      <c r="PUH46" s="225"/>
      <c r="PUI46" s="225"/>
      <c r="PUJ46" s="225"/>
      <c r="PUK46" s="225"/>
      <c r="PUL46" s="225"/>
      <c r="PUM46" s="225"/>
      <c r="PUN46" s="225"/>
      <c r="PUO46" s="225"/>
      <c r="PUP46" s="225"/>
      <c r="PUQ46" s="225"/>
      <c r="PUR46" s="225"/>
      <c r="PUS46" s="225"/>
      <c r="PUT46" s="225"/>
      <c r="PUU46" s="225"/>
      <c r="PUV46" s="225"/>
      <c r="PUW46" s="225"/>
      <c r="PUX46" s="225"/>
      <c r="PUY46" s="225"/>
      <c r="PUZ46" s="225"/>
      <c r="PVA46" s="225"/>
      <c r="PVB46" s="225"/>
      <c r="PVC46" s="225"/>
      <c r="PVD46" s="225"/>
      <c r="PVE46" s="225"/>
      <c r="PVF46" s="225"/>
      <c r="PVG46" s="225"/>
      <c r="PVH46" s="225"/>
      <c r="PVI46" s="225"/>
      <c r="PVJ46" s="225"/>
      <c r="PVK46" s="225"/>
      <c r="PVL46" s="225"/>
      <c r="PVM46" s="225"/>
      <c r="PVN46" s="225"/>
      <c r="PVO46" s="225"/>
      <c r="PVP46" s="225"/>
      <c r="PVQ46" s="225"/>
      <c r="PVR46" s="225"/>
      <c r="PVS46" s="225"/>
      <c r="PVT46" s="225"/>
      <c r="PVU46" s="225"/>
      <c r="PVV46" s="225"/>
      <c r="PVW46" s="225"/>
      <c r="PVX46" s="225"/>
      <c r="PVY46" s="225"/>
      <c r="PVZ46" s="225"/>
      <c r="PWA46" s="225"/>
      <c r="PWB46" s="225"/>
      <c r="PWC46" s="225"/>
      <c r="PWD46" s="225"/>
      <c r="PWE46" s="225"/>
      <c r="PWF46" s="225"/>
      <c r="PWG46" s="225"/>
      <c r="PWH46" s="225"/>
      <c r="PWI46" s="225"/>
      <c r="PWJ46" s="225"/>
      <c r="PWK46" s="225"/>
      <c r="PWL46" s="225"/>
      <c r="PWM46" s="225"/>
      <c r="PWN46" s="225"/>
      <c r="PWO46" s="225"/>
      <c r="PWP46" s="225"/>
      <c r="PWQ46" s="225"/>
      <c r="PWR46" s="225"/>
      <c r="PWS46" s="225"/>
      <c r="PWT46" s="225"/>
      <c r="PWU46" s="225"/>
      <c r="PWV46" s="225"/>
      <c r="PWW46" s="225"/>
      <c r="PWX46" s="225"/>
      <c r="PWY46" s="225"/>
      <c r="PWZ46" s="225"/>
      <c r="PXA46" s="225"/>
      <c r="PXB46" s="225"/>
      <c r="PXC46" s="225"/>
      <c r="PXD46" s="225"/>
      <c r="PXE46" s="225"/>
      <c r="PXF46" s="225"/>
      <c r="PXG46" s="225"/>
      <c r="PXH46" s="225"/>
      <c r="PXI46" s="225"/>
      <c r="PXJ46" s="225"/>
      <c r="PXK46" s="225"/>
      <c r="PXL46" s="225"/>
      <c r="PXM46" s="225"/>
      <c r="PXN46" s="225"/>
      <c r="PXO46" s="225"/>
      <c r="PXP46" s="225"/>
      <c r="PXQ46" s="225"/>
      <c r="PXR46" s="225"/>
      <c r="PXS46" s="225"/>
      <c r="PXT46" s="225"/>
      <c r="PXU46" s="225"/>
      <c r="PXV46" s="225"/>
      <c r="PXW46" s="225"/>
      <c r="PXX46" s="225"/>
      <c r="PXY46" s="225"/>
      <c r="PXZ46" s="225"/>
      <c r="PYA46" s="225"/>
      <c r="PYB46" s="225"/>
      <c r="PYC46" s="225"/>
      <c r="PYD46" s="225"/>
      <c r="PYE46" s="225"/>
      <c r="PYF46" s="225"/>
      <c r="PYG46" s="225"/>
      <c r="PYH46" s="225"/>
      <c r="PYI46" s="225"/>
      <c r="PYJ46" s="225"/>
      <c r="PYK46" s="225"/>
      <c r="PYL46" s="225"/>
      <c r="PYM46" s="225"/>
      <c r="PYN46" s="225"/>
      <c r="PYO46" s="225"/>
      <c r="PYP46" s="225"/>
      <c r="PYQ46" s="225"/>
      <c r="PYR46" s="225"/>
      <c r="PYS46" s="225"/>
      <c r="PYT46" s="225"/>
      <c r="PYU46" s="225"/>
      <c r="PYV46" s="225"/>
      <c r="PYW46" s="225"/>
      <c r="PYX46" s="225"/>
      <c r="PYY46" s="225"/>
      <c r="PYZ46" s="225"/>
      <c r="PZA46" s="225"/>
      <c r="PZB46" s="225"/>
      <c r="PZC46" s="225"/>
      <c r="PZD46" s="225"/>
      <c r="PZE46" s="225"/>
      <c r="PZF46" s="225"/>
      <c r="PZG46" s="225"/>
      <c r="PZH46" s="225"/>
      <c r="PZI46" s="225"/>
      <c r="PZJ46" s="225"/>
      <c r="PZK46" s="225"/>
      <c r="PZL46" s="225"/>
      <c r="PZM46" s="225"/>
      <c r="PZN46" s="225"/>
      <c r="PZO46" s="225"/>
      <c r="PZP46" s="225"/>
      <c r="PZQ46" s="225"/>
      <c r="PZR46" s="225"/>
      <c r="PZS46" s="225"/>
      <c r="PZT46" s="225"/>
      <c r="PZU46" s="225"/>
      <c r="PZV46" s="225"/>
      <c r="PZW46" s="225"/>
      <c r="PZX46" s="225"/>
      <c r="PZY46" s="225"/>
      <c r="PZZ46" s="225"/>
      <c r="QAA46" s="225"/>
      <c r="QAB46" s="225"/>
      <c r="QAC46" s="225"/>
      <c r="QAD46" s="225"/>
      <c r="QAE46" s="225"/>
      <c r="QAF46" s="225"/>
      <c r="QAG46" s="225"/>
      <c r="QAH46" s="225"/>
      <c r="QAI46" s="225"/>
      <c r="QAJ46" s="225"/>
      <c r="QAK46" s="225"/>
      <c r="QAL46" s="225"/>
      <c r="QAM46" s="225"/>
      <c r="QAN46" s="225"/>
      <c r="QAO46" s="225"/>
      <c r="QAP46" s="225"/>
      <c r="QAQ46" s="225"/>
      <c r="QAR46" s="225"/>
      <c r="QAS46" s="225"/>
      <c r="QAT46" s="225"/>
      <c r="QAU46" s="225"/>
      <c r="QAV46" s="225"/>
      <c r="QAW46" s="225"/>
      <c r="QAX46" s="225"/>
      <c r="QAY46" s="225"/>
      <c r="QAZ46" s="225"/>
      <c r="QBA46" s="225"/>
      <c r="QBB46" s="225"/>
      <c r="QBC46" s="225"/>
      <c r="QBD46" s="225"/>
      <c r="QBE46" s="225"/>
      <c r="QBF46" s="225"/>
      <c r="QBG46" s="225"/>
      <c r="QBH46" s="225"/>
      <c r="QBI46" s="225"/>
      <c r="QBJ46" s="225"/>
      <c r="QBK46" s="225"/>
      <c r="QBL46" s="225"/>
      <c r="QBM46" s="225"/>
      <c r="QBN46" s="225"/>
      <c r="QBO46" s="225"/>
      <c r="QBP46" s="225"/>
      <c r="QBQ46" s="225"/>
      <c r="QBR46" s="225"/>
      <c r="QBS46" s="225"/>
      <c r="QBT46" s="225"/>
      <c r="QBU46" s="225"/>
      <c r="QBV46" s="225"/>
      <c r="QBW46" s="225"/>
      <c r="QBX46" s="225"/>
      <c r="QBY46" s="225"/>
      <c r="QBZ46" s="225"/>
      <c r="QCA46" s="225"/>
      <c r="QCB46" s="225"/>
      <c r="QCC46" s="225"/>
      <c r="QCD46" s="225"/>
      <c r="QCE46" s="225"/>
      <c r="QCF46" s="225"/>
      <c r="QCG46" s="225"/>
      <c r="QCH46" s="225"/>
      <c r="QCI46" s="225"/>
      <c r="QCJ46" s="225"/>
      <c r="QCK46" s="225"/>
      <c r="QCL46" s="225"/>
      <c r="QCM46" s="225"/>
      <c r="QCN46" s="225"/>
      <c r="QCO46" s="225"/>
      <c r="QCP46" s="225"/>
      <c r="QCQ46" s="225"/>
      <c r="QCR46" s="225"/>
      <c r="QCS46" s="225"/>
      <c r="QCT46" s="225"/>
      <c r="QCU46" s="225"/>
      <c r="QCV46" s="225"/>
      <c r="QCW46" s="225"/>
      <c r="QCX46" s="225"/>
      <c r="QCY46" s="225"/>
      <c r="QCZ46" s="225"/>
      <c r="QDA46" s="225"/>
      <c r="QDB46" s="225"/>
      <c r="QDC46" s="225"/>
      <c r="QDD46" s="225"/>
      <c r="QDE46" s="225"/>
      <c r="QDF46" s="225"/>
      <c r="QDG46" s="225"/>
      <c r="QDH46" s="225"/>
      <c r="QDI46" s="225"/>
      <c r="QDJ46" s="225"/>
      <c r="QDK46" s="225"/>
      <c r="QDL46" s="225"/>
      <c r="QDM46" s="225"/>
      <c r="QDN46" s="225"/>
      <c r="QDO46" s="225"/>
      <c r="QDP46" s="225"/>
      <c r="QDQ46" s="225"/>
      <c r="QDR46" s="225"/>
      <c r="QDS46" s="225"/>
      <c r="QDT46" s="225"/>
      <c r="QDU46" s="225"/>
      <c r="QDV46" s="225"/>
      <c r="QDW46" s="225"/>
      <c r="QDX46" s="225"/>
      <c r="QDY46" s="225"/>
      <c r="QDZ46" s="225"/>
      <c r="QEA46" s="225"/>
      <c r="QEB46" s="225"/>
      <c r="QEC46" s="225"/>
      <c r="QED46" s="225"/>
      <c r="QEE46" s="225"/>
      <c r="QEF46" s="225"/>
      <c r="QEG46" s="225"/>
      <c r="QEH46" s="225"/>
      <c r="QEI46" s="225"/>
      <c r="QEJ46" s="225"/>
      <c r="QEK46" s="225"/>
      <c r="QEL46" s="225"/>
      <c r="QEM46" s="225"/>
      <c r="QEN46" s="225"/>
      <c r="QEO46" s="225"/>
      <c r="QEP46" s="225"/>
      <c r="QEQ46" s="225"/>
      <c r="QER46" s="225"/>
      <c r="QES46" s="225"/>
      <c r="QET46" s="225"/>
      <c r="QEU46" s="225"/>
      <c r="QEV46" s="225"/>
      <c r="QEW46" s="225"/>
      <c r="QEX46" s="225"/>
      <c r="QEY46" s="225"/>
      <c r="QEZ46" s="225"/>
      <c r="QFA46" s="225"/>
      <c r="QFB46" s="225"/>
      <c r="QFC46" s="225"/>
      <c r="QFD46" s="225"/>
      <c r="QFE46" s="225"/>
      <c r="QFF46" s="225"/>
      <c r="QFG46" s="225"/>
      <c r="QFH46" s="225"/>
      <c r="QFI46" s="225"/>
      <c r="QFJ46" s="225"/>
      <c r="QFK46" s="225"/>
      <c r="QFL46" s="225"/>
      <c r="QFM46" s="225"/>
      <c r="QFN46" s="225"/>
      <c r="QFO46" s="225"/>
      <c r="QFP46" s="225"/>
      <c r="QFQ46" s="225"/>
      <c r="QFR46" s="225"/>
      <c r="QFS46" s="225"/>
      <c r="QFT46" s="225"/>
      <c r="QFU46" s="225"/>
      <c r="QFV46" s="225"/>
      <c r="QFW46" s="225"/>
      <c r="QFX46" s="225"/>
      <c r="QFY46" s="225"/>
      <c r="QFZ46" s="225"/>
      <c r="QGA46" s="225"/>
      <c r="QGB46" s="225"/>
      <c r="QGC46" s="225"/>
      <c r="QGD46" s="225"/>
      <c r="QGE46" s="225"/>
      <c r="QGF46" s="225"/>
      <c r="QGG46" s="225"/>
      <c r="QGH46" s="225"/>
      <c r="QGI46" s="225"/>
      <c r="QGJ46" s="225"/>
      <c r="QGK46" s="225"/>
      <c r="QGL46" s="225"/>
      <c r="QGM46" s="225"/>
      <c r="QGN46" s="225"/>
      <c r="QGO46" s="225"/>
      <c r="QGP46" s="225"/>
      <c r="QGQ46" s="225"/>
      <c r="QGR46" s="225"/>
      <c r="QGS46" s="225"/>
      <c r="QGT46" s="225"/>
      <c r="QGU46" s="225"/>
      <c r="QGV46" s="225"/>
      <c r="QGW46" s="225"/>
      <c r="QGX46" s="225"/>
      <c r="QGY46" s="225"/>
      <c r="QGZ46" s="225"/>
      <c r="QHA46" s="225"/>
      <c r="QHB46" s="225"/>
      <c r="QHC46" s="225"/>
      <c r="QHD46" s="225"/>
      <c r="QHE46" s="225"/>
      <c r="QHF46" s="225"/>
      <c r="QHG46" s="225"/>
      <c r="QHH46" s="225"/>
      <c r="QHI46" s="225"/>
      <c r="QHJ46" s="225"/>
      <c r="QHK46" s="225"/>
      <c r="QHL46" s="225"/>
      <c r="QHM46" s="225"/>
      <c r="QHN46" s="225"/>
      <c r="QHO46" s="225"/>
      <c r="QHP46" s="225"/>
      <c r="QHQ46" s="225"/>
      <c r="QHR46" s="225"/>
      <c r="QHS46" s="225"/>
      <c r="QHT46" s="225"/>
      <c r="QHU46" s="225"/>
      <c r="QHV46" s="225"/>
      <c r="QHW46" s="225"/>
      <c r="QHX46" s="225"/>
      <c r="QHY46" s="225"/>
      <c r="QHZ46" s="225"/>
      <c r="QIA46" s="225"/>
      <c r="QIB46" s="225"/>
      <c r="QIC46" s="225"/>
      <c r="QID46" s="225"/>
      <c r="QIE46" s="225"/>
      <c r="QIF46" s="225"/>
      <c r="QIG46" s="225"/>
      <c r="QIH46" s="225"/>
      <c r="QII46" s="225"/>
      <c r="QIJ46" s="225"/>
      <c r="QIK46" s="225"/>
      <c r="QIL46" s="225"/>
      <c r="QIM46" s="225"/>
      <c r="QIN46" s="225"/>
      <c r="QIO46" s="225"/>
      <c r="QIP46" s="225"/>
      <c r="QIQ46" s="225"/>
      <c r="QIR46" s="225"/>
      <c r="QIS46" s="225"/>
      <c r="QIT46" s="225"/>
      <c r="QIU46" s="225"/>
      <c r="QIV46" s="225"/>
      <c r="QIW46" s="225"/>
      <c r="QIX46" s="225"/>
      <c r="QIY46" s="225"/>
      <c r="QIZ46" s="225"/>
      <c r="QJA46" s="225"/>
      <c r="QJB46" s="225"/>
      <c r="QJC46" s="225"/>
      <c r="QJD46" s="225"/>
      <c r="QJE46" s="225"/>
      <c r="QJF46" s="225"/>
      <c r="QJG46" s="225"/>
      <c r="QJH46" s="225"/>
      <c r="QJI46" s="225"/>
      <c r="QJJ46" s="225"/>
      <c r="QJK46" s="225"/>
      <c r="QJL46" s="225"/>
      <c r="QJM46" s="225"/>
      <c r="QJN46" s="225"/>
      <c r="QJO46" s="225"/>
      <c r="QJP46" s="225"/>
      <c r="QJQ46" s="225"/>
      <c r="QJR46" s="225"/>
      <c r="QJS46" s="225"/>
      <c r="QJT46" s="225"/>
      <c r="QJU46" s="225"/>
      <c r="QJV46" s="225"/>
      <c r="QJW46" s="225"/>
      <c r="QJX46" s="225"/>
      <c r="QJY46" s="225"/>
      <c r="QJZ46" s="225"/>
      <c r="QKA46" s="225"/>
      <c r="QKB46" s="225"/>
      <c r="QKC46" s="225"/>
      <c r="QKD46" s="225"/>
      <c r="QKE46" s="225"/>
      <c r="QKF46" s="225"/>
      <c r="QKG46" s="225"/>
      <c r="QKH46" s="225"/>
      <c r="QKI46" s="225"/>
      <c r="QKJ46" s="225"/>
      <c r="QKK46" s="225"/>
      <c r="QKL46" s="225"/>
      <c r="QKM46" s="225"/>
      <c r="QKN46" s="225"/>
      <c r="QKO46" s="225"/>
      <c r="QKP46" s="225"/>
      <c r="QKQ46" s="225"/>
      <c r="QKR46" s="225"/>
      <c r="QKS46" s="225"/>
      <c r="QKT46" s="225"/>
      <c r="QKU46" s="225"/>
      <c r="QKV46" s="225"/>
      <c r="QKW46" s="225"/>
      <c r="QKX46" s="225"/>
      <c r="QKY46" s="225"/>
      <c r="QKZ46" s="225"/>
      <c r="QLA46" s="225"/>
      <c r="QLB46" s="225"/>
      <c r="QLC46" s="225"/>
      <c r="QLD46" s="225"/>
      <c r="QLE46" s="225"/>
      <c r="QLF46" s="225"/>
      <c r="QLG46" s="225"/>
      <c r="QLH46" s="225"/>
      <c r="QLI46" s="225"/>
      <c r="QLJ46" s="225"/>
      <c r="QLK46" s="225"/>
      <c r="QLL46" s="225"/>
      <c r="QLM46" s="225"/>
      <c r="QLN46" s="225"/>
      <c r="QLO46" s="225"/>
      <c r="QLP46" s="225"/>
      <c r="QLQ46" s="225"/>
      <c r="QLR46" s="225"/>
      <c r="QLS46" s="225"/>
      <c r="QLT46" s="225"/>
      <c r="QLU46" s="225"/>
      <c r="QLV46" s="225"/>
      <c r="QLW46" s="225"/>
      <c r="QLX46" s="225"/>
      <c r="QLY46" s="225"/>
      <c r="QLZ46" s="225"/>
      <c r="QMA46" s="225"/>
      <c r="QMB46" s="225"/>
      <c r="QMC46" s="225"/>
      <c r="QMD46" s="225"/>
      <c r="QME46" s="225"/>
      <c r="QMF46" s="225"/>
      <c r="QMG46" s="225"/>
      <c r="QMH46" s="225"/>
      <c r="QMI46" s="225"/>
      <c r="QMJ46" s="225"/>
      <c r="QMK46" s="225"/>
      <c r="QML46" s="225"/>
      <c r="QMM46" s="225"/>
      <c r="QMN46" s="225"/>
      <c r="QMO46" s="225"/>
      <c r="QMP46" s="225"/>
      <c r="QMQ46" s="225"/>
      <c r="QMR46" s="225"/>
      <c r="QMS46" s="225"/>
      <c r="QMT46" s="225"/>
      <c r="QMU46" s="225"/>
      <c r="QMV46" s="225"/>
      <c r="QMW46" s="225"/>
      <c r="QMX46" s="225"/>
      <c r="QMY46" s="225"/>
      <c r="QMZ46" s="225"/>
      <c r="QNA46" s="225"/>
      <c r="QNB46" s="225"/>
      <c r="QNC46" s="225"/>
      <c r="QND46" s="225"/>
      <c r="QNE46" s="225"/>
      <c r="QNF46" s="225"/>
      <c r="QNG46" s="225"/>
      <c r="QNH46" s="225"/>
      <c r="QNI46" s="225"/>
      <c r="QNJ46" s="225"/>
      <c r="QNK46" s="225"/>
      <c r="QNL46" s="225"/>
      <c r="QNM46" s="225"/>
      <c r="QNN46" s="225"/>
      <c r="QNO46" s="225"/>
      <c r="QNP46" s="225"/>
      <c r="QNQ46" s="225"/>
      <c r="QNR46" s="225"/>
      <c r="QNS46" s="225"/>
      <c r="QNT46" s="225"/>
      <c r="QNU46" s="225"/>
      <c r="QNV46" s="225"/>
      <c r="QNW46" s="225"/>
      <c r="QNX46" s="225"/>
      <c r="QNY46" s="225"/>
      <c r="QNZ46" s="225"/>
      <c r="QOA46" s="225"/>
      <c r="QOB46" s="225"/>
      <c r="QOC46" s="225"/>
      <c r="QOD46" s="225"/>
      <c r="QOE46" s="225"/>
      <c r="QOF46" s="225"/>
      <c r="QOG46" s="225"/>
      <c r="QOH46" s="225"/>
      <c r="QOI46" s="225"/>
      <c r="QOJ46" s="225"/>
      <c r="QOK46" s="225"/>
      <c r="QOL46" s="225"/>
      <c r="QOM46" s="225"/>
      <c r="QON46" s="225"/>
      <c r="QOO46" s="225"/>
      <c r="QOP46" s="225"/>
      <c r="QOQ46" s="225"/>
      <c r="QOR46" s="225"/>
      <c r="QOS46" s="225"/>
      <c r="QOT46" s="225"/>
      <c r="QOU46" s="225"/>
      <c r="QOV46" s="225"/>
      <c r="QOW46" s="225"/>
      <c r="QOX46" s="225"/>
      <c r="QOY46" s="225"/>
      <c r="QOZ46" s="225"/>
      <c r="QPA46" s="225"/>
      <c r="QPB46" s="225"/>
      <c r="QPC46" s="225"/>
      <c r="QPD46" s="225"/>
      <c r="QPE46" s="225"/>
      <c r="QPF46" s="225"/>
      <c r="QPG46" s="225"/>
      <c r="QPH46" s="225"/>
      <c r="QPI46" s="225"/>
      <c r="QPJ46" s="225"/>
      <c r="QPK46" s="225"/>
      <c r="QPL46" s="225"/>
      <c r="QPM46" s="225"/>
      <c r="QPN46" s="225"/>
      <c r="QPO46" s="225"/>
      <c r="QPP46" s="225"/>
      <c r="QPQ46" s="225"/>
      <c r="QPR46" s="225"/>
      <c r="QPS46" s="225"/>
      <c r="QPT46" s="225"/>
      <c r="QPU46" s="225"/>
      <c r="QPV46" s="225"/>
      <c r="QPW46" s="225"/>
      <c r="QPX46" s="225"/>
      <c r="QPY46" s="225"/>
      <c r="QPZ46" s="225"/>
      <c r="QQA46" s="225"/>
      <c r="QQB46" s="225"/>
      <c r="QQC46" s="225"/>
      <c r="QQD46" s="225"/>
      <c r="QQE46" s="225"/>
      <c r="QQF46" s="225"/>
      <c r="QQG46" s="225"/>
      <c r="QQH46" s="225"/>
      <c r="QQI46" s="225"/>
      <c r="QQJ46" s="225"/>
      <c r="QQK46" s="225"/>
      <c r="QQL46" s="225"/>
      <c r="QQM46" s="225"/>
      <c r="QQN46" s="225"/>
      <c r="QQO46" s="225"/>
      <c r="QQP46" s="225"/>
      <c r="QQQ46" s="225"/>
      <c r="QQR46" s="225"/>
      <c r="QQS46" s="225"/>
      <c r="QQT46" s="225"/>
      <c r="QQU46" s="225"/>
      <c r="QQV46" s="225"/>
      <c r="QQW46" s="225"/>
      <c r="QQX46" s="225"/>
      <c r="QQY46" s="225"/>
      <c r="QQZ46" s="225"/>
      <c r="QRA46" s="225"/>
      <c r="QRB46" s="225"/>
      <c r="QRC46" s="225"/>
      <c r="QRD46" s="225"/>
      <c r="QRE46" s="225"/>
      <c r="QRF46" s="225"/>
      <c r="QRG46" s="225"/>
      <c r="QRH46" s="225"/>
      <c r="QRI46" s="225"/>
      <c r="QRJ46" s="225"/>
      <c r="QRK46" s="225"/>
      <c r="QRL46" s="225"/>
      <c r="QRM46" s="225"/>
      <c r="QRN46" s="225"/>
      <c r="QRO46" s="225"/>
      <c r="QRP46" s="225"/>
      <c r="QRQ46" s="225"/>
      <c r="QRR46" s="225"/>
      <c r="QRS46" s="225"/>
      <c r="QRT46" s="225"/>
      <c r="QRU46" s="225"/>
      <c r="QRV46" s="225"/>
      <c r="QRW46" s="225"/>
      <c r="QRX46" s="225"/>
      <c r="QRY46" s="225"/>
      <c r="QRZ46" s="225"/>
      <c r="QSA46" s="225"/>
      <c r="QSB46" s="225"/>
      <c r="QSC46" s="225"/>
      <c r="QSD46" s="225"/>
      <c r="QSE46" s="225"/>
      <c r="QSF46" s="225"/>
      <c r="QSG46" s="225"/>
      <c r="QSH46" s="225"/>
      <c r="QSI46" s="225"/>
      <c r="QSJ46" s="225"/>
      <c r="QSK46" s="225"/>
      <c r="QSL46" s="225"/>
      <c r="QSM46" s="225"/>
      <c r="QSN46" s="225"/>
      <c r="QSO46" s="225"/>
      <c r="QSP46" s="225"/>
      <c r="QSQ46" s="225"/>
      <c r="QSR46" s="225"/>
      <c r="QSS46" s="225"/>
      <c r="QST46" s="225"/>
      <c r="QSU46" s="225"/>
      <c r="QSV46" s="225"/>
      <c r="QSW46" s="225"/>
      <c r="QSX46" s="225"/>
      <c r="QSY46" s="225"/>
      <c r="QSZ46" s="225"/>
      <c r="QTA46" s="225"/>
      <c r="QTB46" s="225"/>
      <c r="QTC46" s="225"/>
      <c r="QTD46" s="225"/>
      <c r="QTE46" s="225"/>
      <c r="QTF46" s="225"/>
      <c r="QTG46" s="225"/>
      <c r="QTH46" s="225"/>
      <c r="QTI46" s="225"/>
      <c r="QTJ46" s="225"/>
      <c r="QTK46" s="225"/>
      <c r="QTL46" s="225"/>
      <c r="QTM46" s="225"/>
      <c r="QTN46" s="225"/>
      <c r="QTO46" s="225"/>
      <c r="QTP46" s="225"/>
      <c r="QTQ46" s="225"/>
      <c r="QTR46" s="225"/>
      <c r="QTS46" s="225"/>
      <c r="QTT46" s="225"/>
      <c r="QTU46" s="225"/>
      <c r="QTV46" s="225"/>
      <c r="QTW46" s="225"/>
      <c r="QTX46" s="225"/>
      <c r="QTY46" s="225"/>
      <c r="QTZ46" s="225"/>
      <c r="QUA46" s="225"/>
      <c r="QUB46" s="225"/>
      <c r="QUC46" s="225"/>
      <c r="QUD46" s="225"/>
      <c r="QUE46" s="225"/>
      <c r="QUF46" s="225"/>
      <c r="QUG46" s="225"/>
      <c r="QUH46" s="225"/>
      <c r="QUI46" s="225"/>
      <c r="QUJ46" s="225"/>
      <c r="QUK46" s="225"/>
      <c r="QUL46" s="225"/>
      <c r="QUM46" s="225"/>
      <c r="QUN46" s="225"/>
      <c r="QUO46" s="225"/>
      <c r="QUP46" s="225"/>
      <c r="QUQ46" s="225"/>
      <c r="QUR46" s="225"/>
      <c r="QUS46" s="225"/>
      <c r="QUT46" s="225"/>
      <c r="QUU46" s="225"/>
      <c r="QUV46" s="225"/>
      <c r="QUW46" s="225"/>
      <c r="QUX46" s="225"/>
      <c r="QUY46" s="225"/>
      <c r="QUZ46" s="225"/>
      <c r="QVA46" s="225"/>
      <c r="QVB46" s="225"/>
      <c r="QVC46" s="225"/>
      <c r="QVD46" s="225"/>
      <c r="QVE46" s="225"/>
      <c r="QVF46" s="225"/>
      <c r="QVG46" s="225"/>
      <c r="QVH46" s="225"/>
      <c r="QVI46" s="225"/>
      <c r="QVJ46" s="225"/>
      <c r="QVK46" s="225"/>
      <c r="QVL46" s="225"/>
      <c r="QVM46" s="225"/>
      <c r="QVN46" s="225"/>
      <c r="QVO46" s="225"/>
      <c r="QVP46" s="225"/>
      <c r="QVQ46" s="225"/>
      <c r="QVR46" s="225"/>
      <c r="QVS46" s="225"/>
      <c r="QVT46" s="225"/>
      <c r="QVU46" s="225"/>
      <c r="QVV46" s="225"/>
      <c r="QVW46" s="225"/>
      <c r="QVX46" s="225"/>
      <c r="QVY46" s="225"/>
      <c r="QVZ46" s="225"/>
      <c r="QWA46" s="225"/>
      <c r="QWB46" s="225"/>
      <c r="QWC46" s="225"/>
      <c r="QWD46" s="225"/>
      <c r="QWE46" s="225"/>
      <c r="QWF46" s="225"/>
      <c r="QWG46" s="225"/>
      <c r="QWH46" s="225"/>
      <c r="QWI46" s="225"/>
      <c r="QWJ46" s="225"/>
      <c r="QWK46" s="225"/>
      <c r="QWL46" s="225"/>
      <c r="QWM46" s="225"/>
      <c r="QWN46" s="225"/>
      <c r="QWO46" s="225"/>
      <c r="QWP46" s="225"/>
      <c r="QWQ46" s="225"/>
      <c r="QWR46" s="225"/>
      <c r="QWS46" s="225"/>
      <c r="QWT46" s="225"/>
      <c r="QWU46" s="225"/>
      <c r="QWV46" s="225"/>
      <c r="QWW46" s="225"/>
      <c r="QWX46" s="225"/>
      <c r="QWY46" s="225"/>
      <c r="QWZ46" s="225"/>
      <c r="QXA46" s="225"/>
      <c r="QXB46" s="225"/>
      <c r="QXC46" s="225"/>
      <c r="QXD46" s="225"/>
      <c r="QXE46" s="225"/>
      <c r="QXF46" s="225"/>
      <c r="QXG46" s="225"/>
      <c r="QXH46" s="225"/>
      <c r="QXI46" s="225"/>
      <c r="QXJ46" s="225"/>
      <c r="QXK46" s="225"/>
      <c r="QXL46" s="225"/>
      <c r="QXM46" s="225"/>
      <c r="QXN46" s="225"/>
      <c r="QXO46" s="225"/>
      <c r="QXP46" s="225"/>
      <c r="QXQ46" s="225"/>
      <c r="QXR46" s="225"/>
      <c r="QXS46" s="225"/>
      <c r="QXT46" s="225"/>
      <c r="QXU46" s="225"/>
      <c r="QXV46" s="225"/>
      <c r="QXW46" s="225"/>
      <c r="QXX46" s="225"/>
      <c r="QXY46" s="225"/>
      <c r="QXZ46" s="225"/>
      <c r="QYA46" s="225"/>
      <c r="QYB46" s="225"/>
      <c r="QYC46" s="225"/>
      <c r="QYD46" s="225"/>
      <c r="QYE46" s="225"/>
      <c r="QYF46" s="225"/>
      <c r="QYG46" s="225"/>
      <c r="QYH46" s="225"/>
      <c r="QYI46" s="225"/>
      <c r="QYJ46" s="225"/>
      <c r="QYK46" s="225"/>
      <c r="QYL46" s="225"/>
      <c r="QYM46" s="225"/>
      <c r="QYN46" s="225"/>
      <c r="QYO46" s="225"/>
      <c r="QYP46" s="225"/>
      <c r="QYQ46" s="225"/>
      <c r="QYR46" s="225"/>
      <c r="QYS46" s="225"/>
      <c r="QYT46" s="225"/>
      <c r="QYU46" s="225"/>
      <c r="QYV46" s="225"/>
      <c r="QYW46" s="225"/>
      <c r="QYX46" s="225"/>
      <c r="QYY46" s="225"/>
      <c r="QYZ46" s="225"/>
      <c r="QZA46" s="225"/>
      <c r="QZB46" s="225"/>
      <c r="QZC46" s="225"/>
      <c r="QZD46" s="225"/>
      <c r="QZE46" s="225"/>
      <c r="QZF46" s="225"/>
      <c r="QZG46" s="225"/>
      <c r="QZH46" s="225"/>
      <c r="QZI46" s="225"/>
      <c r="QZJ46" s="225"/>
      <c r="QZK46" s="225"/>
      <c r="QZL46" s="225"/>
      <c r="QZM46" s="225"/>
      <c r="QZN46" s="225"/>
      <c r="QZO46" s="225"/>
      <c r="QZP46" s="225"/>
      <c r="QZQ46" s="225"/>
      <c r="QZR46" s="225"/>
      <c r="QZS46" s="225"/>
      <c r="QZT46" s="225"/>
      <c r="QZU46" s="225"/>
      <c r="QZV46" s="225"/>
      <c r="QZW46" s="225"/>
      <c r="QZX46" s="225"/>
      <c r="QZY46" s="225"/>
      <c r="QZZ46" s="225"/>
      <c r="RAA46" s="225"/>
      <c r="RAB46" s="225"/>
      <c r="RAC46" s="225"/>
      <c r="RAD46" s="225"/>
      <c r="RAE46" s="225"/>
      <c r="RAF46" s="225"/>
      <c r="RAG46" s="225"/>
      <c r="RAH46" s="225"/>
      <c r="RAI46" s="225"/>
      <c r="RAJ46" s="225"/>
      <c r="RAK46" s="225"/>
      <c r="RAL46" s="225"/>
      <c r="RAM46" s="225"/>
      <c r="RAN46" s="225"/>
      <c r="RAO46" s="225"/>
      <c r="RAP46" s="225"/>
      <c r="RAQ46" s="225"/>
      <c r="RAR46" s="225"/>
      <c r="RAS46" s="225"/>
      <c r="RAT46" s="225"/>
      <c r="RAU46" s="225"/>
      <c r="RAV46" s="225"/>
      <c r="RAW46" s="225"/>
      <c r="RAX46" s="225"/>
      <c r="RAY46" s="225"/>
      <c r="RAZ46" s="225"/>
      <c r="RBA46" s="225"/>
      <c r="RBB46" s="225"/>
      <c r="RBC46" s="225"/>
      <c r="RBD46" s="225"/>
      <c r="RBE46" s="225"/>
      <c r="RBF46" s="225"/>
      <c r="RBG46" s="225"/>
      <c r="RBH46" s="225"/>
      <c r="RBI46" s="225"/>
      <c r="RBJ46" s="225"/>
      <c r="RBK46" s="225"/>
      <c r="RBL46" s="225"/>
      <c r="RBM46" s="225"/>
      <c r="RBN46" s="225"/>
      <c r="RBO46" s="225"/>
      <c r="RBP46" s="225"/>
      <c r="RBQ46" s="225"/>
      <c r="RBR46" s="225"/>
      <c r="RBS46" s="225"/>
      <c r="RBT46" s="225"/>
      <c r="RBU46" s="225"/>
      <c r="RBV46" s="225"/>
      <c r="RBW46" s="225"/>
      <c r="RBX46" s="225"/>
      <c r="RBY46" s="225"/>
      <c r="RBZ46" s="225"/>
      <c r="RCA46" s="225"/>
      <c r="RCB46" s="225"/>
      <c r="RCC46" s="225"/>
      <c r="RCD46" s="225"/>
      <c r="RCE46" s="225"/>
      <c r="RCF46" s="225"/>
      <c r="RCG46" s="225"/>
      <c r="RCH46" s="225"/>
      <c r="RCI46" s="225"/>
      <c r="RCJ46" s="225"/>
      <c r="RCK46" s="225"/>
      <c r="RCL46" s="225"/>
      <c r="RCM46" s="225"/>
      <c r="RCN46" s="225"/>
      <c r="RCO46" s="225"/>
      <c r="RCP46" s="225"/>
      <c r="RCQ46" s="225"/>
      <c r="RCR46" s="225"/>
      <c r="RCS46" s="225"/>
      <c r="RCT46" s="225"/>
      <c r="RCU46" s="225"/>
      <c r="RCV46" s="225"/>
      <c r="RCW46" s="225"/>
      <c r="RCX46" s="225"/>
      <c r="RCY46" s="225"/>
      <c r="RCZ46" s="225"/>
      <c r="RDA46" s="225"/>
      <c r="RDB46" s="225"/>
      <c r="RDC46" s="225"/>
      <c r="RDD46" s="225"/>
      <c r="RDE46" s="225"/>
      <c r="RDF46" s="225"/>
      <c r="RDG46" s="225"/>
      <c r="RDH46" s="225"/>
      <c r="RDI46" s="225"/>
    </row>
    <row r="47" spans="1:12281" x14ac:dyDescent="0.3">
      <c r="A47" s="1">
        <v>1</v>
      </c>
      <c r="B47" s="4">
        <v>4.4064600000000002E-2</v>
      </c>
      <c r="C47" s="4">
        <v>27.802199999999999</v>
      </c>
      <c r="D47" s="4">
        <v>0</v>
      </c>
      <c r="E47" s="4">
        <v>72.153700000000001</v>
      </c>
      <c r="F47" s="59"/>
      <c r="G47" s="1">
        <v>1</v>
      </c>
      <c r="H47" s="4">
        <f>B47*$C$38/100</f>
        <v>0.38885869682935187</v>
      </c>
      <c r="I47" s="82">
        <f>C47*$C$39/100</f>
        <v>73.456695128340669</v>
      </c>
      <c r="J47" s="4">
        <f>D47*$C$40/100</f>
        <v>0</v>
      </c>
      <c r="K47" s="82">
        <f>$C$41*E47/100</f>
        <v>67.364297928611506</v>
      </c>
      <c r="L47" s="61">
        <f>SUM(H47:K47)</f>
        <v>141.20985175378152</v>
      </c>
      <c r="N47" s="1">
        <v>1</v>
      </c>
      <c r="O47" s="4">
        <f>H47*$J$7*$M$7</f>
        <v>2.055567709275399E-2</v>
      </c>
      <c r="P47" s="4">
        <f t="shared" ref="P47:P69" si="4">I47*$J$13*$M$13</f>
        <v>10.961373668201306</v>
      </c>
      <c r="Q47" s="4">
        <f t="shared" ref="Q47:Q69" si="5">J47*$J$16*$M$16</f>
        <v>0</v>
      </c>
      <c r="R47" s="4">
        <f t="shared" ref="R47:R69" si="6">K47*$J$19*$M$19</f>
        <v>31.811438598120798</v>
      </c>
      <c r="S47" s="88">
        <f>SUM(O47:R47)</f>
        <v>42.793367943414857</v>
      </c>
      <c r="T47" s="1">
        <v>1</v>
      </c>
      <c r="U47" s="4">
        <f>H47*$J$7</f>
        <v>2.3343290261225433E-2</v>
      </c>
      <c r="V47" s="4">
        <f>I47*$J$13</f>
        <v>14.728258613504758</v>
      </c>
      <c r="W47" s="4">
        <f>J47*$J$16</f>
        <v>0</v>
      </c>
      <c r="X47" s="4">
        <f>K47*$J$19</f>
        <v>38.223534595148521</v>
      </c>
      <c r="Y47" s="64">
        <f>SUM(U47:X47)</f>
        <v>52.975136498914509</v>
      </c>
      <c r="Z47" s="225"/>
      <c r="AA47" s="45">
        <f>S47+$F$35</f>
        <v>60.802187294226833</v>
      </c>
      <c r="AB47" s="45"/>
      <c r="AC47" s="225"/>
      <c r="AD47" s="225"/>
      <c r="AE47" s="225"/>
      <c r="AF47" s="225"/>
      <c r="AG47" s="225"/>
      <c r="AH47" s="225"/>
      <c r="AI47" s="225"/>
      <c r="AJ47" s="225"/>
      <c r="AK47" s="225"/>
      <c r="AL47" s="225"/>
      <c r="AM47" s="225"/>
      <c r="AN47" s="225"/>
      <c r="AO47" s="225"/>
      <c r="AP47" s="225"/>
      <c r="AQ47" s="225"/>
      <c r="AR47" s="225"/>
      <c r="AS47" s="225"/>
      <c r="AT47" s="225"/>
      <c r="AU47" s="225"/>
      <c r="AV47" s="225"/>
      <c r="AW47" s="225"/>
      <c r="AX47" s="225"/>
      <c r="AY47" s="225"/>
      <c r="AZ47" s="225"/>
      <c r="BA47" s="225"/>
      <c r="BB47" s="225"/>
      <c r="BC47" s="225"/>
      <c r="BD47" s="225"/>
      <c r="BE47" s="225"/>
      <c r="BF47" s="225"/>
      <c r="BG47" s="225"/>
      <c r="BH47" s="225"/>
      <c r="BI47" s="225"/>
      <c r="BJ47" s="225"/>
      <c r="BK47" s="225"/>
      <c r="BL47" s="225"/>
      <c r="BM47" s="225"/>
      <c r="BN47" s="225"/>
      <c r="BO47" s="225"/>
      <c r="BP47" s="225"/>
      <c r="BQ47" s="225"/>
      <c r="BR47" s="225"/>
      <c r="BS47" s="225"/>
      <c r="BT47" s="225"/>
      <c r="BU47" s="225"/>
      <c r="BV47" s="225"/>
      <c r="BW47" s="225"/>
      <c r="BX47" s="225"/>
      <c r="BY47" s="225"/>
      <c r="BZ47" s="225"/>
      <c r="CA47" s="225"/>
      <c r="CB47" s="225"/>
      <c r="CC47" s="225"/>
      <c r="CD47" s="225"/>
      <c r="CE47" s="225"/>
      <c r="CF47" s="225"/>
      <c r="CG47" s="225"/>
      <c r="CH47" s="225"/>
      <c r="CI47" s="225"/>
      <c r="CJ47" s="225"/>
      <c r="CK47" s="225"/>
      <c r="CL47" s="225"/>
      <c r="CM47" s="225"/>
      <c r="CN47" s="225"/>
      <c r="CO47" s="225"/>
      <c r="CP47" s="225"/>
      <c r="CQ47" s="225"/>
      <c r="CR47" s="225"/>
      <c r="CS47" s="225"/>
      <c r="CT47" s="225"/>
      <c r="CU47" s="225"/>
      <c r="CV47" s="225"/>
      <c r="CW47" s="225"/>
      <c r="CX47" s="225"/>
      <c r="CY47" s="225"/>
      <c r="CZ47" s="225"/>
      <c r="DA47" s="225"/>
      <c r="DB47" s="225"/>
      <c r="DC47" s="225"/>
      <c r="DD47" s="225"/>
      <c r="DE47" s="225"/>
      <c r="DF47" s="225"/>
      <c r="DG47" s="225"/>
      <c r="DH47" s="225"/>
      <c r="DI47" s="225"/>
      <c r="DJ47" s="225"/>
      <c r="DK47" s="225"/>
      <c r="DL47" s="225"/>
      <c r="DM47" s="225"/>
      <c r="DN47" s="225"/>
      <c r="DO47" s="225"/>
      <c r="DP47" s="225"/>
      <c r="DQ47" s="225"/>
      <c r="DR47" s="225"/>
      <c r="DS47" s="225"/>
      <c r="DT47" s="225"/>
      <c r="DU47" s="225"/>
      <c r="DV47" s="225"/>
      <c r="DW47" s="225"/>
      <c r="DX47" s="225"/>
      <c r="DY47" s="225"/>
      <c r="DZ47" s="225"/>
      <c r="EA47" s="225"/>
      <c r="EB47" s="225"/>
      <c r="EC47" s="225"/>
      <c r="ED47" s="225"/>
      <c r="EE47" s="225"/>
      <c r="EF47" s="225"/>
      <c r="EG47" s="225"/>
      <c r="EH47" s="225"/>
      <c r="EI47" s="225"/>
      <c r="EJ47" s="225"/>
      <c r="EK47" s="225"/>
      <c r="EL47" s="225"/>
      <c r="EM47" s="225"/>
      <c r="EN47" s="225"/>
      <c r="EO47" s="225"/>
      <c r="EP47" s="225"/>
      <c r="EQ47" s="225"/>
      <c r="ER47" s="225"/>
      <c r="ES47" s="225"/>
      <c r="ET47" s="225"/>
      <c r="EU47" s="225"/>
      <c r="EV47" s="225"/>
      <c r="EW47" s="225"/>
      <c r="EX47" s="225"/>
      <c r="EY47" s="225"/>
      <c r="EZ47" s="225"/>
      <c r="FA47" s="225"/>
      <c r="FB47" s="225"/>
      <c r="FC47" s="225"/>
      <c r="FD47" s="225"/>
      <c r="FE47" s="225"/>
      <c r="FF47" s="225"/>
      <c r="FG47" s="225"/>
      <c r="FH47" s="225"/>
      <c r="FI47" s="225"/>
      <c r="FJ47" s="225"/>
      <c r="FK47" s="225"/>
      <c r="FL47" s="225"/>
      <c r="FM47" s="225"/>
      <c r="FN47" s="225"/>
      <c r="FO47" s="225"/>
      <c r="FP47" s="225"/>
      <c r="FQ47" s="225"/>
      <c r="FR47" s="225"/>
      <c r="FS47" s="225"/>
      <c r="FT47" s="225"/>
      <c r="FU47" s="225"/>
      <c r="FV47" s="225"/>
      <c r="FW47" s="225"/>
      <c r="FX47" s="225"/>
      <c r="FY47" s="225"/>
      <c r="FZ47" s="225"/>
      <c r="GA47" s="225"/>
      <c r="GB47" s="225"/>
      <c r="GC47" s="225"/>
      <c r="GD47" s="225"/>
      <c r="GE47" s="225"/>
      <c r="GF47" s="225"/>
      <c r="GG47" s="225"/>
      <c r="GH47" s="225"/>
      <c r="GI47" s="225"/>
      <c r="GJ47" s="225"/>
      <c r="GK47" s="225"/>
      <c r="GL47" s="225"/>
      <c r="GM47" s="225"/>
      <c r="GN47" s="225"/>
      <c r="GO47" s="225"/>
      <c r="GP47" s="225"/>
      <c r="GQ47" s="225"/>
      <c r="GR47" s="225"/>
      <c r="GS47" s="225"/>
      <c r="GT47" s="225"/>
      <c r="GU47" s="225"/>
      <c r="GV47" s="225"/>
      <c r="GW47" s="225"/>
      <c r="GX47" s="225"/>
      <c r="GY47" s="225"/>
      <c r="GZ47" s="225"/>
      <c r="HA47" s="225"/>
      <c r="HB47" s="225"/>
      <c r="HC47" s="225"/>
      <c r="HD47" s="225"/>
      <c r="HE47" s="225"/>
      <c r="HF47" s="225"/>
      <c r="HG47" s="225"/>
      <c r="HH47" s="225"/>
      <c r="HI47" s="225"/>
      <c r="HJ47" s="225"/>
      <c r="HK47" s="225"/>
      <c r="HL47" s="225"/>
      <c r="HM47" s="225"/>
      <c r="HN47" s="225"/>
      <c r="HO47" s="225"/>
      <c r="HP47" s="225"/>
      <c r="HQ47" s="225"/>
      <c r="HR47" s="225"/>
      <c r="HS47" s="225"/>
      <c r="HT47" s="225"/>
      <c r="HU47" s="225"/>
      <c r="HV47" s="225"/>
      <c r="HW47" s="225"/>
      <c r="HX47" s="225"/>
      <c r="HY47" s="225"/>
      <c r="HZ47" s="225"/>
      <c r="IA47" s="225"/>
      <c r="IB47" s="225"/>
      <c r="IC47" s="225"/>
      <c r="ID47" s="225"/>
      <c r="IE47" s="225"/>
      <c r="IF47" s="225"/>
      <c r="IG47" s="225"/>
      <c r="IH47" s="225"/>
      <c r="II47" s="225"/>
      <c r="IJ47" s="225"/>
      <c r="IK47" s="225"/>
      <c r="IL47" s="225"/>
      <c r="IM47" s="225"/>
      <c r="IN47" s="225"/>
      <c r="IO47" s="225"/>
      <c r="IP47" s="225"/>
      <c r="IQ47" s="225"/>
      <c r="IR47" s="225"/>
      <c r="IS47" s="225"/>
      <c r="IT47" s="225"/>
      <c r="IU47" s="225"/>
      <c r="IV47" s="225"/>
      <c r="IW47" s="225"/>
      <c r="IX47" s="225"/>
      <c r="IY47" s="225"/>
      <c r="IZ47" s="225"/>
      <c r="JA47" s="225"/>
      <c r="JB47" s="225"/>
      <c r="JC47" s="225"/>
      <c r="JD47" s="225"/>
      <c r="JE47" s="225"/>
      <c r="JF47" s="225"/>
      <c r="JG47" s="225"/>
      <c r="JH47" s="225"/>
      <c r="JI47" s="225"/>
      <c r="JJ47" s="225"/>
      <c r="JK47" s="225"/>
      <c r="JL47" s="225"/>
      <c r="JM47" s="225"/>
      <c r="JN47" s="225"/>
      <c r="JO47" s="225"/>
      <c r="JP47" s="225"/>
      <c r="JQ47" s="225"/>
      <c r="JR47" s="225"/>
      <c r="JS47" s="225"/>
      <c r="JT47" s="225"/>
      <c r="JU47" s="225"/>
      <c r="JV47" s="225"/>
      <c r="JW47" s="225"/>
      <c r="JX47" s="225"/>
      <c r="JY47" s="225"/>
      <c r="JZ47" s="225"/>
      <c r="KA47" s="225"/>
      <c r="KB47" s="225"/>
      <c r="KC47" s="225"/>
      <c r="KD47" s="225"/>
      <c r="KE47" s="225"/>
      <c r="KF47" s="225"/>
      <c r="KG47" s="225"/>
      <c r="KH47" s="225"/>
      <c r="KI47" s="225"/>
      <c r="KJ47" s="225"/>
      <c r="KK47" s="225"/>
      <c r="KL47" s="225"/>
      <c r="KM47" s="225"/>
      <c r="KN47" s="225"/>
      <c r="KO47" s="225"/>
      <c r="KP47" s="225"/>
      <c r="KQ47" s="225"/>
      <c r="KR47" s="225"/>
      <c r="KS47" s="225"/>
      <c r="KT47" s="225"/>
      <c r="KU47" s="225"/>
      <c r="KV47" s="225"/>
      <c r="KW47" s="225"/>
      <c r="KX47" s="225"/>
      <c r="KY47" s="225"/>
      <c r="KZ47" s="225"/>
      <c r="LA47" s="225"/>
      <c r="LB47" s="225"/>
      <c r="LC47" s="225"/>
      <c r="LD47" s="225"/>
      <c r="LE47" s="225"/>
      <c r="LF47" s="225"/>
      <c r="LG47" s="225"/>
      <c r="LH47" s="225"/>
      <c r="LI47" s="225"/>
      <c r="LJ47" s="225"/>
      <c r="LK47" s="225"/>
      <c r="LL47" s="225"/>
      <c r="LM47" s="225"/>
      <c r="LN47" s="225"/>
      <c r="LO47" s="225"/>
      <c r="LP47" s="225"/>
      <c r="LQ47" s="225"/>
      <c r="LR47" s="225"/>
      <c r="LS47" s="225"/>
      <c r="LT47" s="225"/>
      <c r="LU47" s="225"/>
      <c r="LV47" s="225"/>
      <c r="LW47" s="225"/>
      <c r="LX47" s="225"/>
      <c r="LY47" s="225"/>
      <c r="LZ47" s="225"/>
      <c r="MA47" s="225"/>
      <c r="MB47" s="225"/>
      <c r="MC47" s="225"/>
      <c r="MD47" s="225"/>
      <c r="ME47" s="225"/>
      <c r="MF47" s="225"/>
      <c r="MG47" s="225"/>
      <c r="MH47" s="225"/>
      <c r="MI47" s="225"/>
      <c r="MJ47" s="225"/>
      <c r="MK47" s="225"/>
      <c r="ML47" s="225"/>
      <c r="MM47" s="225"/>
      <c r="MN47" s="225"/>
      <c r="MO47" s="225"/>
      <c r="MP47" s="225"/>
      <c r="MQ47" s="225"/>
      <c r="MR47" s="225"/>
      <c r="MS47" s="225"/>
      <c r="MT47" s="225"/>
      <c r="MU47" s="225"/>
      <c r="MV47" s="225"/>
      <c r="MW47" s="225"/>
      <c r="MX47" s="225"/>
      <c r="MY47" s="225"/>
      <c r="MZ47" s="225"/>
      <c r="NA47" s="225"/>
      <c r="NB47" s="225"/>
      <c r="NC47" s="225"/>
      <c r="ND47" s="225"/>
      <c r="NE47" s="225"/>
      <c r="NF47" s="225"/>
      <c r="NG47" s="225"/>
      <c r="NH47" s="225"/>
      <c r="NI47" s="225"/>
      <c r="NJ47" s="225"/>
      <c r="NK47" s="225"/>
      <c r="NL47" s="225"/>
      <c r="NM47" s="225"/>
      <c r="NN47" s="225"/>
      <c r="NO47" s="225"/>
      <c r="NP47" s="225"/>
      <c r="NQ47" s="225"/>
      <c r="NR47" s="225"/>
      <c r="NS47" s="225"/>
      <c r="NT47" s="225"/>
      <c r="NU47" s="225"/>
      <c r="NV47" s="225"/>
      <c r="NW47" s="225"/>
      <c r="NX47" s="225"/>
      <c r="NY47" s="225"/>
      <c r="NZ47" s="225"/>
      <c r="OA47" s="225"/>
      <c r="OB47" s="225"/>
      <c r="OC47" s="225"/>
      <c r="OD47" s="225"/>
      <c r="OE47" s="225"/>
      <c r="OF47" s="225"/>
      <c r="OG47" s="225"/>
      <c r="OH47" s="225"/>
      <c r="OI47" s="225"/>
      <c r="OJ47" s="225"/>
      <c r="OK47" s="225"/>
      <c r="OL47" s="225"/>
      <c r="OM47" s="225"/>
      <c r="ON47" s="225"/>
      <c r="OO47" s="225"/>
      <c r="OP47" s="225"/>
      <c r="OQ47" s="225"/>
      <c r="OR47" s="225"/>
      <c r="OS47" s="225"/>
      <c r="OT47" s="225"/>
      <c r="OU47" s="225"/>
      <c r="OV47" s="225"/>
      <c r="OW47" s="225"/>
      <c r="OX47" s="225"/>
      <c r="OY47" s="225"/>
      <c r="OZ47" s="225"/>
      <c r="PA47" s="225"/>
      <c r="PB47" s="225"/>
      <c r="PC47" s="225"/>
      <c r="PD47" s="225"/>
      <c r="PE47" s="225"/>
      <c r="PF47" s="225"/>
      <c r="PG47" s="225"/>
      <c r="PH47" s="225"/>
      <c r="PI47" s="225"/>
      <c r="PJ47" s="225"/>
      <c r="PK47" s="225"/>
      <c r="PL47" s="225"/>
      <c r="PM47" s="225"/>
      <c r="PN47" s="225"/>
      <c r="PO47" s="225"/>
      <c r="PP47" s="225"/>
      <c r="PQ47" s="225"/>
      <c r="PR47" s="225"/>
      <c r="PS47" s="225"/>
      <c r="PT47" s="225"/>
      <c r="PU47" s="225"/>
      <c r="PV47" s="225"/>
      <c r="PW47" s="225"/>
      <c r="PX47" s="225"/>
      <c r="PY47" s="225"/>
      <c r="PZ47" s="225"/>
      <c r="QA47" s="225"/>
      <c r="QB47" s="225"/>
      <c r="QC47" s="225"/>
      <c r="QD47" s="225"/>
      <c r="QE47" s="225"/>
      <c r="QF47" s="225"/>
      <c r="QG47" s="225"/>
      <c r="QH47" s="225"/>
      <c r="QI47" s="225"/>
      <c r="QJ47" s="225"/>
      <c r="QK47" s="225"/>
      <c r="QL47" s="225"/>
      <c r="QM47" s="225"/>
      <c r="QN47" s="225"/>
      <c r="QO47" s="225"/>
      <c r="QP47" s="225"/>
      <c r="QQ47" s="225"/>
      <c r="QR47" s="225"/>
      <c r="QS47" s="225"/>
      <c r="QT47" s="225"/>
      <c r="QU47" s="225"/>
      <c r="QV47" s="225"/>
      <c r="QW47" s="225"/>
      <c r="QX47" s="225"/>
      <c r="QY47" s="225"/>
      <c r="QZ47" s="225"/>
      <c r="RA47" s="225"/>
      <c r="RB47" s="225"/>
      <c r="RC47" s="225"/>
      <c r="RD47" s="225"/>
      <c r="RE47" s="225"/>
      <c r="RF47" s="225"/>
      <c r="RG47" s="225"/>
      <c r="RH47" s="225"/>
      <c r="RI47" s="225"/>
      <c r="RJ47" s="225"/>
      <c r="RK47" s="225"/>
      <c r="RL47" s="225"/>
      <c r="RM47" s="225"/>
      <c r="RN47" s="225"/>
      <c r="RO47" s="225"/>
      <c r="RP47" s="225"/>
      <c r="RQ47" s="225"/>
      <c r="RR47" s="225"/>
      <c r="RS47" s="225"/>
      <c r="RT47" s="225"/>
      <c r="RU47" s="225"/>
      <c r="RV47" s="225"/>
      <c r="RW47" s="225"/>
      <c r="RX47" s="225"/>
      <c r="RY47" s="225"/>
      <c r="RZ47" s="225"/>
      <c r="SA47" s="225"/>
      <c r="SB47" s="225"/>
      <c r="SC47" s="225"/>
      <c r="SD47" s="225"/>
      <c r="SE47" s="225"/>
      <c r="SF47" s="225"/>
      <c r="SG47" s="225"/>
      <c r="SH47" s="225"/>
      <c r="SI47" s="225"/>
      <c r="SJ47" s="225"/>
      <c r="SK47" s="225"/>
      <c r="SL47" s="225"/>
      <c r="SM47" s="225"/>
      <c r="SN47" s="225"/>
      <c r="SO47" s="225"/>
      <c r="SP47" s="225"/>
      <c r="SQ47" s="225"/>
      <c r="SR47" s="225"/>
      <c r="SS47" s="225"/>
      <c r="ST47" s="225"/>
      <c r="SU47" s="225"/>
      <c r="SV47" s="225"/>
      <c r="SW47" s="225"/>
      <c r="SX47" s="225"/>
      <c r="SY47" s="225"/>
      <c r="SZ47" s="225"/>
      <c r="TA47" s="225"/>
      <c r="TB47" s="225"/>
      <c r="TC47" s="225"/>
      <c r="TD47" s="225"/>
      <c r="TE47" s="225"/>
      <c r="TF47" s="225"/>
      <c r="TG47" s="225"/>
      <c r="TH47" s="225"/>
      <c r="TI47" s="225"/>
      <c r="TJ47" s="225"/>
      <c r="TK47" s="225"/>
      <c r="TL47" s="225"/>
      <c r="TM47" s="225"/>
      <c r="TN47" s="225"/>
      <c r="TO47" s="225"/>
      <c r="TP47" s="225"/>
      <c r="TQ47" s="225"/>
      <c r="TR47" s="225"/>
      <c r="TS47" s="225"/>
      <c r="TT47" s="225"/>
      <c r="TU47" s="225"/>
      <c r="TV47" s="225"/>
      <c r="TW47" s="225"/>
      <c r="TX47" s="225"/>
      <c r="TY47" s="225"/>
      <c r="TZ47" s="225"/>
      <c r="UA47" s="225"/>
      <c r="UB47" s="225"/>
      <c r="UC47" s="225"/>
      <c r="UD47" s="225"/>
      <c r="UE47" s="225"/>
      <c r="UF47" s="225"/>
      <c r="UG47" s="225"/>
      <c r="UH47" s="225"/>
      <c r="UI47" s="225"/>
      <c r="UJ47" s="225"/>
      <c r="UK47" s="225"/>
      <c r="UL47" s="225"/>
      <c r="UM47" s="225"/>
      <c r="UN47" s="225"/>
      <c r="UO47" s="225"/>
      <c r="UP47" s="225"/>
      <c r="UQ47" s="225"/>
      <c r="UR47" s="225"/>
      <c r="US47" s="225"/>
      <c r="UT47" s="225"/>
      <c r="UU47" s="225"/>
      <c r="UV47" s="225"/>
      <c r="UW47" s="225"/>
      <c r="UX47" s="225"/>
      <c r="UY47" s="225"/>
      <c r="UZ47" s="225"/>
      <c r="VA47" s="225"/>
      <c r="VB47" s="225"/>
      <c r="VC47" s="225"/>
      <c r="VD47" s="225"/>
      <c r="VE47" s="225"/>
      <c r="VF47" s="225"/>
      <c r="VG47" s="225"/>
      <c r="VH47" s="225"/>
      <c r="VI47" s="225"/>
      <c r="VJ47" s="225"/>
      <c r="VK47" s="225"/>
      <c r="VL47" s="225"/>
      <c r="VM47" s="225"/>
      <c r="VN47" s="225"/>
      <c r="VO47" s="225"/>
      <c r="VP47" s="225"/>
      <c r="VQ47" s="225"/>
      <c r="VR47" s="225"/>
      <c r="VS47" s="225"/>
      <c r="VT47" s="225"/>
      <c r="VU47" s="225"/>
      <c r="VV47" s="225"/>
      <c r="VW47" s="225"/>
      <c r="VX47" s="225"/>
      <c r="VY47" s="225"/>
      <c r="VZ47" s="225"/>
      <c r="WA47" s="225"/>
      <c r="WB47" s="225"/>
      <c r="WC47" s="225"/>
      <c r="WD47" s="225"/>
      <c r="WE47" s="225"/>
      <c r="WF47" s="225"/>
      <c r="WG47" s="225"/>
      <c r="WH47" s="225"/>
      <c r="WI47" s="225"/>
      <c r="WJ47" s="225"/>
      <c r="WK47" s="225"/>
      <c r="WL47" s="225"/>
      <c r="WM47" s="225"/>
      <c r="WN47" s="225"/>
      <c r="WO47" s="225"/>
      <c r="WP47" s="225"/>
      <c r="WQ47" s="225"/>
      <c r="WR47" s="225"/>
      <c r="WS47" s="225"/>
      <c r="WT47" s="225"/>
      <c r="WU47" s="225"/>
      <c r="WV47" s="225"/>
      <c r="WW47" s="225"/>
      <c r="WX47" s="225"/>
      <c r="WY47" s="225"/>
      <c r="WZ47" s="225"/>
      <c r="XA47" s="225"/>
      <c r="XB47" s="225"/>
      <c r="XC47" s="225"/>
      <c r="XD47" s="225"/>
      <c r="XE47" s="225"/>
      <c r="XF47" s="225"/>
      <c r="XG47" s="225"/>
      <c r="XH47" s="225"/>
      <c r="XI47" s="225"/>
      <c r="XJ47" s="225"/>
      <c r="XK47" s="225"/>
      <c r="XL47" s="225"/>
      <c r="XM47" s="225"/>
      <c r="XN47" s="225"/>
      <c r="XO47" s="225"/>
      <c r="XP47" s="225"/>
      <c r="XQ47" s="225"/>
      <c r="XR47" s="225"/>
      <c r="XS47" s="225"/>
      <c r="XT47" s="225"/>
      <c r="XU47" s="225"/>
      <c r="XV47" s="225"/>
      <c r="XW47" s="225"/>
      <c r="XX47" s="225"/>
      <c r="XY47" s="225"/>
      <c r="XZ47" s="225"/>
      <c r="YA47" s="225"/>
      <c r="YB47" s="225"/>
      <c r="YC47" s="225"/>
      <c r="YD47" s="225"/>
      <c r="YE47" s="225"/>
      <c r="YF47" s="225"/>
      <c r="YG47" s="225"/>
      <c r="YH47" s="225"/>
      <c r="YI47" s="225"/>
      <c r="YJ47" s="225"/>
      <c r="YK47" s="225"/>
      <c r="YL47" s="225"/>
      <c r="YM47" s="225"/>
      <c r="YN47" s="225"/>
      <c r="YO47" s="225"/>
      <c r="YP47" s="225"/>
      <c r="YQ47" s="225"/>
      <c r="YR47" s="225"/>
      <c r="YS47" s="225"/>
      <c r="YT47" s="225"/>
      <c r="YU47" s="225"/>
      <c r="YV47" s="225"/>
      <c r="YW47" s="225"/>
      <c r="YX47" s="225"/>
      <c r="YY47" s="225"/>
      <c r="YZ47" s="225"/>
      <c r="ZA47" s="225"/>
      <c r="ZB47" s="225"/>
      <c r="ZC47" s="225"/>
      <c r="ZD47" s="225"/>
      <c r="ZE47" s="225"/>
      <c r="ZF47" s="225"/>
      <c r="ZG47" s="225"/>
      <c r="ZH47" s="225"/>
      <c r="ZI47" s="225"/>
      <c r="ZJ47" s="225"/>
      <c r="ZK47" s="225"/>
      <c r="ZL47" s="225"/>
      <c r="ZM47" s="225"/>
      <c r="ZN47" s="225"/>
      <c r="ZO47" s="225"/>
      <c r="ZP47" s="225"/>
      <c r="ZQ47" s="225"/>
      <c r="ZR47" s="225"/>
      <c r="ZS47" s="225"/>
      <c r="ZT47" s="225"/>
      <c r="ZU47" s="225"/>
      <c r="ZV47" s="225"/>
      <c r="ZW47" s="225"/>
      <c r="ZX47" s="225"/>
      <c r="ZY47" s="225"/>
      <c r="ZZ47" s="225"/>
      <c r="AAA47" s="225"/>
      <c r="AAB47" s="225"/>
      <c r="AAC47" s="225"/>
      <c r="AAD47" s="225"/>
      <c r="AAE47" s="225"/>
      <c r="AAF47" s="225"/>
      <c r="AAG47" s="225"/>
      <c r="AAH47" s="225"/>
      <c r="AAI47" s="225"/>
      <c r="AAJ47" s="225"/>
      <c r="AAK47" s="225"/>
      <c r="AAL47" s="225"/>
      <c r="AAM47" s="225"/>
      <c r="AAN47" s="225"/>
      <c r="AAO47" s="225"/>
      <c r="AAP47" s="225"/>
      <c r="AAQ47" s="225"/>
      <c r="AAR47" s="225"/>
      <c r="AAS47" s="225"/>
      <c r="AAT47" s="225"/>
      <c r="AAU47" s="225"/>
      <c r="AAV47" s="225"/>
      <c r="AAW47" s="225"/>
      <c r="AAX47" s="225"/>
      <c r="AAY47" s="225"/>
      <c r="AAZ47" s="225"/>
      <c r="ABA47" s="225"/>
      <c r="ABB47" s="225"/>
      <c r="ABC47" s="225"/>
      <c r="ABD47" s="225"/>
      <c r="ABE47" s="225"/>
      <c r="ABF47" s="225"/>
      <c r="ABG47" s="225"/>
      <c r="ABH47" s="225"/>
      <c r="ABI47" s="225"/>
      <c r="ABJ47" s="225"/>
      <c r="ABK47" s="225"/>
      <c r="ABL47" s="225"/>
      <c r="ABM47" s="225"/>
      <c r="ABN47" s="225"/>
      <c r="ABO47" s="225"/>
      <c r="ABP47" s="225"/>
      <c r="ABQ47" s="225"/>
      <c r="ABR47" s="225"/>
      <c r="ABS47" s="225"/>
      <c r="ABT47" s="225"/>
      <c r="ABU47" s="225"/>
      <c r="ABV47" s="225"/>
      <c r="ABW47" s="225"/>
      <c r="ABX47" s="225"/>
      <c r="ABY47" s="225"/>
      <c r="ABZ47" s="225"/>
      <c r="ACA47" s="225"/>
      <c r="ACB47" s="225"/>
      <c r="ACC47" s="225"/>
      <c r="ACD47" s="225"/>
      <c r="ACE47" s="225"/>
      <c r="ACF47" s="225"/>
      <c r="ACG47" s="225"/>
      <c r="ACH47" s="225"/>
      <c r="ACI47" s="225"/>
      <c r="ACJ47" s="225"/>
      <c r="ACK47" s="225"/>
      <c r="ACL47" s="225"/>
      <c r="ACM47" s="225"/>
      <c r="ACN47" s="225"/>
      <c r="ACO47" s="225"/>
      <c r="ACP47" s="225"/>
      <c r="ACQ47" s="225"/>
      <c r="ACR47" s="225"/>
      <c r="ACS47" s="225"/>
      <c r="ACT47" s="225"/>
      <c r="ACU47" s="225"/>
      <c r="ACV47" s="225"/>
      <c r="ACW47" s="225"/>
      <c r="ACX47" s="225"/>
      <c r="ACY47" s="225"/>
      <c r="ACZ47" s="225"/>
      <c r="ADA47" s="225"/>
      <c r="ADB47" s="225"/>
      <c r="ADC47" s="225"/>
      <c r="ADD47" s="225"/>
      <c r="ADE47" s="225"/>
      <c r="ADF47" s="225"/>
      <c r="ADG47" s="225"/>
      <c r="ADH47" s="225"/>
      <c r="ADI47" s="225"/>
      <c r="ADJ47" s="225"/>
      <c r="ADK47" s="225"/>
      <c r="ADL47" s="225"/>
      <c r="ADM47" s="225"/>
      <c r="ADN47" s="225"/>
      <c r="ADO47" s="225"/>
      <c r="ADP47" s="225"/>
      <c r="ADQ47" s="225"/>
      <c r="ADR47" s="225"/>
      <c r="ADS47" s="225"/>
      <c r="ADT47" s="225"/>
      <c r="ADU47" s="225"/>
      <c r="ADV47" s="225"/>
      <c r="ADW47" s="225"/>
      <c r="ADX47" s="225"/>
      <c r="ADY47" s="225"/>
      <c r="ADZ47" s="225"/>
      <c r="AEA47" s="225"/>
      <c r="AEB47" s="225"/>
      <c r="AEC47" s="225"/>
      <c r="AED47" s="225"/>
      <c r="AEE47" s="225"/>
      <c r="AEF47" s="225"/>
      <c r="AEG47" s="225"/>
      <c r="AEH47" s="225"/>
      <c r="AEI47" s="225"/>
      <c r="AEJ47" s="225"/>
      <c r="AEK47" s="225"/>
      <c r="AEL47" s="225"/>
      <c r="AEM47" s="225"/>
      <c r="AEN47" s="225"/>
      <c r="AEO47" s="225"/>
      <c r="AEP47" s="225"/>
      <c r="AEQ47" s="225"/>
      <c r="AER47" s="225"/>
      <c r="AES47" s="225"/>
      <c r="AET47" s="225"/>
      <c r="AEU47" s="225"/>
      <c r="AEV47" s="225"/>
      <c r="AEW47" s="225"/>
      <c r="AEX47" s="225"/>
      <c r="AEY47" s="225"/>
      <c r="AEZ47" s="225"/>
      <c r="AFA47" s="225"/>
      <c r="AFB47" s="225"/>
      <c r="AFC47" s="225"/>
      <c r="AFD47" s="225"/>
      <c r="AFE47" s="225"/>
      <c r="AFF47" s="225"/>
      <c r="AFG47" s="225"/>
      <c r="AFH47" s="225"/>
      <c r="AFI47" s="225"/>
      <c r="AFJ47" s="225"/>
      <c r="AFK47" s="225"/>
      <c r="AFL47" s="225"/>
      <c r="AFM47" s="225"/>
      <c r="AFN47" s="225"/>
      <c r="AFO47" s="225"/>
      <c r="AFP47" s="225"/>
      <c r="AFQ47" s="225"/>
      <c r="AFR47" s="225"/>
      <c r="AFS47" s="225"/>
      <c r="AFT47" s="225"/>
      <c r="AFU47" s="225"/>
      <c r="AFV47" s="225"/>
      <c r="AFW47" s="225"/>
      <c r="AFX47" s="225"/>
      <c r="AFY47" s="225"/>
      <c r="AFZ47" s="225"/>
      <c r="AGA47" s="225"/>
      <c r="AGB47" s="225"/>
      <c r="AGC47" s="225"/>
      <c r="AGD47" s="225"/>
      <c r="AGE47" s="225"/>
      <c r="AGF47" s="225"/>
      <c r="AGG47" s="225"/>
      <c r="AGH47" s="225"/>
      <c r="AGI47" s="225"/>
      <c r="AGJ47" s="225"/>
      <c r="AGK47" s="225"/>
      <c r="AGL47" s="225"/>
      <c r="AGM47" s="225"/>
      <c r="AGN47" s="225"/>
      <c r="AGO47" s="225"/>
      <c r="AGP47" s="225"/>
      <c r="AGQ47" s="225"/>
      <c r="AGR47" s="225"/>
      <c r="AGS47" s="225"/>
      <c r="AGT47" s="225"/>
      <c r="AGU47" s="225"/>
      <c r="AGV47" s="225"/>
      <c r="AGW47" s="225"/>
      <c r="AGX47" s="225"/>
      <c r="AGY47" s="225"/>
      <c r="AGZ47" s="225"/>
      <c r="AHA47" s="225"/>
      <c r="AHB47" s="225"/>
      <c r="AHC47" s="225"/>
      <c r="AHD47" s="225"/>
      <c r="AHE47" s="225"/>
      <c r="AHF47" s="225"/>
      <c r="AHG47" s="225"/>
      <c r="AHH47" s="225"/>
      <c r="AHI47" s="225"/>
      <c r="AHJ47" s="225"/>
      <c r="AHK47" s="225"/>
      <c r="AHL47" s="225"/>
      <c r="AHM47" s="225"/>
      <c r="AHN47" s="225"/>
      <c r="AHO47" s="225"/>
      <c r="AHP47" s="225"/>
      <c r="AHQ47" s="225"/>
      <c r="AHR47" s="225"/>
      <c r="AHS47" s="225"/>
      <c r="AHT47" s="225"/>
      <c r="AHU47" s="225"/>
      <c r="AHV47" s="225"/>
      <c r="AHW47" s="225"/>
      <c r="AHX47" s="225"/>
      <c r="AHY47" s="225"/>
      <c r="AHZ47" s="225"/>
      <c r="AIA47" s="225"/>
      <c r="AIB47" s="225"/>
      <c r="AIC47" s="225"/>
      <c r="AID47" s="225"/>
      <c r="AIE47" s="225"/>
      <c r="AIF47" s="225"/>
      <c r="AIG47" s="225"/>
      <c r="AIH47" s="225"/>
      <c r="AII47" s="225"/>
      <c r="AIJ47" s="225"/>
      <c r="AIK47" s="225"/>
      <c r="AIL47" s="225"/>
      <c r="AIM47" s="225"/>
      <c r="AIN47" s="225"/>
      <c r="AIO47" s="225"/>
      <c r="AIP47" s="225"/>
      <c r="AIQ47" s="225"/>
      <c r="AIR47" s="225"/>
      <c r="AIS47" s="225"/>
      <c r="AIT47" s="225"/>
      <c r="AIU47" s="225"/>
      <c r="AIV47" s="225"/>
      <c r="AIW47" s="225"/>
      <c r="AIX47" s="225"/>
      <c r="AIY47" s="225"/>
      <c r="AIZ47" s="225"/>
      <c r="AJA47" s="225"/>
      <c r="AJB47" s="225"/>
      <c r="AJC47" s="225"/>
      <c r="AJD47" s="225"/>
      <c r="AJE47" s="225"/>
      <c r="AJF47" s="225"/>
      <c r="AJG47" s="225"/>
      <c r="AJH47" s="225"/>
      <c r="AJI47" s="225"/>
      <c r="AJJ47" s="225"/>
      <c r="AJK47" s="225"/>
      <c r="AJL47" s="225"/>
      <c r="AJM47" s="225"/>
      <c r="AJN47" s="225"/>
      <c r="AJO47" s="225"/>
      <c r="AJP47" s="225"/>
      <c r="AJQ47" s="225"/>
      <c r="AJR47" s="225"/>
      <c r="AJS47" s="225"/>
      <c r="AJT47" s="225"/>
      <c r="AJU47" s="225"/>
      <c r="AJV47" s="225"/>
      <c r="AJW47" s="225"/>
      <c r="AJX47" s="225"/>
      <c r="AJY47" s="225"/>
      <c r="AJZ47" s="225"/>
      <c r="AKA47" s="225"/>
      <c r="AKB47" s="225"/>
      <c r="AKC47" s="225"/>
      <c r="AKD47" s="225"/>
      <c r="AKE47" s="225"/>
      <c r="AKF47" s="225"/>
      <c r="AKG47" s="225"/>
      <c r="AKH47" s="225"/>
      <c r="AKI47" s="225"/>
      <c r="AKJ47" s="225"/>
      <c r="AKK47" s="225"/>
      <c r="AKL47" s="225"/>
      <c r="AKM47" s="225"/>
      <c r="AKN47" s="225"/>
      <c r="AKO47" s="225"/>
      <c r="AKP47" s="225"/>
      <c r="AKQ47" s="225"/>
      <c r="AKR47" s="225"/>
      <c r="AKS47" s="225"/>
      <c r="AKT47" s="225"/>
      <c r="AKU47" s="225"/>
      <c r="AKV47" s="225"/>
      <c r="AKW47" s="225"/>
      <c r="AKX47" s="225"/>
      <c r="AKY47" s="225"/>
      <c r="AKZ47" s="225"/>
      <c r="ALA47" s="225"/>
      <c r="ALB47" s="225"/>
      <c r="ALC47" s="225"/>
      <c r="ALD47" s="225"/>
      <c r="ALE47" s="225"/>
      <c r="ALF47" s="225"/>
      <c r="ALG47" s="225"/>
      <c r="ALH47" s="225"/>
      <c r="ALI47" s="225"/>
      <c r="ALJ47" s="225"/>
      <c r="ALK47" s="225"/>
      <c r="ALL47" s="225"/>
      <c r="ALM47" s="225"/>
      <c r="ALN47" s="225"/>
      <c r="ALO47" s="225"/>
      <c r="ALP47" s="225"/>
      <c r="ALQ47" s="225"/>
      <c r="ALR47" s="225"/>
      <c r="ALS47" s="225"/>
      <c r="ALT47" s="225"/>
      <c r="ALU47" s="225"/>
      <c r="ALV47" s="225"/>
      <c r="ALW47" s="225"/>
      <c r="ALX47" s="225"/>
      <c r="ALY47" s="225"/>
      <c r="ALZ47" s="225"/>
      <c r="AMA47" s="225"/>
      <c r="AMB47" s="225"/>
      <c r="AMC47" s="225"/>
      <c r="AMD47" s="225"/>
      <c r="AME47" s="225"/>
      <c r="AMF47" s="225"/>
      <c r="AMG47" s="225"/>
      <c r="AMH47" s="225"/>
      <c r="AMI47" s="225"/>
      <c r="AMJ47" s="225"/>
      <c r="AMK47" s="225"/>
      <c r="AML47" s="225"/>
      <c r="AMM47" s="225"/>
      <c r="AMN47" s="225"/>
      <c r="AMO47" s="225"/>
      <c r="AMP47" s="225"/>
      <c r="AMQ47" s="225"/>
      <c r="AMR47" s="225"/>
      <c r="AMS47" s="225"/>
      <c r="AMT47" s="225"/>
      <c r="AMU47" s="225"/>
      <c r="AMV47" s="225"/>
      <c r="AMW47" s="225"/>
      <c r="AMX47" s="225"/>
      <c r="AMY47" s="225"/>
      <c r="AMZ47" s="225"/>
      <c r="ANA47" s="225"/>
      <c r="ANB47" s="225"/>
      <c r="ANC47" s="225"/>
      <c r="AND47" s="225"/>
      <c r="ANE47" s="225"/>
      <c r="ANF47" s="225"/>
      <c r="ANG47" s="225"/>
      <c r="ANH47" s="225"/>
      <c r="ANI47" s="225"/>
      <c r="ANJ47" s="225"/>
      <c r="ANK47" s="225"/>
      <c r="ANL47" s="225"/>
      <c r="ANM47" s="225"/>
      <c r="ANN47" s="225"/>
      <c r="ANO47" s="225"/>
      <c r="ANP47" s="225"/>
      <c r="ANQ47" s="225"/>
      <c r="ANR47" s="225"/>
      <c r="ANS47" s="225"/>
      <c r="ANT47" s="225"/>
      <c r="ANU47" s="225"/>
      <c r="ANV47" s="225"/>
      <c r="ANW47" s="225"/>
      <c r="ANX47" s="225"/>
      <c r="ANY47" s="225"/>
      <c r="ANZ47" s="225"/>
      <c r="AOA47" s="225"/>
      <c r="AOB47" s="225"/>
      <c r="AOC47" s="225"/>
      <c r="AOD47" s="225"/>
      <c r="AOE47" s="225"/>
      <c r="AOF47" s="225"/>
      <c r="AOG47" s="225"/>
      <c r="AOH47" s="225"/>
      <c r="AOI47" s="225"/>
      <c r="AOJ47" s="225"/>
      <c r="AOK47" s="225"/>
      <c r="AOL47" s="225"/>
      <c r="AOM47" s="225"/>
      <c r="AON47" s="225"/>
      <c r="AOO47" s="225"/>
      <c r="AOP47" s="225"/>
      <c r="AOQ47" s="225"/>
      <c r="AOR47" s="225"/>
      <c r="AOS47" s="225"/>
      <c r="AOT47" s="225"/>
      <c r="AOU47" s="225"/>
      <c r="AOV47" s="225"/>
      <c r="AOW47" s="225"/>
      <c r="AOX47" s="225"/>
      <c r="AOY47" s="225"/>
      <c r="AOZ47" s="225"/>
      <c r="APA47" s="225"/>
      <c r="APB47" s="225"/>
      <c r="APC47" s="225"/>
      <c r="APD47" s="225"/>
      <c r="APE47" s="225"/>
      <c r="APF47" s="225"/>
      <c r="APG47" s="225"/>
      <c r="APH47" s="225"/>
      <c r="API47" s="225"/>
      <c r="APJ47" s="225"/>
      <c r="APK47" s="225"/>
      <c r="APL47" s="225"/>
      <c r="APM47" s="225"/>
      <c r="APN47" s="225"/>
      <c r="APO47" s="225"/>
      <c r="APP47" s="225"/>
      <c r="APQ47" s="225"/>
      <c r="APR47" s="225"/>
      <c r="APS47" s="225"/>
      <c r="APT47" s="225"/>
      <c r="APU47" s="225"/>
      <c r="APV47" s="225"/>
      <c r="APW47" s="225"/>
      <c r="APX47" s="225"/>
      <c r="APY47" s="225"/>
      <c r="APZ47" s="225"/>
      <c r="AQA47" s="225"/>
      <c r="AQB47" s="225"/>
      <c r="AQC47" s="225"/>
      <c r="AQD47" s="225"/>
      <c r="AQE47" s="225"/>
      <c r="AQF47" s="225"/>
      <c r="AQG47" s="225"/>
      <c r="AQH47" s="225"/>
      <c r="AQI47" s="225"/>
      <c r="AQJ47" s="225"/>
      <c r="AQK47" s="225"/>
      <c r="AQL47" s="225"/>
      <c r="AQM47" s="225"/>
      <c r="AQN47" s="225"/>
      <c r="AQO47" s="225"/>
      <c r="AQP47" s="225"/>
      <c r="AQQ47" s="225"/>
      <c r="AQR47" s="225"/>
      <c r="AQS47" s="225"/>
      <c r="AQT47" s="225"/>
      <c r="AQU47" s="225"/>
      <c r="AQV47" s="225"/>
      <c r="AQW47" s="225"/>
      <c r="AQX47" s="225"/>
      <c r="AQY47" s="225"/>
      <c r="AQZ47" s="225"/>
      <c r="ARA47" s="225"/>
      <c r="ARB47" s="225"/>
      <c r="ARC47" s="225"/>
      <c r="ARD47" s="225"/>
      <c r="ARE47" s="225"/>
      <c r="ARF47" s="225"/>
      <c r="ARG47" s="225"/>
      <c r="ARH47" s="225"/>
      <c r="ARI47" s="225"/>
      <c r="ARJ47" s="225"/>
      <c r="ARK47" s="225"/>
      <c r="ARL47" s="225"/>
      <c r="ARM47" s="225"/>
      <c r="ARN47" s="225"/>
      <c r="ARO47" s="225"/>
      <c r="ARP47" s="225"/>
      <c r="ARQ47" s="225"/>
      <c r="ARR47" s="225"/>
      <c r="ARS47" s="225"/>
      <c r="ART47" s="225"/>
      <c r="ARU47" s="225"/>
      <c r="ARV47" s="225"/>
      <c r="ARW47" s="225"/>
      <c r="ARX47" s="225"/>
      <c r="ARY47" s="225"/>
      <c r="ARZ47" s="225"/>
      <c r="ASA47" s="225"/>
      <c r="ASB47" s="225"/>
      <c r="ASC47" s="225"/>
      <c r="ASD47" s="225"/>
      <c r="ASE47" s="225"/>
      <c r="ASF47" s="225"/>
      <c r="ASG47" s="225"/>
      <c r="ASH47" s="225"/>
      <c r="ASI47" s="225"/>
      <c r="ASJ47" s="225"/>
      <c r="ASK47" s="225"/>
      <c r="ASL47" s="225"/>
      <c r="ASM47" s="225"/>
      <c r="ASN47" s="225"/>
      <c r="ASO47" s="225"/>
      <c r="ASP47" s="225"/>
      <c r="ASQ47" s="225"/>
      <c r="ASR47" s="225"/>
      <c r="ASS47" s="225"/>
      <c r="AST47" s="225"/>
      <c r="ASU47" s="225"/>
      <c r="ASV47" s="225"/>
      <c r="ASW47" s="225"/>
      <c r="ASX47" s="225"/>
      <c r="ASY47" s="225"/>
      <c r="ASZ47" s="225"/>
      <c r="ATA47" s="225"/>
      <c r="ATB47" s="225"/>
      <c r="ATC47" s="225"/>
      <c r="ATD47" s="225"/>
      <c r="ATE47" s="225"/>
      <c r="ATF47" s="225"/>
      <c r="ATG47" s="225"/>
      <c r="ATH47" s="225"/>
      <c r="ATI47" s="225"/>
      <c r="ATJ47" s="225"/>
      <c r="ATK47" s="225"/>
      <c r="ATL47" s="225"/>
      <c r="ATM47" s="225"/>
      <c r="ATN47" s="225"/>
      <c r="ATO47" s="225"/>
      <c r="ATP47" s="225"/>
      <c r="ATQ47" s="225"/>
      <c r="ATR47" s="225"/>
      <c r="ATS47" s="225"/>
      <c r="ATT47" s="225"/>
      <c r="ATU47" s="225"/>
      <c r="ATV47" s="225"/>
      <c r="ATW47" s="225"/>
      <c r="ATX47" s="225"/>
      <c r="ATY47" s="225"/>
      <c r="ATZ47" s="225"/>
      <c r="AUA47" s="225"/>
      <c r="AUB47" s="225"/>
      <c r="AUC47" s="225"/>
      <c r="AUD47" s="225"/>
      <c r="AUE47" s="225"/>
      <c r="AUF47" s="225"/>
      <c r="AUG47" s="225"/>
      <c r="AUH47" s="225"/>
      <c r="AUI47" s="225"/>
      <c r="AUJ47" s="225"/>
      <c r="AUK47" s="225"/>
      <c r="AUL47" s="225"/>
      <c r="AUM47" s="225"/>
      <c r="AUN47" s="225"/>
      <c r="AUO47" s="225"/>
      <c r="AUP47" s="225"/>
      <c r="AUQ47" s="225"/>
      <c r="AUR47" s="225"/>
      <c r="AUS47" s="225"/>
      <c r="AUT47" s="225"/>
      <c r="AUU47" s="225"/>
      <c r="AUV47" s="225"/>
      <c r="AUW47" s="225"/>
      <c r="AUX47" s="225"/>
      <c r="AUY47" s="225"/>
      <c r="AUZ47" s="225"/>
      <c r="AVA47" s="225"/>
      <c r="AVB47" s="225"/>
      <c r="AVC47" s="225"/>
      <c r="AVD47" s="225"/>
      <c r="AVE47" s="225"/>
      <c r="AVF47" s="225"/>
      <c r="AVG47" s="225"/>
      <c r="AVH47" s="225"/>
      <c r="AVI47" s="225"/>
      <c r="AVJ47" s="225"/>
      <c r="AVK47" s="225"/>
      <c r="AVL47" s="225"/>
      <c r="AVM47" s="225"/>
      <c r="AVN47" s="225"/>
      <c r="AVO47" s="225"/>
      <c r="AVP47" s="225"/>
      <c r="AVQ47" s="225"/>
      <c r="AVR47" s="225"/>
      <c r="AVS47" s="225"/>
      <c r="AVT47" s="225"/>
      <c r="AVU47" s="225"/>
      <c r="AVV47" s="225"/>
      <c r="AVW47" s="225"/>
      <c r="AVX47" s="225"/>
      <c r="AVY47" s="225"/>
      <c r="AVZ47" s="225"/>
      <c r="AWA47" s="225"/>
      <c r="AWB47" s="225"/>
      <c r="AWC47" s="225"/>
      <c r="AWD47" s="225"/>
      <c r="AWE47" s="225"/>
      <c r="AWF47" s="225"/>
      <c r="AWG47" s="225"/>
      <c r="AWH47" s="225"/>
      <c r="AWI47" s="225"/>
      <c r="AWJ47" s="225"/>
      <c r="AWK47" s="225"/>
      <c r="AWL47" s="225"/>
      <c r="AWM47" s="225"/>
      <c r="AWN47" s="225"/>
      <c r="AWO47" s="225"/>
      <c r="AWP47" s="225"/>
      <c r="AWQ47" s="225"/>
      <c r="AWR47" s="225"/>
      <c r="AWS47" s="225"/>
      <c r="AWT47" s="225"/>
      <c r="AWU47" s="225"/>
      <c r="AWV47" s="225"/>
      <c r="AWW47" s="225"/>
      <c r="AWX47" s="225"/>
      <c r="AWY47" s="225"/>
      <c r="AWZ47" s="225"/>
      <c r="AXA47" s="225"/>
      <c r="AXB47" s="225"/>
      <c r="AXC47" s="225"/>
      <c r="AXD47" s="225"/>
      <c r="AXE47" s="225"/>
      <c r="AXF47" s="225"/>
      <c r="AXG47" s="225"/>
      <c r="AXH47" s="225"/>
      <c r="AXI47" s="225"/>
      <c r="AXJ47" s="225"/>
      <c r="AXK47" s="225"/>
      <c r="AXL47" s="225"/>
      <c r="AXM47" s="225"/>
      <c r="AXN47" s="225"/>
      <c r="AXO47" s="225"/>
      <c r="AXP47" s="225"/>
      <c r="AXQ47" s="225"/>
      <c r="AXR47" s="225"/>
      <c r="AXS47" s="225"/>
      <c r="AXT47" s="225"/>
      <c r="AXU47" s="225"/>
      <c r="AXV47" s="225"/>
      <c r="AXW47" s="225"/>
      <c r="AXX47" s="225"/>
      <c r="AXY47" s="225"/>
      <c r="AXZ47" s="225"/>
      <c r="AYA47" s="225"/>
      <c r="AYB47" s="225"/>
      <c r="AYC47" s="225"/>
      <c r="AYD47" s="225"/>
      <c r="AYE47" s="225"/>
      <c r="AYF47" s="225"/>
      <c r="AYG47" s="225"/>
      <c r="AYH47" s="225"/>
      <c r="AYI47" s="225"/>
      <c r="AYJ47" s="225"/>
      <c r="AYK47" s="225"/>
      <c r="AYL47" s="225"/>
      <c r="AYM47" s="225"/>
      <c r="AYN47" s="225"/>
      <c r="AYO47" s="225"/>
      <c r="AYP47" s="225"/>
      <c r="AYQ47" s="225"/>
      <c r="AYR47" s="225"/>
      <c r="AYS47" s="225"/>
      <c r="AYT47" s="225"/>
      <c r="AYU47" s="225"/>
      <c r="AYV47" s="225"/>
      <c r="AYW47" s="225"/>
      <c r="AYX47" s="225"/>
      <c r="AYY47" s="225"/>
      <c r="AYZ47" s="225"/>
      <c r="AZA47" s="225"/>
      <c r="AZB47" s="225"/>
      <c r="AZC47" s="225"/>
      <c r="AZD47" s="225"/>
      <c r="AZE47" s="225"/>
      <c r="AZF47" s="225"/>
      <c r="AZG47" s="225"/>
      <c r="AZH47" s="225"/>
      <c r="AZI47" s="225"/>
      <c r="AZJ47" s="225"/>
      <c r="AZK47" s="225"/>
      <c r="AZL47" s="225"/>
      <c r="AZM47" s="225"/>
      <c r="AZN47" s="225"/>
      <c r="AZO47" s="225"/>
      <c r="AZP47" s="225"/>
      <c r="AZQ47" s="225"/>
      <c r="AZR47" s="225"/>
      <c r="AZS47" s="225"/>
      <c r="AZT47" s="225"/>
      <c r="AZU47" s="225"/>
      <c r="AZV47" s="225"/>
      <c r="AZW47" s="225"/>
      <c r="AZX47" s="225"/>
      <c r="AZY47" s="225"/>
      <c r="AZZ47" s="225"/>
      <c r="BAA47" s="225"/>
      <c r="BAB47" s="225"/>
      <c r="BAC47" s="225"/>
      <c r="BAD47" s="225"/>
      <c r="BAE47" s="225"/>
      <c r="BAF47" s="225"/>
      <c r="BAG47" s="225"/>
      <c r="BAH47" s="225"/>
      <c r="BAI47" s="225"/>
      <c r="BAJ47" s="225"/>
      <c r="BAK47" s="225"/>
      <c r="BAL47" s="225"/>
      <c r="BAM47" s="225"/>
      <c r="BAN47" s="225"/>
      <c r="BAO47" s="225"/>
      <c r="BAP47" s="225"/>
      <c r="BAQ47" s="225"/>
      <c r="BAR47" s="225"/>
      <c r="BAS47" s="225"/>
      <c r="BAT47" s="225"/>
      <c r="BAU47" s="225"/>
      <c r="BAV47" s="225"/>
      <c r="BAW47" s="225"/>
      <c r="BAX47" s="225"/>
      <c r="BAY47" s="225"/>
      <c r="BAZ47" s="225"/>
      <c r="BBA47" s="225"/>
      <c r="BBB47" s="225"/>
      <c r="BBC47" s="225"/>
      <c r="BBD47" s="225"/>
      <c r="BBE47" s="225"/>
      <c r="BBF47" s="225"/>
      <c r="BBG47" s="225"/>
      <c r="BBH47" s="225"/>
      <c r="BBI47" s="225"/>
      <c r="BBJ47" s="225"/>
      <c r="BBK47" s="225"/>
      <c r="BBL47" s="225"/>
      <c r="BBM47" s="225"/>
      <c r="BBN47" s="225"/>
      <c r="BBO47" s="225"/>
      <c r="BBP47" s="225"/>
      <c r="BBQ47" s="225"/>
      <c r="BBR47" s="225"/>
      <c r="BBS47" s="225"/>
      <c r="BBT47" s="225"/>
      <c r="BBU47" s="225"/>
      <c r="BBV47" s="225"/>
      <c r="BBW47" s="225"/>
      <c r="BBX47" s="225"/>
      <c r="BBY47" s="225"/>
      <c r="BBZ47" s="225"/>
      <c r="BCA47" s="225"/>
      <c r="BCB47" s="225"/>
      <c r="BCC47" s="225"/>
      <c r="BCD47" s="225"/>
      <c r="BCE47" s="225"/>
      <c r="BCF47" s="225"/>
      <c r="BCG47" s="225"/>
      <c r="BCH47" s="225"/>
      <c r="BCI47" s="225"/>
      <c r="BCJ47" s="225"/>
      <c r="BCK47" s="225"/>
      <c r="BCL47" s="225"/>
      <c r="BCM47" s="225"/>
      <c r="BCN47" s="225"/>
      <c r="BCO47" s="225"/>
      <c r="BCP47" s="225"/>
      <c r="BCQ47" s="225"/>
      <c r="BCR47" s="225"/>
      <c r="BCS47" s="225"/>
      <c r="BCT47" s="225"/>
      <c r="BCU47" s="225"/>
      <c r="BCV47" s="225"/>
      <c r="BCW47" s="225"/>
      <c r="BCX47" s="225"/>
      <c r="BCY47" s="225"/>
      <c r="BCZ47" s="225"/>
      <c r="BDA47" s="225"/>
      <c r="BDB47" s="225"/>
      <c r="BDC47" s="225"/>
      <c r="BDD47" s="225"/>
      <c r="BDE47" s="225"/>
      <c r="BDF47" s="225"/>
      <c r="BDG47" s="225"/>
      <c r="BDH47" s="225"/>
      <c r="BDI47" s="225"/>
      <c r="BDJ47" s="225"/>
      <c r="BDK47" s="225"/>
      <c r="BDL47" s="225"/>
      <c r="BDM47" s="225"/>
      <c r="BDN47" s="225"/>
      <c r="BDO47" s="225"/>
      <c r="BDP47" s="225"/>
      <c r="BDQ47" s="225"/>
      <c r="BDR47" s="225"/>
      <c r="BDS47" s="225"/>
      <c r="BDT47" s="225"/>
      <c r="BDU47" s="225"/>
      <c r="BDV47" s="225"/>
      <c r="BDW47" s="225"/>
      <c r="BDX47" s="225"/>
      <c r="BDY47" s="225"/>
      <c r="BDZ47" s="225"/>
      <c r="BEA47" s="225"/>
      <c r="BEB47" s="225"/>
      <c r="BEC47" s="225"/>
      <c r="BED47" s="225"/>
      <c r="BEE47" s="225"/>
      <c r="BEF47" s="225"/>
      <c r="BEG47" s="225"/>
      <c r="BEH47" s="225"/>
      <c r="BEI47" s="225"/>
      <c r="BEJ47" s="225"/>
      <c r="BEK47" s="225"/>
      <c r="BEL47" s="225"/>
      <c r="BEM47" s="225"/>
      <c r="BEN47" s="225"/>
      <c r="BEO47" s="225"/>
      <c r="BEP47" s="225"/>
      <c r="BEQ47" s="225"/>
      <c r="BER47" s="225"/>
      <c r="BES47" s="225"/>
      <c r="BET47" s="225"/>
      <c r="BEU47" s="225"/>
      <c r="BEV47" s="225"/>
      <c r="BEW47" s="225"/>
      <c r="BEX47" s="225"/>
      <c r="BEY47" s="225"/>
      <c r="BEZ47" s="225"/>
      <c r="BFA47" s="225"/>
      <c r="BFB47" s="225"/>
      <c r="BFC47" s="225"/>
      <c r="BFD47" s="225"/>
      <c r="BFE47" s="225"/>
      <c r="BFF47" s="225"/>
      <c r="BFG47" s="225"/>
      <c r="BFH47" s="225"/>
      <c r="BFI47" s="225"/>
      <c r="BFJ47" s="225"/>
      <c r="BFK47" s="225"/>
      <c r="BFL47" s="225"/>
      <c r="BFM47" s="225"/>
      <c r="BFN47" s="225"/>
      <c r="BFO47" s="225"/>
      <c r="BFP47" s="225"/>
      <c r="BFQ47" s="225"/>
      <c r="BFR47" s="225"/>
      <c r="BFS47" s="225"/>
      <c r="BFT47" s="225"/>
      <c r="BFU47" s="225"/>
      <c r="BFV47" s="225"/>
      <c r="BFW47" s="225"/>
      <c r="BFX47" s="225"/>
      <c r="BFY47" s="225"/>
      <c r="BFZ47" s="225"/>
      <c r="BGA47" s="225"/>
      <c r="BGB47" s="225"/>
      <c r="BGC47" s="225"/>
      <c r="BGD47" s="225"/>
      <c r="BGE47" s="225"/>
      <c r="BGF47" s="225"/>
      <c r="BGG47" s="225"/>
      <c r="BGH47" s="225"/>
      <c r="BGI47" s="225"/>
      <c r="BGJ47" s="225"/>
      <c r="BGK47" s="225"/>
      <c r="BGL47" s="225"/>
      <c r="BGM47" s="225"/>
      <c r="BGN47" s="225"/>
      <c r="BGO47" s="225"/>
      <c r="BGP47" s="225"/>
      <c r="BGQ47" s="225"/>
      <c r="BGR47" s="225"/>
      <c r="BGS47" s="225"/>
      <c r="BGT47" s="225"/>
      <c r="BGU47" s="225"/>
      <c r="BGV47" s="225"/>
      <c r="BGW47" s="225"/>
      <c r="BGX47" s="225"/>
      <c r="BGY47" s="225"/>
      <c r="BGZ47" s="225"/>
      <c r="BHA47" s="225"/>
      <c r="BHB47" s="225"/>
      <c r="BHC47" s="225"/>
      <c r="BHD47" s="225"/>
      <c r="BHE47" s="225"/>
      <c r="BHF47" s="225"/>
      <c r="BHG47" s="225"/>
      <c r="BHH47" s="225"/>
      <c r="BHI47" s="225"/>
      <c r="BHJ47" s="225"/>
      <c r="BHK47" s="225"/>
      <c r="BHL47" s="225"/>
      <c r="BHM47" s="225"/>
      <c r="BHN47" s="225"/>
      <c r="BHO47" s="225"/>
      <c r="BHP47" s="225"/>
      <c r="BHQ47" s="225"/>
      <c r="BHR47" s="225"/>
      <c r="BHS47" s="225"/>
      <c r="BHT47" s="225"/>
      <c r="BHU47" s="225"/>
      <c r="BHV47" s="225"/>
      <c r="BHW47" s="225"/>
      <c r="BHX47" s="225"/>
      <c r="BHY47" s="225"/>
      <c r="BHZ47" s="225"/>
      <c r="BIA47" s="225"/>
      <c r="BIB47" s="225"/>
      <c r="BIC47" s="225"/>
      <c r="BID47" s="225"/>
      <c r="BIE47" s="225"/>
      <c r="BIF47" s="225"/>
      <c r="BIG47" s="225"/>
      <c r="BIH47" s="225"/>
      <c r="BII47" s="225"/>
      <c r="BIJ47" s="225"/>
      <c r="BIK47" s="225"/>
      <c r="BIL47" s="225"/>
      <c r="BIM47" s="225"/>
      <c r="BIN47" s="225"/>
      <c r="BIO47" s="225"/>
      <c r="BIP47" s="225"/>
      <c r="BIQ47" s="225"/>
      <c r="BIR47" s="225"/>
      <c r="BIS47" s="225"/>
      <c r="BIT47" s="225"/>
      <c r="BIU47" s="225"/>
      <c r="BIV47" s="225"/>
      <c r="BIW47" s="225"/>
      <c r="BIX47" s="225"/>
      <c r="BIY47" s="225"/>
      <c r="BIZ47" s="225"/>
      <c r="BJA47" s="225"/>
      <c r="BJB47" s="225"/>
      <c r="BJC47" s="225"/>
      <c r="BJD47" s="225"/>
      <c r="BJE47" s="225"/>
      <c r="BJF47" s="225"/>
      <c r="BJG47" s="225"/>
      <c r="BJH47" s="225"/>
      <c r="BJI47" s="225"/>
      <c r="BJJ47" s="225"/>
      <c r="BJK47" s="225"/>
      <c r="BJL47" s="225"/>
      <c r="BJM47" s="225"/>
      <c r="BJN47" s="225"/>
      <c r="BJO47" s="225"/>
      <c r="BJP47" s="225"/>
      <c r="BJQ47" s="225"/>
      <c r="BJR47" s="225"/>
      <c r="BJS47" s="225"/>
      <c r="BJT47" s="225"/>
      <c r="BJU47" s="225"/>
      <c r="BJV47" s="225"/>
      <c r="BJW47" s="225"/>
      <c r="BJX47" s="225"/>
      <c r="BJY47" s="225"/>
      <c r="BJZ47" s="225"/>
      <c r="BKA47" s="225"/>
      <c r="BKB47" s="225"/>
      <c r="BKC47" s="225"/>
      <c r="BKD47" s="225"/>
      <c r="BKE47" s="225"/>
      <c r="BKF47" s="225"/>
      <c r="BKG47" s="225"/>
      <c r="BKH47" s="225"/>
      <c r="BKI47" s="225"/>
      <c r="BKJ47" s="225"/>
      <c r="BKK47" s="225"/>
      <c r="BKL47" s="225"/>
      <c r="BKM47" s="225"/>
      <c r="BKN47" s="225"/>
      <c r="BKO47" s="225"/>
      <c r="BKP47" s="225"/>
      <c r="BKQ47" s="225"/>
      <c r="BKR47" s="225"/>
      <c r="BKS47" s="225"/>
      <c r="BKT47" s="225"/>
      <c r="BKU47" s="225"/>
      <c r="BKV47" s="225"/>
      <c r="BKW47" s="225"/>
      <c r="BKX47" s="225"/>
      <c r="BKY47" s="225"/>
      <c r="BKZ47" s="225"/>
      <c r="BLA47" s="225"/>
      <c r="BLB47" s="225"/>
      <c r="BLC47" s="225"/>
      <c r="BLD47" s="225"/>
      <c r="BLE47" s="225"/>
      <c r="BLF47" s="225"/>
      <c r="BLG47" s="225"/>
      <c r="BLH47" s="225"/>
      <c r="BLI47" s="225"/>
      <c r="BLJ47" s="225"/>
      <c r="BLK47" s="225"/>
      <c r="BLL47" s="225"/>
      <c r="BLM47" s="225"/>
      <c r="BLN47" s="225"/>
      <c r="BLO47" s="225"/>
      <c r="BLP47" s="225"/>
      <c r="BLQ47" s="225"/>
      <c r="BLR47" s="225"/>
      <c r="BLS47" s="225"/>
      <c r="BLT47" s="225"/>
      <c r="BLU47" s="225"/>
      <c r="BLV47" s="225"/>
      <c r="BLW47" s="225"/>
      <c r="BLX47" s="225"/>
      <c r="BLY47" s="225"/>
      <c r="BLZ47" s="225"/>
      <c r="BMA47" s="225"/>
      <c r="BMB47" s="225"/>
      <c r="BMC47" s="225"/>
      <c r="BMD47" s="225"/>
      <c r="BME47" s="225"/>
      <c r="BMF47" s="225"/>
      <c r="BMG47" s="225"/>
      <c r="BMH47" s="225"/>
      <c r="BMI47" s="225"/>
      <c r="BMJ47" s="225"/>
      <c r="BMK47" s="225"/>
      <c r="BML47" s="225"/>
      <c r="BMM47" s="225"/>
      <c r="BMN47" s="225"/>
      <c r="BMO47" s="225"/>
      <c r="BMP47" s="225"/>
      <c r="BMQ47" s="225"/>
      <c r="BMR47" s="225"/>
      <c r="BMS47" s="225"/>
      <c r="BMT47" s="225"/>
      <c r="BMU47" s="225"/>
      <c r="BMV47" s="225"/>
      <c r="BMW47" s="225"/>
      <c r="BMX47" s="225"/>
      <c r="BMY47" s="225"/>
      <c r="BMZ47" s="225"/>
      <c r="BNA47" s="225"/>
      <c r="BNB47" s="225"/>
      <c r="BNC47" s="225"/>
      <c r="BND47" s="225"/>
      <c r="BNE47" s="225"/>
      <c r="BNF47" s="225"/>
      <c r="BNG47" s="225"/>
      <c r="BNH47" s="225"/>
      <c r="BNI47" s="225"/>
      <c r="BNJ47" s="225"/>
      <c r="BNK47" s="225"/>
      <c r="BNL47" s="225"/>
      <c r="BNM47" s="225"/>
      <c r="BNN47" s="225"/>
      <c r="BNO47" s="225"/>
      <c r="BNP47" s="225"/>
      <c r="BNQ47" s="225"/>
      <c r="BNR47" s="225"/>
      <c r="BNS47" s="225"/>
      <c r="BNT47" s="225"/>
      <c r="BNU47" s="225"/>
      <c r="BNV47" s="225"/>
      <c r="BNW47" s="225"/>
      <c r="BNX47" s="225"/>
      <c r="BNY47" s="225"/>
      <c r="BNZ47" s="225"/>
      <c r="BOA47" s="225"/>
      <c r="BOB47" s="225"/>
      <c r="BOC47" s="225"/>
      <c r="BOD47" s="225"/>
      <c r="BOE47" s="225"/>
      <c r="BOF47" s="225"/>
      <c r="BOG47" s="225"/>
      <c r="BOH47" s="225"/>
      <c r="BOI47" s="225"/>
      <c r="BOJ47" s="225"/>
      <c r="BOK47" s="225"/>
      <c r="BOL47" s="225"/>
      <c r="BOM47" s="225"/>
      <c r="BON47" s="225"/>
      <c r="BOO47" s="225"/>
      <c r="BOP47" s="225"/>
      <c r="BOQ47" s="225"/>
      <c r="BOR47" s="225"/>
      <c r="BOS47" s="225"/>
      <c r="BOT47" s="225"/>
      <c r="BOU47" s="225"/>
      <c r="BOV47" s="225"/>
      <c r="BOW47" s="225"/>
      <c r="BOX47" s="225"/>
      <c r="BOY47" s="225"/>
      <c r="BOZ47" s="225"/>
      <c r="BPA47" s="225"/>
      <c r="BPB47" s="225"/>
      <c r="BPC47" s="225"/>
      <c r="BPD47" s="225"/>
      <c r="BPE47" s="225"/>
      <c r="BPF47" s="225"/>
      <c r="BPG47" s="225"/>
      <c r="BPH47" s="225"/>
      <c r="BPI47" s="225"/>
      <c r="BPJ47" s="225"/>
      <c r="BPK47" s="225"/>
      <c r="BPL47" s="225"/>
      <c r="BPM47" s="225"/>
      <c r="BPN47" s="225"/>
      <c r="BPO47" s="225"/>
      <c r="BPP47" s="225"/>
      <c r="BPQ47" s="225"/>
      <c r="BPR47" s="225"/>
      <c r="BPS47" s="225"/>
      <c r="BPT47" s="225"/>
      <c r="BPU47" s="225"/>
      <c r="BPV47" s="225"/>
      <c r="BPW47" s="225"/>
      <c r="BPX47" s="225"/>
      <c r="BPY47" s="225"/>
      <c r="BPZ47" s="225"/>
      <c r="BQA47" s="225"/>
      <c r="BQB47" s="225"/>
      <c r="BQC47" s="225"/>
      <c r="BQD47" s="225"/>
      <c r="BQE47" s="225"/>
      <c r="BQF47" s="225"/>
      <c r="BQG47" s="225"/>
      <c r="BQH47" s="225"/>
      <c r="BQI47" s="225"/>
      <c r="BQJ47" s="225"/>
      <c r="BQK47" s="225"/>
      <c r="BQL47" s="225"/>
      <c r="BQM47" s="225"/>
      <c r="BQN47" s="225"/>
      <c r="BQO47" s="225"/>
      <c r="BQP47" s="225"/>
      <c r="BQQ47" s="225"/>
      <c r="BQR47" s="225"/>
      <c r="BQS47" s="225"/>
      <c r="BQT47" s="225"/>
      <c r="BQU47" s="225"/>
      <c r="BQV47" s="225"/>
      <c r="BQW47" s="225"/>
      <c r="BQX47" s="225"/>
      <c r="BQY47" s="225"/>
      <c r="BQZ47" s="225"/>
      <c r="BRA47" s="225"/>
      <c r="BRB47" s="225"/>
      <c r="BRC47" s="225"/>
      <c r="BRD47" s="225"/>
      <c r="BRE47" s="225"/>
      <c r="BRF47" s="225"/>
      <c r="BRG47" s="225"/>
      <c r="BRH47" s="225"/>
      <c r="BRI47" s="225"/>
      <c r="BRJ47" s="225"/>
      <c r="BRK47" s="225"/>
      <c r="BRL47" s="225"/>
      <c r="BRM47" s="225"/>
      <c r="BRN47" s="225"/>
      <c r="BRO47" s="225"/>
      <c r="BRP47" s="225"/>
      <c r="BRQ47" s="225"/>
      <c r="BRR47" s="225"/>
      <c r="BRS47" s="225"/>
      <c r="BRT47" s="225"/>
      <c r="BRU47" s="225"/>
      <c r="BRV47" s="225"/>
      <c r="BRW47" s="225"/>
      <c r="BRX47" s="225"/>
      <c r="BRY47" s="225"/>
      <c r="BRZ47" s="225"/>
      <c r="BSA47" s="225"/>
      <c r="BSB47" s="225"/>
      <c r="BSC47" s="225"/>
      <c r="BSD47" s="225"/>
      <c r="BSE47" s="225"/>
      <c r="BSF47" s="225"/>
      <c r="BSG47" s="225"/>
      <c r="BSH47" s="225"/>
      <c r="BSI47" s="225"/>
      <c r="BSJ47" s="225"/>
      <c r="BSK47" s="225"/>
      <c r="BSL47" s="225"/>
      <c r="BSM47" s="225"/>
      <c r="BSN47" s="225"/>
      <c r="BSO47" s="225"/>
      <c r="BSP47" s="225"/>
      <c r="BSQ47" s="225"/>
      <c r="BSR47" s="225"/>
      <c r="BSS47" s="225"/>
      <c r="BST47" s="225"/>
      <c r="BSU47" s="225"/>
      <c r="BSV47" s="225"/>
      <c r="BSW47" s="225"/>
      <c r="BSX47" s="225"/>
      <c r="BSY47" s="225"/>
      <c r="BSZ47" s="225"/>
      <c r="BTA47" s="225"/>
      <c r="BTB47" s="225"/>
      <c r="BTC47" s="225"/>
      <c r="BTD47" s="225"/>
      <c r="BTE47" s="225"/>
      <c r="BTF47" s="225"/>
      <c r="BTG47" s="225"/>
      <c r="BTH47" s="225"/>
      <c r="BTI47" s="225"/>
      <c r="BTJ47" s="225"/>
      <c r="BTK47" s="225"/>
      <c r="BTL47" s="225"/>
      <c r="BTM47" s="225"/>
      <c r="BTN47" s="225"/>
      <c r="BTO47" s="225"/>
      <c r="BTP47" s="225"/>
      <c r="BTQ47" s="225"/>
      <c r="BTR47" s="225"/>
      <c r="BTS47" s="225"/>
      <c r="BTT47" s="225"/>
      <c r="BTU47" s="225"/>
      <c r="BTV47" s="225"/>
      <c r="BTW47" s="225"/>
      <c r="BTX47" s="225"/>
      <c r="BTY47" s="225"/>
      <c r="BTZ47" s="225"/>
      <c r="BUA47" s="225"/>
      <c r="BUB47" s="225"/>
      <c r="BUC47" s="225"/>
      <c r="BUD47" s="225"/>
      <c r="BUE47" s="225"/>
      <c r="BUF47" s="225"/>
      <c r="BUG47" s="225"/>
      <c r="BUH47" s="225"/>
      <c r="BUI47" s="225"/>
      <c r="BUJ47" s="225"/>
      <c r="BUK47" s="225"/>
      <c r="BUL47" s="225"/>
      <c r="BUM47" s="225"/>
      <c r="BUN47" s="225"/>
      <c r="BUO47" s="225"/>
      <c r="BUP47" s="225"/>
      <c r="BUQ47" s="225"/>
      <c r="BUR47" s="225"/>
      <c r="BUS47" s="225"/>
      <c r="BUT47" s="225"/>
      <c r="BUU47" s="225"/>
      <c r="BUV47" s="225"/>
      <c r="BUW47" s="225"/>
      <c r="BUX47" s="225"/>
      <c r="BUY47" s="225"/>
      <c r="BUZ47" s="225"/>
      <c r="BVA47" s="225"/>
      <c r="BVB47" s="225"/>
      <c r="BVC47" s="225"/>
      <c r="BVD47" s="225"/>
      <c r="BVE47" s="225"/>
      <c r="BVF47" s="225"/>
      <c r="BVG47" s="225"/>
      <c r="BVH47" s="225"/>
      <c r="BVI47" s="225"/>
      <c r="BVJ47" s="225"/>
      <c r="BVK47" s="225"/>
      <c r="BVL47" s="225"/>
      <c r="BVM47" s="225"/>
      <c r="BVN47" s="225"/>
      <c r="BVO47" s="225"/>
      <c r="BVP47" s="225"/>
      <c r="BVQ47" s="225"/>
      <c r="BVR47" s="225"/>
      <c r="BVS47" s="225"/>
      <c r="BVT47" s="225"/>
      <c r="BVU47" s="225"/>
      <c r="BVV47" s="225"/>
      <c r="BVW47" s="225"/>
      <c r="BVX47" s="225"/>
      <c r="BVY47" s="225"/>
      <c r="BVZ47" s="225"/>
      <c r="BWA47" s="225"/>
      <c r="BWB47" s="225"/>
      <c r="BWC47" s="225"/>
      <c r="BWD47" s="225"/>
      <c r="BWE47" s="225"/>
      <c r="BWF47" s="225"/>
      <c r="BWG47" s="225"/>
      <c r="BWH47" s="225"/>
      <c r="BWI47" s="225"/>
      <c r="BWJ47" s="225"/>
      <c r="BWK47" s="225"/>
      <c r="BWL47" s="225"/>
      <c r="BWM47" s="225"/>
      <c r="BWN47" s="225"/>
      <c r="BWO47" s="225"/>
      <c r="BWP47" s="225"/>
      <c r="BWQ47" s="225"/>
      <c r="BWR47" s="225"/>
      <c r="BWS47" s="225"/>
      <c r="BWT47" s="225"/>
      <c r="BWU47" s="225"/>
      <c r="BWV47" s="225"/>
      <c r="BWW47" s="225"/>
      <c r="BWX47" s="225"/>
      <c r="BWY47" s="225"/>
      <c r="BWZ47" s="225"/>
      <c r="BXA47" s="225"/>
      <c r="BXB47" s="225"/>
      <c r="BXC47" s="225"/>
      <c r="BXD47" s="225"/>
      <c r="BXE47" s="225"/>
      <c r="BXF47" s="225"/>
      <c r="BXG47" s="225"/>
      <c r="BXH47" s="225"/>
      <c r="BXI47" s="225"/>
      <c r="BXJ47" s="225"/>
      <c r="BXK47" s="225"/>
      <c r="BXL47" s="225"/>
      <c r="BXM47" s="225"/>
      <c r="BXN47" s="225"/>
      <c r="BXO47" s="225"/>
      <c r="BXP47" s="225"/>
      <c r="BXQ47" s="225"/>
      <c r="BXR47" s="225"/>
      <c r="BXS47" s="225"/>
      <c r="BXT47" s="225"/>
      <c r="BXU47" s="225"/>
      <c r="BXV47" s="225"/>
      <c r="BXW47" s="225"/>
      <c r="BXX47" s="225"/>
      <c r="BXY47" s="225"/>
      <c r="BXZ47" s="225"/>
      <c r="BYA47" s="225"/>
      <c r="BYB47" s="225"/>
      <c r="BYC47" s="225"/>
      <c r="BYD47" s="225"/>
      <c r="BYE47" s="225"/>
      <c r="BYF47" s="225"/>
      <c r="BYG47" s="225"/>
      <c r="BYH47" s="225"/>
      <c r="BYI47" s="225"/>
      <c r="BYJ47" s="225"/>
      <c r="BYK47" s="225"/>
      <c r="BYL47" s="225"/>
      <c r="BYM47" s="225"/>
      <c r="BYN47" s="225"/>
      <c r="BYO47" s="225"/>
      <c r="BYP47" s="225"/>
      <c r="BYQ47" s="225"/>
      <c r="BYR47" s="225"/>
      <c r="BYS47" s="225"/>
      <c r="BYT47" s="225"/>
      <c r="BYU47" s="225"/>
      <c r="BYV47" s="225"/>
      <c r="BYW47" s="225"/>
      <c r="BYX47" s="225"/>
      <c r="BYY47" s="225"/>
      <c r="BYZ47" s="225"/>
      <c r="BZA47" s="225"/>
      <c r="BZB47" s="225"/>
      <c r="BZC47" s="225"/>
      <c r="BZD47" s="225"/>
      <c r="BZE47" s="225"/>
      <c r="BZF47" s="225"/>
      <c r="BZG47" s="225"/>
      <c r="BZH47" s="225"/>
      <c r="BZI47" s="225"/>
      <c r="BZJ47" s="225"/>
      <c r="BZK47" s="225"/>
      <c r="BZL47" s="225"/>
      <c r="BZM47" s="225"/>
      <c r="BZN47" s="225"/>
      <c r="BZO47" s="225"/>
      <c r="BZP47" s="225"/>
      <c r="BZQ47" s="225"/>
      <c r="BZR47" s="225"/>
      <c r="BZS47" s="225"/>
      <c r="BZT47" s="225"/>
      <c r="BZU47" s="225"/>
      <c r="BZV47" s="225"/>
      <c r="BZW47" s="225"/>
      <c r="BZX47" s="225"/>
      <c r="BZY47" s="225"/>
      <c r="BZZ47" s="225"/>
      <c r="CAA47" s="225"/>
      <c r="CAB47" s="225"/>
      <c r="CAC47" s="225"/>
      <c r="CAD47" s="225"/>
      <c r="CAE47" s="225"/>
      <c r="CAF47" s="225"/>
      <c r="CAG47" s="225"/>
      <c r="CAH47" s="225"/>
      <c r="CAI47" s="225"/>
      <c r="CAJ47" s="225"/>
      <c r="CAK47" s="225"/>
      <c r="CAL47" s="225"/>
      <c r="CAM47" s="225"/>
      <c r="CAN47" s="225"/>
      <c r="CAO47" s="225"/>
      <c r="CAP47" s="225"/>
      <c r="CAQ47" s="225"/>
      <c r="CAR47" s="225"/>
      <c r="CAS47" s="225"/>
      <c r="CAT47" s="225"/>
      <c r="CAU47" s="225"/>
      <c r="CAV47" s="225"/>
      <c r="CAW47" s="225"/>
      <c r="CAX47" s="225"/>
      <c r="CAY47" s="225"/>
      <c r="CAZ47" s="225"/>
      <c r="CBA47" s="225"/>
      <c r="CBB47" s="225"/>
      <c r="CBC47" s="225"/>
      <c r="CBD47" s="225"/>
      <c r="CBE47" s="225"/>
      <c r="CBF47" s="225"/>
      <c r="CBG47" s="225"/>
      <c r="CBH47" s="225"/>
      <c r="CBI47" s="225"/>
      <c r="CBJ47" s="225"/>
      <c r="CBK47" s="225"/>
      <c r="CBL47" s="225"/>
      <c r="CBM47" s="225"/>
      <c r="CBN47" s="225"/>
      <c r="CBO47" s="225"/>
      <c r="CBP47" s="225"/>
      <c r="CBQ47" s="225"/>
      <c r="CBR47" s="225"/>
      <c r="CBS47" s="225"/>
      <c r="CBT47" s="225"/>
      <c r="CBU47" s="225"/>
      <c r="CBV47" s="225"/>
      <c r="CBW47" s="225"/>
      <c r="CBX47" s="225"/>
      <c r="CBY47" s="225"/>
      <c r="CBZ47" s="225"/>
      <c r="CCA47" s="225"/>
      <c r="CCB47" s="225"/>
      <c r="CCC47" s="225"/>
      <c r="CCD47" s="225"/>
      <c r="CCE47" s="225"/>
      <c r="CCF47" s="225"/>
      <c r="CCG47" s="225"/>
      <c r="CCH47" s="225"/>
      <c r="CCI47" s="225"/>
      <c r="CCJ47" s="225"/>
      <c r="CCK47" s="225"/>
      <c r="CCL47" s="225"/>
      <c r="CCM47" s="225"/>
      <c r="CCN47" s="225"/>
      <c r="CCO47" s="225"/>
      <c r="CCP47" s="225"/>
      <c r="CCQ47" s="225"/>
      <c r="CCR47" s="225"/>
      <c r="CCS47" s="225"/>
      <c r="CCT47" s="225"/>
      <c r="CCU47" s="225"/>
      <c r="CCV47" s="225"/>
      <c r="CCW47" s="225"/>
      <c r="CCX47" s="225"/>
      <c r="CCY47" s="225"/>
      <c r="CCZ47" s="225"/>
      <c r="CDA47" s="225"/>
      <c r="CDB47" s="225"/>
      <c r="CDC47" s="225"/>
      <c r="CDD47" s="225"/>
      <c r="CDE47" s="225"/>
      <c r="CDF47" s="225"/>
      <c r="CDG47" s="225"/>
      <c r="CDH47" s="225"/>
      <c r="CDI47" s="225"/>
      <c r="CDJ47" s="225"/>
      <c r="CDK47" s="225"/>
      <c r="CDL47" s="225"/>
      <c r="CDM47" s="225"/>
      <c r="CDN47" s="225"/>
      <c r="CDO47" s="225"/>
      <c r="CDP47" s="225"/>
      <c r="CDQ47" s="225"/>
      <c r="CDR47" s="225"/>
      <c r="CDS47" s="225"/>
      <c r="CDT47" s="225"/>
      <c r="CDU47" s="225"/>
      <c r="CDV47" s="225"/>
      <c r="CDW47" s="225"/>
      <c r="CDX47" s="225"/>
      <c r="CDY47" s="225"/>
      <c r="CDZ47" s="225"/>
      <c r="CEA47" s="225"/>
      <c r="CEB47" s="225"/>
      <c r="CEC47" s="225"/>
      <c r="CED47" s="225"/>
      <c r="CEE47" s="225"/>
      <c r="CEF47" s="225"/>
      <c r="CEG47" s="225"/>
      <c r="CEH47" s="225"/>
      <c r="CEI47" s="225"/>
      <c r="CEJ47" s="225"/>
      <c r="CEK47" s="225"/>
      <c r="CEL47" s="225"/>
      <c r="CEM47" s="225"/>
      <c r="CEN47" s="225"/>
      <c r="CEO47" s="225"/>
      <c r="CEP47" s="225"/>
      <c r="CEQ47" s="225"/>
      <c r="CER47" s="225"/>
      <c r="CES47" s="225"/>
      <c r="CET47" s="225"/>
      <c r="CEU47" s="225"/>
      <c r="CEV47" s="225"/>
      <c r="CEW47" s="225"/>
      <c r="CEX47" s="225"/>
      <c r="CEY47" s="225"/>
      <c r="CEZ47" s="225"/>
      <c r="CFA47" s="225"/>
      <c r="CFB47" s="225"/>
      <c r="CFC47" s="225"/>
      <c r="CFD47" s="225"/>
      <c r="CFE47" s="225"/>
      <c r="CFF47" s="225"/>
      <c r="CFG47" s="225"/>
      <c r="CFH47" s="225"/>
      <c r="CFI47" s="225"/>
      <c r="CFJ47" s="225"/>
      <c r="CFK47" s="225"/>
      <c r="CFL47" s="225"/>
      <c r="CFM47" s="225"/>
      <c r="CFN47" s="225"/>
      <c r="CFO47" s="225"/>
      <c r="CFP47" s="225"/>
      <c r="CFQ47" s="225"/>
      <c r="CFR47" s="225"/>
      <c r="CFS47" s="225"/>
      <c r="CFT47" s="225"/>
      <c r="CFU47" s="225"/>
      <c r="CFV47" s="225"/>
      <c r="CFW47" s="225"/>
      <c r="CFX47" s="225"/>
      <c r="CFY47" s="225"/>
      <c r="CFZ47" s="225"/>
      <c r="CGA47" s="225"/>
      <c r="CGB47" s="225"/>
      <c r="CGC47" s="225"/>
      <c r="CGD47" s="225"/>
      <c r="CGE47" s="225"/>
      <c r="CGF47" s="225"/>
      <c r="CGG47" s="225"/>
      <c r="CGH47" s="225"/>
      <c r="CGI47" s="225"/>
      <c r="CGJ47" s="225"/>
      <c r="CGK47" s="225"/>
      <c r="CGL47" s="225"/>
      <c r="CGM47" s="225"/>
      <c r="CGN47" s="225"/>
      <c r="CGO47" s="225"/>
      <c r="CGP47" s="225"/>
      <c r="CGQ47" s="225"/>
      <c r="CGR47" s="225"/>
      <c r="CGS47" s="225"/>
      <c r="CGT47" s="225"/>
      <c r="CGU47" s="225"/>
      <c r="CGV47" s="225"/>
      <c r="CGW47" s="225"/>
      <c r="CGX47" s="225"/>
      <c r="CGY47" s="225"/>
      <c r="CGZ47" s="225"/>
      <c r="CHA47" s="225"/>
      <c r="CHB47" s="225"/>
      <c r="CHC47" s="225"/>
      <c r="CHD47" s="225"/>
      <c r="CHE47" s="225"/>
      <c r="CHF47" s="225"/>
      <c r="CHG47" s="225"/>
      <c r="CHH47" s="225"/>
      <c r="CHI47" s="225"/>
      <c r="CHJ47" s="225"/>
      <c r="CHK47" s="225"/>
      <c r="CHL47" s="225"/>
      <c r="CHM47" s="225"/>
      <c r="CHN47" s="225"/>
      <c r="CHO47" s="225"/>
      <c r="CHP47" s="225"/>
      <c r="CHQ47" s="225"/>
      <c r="CHR47" s="225"/>
      <c r="CHS47" s="225"/>
      <c r="CHT47" s="225"/>
      <c r="CHU47" s="225"/>
      <c r="CHV47" s="225"/>
      <c r="CHW47" s="225"/>
      <c r="CHX47" s="225"/>
      <c r="CHY47" s="225"/>
      <c r="CHZ47" s="225"/>
      <c r="CIA47" s="225"/>
      <c r="CIB47" s="225"/>
      <c r="CIC47" s="225"/>
      <c r="CID47" s="225"/>
      <c r="CIE47" s="225"/>
      <c r="CIF47" s="225"/>
      <c r="CIG47" s="225"/>
      <c r="CIH47" s="225"/>
      <c r="CII47" s="225"/>
      <c r="CIJ47" s="225"/>
      <c r="CIK47" s="225"/>
      <c r="CIL47" s="225"/>
      <c r="CIM47" s="225"/>
      <c r="CIN47" s="225"/>
      <c r="CIO47" s="225"/>
      <c r="CIP47" s="225"/>
      <c r="CIQ47" s="225"/>
      <c r="CIR47" s="225"/>
      <c r="CIS47" s="225"/>
      <c r="CIT47" s="225"/>
      <c r="CIU47" s="225"/>
      <c r="CIV47" s="225"/>
      <c r="CIW47" s="225"/>
      <c r="CIX47" s="225"/>
      <c r="CIY47" s="225"/>
      <c r="CIZ47" s="225"/>
      <c r="CJA47" s="225"/>
      <c r="CJB47" s="225"/>
      <c r="CJC47" s="225"/>
      <c r="CJD47" s="225"/>
      <c r="CJE47" s="225"/>
      <c r="CJF47" s="225"/>
      <c r="CJG47" s="225"/>
      <c r="CJH47" s="225"/>
      <c r="CJI47" s="225"/>
      <c r="CJJ47" s="225"/>
      <c r="CJK47" s="225"/>
      <c r="CJL47" s="225"/>
      <c r="CJM47" s="225"/>
      <c r="CJN47" s="225"/>
      <c r="CJO47" s="225"/>
      <c r="CJP47" s="225"/>
      <c r="CJQ47" s="225"/>
      <c r="CJR47" s="225"/>
      <c r="CJS47" s="225"/>
      <c r="CJT47" s="225"/>
      <c r="CJU47" s="225"/>
      <c r="CJV47" s="225"/>
      <c r="CJW47" s="225"/>
      <c r="CJX47" s="225"/>
      <c r="CJY47" s="225"/>
      <c r="CJZ47" s="225"/>
      <c r="CKA47" s="225"/>
      <c r="CKB47" s="225"/>
      <c r="CKC47" s="225"/>
      <c r="CKD47" s="225"/>
      <c r="CKE47" s="225"/>
      <c r="CKF47" s="225"/>
      <c r="CKG47" s="225"/>
      <c r="CKH47" s="225"/>
      <c r="CKI47" s="225"/>
      <c r="CKJ47" s="225"/>
      <c r="CKK47" s="225"/>
      <c r="CKL47" s="225"/>
      <c r="CKM47" s="225"/>
      <c r="CKN47" s="225"/>
      <c r="CKO47" s="225"/>
      <c r="CKP47" s="225"/>
      <c r="CKQ47" s="225"/>
      <c r="CKR47" s="225"/>
      <c r="CKS47" s="225"/>
      <c r="CKT47" s="225"/>
      <c r="CKU47" s="225"/>
      <c r="CKV47" s="225"/>
      <c r="CKW47" s="225"/>
      <c r="CKX47" s="225"/>
      <c r="CKY47" s="225"/>
      <c r="CKZ47" s="225"/>
      <c r="CLA47" s="225"/>
      <c r="CLB47" s="225"/>
      <c r="CLC47" s="225"/>
      <c r="CLD47" s="225"/>
      <c r="CLE47" s="225"/>
      <c r="CLF47" s="225"/>
      <c r="CLG47" s="225"/>
      <c r="CLH47" s="225"/>
      <c r="CLI47" s="225"/>
      <c r="CLJ47" s="225"/>
      <c r="CLK47" s="225"/>
      <c r="CLL47" s="225"/>
      <c r="CLM47" s="225"/>
      <c r="CLN47" s="225"/>
      <c r="CLO47" s="225"/>
      <c r="CLP47" s="225"/>
      <c r="CLQ47" s="225"/>
      <c r="CLR47" s="225"/>
      <c r="CLS47" s="225"/>
      <c r="CLT47" s="225"/>
      <c r="CLU47" s="225"/>
      <c r="CLV47" s="225"/>
      <c r="CLW47" s="225"/>
      <c r="CLX47" s="225"/>
      <c r="CLY47" s="225"/>
      <c r="CLZ47" s="225"/>
      <c r="CMA47" s="225"/>
      <c r="CMB47" s="225"/>
      <c r="CMC47" s="225"/>
      <c r="CMD47" s="225"/>
      <c r="CME47" s="225"/>
      <c r="CMF47" s="225"/>
      <c r="CMG47" s="225"/>
      <c r="CMH47" s="225"/>
      <c r="CMI47" s="225"/>
      <c r="CMJ47" s="225"/>
      <c r="CMK47" s="225"/>
      <c r="CML47" s="225"/>
      <c r="CMM47" s="225"/>
      <c r="CMN47" s="225"/>
      <c r="CMO47" s="225"/>
      <c r="CMP47" s="225"/>
      <c r="CMQ47" s="225"/>
      <c r="CMR47" s="225"/>
      <c r="CMS47" s="225"/>
      <c r="CMT47" s="225"/>
      <c r="CMU47" s="225"/>
      <c r="CMV47" s="225"/>
      <c r="CMW47" s="225"/>
      <c r="CMX47" s="225"/>
      <c r="CMY47" s="225"/>
      <c r="CMZ47" s="225"/>
      <c r="CNA47" s="225"/>
      <c r="CNB47" s="225"/>
      <c r="CNC47" s="225"/>
      <c r="CND47" s="225"/>
      <c r="CNE47" s="225"/>
      <c r="CNF47" s="225"/>
      <c r="CNG47" s="225"/>
      <c r="CNH47" s="225"/>
      <c r="CNI47" s="225"/>
      <c r="CNJ47" s="225"/>
      <c r="CNK47" s="225"/>
      <c r="CNL47" s="225"/>
      <c r="CNM47" s="225"/>
      <c r="CNN47" s="225"/>
      <c r="CNO47" s="225"/>
      <c r="CNP47" s="225"/>
      <c r="CNQ47" s="225"/>
      <c r="CNR47" s="225"/>
      <c r="CNS47" s="225"/>
      <c r="CNT47" s="225"/>
      <c r="CNU47" s="225"/>
      <c r="CNV47" s="225"/>
      <c r="CNW47" s="225"/>
      <c r="CNX47" s="225"/>
      <c r="CNY47" s="225"/>
      <c r="CNZ47" s="225"/>
      <c r="COA47" s="225"/>
      <c r="COB47" s="225"/>
      <c r="COC47" s="225"/>
      <c r="COD47" s="225"/>
      <c r="COE47" s="225"/>
      <c r="COF47" s="225"/>
      <c r="COG47" s="225"/>
      <c r="COH47" s="225"/>
      <c r="COI47" s="225"/>
      <c r="COJ47" s="225"/>
      <c r="COK47" s="225"/>
      <c r="COL47" s="225"/>
      <c r="COM47" s="225"/>
      <c r="CON47" s="225"/>
      <c r="COO47" s="225"/>
      <c r="COP47" s="225"/>
      <c r="COQ47" s="225"/>
      <c r="COR47" s="225"/>
      <c r="COS47" s="225"/>
      <c r="COT47" s="225"/>
      <c r="COU47" s="225"/>
      <c r="COV47" s="225"/>
      <c r="COW47" s="225"/>
      <c r="COX47" s="225"/>
      <c r="COY47" s="225"/>
      <c r="COZ47" s="225"/>
      <c r="CPA47" s="225"/>
      <c r="CPB47" s="225"/>
      <c r="CPC47" s="225"/>
      <c r="CPD47" s="225"/>
      <c r="CPE47" s="225"/>
      <c r="CPF47" s="225"/>
      <c r="CPG47" s="225"/>
      <c r="CPH47" s="225"/>
      <c r="CPI47" s="225"/>
      <c r="CPJ47" s="225"/>
      <c r="CPK47" s="225"/>
      <c r="CPL47" s="225"/>
      <c r="CPM47" s="225"/>
      <c r="CPN47" s="225"/>
      <c r="CPO47" s="225"/>
      <c r="CPP47" s="225"/>
      <c r="CPQ47" s="225"/>
      <c r="CPR47" s="225"/>
      <c r="CPS47" s="225"/>
      <c r="CPT47" s="225"/>
      <c r="CPU47" s="225"/>
      <c r="CPV47" s="225"/>
      <c r="CPW47" s="225"/>
      <c r="CPX47" s="225"/>
      <c r="CPY47" s="225"/>
      <c r="CPZ47" s="225"/>
      <c r="CQA47" s="225"/>
      <c r="CQB47" s="225"/>
      <c r="CQC47" s="225"/>
      <c r="CQD47" s="225"/>
      <c r="CQE47" s="225"/>
      <c r="CQF47" s="225"/>
      <c r="CQG47" s="225"/>
      <c r="CQH47" s="225"/>
      <c r="CQI47" s="225"/>
      <c r="CQJ47" s="225"/>
      <c r="CQK47" s="225"/>
      <c r="CQL47" s="225"/>
      <c r="CQM47" s="225"/>
      <c r="CQN47" s="225"/>
      <c r="CQO47" s="225"/>
      <c r="CQP47" s="225"/>
      <c r="CQQ47" s="225"/>
      <c r="CQR47" s="225"/>
      <c r="CQS47" s="225"/>
      <c r="CQT47" s="225"/>
      <c r="CQU47" s="225"/>
      <c r="CQV47" s="225"/>
      <c r="CQW47" s="225"/>
      <c r="CQX47" s="225"/>
      <c r="CQY47" s="225"/>
      <c r="CQZ47" s="225"/>
      <c r="CRA47" s="225"/>
      <c r="CRB47" s="225"/>
      <c r="CRC47" s="225"/>
      <c r="CRD47" s="225"/>
      <c r="CRE47" s="225"/>
      <c r="CRF47" s="225"/>
      <c r="CRG47" s="225"/>
      <c r="CRH47" s="225"/>
      <c r="CRI47" s="225"/>
      <c r="CRJ47" s="225"/>
      <c r="CRK47" s="225"/>
      <c r="CRL47" s="225"/>
      <c r="CRM47" s="225"/>
      <c r="CRN47" s="225"/>
      <c r="CRO47" s="225"/>
      <c r="CRP47" s="225"/>
      <c r="CRQ47" s="225"/>
      <c r="CRR47" s="225"/>
      <c r="CRS47" s="225"/>
      <c r="CRT47" s="225"/>
      <c r="CRU47" s="225"/>
      <c r="CRV47" s="225"/>
      <c r="CRW47" s="225"/>
      <c r="CRX47" s="225"/>
      <c r="CRY47" s="225"/>
      <c r="CRZ47" s="225"/>
      <c r="CSA47" s="225"/>
      <c r="CSB47" s="225"/>
      <c r="CSC47" s="225"/>
      <c r="CSD47" s="225"/>
      <c r="CSE47" s="225"/>
      <c r="CSF47" s="225"/>
      <c r="CSG47" s="225"/>
      <c r="CSH47" s="225"/>
      <c r="CSI47" s="225"/>
      <c r="CSJ47" s="225"/>
      <c r="CSK47" s="225"/>
      <c r="CSL47" s="225"/>
      <c r="CSM47" s="225"/>
      <c r="CSN47" s="225"/>
      <c r="CSO47" s="225"/>
      <c r="CSP47" s="225"/>
      <c r="CSQ47" s="225"/>
      <c r="CSR47" s="225"/>
      <c r="CSS47" s="225"/>
      <c r="CST47" s="225"/>
      <c r="CSU47" s="225"/>
      <c r="CSV47" s="225"/>
      <c r="CSW47" s="225"/>
      <c r="CSX47" s="225"/>
      <c r="CSY47" s="225"/>
      <c r="CSZ47" s="225"/>
      <c r="CTA47" s="225"/>
      <c r="CTB47" s="225"/>
      <c r="CTC47" s="225"/>
      <c r="CTD47" s="225"/>
      <c r="CTE47" s="225"/>
      <c r="CTF47" s="225"/>
      <c r="CTG47" s="225"/>
      <c r="CTH47" s="225"/>
      <c r="CTI47" s="225"/>
      <c r="CTJ47" s="225"/>
      <c r="CTK47" s="225"/>
      <c r="CTL47" s="225"/>
      <c r="CTM47" s="225"/>
      <c r="CTN47" s="225"/>
      <c r="CTO47" s="225"/>
      <c r="CTP47" s="225"/>
      <c r="CTQ47" s="225"/>
      <c r="CTR47" s="225"/>
      <c r="CTS47" s="225"/>
      <c r="CTT47" s="225"/>
      <c r="CTU47" s="225"/>
      <c r="CTV47" s="225"/>
      <c r="CTW47" s="225"/>
      <c r="CTX47" s="225"/>
      <c r="CTY47" s="225"/>
      <c r="CTZ47" s="225"/>
      <c r="CUA47" s="225"/>
      <c r="CUB47" s="225"/>
      <c r="CUC47" s="225"/>
      <c r="CUD47" s="225"/>
      <c r="CUE47" s="225"/>
      <c r="CUF47" s="225"/>
      <c r="CUG47" s="225"/>
      <c r="CUH47" s="225"/>
      <c r="CUI47" s="225"/>
      <c r="CUJ47" s="225"/>
      <c r="CUK47" s="225"/>
      <c r="CUL47" s="225"/>
      <c r="CUM47" s="225"/>
      <c r="CUN47" s="225"/>
      <c r="CUO47" s="225"/>
      <c r="CUP47" s="225"/>
      <c r="CUQ47" s="225"/>
      <c r="CUR47" s="225"/>
      <c r="CUS47" s="225"/>
      <c r="CUT47" s="225"/>
      <c r="CUU47" s="225"/>
      <c r="CUV47" s="225"/>
      <c r="CUW47" s="225"/>
      <c r="CUX47" s="225"/>
      <c r="CUY47" s="225"/>
      <c r="CUZ47" s="225"/>
      <c r="CVA47" s="225"/>
      <c r="CVB47" s="225"/>
      <c r="CVC47" s="225"/>
      <c r="CVD47" s="225"/>
      <c r="CVE47" s="225"/>
      <c r="CVF47" s="225"/>
      <c r="CVG47" s="225"/>
      <c r="CVH47" s="225"/>
      <c r="CVI47" s="225"/>
      <c r="CVJ47" s="225"/>
      <c r="CVK47" s="225"/>
      <c r="CVL47" s="225"/>
      <c r="CVM47" s="225"/>
      <c r="CVN47" s="225"/>
      <c r="CVO47" s="225"/>
      <c r="CVP47" s="225"/>
      <c r="CVQ47" s="225"/>
      <c r="CVR47" s="225"/>
      <c r="CVS47" s="225"/>
      <c r="CVT47" s="225"/>
      <c r="CVU47" s="225"/>
      <c r="CVV47" s="225"/>
      <c r="CVW47" s="225"/>
      <c r="CVX47" s="225"/>
      <c r="CVY47" s="225"/>
      <c r="CVZ47" s="225"/>
      <c r="CWA47" s="225"/>
      <c r="CWB47" s="225"/>
      <c r="CWC47" s="225"/>
      <c r="CWD47" s="225"/>
      <c r="CWE47" s="225"/>
      <c r="CWF47" s="225"/>
      <c r="CWG47" s="225"/>
      <c r="CWH47" s="225"/>
      <c r="CWI47" s="225"/>
      <c r="CWJ47" s="225"/>
      <c r="CWK47" s="225"/>
      <c r="CWL47" s="225"/>
      <c r="CWM47" s="225"/>
      <c r="CWN47" s="225"/>
      <c r="CWO47" s="225"/>
      <c r="CWP47" s="225"/>
      <c r="CWQ47" s="225"/>
      <c r="CWR47" s="225"/>
      <c r="CWS47" s="225"/>
      <c r="CWT47" s="225"/>
      <c r="CWU47" s="225"/>
      <c r="CWV47" s="225"/>
      <c r="CWW47" s="225"/>
      <c r="CWX47" s="225"/>
      <c r="CWY47" s="225"/>
      <c r="CWZ47" s="225"/>
      <c r="CXA47" s="225"/>
      <c r="CXB47" s="225"/>
      <c r="CXC47" s="225"/>
      <c r="CXD47" s="225"/>
      <c r="CXE47" s="225"/>
      <c r="CXF47" s="225"/>
      <c r="CXG47" s="225"/>
      <c r="CXH47" s="225"/>
      <c r="CXI47" s="225"/>
      <c r="CXJ47" s="225"/>
      <c r="CXK47" s="225"/>
      <c r="CXL47" s="225"/>
      <c r="CXM47" s="225"/>
      <c r="CXN47" s="225"/>
      <c r="CXO47" s="225"/>
      <c r="CXP47" s="225"/>
      <c r="CXQ47" s="225"/>
      <c r="CXR47" s="225"/>
      <c r="CXS47" s="225"/>
      <c r="CXT47" s="225"/>
      <c r="CXU47" s="225"/>
      <c r="CXV47" s="225"/>
      <c r="CXW47" s="225"/>
      <c r="CXX47" s="225"/>
      <c r="CXY47" s="225"/>
      <c r="CXZ47" s="225"/>
      <c r="CYA47" s="225"/>
      <c r="CYB47" s="225"/>
      <c r="CYC47" s="225"/>
      <c r="CYD47" s="225"/>
      <c r="CYE47" s="225"/>
      <c r="CYF47" s="225"/>
      <c r="CYG47" s="225"/>
      <c r="CYH47" s="225"/>
      <c r="CYI47" s="225"/>
      <c r="CYJ47" s="225"/>
      <c r="CYK47" s="225"/>
      <c r="CYL47" s="225"/>
      <c r="CYM47" s="225"/>
      <c r="CYN47" s="225"/>
      <c r="CYO47" s="225"/>
      <c r="CYP47" s="225"/>
      <c r="CYQ47" s="225"/>
      <c r="CYR47" s="225"/>
      <c r="CYS47" s="225"/>
      <c r="CYT47" s="225"/>
      <c r="CYU47" s="225"/>
      <c r="CYV47" s="225"/>
      <c r="CYW47" s="225"/>
      <c r="CYX47" s="225"/>
      <c r="CYY47" s="225"/>
      <c r="CYZ47" s="225"/>
      <c r="CZA47" s="225"/>
      <c r="CZB47" s="225"/>
      <c r="CZC47" s="225"/>
      <c r="CZD47" s="225"/>
      <c r="CZE47" s="225"/>
      <c r="CZF47" s="225"/>
      <c r="CZG47" s="225"/>
      <c r="CZH47" s="225"/>
      <c r="CZI47" s="225"/>
      <c r="CZJ47" s="225"/>
      <c r="CZK47" s="225"/>
      <c r="CZL47" s="225"/>
      <c r="CZM47" s="225"/>
      <c r="CZN47" s="225"/>
      <c r="CZO47" s="225"/>
      <c r="CZP47" s="225"/>
      <c r="CZQ47" s="225"/>
      <c r="CZR47" s="225"/>
      <c r="CZS47" s="225"/>
      <c r="CZT47" s="225"/>
      <c r="CZU47" s="225"/>
      <c r="CZV47" s="225"/>
      <c r="CZW47" s="225"/>
      <c r="CZX47" s="225"/>
      <c r="CZY47" s="225"/>
      <c r="CZZ47" s="225"/>
      <c r="DAA47" s="225"/>
      <c r="DAB47" s="225"/>
      <c r="DAC47" s="225"/>
      <c r="DAD47" s="225"/>
      <c r="DAE47" s="225"/>
      <c r="DAF47" s="225"/>
      <c r="DAG47" s="225"/>
      <c r="DAH47" s="225"/>
      <c r="DAI47" s="225"/>
      <c r="DAJ47" s="225"/>
      <c r="DAK47" s="225"/>
      <c r="DAL47" s="225"/>
      <c r="DAM47" s="225"/>
      <c r="DAN47" s="225"/>
      <c r="DAO47" s="225"/>
      <c r="DAP47" s="225"/>
      <c r="DAQ47" s="225"/>
      <c r="DAR47" s="225"/>
      <c r="DAS47" s="225"/>
      <c r="DAT47" s="225"/>
      <c r="DAU47" s="225"/>
      <c r="DAV47" s="225"/>
      <c r="DAW47" s="225"/>
      <c r="DAX47" s="225"/>
      <c r="DAY47" s="225"/>
      <c r="DAZ47" s="225"/>
      <c r="DBA47" s="225"/>
      <c r="DBB47" s="225"/>
      <c r="DBC47" s="225"/>
      <c r="DBD47" s="225"/>
      <c r="DBE47" s="225"/>
      <c r="DBF47" s="225"/>
      <c r="DBG47" s="225"/>
      <c r="DBH47" s="225"/>
      <c r="DBI47" s="225"/>
      <c r="DBJ47" s="225"/>
      <c r="DBK47" s="225"/>
      <c r="DBL47" s="225"/>
      <c r="DBM47" s="225"/>
      <c r="DBN47" s="225"/>
      <c r="DBO47" s="225"/>
      <c r="DBP47" s="225"/>
      <c r="DBQ47" s="225"/>
      <c r="DBR47" s="225"/>
      <c r="DBS47" s="225"/>
      <c r="DBT47" s="225"/>
      <c r="DBU47" s="225"/>
      <c r="DBV47" s="225"/>
      <c r="DBW47" s="225"/>
      <c r="DBX47" s="225"/>
      <c r="DBY47" s="225"/>
      <c r="DBZ47" s="225"/>
      <c r="DCA47" s="225"/>
      <c r="DCB47" s="225"/>
      <c r="DCC47" s="225"/>
      <c r="DCD47" s="225"/>
      <c r="DCE47" s="225"/>
      <c r="DCF47" s="225"/>
      <c r="DCG47" s="225"/>
      <c r="DCH47" s="225"/>
      <c r="DCI47" s="225"/>
      <c r="DCJ47" s="225"/>
      <c r="DCK47" s="225"/>
      <c r="DCL47" s="225"/>
      <c r="DCM47" s="225"/>
      <c r="DCN47" s="225"/>
      <c r="DCO47" s="225"/>
      <c r="DCP47" s="225"/>
      <c r="DCQ47" s="225"/>
      <c r="DCR47" s="225"/>
      <c r="DCS47" s="225"/>
      <c r="DCT47" s="225"/>
      <c r="DCU47" s="225"/>
      <c r="DCV47" s="225"/>
      <c r="DCW47" s="225"/>
      <c r="DCX47" s="225"/>
      <c r="DCY47" s="225"/>
      <c r="DCZ47" s="225"/>
      <c r="DDA47" s="225"/>
      <c r="DDB47" s="225"/>
      <c r="DDC47" s="225"/>
      <c r="DDD47" s="225"/>
      <c r="DDE47" s="225"/>
      <c r="DDF47" s="225"/>
      <c r="DDG47" s="225"/>
      <c r="DDH47" s="225"/>
      <c r="DDI47" s="225"/>
      <c r="DDJ47" s="225"/>
      <c r="DDK47" s="225"/>
      <c r="DDL47" s="225"/>
      <c r="DDM47" s="225"/>
      <c r="DDN47" s="225"/>
      <c r="DDO47" s="225"/>
      <c r="DDP47" s="225"/>
      <c r="DDQ47" s="225"/>
      <c r="DDR47" s="225"/>
      <c r="DDS47" s="225"/>
      <c r="DDT47" s="225"/>
      <c r="DDU47" s="225"/>
      <c r="DDV47" s="225"/>
      <c r="DDW47" s="225"/>
      <c r="DDX47" s="225"/>
      <c r="DDY47" s="225"/>
      <c r="DDZ47" s="225"/>
      <c r="DEA47" s="225"/>
      <c r="DEB47" s="225"/>
      <c r="DEC47" s="225"/>
      <c r="DED47" s="225"/>
      <c r="DEE47" s="225"/>
      <c r="DEF47" s="225"/>
      <c r="DEG47" s="225"/>
      <c r="DEH47" s="225"/>
      <c r="DEI47" s="225"/>
      <c r="DEJ47" s="225"/>
      <c r="DEK47" s="225"/>
      <c r="DEL47" s="225"/>
      <c r="DEM47" s="225"/>
      <c r="DEN47" s="225"/>
      <c r="DEO47" s="225"/>
      <c r="DEP47" s="225"/>
      <c r="DEQ47" s="225"/>
      <c r="DER47" s="225"/>
      <c r="DES47" s="225"/>
      <c r="DET47" s="225"/>
      <c r="DEU47" s="225"/>
      <c r="DEV47" s="225"/>
      <c r="DEW47" s="225"/>
      <c r="DEX47" s="225"/>
      <c r="DEY47" s="225"/>
      <c r="DEZ47" s="225"/>
      <c r="DFA47" s="225"/>
      <c r="DFB47" s="225"/>
      <c r="DFC47" s="225"/>
      <c r="DFD47" s="225"/>
      <c r="DFE47" s="225"/>
      <c r="DFF47" s="225"/>
      <c r="DFG47" s="225"/>
      <c r="DFH47" s="225"/>
      <c r="DFI47" s="225"/>
      <c r="DFJ47" s="225"/>
      <c r="DFK47" s="225"/>
      <c r="DFL47" s="225"/>
      <c r="DFM47" s="225"/>
      <c r="DFN47" s="225"/>
      <c r="DFO47" s="225"/>
      <c r="DFP47" s="225"/>
      <c r="DFQ47" s="225"/>
      <c r="DFR47" s="225"/>
      <c r="DFS47" s="225"/>
      <c r="DFT47" s="225"/>
      <c r="DFU47" s="225"/>
      <c r="DFV47" s="225"/>
      <c r="DFW47" s="225"/>
      <c r="DFX47" s="225"/>
      <c r="DFY47" s="225"/>
      <c r="DFZ47" s="225"/>
      <c r="DGA47" s="225"/>
      <c r="DGB47" s="225"/>
      <c r="DGC47" s="225"/>
      <c r="DGD47" s="225"/>
      <c r="DGE47" s="225"/>
      <c r="DGF47" s="225"/>
      <c r="DGG47" s="225"/>
      <c r="DGH47" s="225"/>
      <c r="DGI47" s="225"/>
      <c r="DGJ47" s="225"/>
      <c r="DGK47" s="225"/>
      <c r="DGL47" s="225"/>
      <c r="DGM47" s="225"/>
      <c r="DGN47" s="225"/>
      <c r="DGO47" s="225"/>
      <c r="DGP47" s="225"/>
      <c r="DGQ47" s="225"/>
      <c r="DGR47" s="225"/>
      <c r="DGS47" s="225"/>
      <c r="DGT47" s="225"/>
      <c r="DGU47" s="225"/>
      <c r="DGV47" s="225"/>
      <c r="DGW47" s="225"/>
      <c r="DGX47" s="225"/>
      <c r="DGY47" s="225"/>
      <c r="DGZ47" s="225"/>
      <c r="DHA47" s="225"/>
      <c r="DHB47" s="225"/>
      <c r="DHC47" s="225"/>
      <c r="DHD47" s="225"/>
      <c r="DHE47" s="225"/>
      <c r="DHF47" s="225"/>
      <c r="DHG47" s="225"/>
      <c r="DHH47" s="225"/>
      <c r="DHI47" s="225"/>
      <c r="DHJ47" s="225"/>
      <c r="DHK47" s="225"/>
      <c r="DHL47" s="225"/>
      <c r="DHM47" s="225"/>
      <c r="DHN47" s="225"/>
      <c r="DHO47" s="225"/>
      <c r="DHP47" s="225"/>
      <c r="DHQ47" s="225"/>
      <c r="DHR47" s="225"/>
      <c r="DHS47" s="225"/>
      <c r="DHT47" s="225"/>
      <c r="DHU47" s="225"/>
      <c r="DHV47" s="225"/>
      <c r="DHW47" s="225"/>
      <c r="DHX47" s="225"/>
      <c r="DHY47" s="225"/>
      <c r="DHZ47" s="225"/>
      <c r="DIA47" s="225"/>
      <c r="DIB47" s="225"/>
      <c r="DIC47" s="225"/>
      <c r="DID47" s="225"/>
      <c r="DIE47" s="225"/>
      <c r="DIF47" s="225"/>
      <c r="DIG47" s="225"/>
      <c r="DIH47" s="225"/>
      <c r="DII47" s="225"/>
      <c r="DIJ47" s="225"/>
      <c r="DIK47" s="225"/>
      <c r="DIL47" s="225"/>
      <c r="DIM47" s="225"/>
      <c r="DIN47" s="225"/>
      <c r="DIO47" s="225"/>
      <c r="DIP47" s="225"/>
      <c r="DIQ47" s="225"/>
      <c r="DIR47" s="225"/>
      <c r="DIS47" s="225"/>
      <c r="DIT47" s="225"/>
      <c r="DIU47" s="225"/>
      <c r="DIV47" s="225"/>
      <c r="DIW47" s="225"/>
      <c r="DIX47" s="225"/>
      <c r="DIY47" s="225"/>
      <c r="DIZ47" s="225"/>
      <c r="DJA47" s="225"/>
      <c r="DJB47" s="225"/>
      <c r="DJC47" s="225"/>
      <c r="DJD47" s="225"/>
      <c r="DJE47" s="225"/>
      <c r="DJF47" s="225"/>
      <c r="DJG47" s="225"/>
      <c r="DJH47" s="225"/>
      <c r="DJI47" s="225"/>
      <c r="DJJ47" s="225"/>
      <c r="DJK47" s="225"/>
      <c r="DJL47" s="225"/>
      <c r="DJM47" s="225"/>
      <c r="DJN47" s="225"/>
      <c r="DJO47" s="225"/>
      <c r="DJP47" s="225"/>
      <c r="DJQ47" s="225"/>
      <c r="DJR47" s="225"/>
      <c r="DJS47" s="225"/>
      <c r="DJT47" s="225"/>
      <c r="DJU47" s="225"/>
      <c r="DJV47" s="225"/>
      <c r="DJW47" s="225"/>
      <c r="DJX47" s="225"/>
      <c r="DJY47" s="225"/>
      <c r="DJZ47" s="225"/>
      <c r="DKA47" s="225"/>
      <c r="DKB47" s="225"/>
      <c r="DKC47" s="225"/>
      <c r="DKD47" s="225"/>
      <c r="DKE47" s="225"/>
      <c r="DKF47" s="225"/>
      <c r="DKG47" s="225"/>
      <c r="DKH47" s="225"/>
      <c r="DKI47" s="225"/>
      <c r="DKJ47" s="225"/>
      <c r="DKK47" s="225"/>
      <c r="DKL47" s="225"/>
      <c r="DKM47" s="225"/>
      <c r="DKN47" s="225"/>
      <c r="DKO47" s="225"/>
      <c r="DKP47" s="225"/>
      <c r="DKQ47" s="225"/>
      <c r="DKR47" s="225"/>
      <c r="DKS47" s="225"/>
      <c r="DKT47" s="225"/>
      <c r="DKU47" s="225"/>
      <c r="DKV47" s="225"/>
      <c r="DKW47" s="225"/>
      <c r="DKX47" s="225"/>
      <c r="DKY47" s="225"/>
      <c r="DKZ47" s="225"/>
      <c r="DLA47" s="225"/>
      <c r="DLB47" s="225"/>
      <c r="DLC47" s="225"/>
      <c r="DLD47" s="225"/>
      <c r="DLE47" s="225"/>
      <c r="DLF47" s="225"/>
      <c r="DLG47" s="225"/>
      <c r="DLH47" s="225"/>
      <c r="DLI47" s="225"/>
      <c r="DLJ47" s="225"/>
      <c r="DLK47" s="225"/>
      <c r="DLL47" s="225"/>
      <c r="DLM47" s="225"/>
      <c r="DLN47" s="225"/>
      <c r="DLO47" s="225"/>
      <c r="DLP47" s="225"/>
      <c r="DLQ47" s="225"/>
      <c r="DLR47" s="225"/>
      <c r="DLS47" s="225"/>
      <c r="DLT47" s="225"/>
      <c r="DLU47" s="225"/>
      <c r="DLV47" s="225"/>
      <c r="DLW47" s="225"/>
      <c r="DLX47" s="225"/>
      <c r="DLY47" s="225"/>
      <c r="DLZ47" s="225"/>
      <c r="DMA47" s="225"/>
      <c r="DMB47" s="225"/>
      <c r="DMC47" s="225"/>
      <c r="DMD47" s="225"/>
      <c r="DME47" s="225"/>
      <c r="DMF47" s="225"/>
      <c r="DMG47" s="225"/>
      <c r="DMH47" s="225"/>
      <c r="DMI47" s="225"/>
      <c r="DMJ47" s="225"/>
      <c r="DMK47" s="225"/>
      <c r="DML47" s="225"/>
      <c r="DMM47" s="225"/>
      <c r="DMN47" s="225"/>
      <c r="DMO47" s="225"/>
      <c r="DMP47" s="225"/>
      <c r="DMQ47" s="225"/>
      <c r="DMR47" s="225"/>
      <c r="DMS47" s="225"/>
      <c r="DMT47" s="225"/>
      <c r="DMU47" s="225"/>
      <c r="DMV47" s="225"/>
      <c r="DMW47" s="225"/>
      <c r="DMX47" s="225"/>
      <c r="DMY47" s="225"/>
      <c r="DMZ47" s="225"/>
      <c r="DNA47" s="225"/>
      <c r="DNB47" s="225"/>
      <c r="DNC47" s="225"/>
      <c r="DND47" s="225"/>
      <c r="DNE47" s="225"/>
      <c r="DNF47" s="225"/>
      <c r="DNG47" s="225"/>
      <c r="DNH47" s="225"/>
      <c r="DNI47" s="225"/>
      <c r="DNJ47" s="225"/>
      <c r="DNK47" s="225"/>
      <c r="DNL47" s="225"/>
      <c r="DNM47" s="225"/>
      <c r="DNN47" s="225"/>
      <c r="DNO47" s="225"/>
      <c r="DNP47" s="225"/>
      <c r="DNQ47" s="225"/>
      <c r="DNR47" s="225"/>
      <c r="DNS47" s="225"/>
      <c r="DNT47" s="225"/>
      <c r="DNU47" s="225"/>
      <c r="DNV47" s="225"/>
      <c r="DNW47" s="225"/>
      <c r="DNX47" s="225"/>
      <c r="DNY47" s="225"/>
      <c r="DNZ47" s="225"/>
      <c r="DOA47" s="225"/>
      <c r="DOB47" s="225"/>
      <c r="DOC47" s="225"/>
      <c r="DOD47" s="225"/>
      <c r="DOE47" s="225"/>
      <c r="DOF47" s="225"/>
      <c r="DOG47" s="225"/>
      <c r="DOH47" s="225"/>
      <c r="DOI47" s="225"/>
      <c r="DOJ47" s="225"/>
      <c r="DOK47" s="225"/>
      <c r="DOL47" s="225"/>
      <c r="DOM47" s="225"/>
      <c r="DON47" s="225"/>
      <c r="DOO47" s="225"/>
      <c r="DOP47" s="225"/>
      <c r="DOQ47" s="225"/>
      <c r="DOR47" s="225"/>
      <c r="DOS47" s="225"/>
      <c r="DOT47" s="225"/>
      <c r="DOU47" s="225"/>
      <c r="DOV47" s="225"/>
      <c r="DOW47" s="225"/>
      <c r="DOX47" s="225"/>
      <c r="DOY47" s="225"/>
      <c r="DOZ47" s="225"/>
      <c r="DPA47" s="225"/>
      <c r="DPB47" s="225"/>
      <c r="DPC47" s="225"/>
      <c r="DPD47" s="225"/>
      <c r="DPE47" s="225"/>
      <c r="DPF47" s="225"/>
      <c r="DPG47" s="225"/>
      <c r="DPH47" s="225"/>
      <c r="DPI47" s="225"/>
      <c r="DPJ47" s="225"/>
      <c r="DPK47" s="225"/>
      <c r="DPL47" s="225"/>
      <c r="DPM47" s="225"/>
      <c r="DPN47" s="225"/>
      <c r="DPO47" s="225"/>
      <c r="DPP47" s="225"/>
      <c r="DPQ47" s="225"/>
      <c r="DPR47" s="225"/>
      <c r="DPS47" s="225"/>
      <c r="DPT47" s="225"/>
      <c r="DPU47" s="225"/>
      <c r="DPV47" s="225"/>
      <c r="DPW47" s="225"/>
      <c r="DPX47" s="225"/>
      <c r="DPY47" s="225"/>
      <c r="DPZ47" s="225"/>
      <c r="DQA47" s="225"/>
      <c r="DQB47" s="225"/>
      <c r="DQC47" s="225"/>
      <c r="DQD47" s="225"/>
      <c r="DQE47" s="225"/>
      <c r="DQF47" s="225"/>
      <c r="DQG47" s="225"/>
      <c r="DQH47" s="225"/>
      <c r="DQI47" s="225"/>
      <c r="DQJ47" s="225"/>
      <c r="DQK47" s="225"/>
      <c r="DQL47" s="225"/>
      <c r="DQM47" s="225"/>
      <c r="DQN47" s="225"/>
      <c r="DQO47" s="225"/>
      <c r="DQP47" s="225"/>
      <c r="DQQ47" s="225"/>
      <c r="DQR47" s="225"/>
      <c r="DQS47" s="225"/>
      <c r="DQT47" s="225"/>
      <c r="DQU47" s="225"/>
      <c r="DQV47" s="225"/>
      <c r="DQW47" s="225"/>
      <c r="DQX47" s="225"/>
      <c r="DQY47" s="225"/>
      <c r="DQZ47" s="225"/>
      <c r="DRA47" s="225"/>
      <c r="DRB47" s="225"/>
      <c r="DRC47" s="225"/>
      <c r="DRD47" s="225"/>
      <c r="DRE47" s="225"/>
      <c r="DRF47" s="225"/>
      <c r="DRG47" s="225"/>
      <c r="DRH47" s="225"/>
      <c r="DRI47" s="225"/>
      <c r="DRJ47" s="225"/>
      <c r="DRK47" s="225"/>
      <c r="DRL47" s="225"/>
      <c r="DRM47" s="225"/>
      <c r="DRN47" s="225"/>
      <c r="DRO47" s="225"/>
      <c r="DRP47" s="225"/>
      <c r="DRQ47" s="225"/>
      <c r="DRR47" s="225"/>
      <c r="DRS47" s="225"/>
      <c r="DRT47" s="225"/>
      <c r="DRU47" s="225"/>
      <c r="DRV47" s="225"/>
      <c r="DRW47" s="225"/>
      <c r="DRX47" s="225"/>
      <c r="DRY47" s="225"/>
      <c r="DRZ47" s="225"/>
      <c r="DSA47" s="225"/>
      <c r="DSB47" s="225"/>
      <c r="DSC47" s="225"/>
      <c r="DSD47" s="225"/>
      <c r="DSE47" s="225"/>
      <c r="DSF47" s="225"/>
      <c r="DSG47" s="225"/>
      <c r="DSH47" s="225"/>
      <c r="DSI47" s="225"/>
      <c r="DSJ47" s="225"/>
      <c r="DSK47" s="225"/>
      <c r="DSL47" s="225"/>
      <c r="DSM47" s="225"/>
      <c r="DSN47" s="225"/>
      <c r="DSO47" s="225"/>
      <c r="DSP47" s="225"/>
      <c r="DSQ47" s="225"/>
      <c r="DSR47" s="225"/>
      <c r="DSS47" s="225"/>
      <c r="DST47" s="225"/>
      <c r="DSU47" s="225"/>
      <c r="DSV47" s="225"/>
      <c r="DSW47" s="225"/>
      <c r="DSX47" s="225"/>
      <c r="DSY47" s="225"/>
      <c r="DSZ47" s="225"/>
      <c r="DTA47" s="225"/>
      <c r="DTB47" s="225"/>
      <c r="DTC47" s="225"/>
      <c r="DTD47" s="225"/>
      <c r="DTE47" s="225"/>
      <c r="DTF47" s="225"/>
      <c r="DTG47" s="225"/>
      <c r="DTH47" s="225"/>
      <c r="DTI47" s="225"/>
      <c r="DTJ47" s="225"/>
      <c r="DTK47" s="225"/>
      <c r="DTL47" s="225"/>
      <c r="DTM47" s="225"/>
      <c r="DTN47" s="225"/>
      <c r="DTO47" s="225"/>
      <c r="DTP47" s="225"/>
      <c r="DTQ47" s="225"/>
      <c r="DTR47" s="225"/>
      <c r="DTS47" s="225"/>
      <c r="DTT47" s="225"/>
      <c r="DTU47" s="225"/>
      <c r="DTV47" s="225"/>
      <c r="DTW47" s="225"/>
      <c r="DTX47" s="225"/>
      <c r="DTY47" s="225"/>
      <c r="DTZ47" s="225"/>
      <c r="DUA47" s="225"/>
      <c r="DUB47" s="225"/>
      <c r="DUC47" s="225"/>
      <c r="DUD47" s="225"/>
      <c r="DUE47" s="225"/>
      <c r="DUF47" s="225"/>
      <c r="DUG47" s="225"/>
      <c r="DUH47" s="225"/>
      <c r="DUI47" s="225"/>
      <c r="DUJ47" s="225"/>
      <c r="DUK47" s="225"/>
      <c r="DUL47" s="225"/>
      <c r="DUM47" s="225"/>
      <c r="DUN47" s="225"/>
      <c r="DUO47" s="225"/>
      <c r="DUP47" s="225"/>
      <c r="DUQ47" s="225"/>
      <c r="DUR47" s="225"/>
      <c r="DUS47" s="225"/>
      <c r="DUT47" s="225"/>
      <c r="DUU47" s="225"/>
      <c r="DUV47" s="225"/>
      <c r="DUW47" s="225"/>
      <c r="DUX47" s="225"/>
      <c r="DUY47" s="225"/>
      <c r="DUZ47" s="225"/>
      <c r="DVA47" s="225"/>
      <c r="DVB47" s="225"/>
      <c r="DVC47" s="225"/>
      <c r="DVD47" s="225"/>
      <c r="DVE47" s="225"/>
      <c r="DVF47" s="225"/>
      <c r="DVG47" s="225"/>
      <c r="DVH47" s="225"/>
      <c r="DVI47" s="225"/>
      <c r="DVJ47" s="225"/>
      <c r="DVK47" s="225"/>
      <c r="DVL47" s="225"/>
      <c r="DVM47" s="225"/>
      <c r="DVN47" s="225"/>
      <c r="DVO47" s="225"/>
      <c r="DVP47" s="225"/>
      <c r="DVQ47" s="225"/>
      <c r="DVR47" s="225"/>
      <c r="DVS47" s="225"/>
      <c r="DVT47" s="225"/>
      <c r="DVU47" s="225"/>
      <c r="DVV47" s="225"/>
      <c r="DVW47" s="225"/>
      <c r="DVX47" s="225"/>
      <c r="DVY47" s="225"/>
      <c r="DVZ47" s="225"/>
      <c r="DWA47" s="225"/>
      <c r="DWB47" s="225"/>
      <c r="DWC47" s="225"/>
      <c r="DWD47" s="225"/>
      <c r="DWE47" s="225"/>
      <c r="DWF47" s="225"/>
      <c r="DWG47" s="225"/>
      <c r="DWH47" s="225"/>
      <c r="DWI47" s="225"/>
      <c r="DWJ47" s="225"/>
      <c r="DWK47" s="225"/>
      <c r="DWL47" s="225"/>
      <c r="DWM47" s="225"/>
      <c r="DWN47" s="225"/>
      <c r="DWO47" s="225"/>
      <c r="DWP47" s="225"/>
      <c r="DWQ47" s="225"/>
      <c r="DWR47" s="225"/>
      <c r="DWS47" s="225"/>
      <c r="DWT47" s="225"/>
      <c r="DWU47" s="225"/>
      <c r="DWV47" s="225"/>
      <c r="DWW47" s="225"/>
      <c r="DWX47" s="225"/>
      <c r="DWY47" s="225"/>
      <c r="DWZ47" s="225"/>
      <c r="DXA47" s="225"/>
      <c r="DXB47" s="225"/>
      <c r="DXC47" s="225"/>
      <c r="DXD47" s="225"/>
      <c r="DXE47" s="225"/>
      <c r="DXF47" s="225"/>
      <c r="DXG47" s="225"/>
      <c r="DXH47" s="225"/>
      <c r="DXI47" s="225"/>
      <c r="DXJ47" s="225"/>
      <c r="DXK47" s="225"/>
      <c r="DXL47" s="225"/>
      <c r="DXM47" s="225"/>
      <c r="DXN47" s="225"/>
      <c r="DXO47" s="225"/>
      <c r="DXP47" s="225"/>
      <c r="DXQ47" s="225"/>
      <c r="DXR47" s="225"/>
      <c r="DXS47" s="225"/>
      <c r="DXT47" s="225"/>
      <c r="DXU47" s="225"/>
      <c r="DXV47" s="225"/>
      <c r="DXW47" s="225"/>
      <c r="DXX47" s="225"/>
      <c r="DXY47" s="225"/>
      <c r="DXZ47" s="225"/>
      <c r="DYA47" s="225"/>
      <c r="DYB47" s="225"/>
      <c r="DYC47" s="225"/>
      <c r="DYD47" s="225"/>
      <c r="DYE47" s="225"/>
      <c r="DYF47" s="225"/>
      <c r="DYG47" s="225"/>
      <c r="DYH47" s="225"/>
      <c r="DYI47" s="225"/>
      <c r="DYJ47" s="225"/>
      <c r="DYK47" s="225"/>
      <c r="DYL47" s="225"/>
      <c r="DYM47" s="225"/>
      <c r="DYN47" s="225"/>
      <c r="DYO47" s="225"/>
      <c r="DYP47" s="225"/>
      <c r="DYQ47" s="225"/>
      <c r="DYR47" s="225"/>
      <c r="DYS47" s="225"/>
      <c r="DYT47" s="225"/>
      <c r="DYU47" s="225"/>
      <c r="DYV47" s="225"/>
      <c r="DYW47" s="225"/>
      <c r="DYX47" s="225"/>
      <c r="DYY47" s="225"/>
      <c r="DYZ47" s="225"/>
      <c r="DZA47" s="225"/>
      <c r="DZB47" s="225"/>
      <c r="DZC47" s="225"/>
      <c r="DZD47" s="225"/>
      <c r="DZE47" s="225"/>
      <c r="DZF47" s="225"/>
      <c r="DZG47" s="225"/>
      <c r="DZH47" s="225"/>
      <c r="DZI47" s="225"/>
      <c r="DZJ47" s="225"/>
      <c r="DZK47" s="225"/>
      <c r="DZL47" s="225"/>
      <c r="DZM47" s="225"/>
      <c r="DZN47" s="225"/>
      <c r="DZO47" s="225"/>
      <c r="DZP47" s="225"/>
      <c r="DZQ47" s="225"/>
      <c r="DZR47" s="225"/>
      <c r="DZS47" s="225"/>
      <c r="DZT47" s="225"/>
      <c r="DZU47" s="225"/>
      <c r="DZV47" s="225"/>
      <c r="DZW47" s="225"/>
      <c r="DZX47" s="225"/>
      <c r="DZY47" s="225"/>
      <c r="DZZ47" s="225"/>
      <c r="EAA47" s="225"/>
      <c r="EAB47" s="225"/>
      <c r="EAC47" s="225"/>
      <c r="EAD47" s="225"/>
      <c r="EAE47" s="225"/>
      <c r="EAF47" s="225"/>
      <c r="EAG47" s="225"/>
      <c r="EAH47" s="225"/>
      <c r="EAI47" s="225"/>
      <c r="EAJ47" s="225"/>
      <c r="EAK47" s="225"/>
      <c r="EAL47" s="225"/>
      <c r="EAM47" s="225"/>
      <c r="EAN47" s="225"/>
      <c r="EAO47" s="225"/>
      <c r="EAP47" s="225"/>
      <c r="EAQ47" s="225"/>
      <c r="EAR47" s="225"/>
      <c r="EAS47" s="225"/>
      <c r="EAT47" s="225"/>
      <c r="EAU47" s="225"/>
      <c r="EAV47" s="225"/>
      <c r="EAW47" s="225"/>
      <c r="EAX47" s="225"/>
      <c r="EAY47" s="225"/>
      <c r="EAZ47" s="225"/>
      <c r="EBA47" s="225"/>
      <c r="EBB47" s="225"/>
      <c r="EBC47" s="225"/>
      <c r="EBD47" s="225"/>
      <c r="EBE47" s="225"/>
      <c r="EBF47" s="225"/>
      <c r="EBG47" s="225"/>
      <c r="EBH47" s="225"/>
      <c r="EBI47" s="225"/>
      <c r="EBJ47" s="225"/>
      <c r="EBK47" s="225"/>
      <c r="EBL47" s="225"/>
      <c r="EBM47" s="225"/>
      <c r="EBN47" s="225"/>
      <c r="EBO47" s="225"/>
      <c r="EBP47" s="225"/>
      <c r="EBQ47" s="225"/>
      <c r="EBR47" s="225"/>
      <c r="EBS47" s="225"/>
      <c r="EBT47" s="225"/>
      <c r="EBU47" s="225"/>
      <c r="EBV47" s="225"/>
      <c r="EBW47" s="225"/>
      <c r="EBX47" s="225"/>
      <c r="EBY47" s="225"/>
      <c r="EBZ47" s="225"/>
      <c r="ECA47" s="225"/>
      <c r="ECB47" s="225"/>
      <c r="ECC47" s="225"/>
      <c r="ECD47" s="225"/>
      <c r="ECE47" s="225"/>
      <c r="ECF47" s="225"/>
      <c r="ECG47" s="225"/>
      <c r="ECH47" s="225"/>
      <c r="ECI47" s="225"/>
      <c r="ECJ47" s="225"/>
      <c r="ECK47" s="225"/>
      <c r="ECL47" s="225"/>
      <c r="ECM47" s="225"/>
      <c r="ECN47" s="225"/>
      <c r="ECO47" s="225"/>
      <c r="ECP47" s="225"/>
      <c r="ECQ47" s="225"/>
      <c r="ECR47" s="225"/>
      <c r="ECS47" s="225"/>
      <c r="ECT47" s="225"/>
      <c r="ECU47" s="225"/>
      <c r="ECV47" s="225"/>
      <c r="ECW47" s="225"/>
      <c r="ECX47" s="225"/>
      <c r="ECY47" s="225"/>
      <c r="ECZ47" s="225"/>
      <c r="EDA47" s="225"/>
      <c r="EDB47" s="225"/>
      <c r="EDC47" s="225"/>
      <c r="EDD47" s="225"/>
      <c r="EDE47" s="225"/>
      <c r="EDF47" s="225"/>
      <c r="EDG47" s="225"/>
      <c r="EDH47" s="225"/>
      <c r="EDI47" s="225"/>
      <c r="EDJ47" s="225"/>
      <c r="EDK47" s="225"/>
      <c r="EDL47" s="225"/>
      <c r="EDM47" s="225"/>
      <c r="EDN47" s="225"/>
      <c r="EDO47" s="225"/>
      <c r="EDP47" s="225"/>
      <c r="EDQ47" s="225"/>
      <c r="EDR47" s="225"/>
      <c r="EDS47" s="225"/>
      <c r="EDT47" s="225"/>
      <c r="EDU47" s="225"/>
      <c r="EDV47" s="225"/>
      <c r="EDW47" s="225"/>
      <c r="EDX47" s="225"/>
      <c r="EDY47" s="225"/>
      <c r="EDZ47" s="225"/>
      <c r="EEA47" s="225"/>
      <c r="EEB47" s="225"/>
      <c r="EEC47" s="225"/>
      <c r="EED47" s="225"/>
      <c r="EEE47" s="225"/>
      <c r="EEF47" s="225"/>
      <c r="EEG47" s="225"/>
      <c r="EEH47" s="225"/>
      <c r="EEI47" s="225"/>
      <c r="EEJ47" s="225"/>
      <c r="EEK47" s="225"/>
      <c r="EEL47" s="225"/>
      <c r="EEM47" s="225"/>
      <c r="EEN47" s="225"/>
      <c r="EEO47" s="225"/>
      <c r="EEP47" s="225"/>
      <c r="EEQ47" s="225"/>
      <c r="EER47" s="225"/>
      <c r="EES47" s="225"/>
      <c r="EET47" s="225"/>
      <c r="EEU47" s="225"/>
      <c r="EEV47" s="225"/>
      <c r="EEW47" s="225"/>
      <c r="EEX47" s="225"/>
      <c r="EEY47" s="225"/>
      <c r="EEZ47" s="225"/>
      <c r="EFA47" s="225"/>
      <c r="EFB47" s="225"/>
      <c r="EFC47" s="225"/>
      <c r="EFD47" s="225"/>
      <c r="EFE47" s="225"/>
      <c r="EFF47" s="225"/>
      <c r="EFG47" s="225"/>
      <c r="EFH47" s="225"/>
      <c r="EFI47" s="225"/>
      <c r="EFJ47" s="225"/>
      <c r="EFK47" s="225"/>
      <c r="EFL47" s="225"/>
      <c r="EFM47" s="225"/>
      <c r="EFN47" s="225"/>
      <c r="EFO47" s="225"/>
      <c r="EFP47" s="225"/>
      <c r="EFQ47" s="225"/>
      <c r="EFR47" s="225"/>
      <c r="EFS47" s="225"/>
      <c r="EFT47" s="225"/>
      <c r="EFU47" s="225"/>
      <c r="EFV47" s="225"/>
      <c r="EFW47" s="225"/>
      <c r="EFX47" s="225"/>
      <c r="EFY47" s="225"/>
      <c r="EFZ47" s="225"/>
      <c r="EGA47" s="225"/>
      <c r="EGB47" s="225"/>
      <c r="EGC47" s="225"/>
      <c r="EGD47" s="225"/>
      <c r="EGE47" s="225"/>
      <c r="EGF47" s="225"/>
      <c r="EGG47" s="225"/>
      <c r="EGH47" s="225"/>
      <c r="EGI47" s="225"/>
      <c r="EGJ47" s="225"/>
      <c r="EGK47" s="225"/>
      <c r="EGL47" s="225"/>
      <c r="EGM47" s="225"/>
      <c r="EGN47" s="225"/>
      <c r="EGO47" s="225"/>
      <c r="EGP47" s="225"/>
      <c r="EGQ47" s="225"/>
      <c r="EGR47" s="225"/>
      <c r="EGS47" s="225"/>
      <c r="EGT47" s="225"/>
      <c r="EGU47" s="225"/>
      <c r="EGV47" s="225"/>
      <c r="EGW47" s="225"/>
      <c r="EGX47" s="225"/>
      <c r="EGY47" s="225"/>
      <c r="EGZ47" s="225"/>
      <c r="EHA47" s="225"/>
      <c r="EHB47" s="225"/>
      <c r="EHC47" s="225"/>
      <c r="EHD47" s="225"/>
      <c r="EHE47" s="225"/>
      <c r="EHF47" s="225"/>
      <c r="EHG47" s="225"/>
      <c r="EHH47" s="225"/>
      <c r="EHI47" s="225"/>
      <c r="EHJ47" s="225"/>
      <c r="EHK47" s="225"/>
      <c r="EHL47" s="225"/>
      <c r="EHM47" s="225"/>
      <c r="EHN47" s="225"/>
      <c r="EHO47" s="225"/>
      <c r="EHP47" s="225"/>
      <c r="EHQ47" s="225"/>
      <c r="EHR47" s="225"/>
      <c r="EHS47" s="225"/>
      <c r="EHT47" s="225"/>
      <c r="EHU47" s="225"/>
      <c r="EHV47" s="225"/>
      <c r="EHW47" s="225"/>
      <c r="EHX47" s="225"/>
      <c r="EHY47" s="225"/>
      <c r="EHZ47" s="225"/>
      <c r="EIA47" s="225"/>
      <c r="EIB47" s="225"/>
      <c r="EIC47" s="225"/>
      <c r="EID47" s="225"/>
      <c r="EIE47" s="225"/>
      <c r="EIF47" s="225"/>
      <c r="EIG47" s="225"/>
      <c r="EIH47" s="225"/>
      <c r="EII47" s="225"/>
      <c r="EIJ47" s="225"/>
      <c r="EIK47" s="225"/>
      <c r="EIL47" s="225"/>
      <c r="EIM47" s="225"/>
      <c r="EIN47" s="225"/>
      <c r="EIO47" s="225"/>
      <c r="EIP47" s="225"/>
      <c r="EIQ47" s="225"/>
      <c r="EIR47" s="225"/>
      <c r="EIS47" s="225"/>
      <c r="EIT47" s="225"/>
      <c r="EIU47" s="225"/>
      <c r="EIV47" s="225"/>
      <c r="EIW47" s="225"/>
      <c r="EIX47" s="225"/>
      <c r="EIY47" s="225"/>
      <c r="EIZ47" s="225"/>
      <c r="EJA47" s="225"/>
      <c r="EJB47" s="225"/>
      <c r="EJC47" s="225"/>
      <c r="EJD47" s="225"/>
      <c r="EJE47" s="225"/>
      <c r="EJF47" s="225"/>
      <c r="EJG47" s="225"/>
      <c r="EJH47" s="225"/>
      <c r="EJI47" s="225"/>
      <c r="EJJ47" s="225"/>
      <c r="EJK47" s="225"/>
      <c r="EJL47" s="225"/>
      <c r="EJM47" s="225"/>
      <c r="EJN47" s="225"/>
      <c r="EJO47" s="225"/>
      <c r="EJP47" s="225"/>
      <c r="EJQ47" s="225"/>
      <c r="EJR47" s="225"/>
      <c r="EJS47" s="225"/>
      <c r="EJT47" s="225"/>
      <c r="EJU47" s="225"/>
      <c r="EJV47" s="225"/>
      <c r="EJW47" s="225"/>
      <c r="EJX47" s="225"/>
      <c r="EJY47" s="225"/>
      <c r="EJZ47" s="225"/>
      <c r="EKA47" s="225"/>
      <c r="EKB47" s="225"/>
      <c r="EKC47" s="225"/>
      <c r="EKD47" s="225"/>
      <c r="EKE47" s="225"/>
      <c r="EKF47" s="225"/>
      <c r="EKG47" s="225"/>
      <c r="EKH47" s="225"/>
      <c r="EKI47" s="225"/>
      <c r="EKJ47" s="225"/>
      <c r="EKK47" s="225"/>
      <c r="EKL47" s="225"/>
      <c r="EKM47" s="225"/>
      <c r="EKN47" s="225"/>
      <c r="EKO47" s="225"/>
      <c r="EKP47" s="225"/>
      <c r="EKQ47" s="225"/>
      <c r="EKR47" s="225"/>
      <c r="EKS47" s="225"/>
      <c r="EKT47" s="225"/>
      <c r="EKU47" s="225"/>
      <c r="EKV47" s="225"/>
      <c r="EKW47" s="225"/>
      <c r="EKX47" s="225"/>
      <c r="EKY47" s="225"/>
      <c r="EKZ47" s="225"/>
      <c r="ELA47" s="225"/>
      <c r="ELB47" s="225"/>
      <c r="ELC47" s="225"/>
      <c r="ELD47" s="225"/>
      <c r="ELE47" s="225"/>
      <c r="ELF47" s="225"/>
      <c r="ELG47" s="225"/>
      <c r="ELH47" s="225"/>
      <c r="ELI47" s="225"/>
      <c r="ELJ47" s="225"/>
      <c r="ELK47" s="225"/>
      <c r="ELL47" s="225"/>
      <c r="ELM47" s="225"/>
      <c r="ELN47" s="225"/>
      <c r="ELO47" s="225"/>
      <c r="ELP47" s="225"/>
      <c r="ELQ47" s="225"/>
      <c r="ELR47" s="225"/>
      <c r="ELS47" s="225"/>
      <c r="ELT47" s="225"/>
      <c r="ELU47" s="225"/>
      <c r="ELV47" s="225"/>
      <c r="ELW47" s="225"/>
      <c r="ELX47" s="225"/>
      <c r="ELY47" s="225"/>
      <c r="ELZ47" s="225"/>
      <c r="EMA47" s="225"/>
      <c r="EMB47" s="225"/>
      <c r="EMC47" s="225"/>
      <c r="EMD47" s="225"/>
      <c r="EME47" s="225"/>
      <c r="EMF47" s="225"/>
      <c r="EMG47" s="225"/>
      <c r="EMH47" s="225"/>
      <c r="EMI47" s="225"/>
      <c r="EMJ47" s="225"/>
      <c r="EMK47" s="225"/>
      <c r="EML47" s="225"/>
      <c r="EMM47" s="225"/>
      <c r="EMN47" s="225"/>
      <c r="EMO47" s="225"/>
      <c r="EMP47" s="225"/>
      <c r="EMQ47" s="225"/>
      <c r="EMR47" s="225"/>
      <c r="EMS47" s="225"/>
      <c r="EMT47" s="225"/>
      <c r="EMU47" s="225"/>
      <c r="EMV47" s="225"/>
      <c r="EMW47" s="225"/>
      <c r="EMX47" s="225"/>
      <c r="EMY47" s="225"/>
      <c r="EMZ47" s="225"/>
      <c r="ENA47" s="225"/>
      <c r="ENB47" s="225"/>
      <c r="ENC47" s="225"/>
      <c r="END47" s="225"/>
      <c r="ENE47" s="225"/>
      <c r="ENF47" s="225"/>
      <c r="ENG47" s="225"/>
      <c r="ENH47" s="225"/>
      <c r="ENI47" s="225"/>
      <c r="ENJ47" s="225"/>
      <c r="ENK47" s="225"/>
      <c r="ENL47" s="225"/>
      <c r="ENM47" s="225"/>
      <c r="ENN47" s="225"/>
      <c r="ENO47" s="225"/>
      <c r="ENP47" s="225"/>
      <c r="ENQ47" s="225"/>
      <c r="ENR47" s="225"/>
      <c r="ENS47" s="225"/>
      <c r="ENT47" s="225"/>
      <c r="ENU47" s="225"/>
      <c r="ENV47" s="225"/>
      <c r="ENW47" s="225"/>
      <c r="ENX47" s="225"/>
      <c r="ENY47" s="225"/>
      <c r="ENZ47" s="225"/>
      <c r="EOA47" s="225"/>
      <c r="EOB47" s="225"/>
      <c r="EOC47" s="225"/>
      <c r="EOD47" s="225"/>
      <c r="EOE47" s="225"/>
      <c r="EOF47" s="225"/>
      <c r="EOG47" s="225"/>
      <c r="EOH47" s="225"/>
      <c r="EOI47" s="225"/>
      <c r="EOJ47" s="225"/>
      <c r="EOK47" s="225"/>
      <c r="EOL47" s="225"/>
      <c r="EOM47" s="225"/>
      <c r="EON47" s="225"/>
      <c r="EOO47" s="225"/>
      <c r="EOP47" s="225"/>
      <c r="EOQ47" s="225"/>
      <c r="EOR47" s="225"/>
      <c r="EOS47" s="225"/>
      <c r="EOT47" s="225"/>
      <c r="EOU47" s="225"/>
      <c r="EOV47" s="225"/>
      <c r="EOW47" s="225"/>
      <c r="EOX47" s="225"/>
      <c r="EOY47" s="225"/>
      <c r="EOZ47" s="225"/>
      <c r="EPA47" s="225"/>
      <c r="EPB47" s="225"/>
      <c r="EPC47" s="225"/>
      <c r="EPD47" s="225"/>
      <c r="EPE47" s="225"/>
      <c r="EPF47" s="225"/>
      <c r="EPG47" s="225"/>
      <c r="EPH47" s="225"/>
      <c r="EPI47" s="225"/>
      <c r="EPJ47" s="225"/>
      <c r="EPK47" s="225"/>
      <c r="EPL47" s="225"/>
      <c r="EPM47" s="225"/>
      <c r="EPN47" s="225"/>
      <c r="EPO47" s="225"/>
      <c r="EPP47" s="225"/>
      <c r="EPQ47" s="225"/>
      <c r="EPR47" s="225"/>
      <c r="EPS47" s="225"/>
      <c r="EPT47" s="225"/>
      <c r="EPU47" s="225"/>
      <c r="EPV47" s="225"/>
      <c r="EPW47" s="225"/>
      <c r="EPX47" s="225"/>
      <c r="EPY47" s="225"/>
      <c r="EPZ47" s="225"/>
      <c r="EQA47" s="225"/>
      <c r="EQB47" s="225"/>
      <c r="EQC47" s="225"/>
      <c r="EQD47" s="225"/>
      <c r="EQE47" s="225"/>
      <c r="EQF47" s="225"/>
      <c r="EQG47" s="225"/>
      <c r="EQH47" s="225"/>
      <c r="EQI47" s="225"/>
      <c r="EQJ47" s="225"/>
      <c r="EQK47" s="225"/>
      <c r="EQL47" s="225"/>
      <c r="EQM47" s="225"/>
      <c r="EQN47" s="225"/>
      <c r="EQO47" s="225"/>
      <c r="EQP47" s="225"/>
      <c r="EQQ47" s="225"/>
      <c r="EQR47" s="225"/>
      <c r="EQS47" s="225"/>
      <c r="EQT47" s="225"/>
      <c r="EQU47" s="225"/>
      <c r="EQV47" s="225"/>
      <c r="EQW47" s="225"/>
      <c r="EQX47" s="225"/>
      <c r="EQY47" s="225"/>
      <c r="EQZ47" s="225"/>
      <c r="ERA47" s="225"/>
      <c r="ERB47" s="225"/>
      <c r="ERC47" s="225"/>
      <c r="ERD47" s="225"/>
      <c r="ERE47" s="225"/>
      <c r="ERF47" s="225"/>
      <c r="ERG47" s="225"/>
      <c r="ERH47" s="225"/>
      <c r="ERI47" s="225"/>
      <c r="ERJ47" s="225"/>
      <c r="ERK47" s="225"/>
      <c r="ERL47" s="225"/>
      <c r="ERM47" s="225"/>
      <c r="ERN47" s="225"/>
      <c r="ERO47" s="225"/>
      <c r="ERP47" s="225"/>
      <c r="ERQ47" s="225"/>
      <c r="ERR47" s="225"/>
      <c r="ERS47" s="225"/>
      <c r="ERT47" s="225"/>
      <c r="ERU47" s="225"/>
      <c r="ERV47" s="225"/>
      <c r="ERW47" s="225"/>
      <c r="ERX47" s="225"/>
      <c r="ERY47" s="225"/>
      <c r="ERZ47" s="225"/>
      <c r="ESA47" s="225"/>
      <c r="ESB47" s="225"/>
      <c r="ESC47" s="225"/>
      <c r="ESD47" s="225"/>
      <c r="ESE47" s="225"/>
      <c r="ESF47" s="225"/>
      <c r="ESG47" s="225"/>
      <c r="ESH47" s="225"/>
      <c r="ESI47" s="225"/>
      <c r="ESJ47" s="225"/>
      <c r="ESK47" s="225"/>
      <c r="ESL47" s="225"/>
      <c r="ESM47" s="225"/>
      <c r="ESN47" s="225"/>
      <c r="ESO47" s="225"/>
      <c r="ESP47" s="225"/>
      <c r="ESQ47" s="225"/>
      <c r="ESR47" s="225"/>
      <c r="ESS47" s="225"/>
      <c r="EST47" s="225"/>
      <c r="ESU47" s="225"/>
      <c r="ESV47" s="225"/>
      <c r="ESW47" s="225"/>
      <c r="ESX47" s="225"/>
      <c r="ESY47" s="225"/>
      <c r="ESZ47" s="225"/>
      <c r="ETA47" s="225"/>
      <c r="ETB47" s="225"/>
      <c r="ETC47" s="225"/>
      <c r="ETD47" s="225"/>
      <c r="ETE47" s="225"/>
      <c r="ETF47" s="225"/>
      <c r="ETG47" s="225"/>
      <c r="ETH47" s="225"/>
      <c r="ETI47" s="225"/>
      <c r="ETJ47" s="225"/>
      <c r="ETK47" s="225"/>
      <c r="ETL47" s="225"/>
      <c r="ETM47" s="225"/>
      <c r="ETN47" s="225"/>
      <c r="ETO47" s="225"/>
      <c r="ETP47" s="225"/>
      <c r="ETQ47" s="225"/>
      <c r="ETR47" s="225"/>
      <c r="ETS47" s="225"/>
      <c r="ETT47" s="225"/>
      <c r="ETU47" s="225"/>
      <c r="ETV47" s="225"/>
      <c r="ETW47" s="225"/>
      <c r="ETX47" s="225"/>
      <c r="ETY47" s="225"/>
      <c r="ETZ47" s="225"/>
      <c r="EUA47" s="225"/>
      <c r="EUB47" s="225"/>
      <c r="EUC47" s="225"/>
      <c r="EUD47" s="225"/>
      <c r="EUE47" s="225"/>
      <c r="EUF47" s="225"/>
      <c r="EUG47" s="225"/>
      <c r="EUH47" s="225"/>
      <c r="EUI47" s="225"/>
      <c r="EUJ47" s="225"/>
      <c r="EUK47" s="225"/>
      <c r="EUL47" s="225"/>
      <c r="EUM47" s="225"/>
      <c r="EUN47" s="225"/>
      <c r="EUO47" s="225"/>
      <c r="EUP47" s="225"/>
      <c r="EUQ47" s="225"/>
      <c r="EUR47" s="225"/>
      <c r="EUS47" s="225"/>
      <c r="EUT47" s="225"/>
      <c r="EUU47" s="225"/>
      <c r="EUV47" s="225"/>
      <c r="EUW47" s="225"/>
      <c r="EUX47" s="225"/>
      <c r="EUY47" s="225"/>
      <c r="EUZ47" s="225"/>
      <c r="EVA47" s="225"/>
      <c r="EVB47" s="225"/>
      <c r="EVC47" s="225"/>
      <c r="EVD47" s="225"/>
      <c r="EVE47" s="225"/>
      <c r="EVF47" s="225"/>
      <c r="EVG47" s="225"/>
      <c r="EVH47" s="225"/>
      <c r="EVI47" s="225"/>
      <c r="EVJ47" s="225"/>
      <c r="EVK47" s="225"/>
      <c r="EVL47" s="225"/>
      <c r="EVM47" s="225"/>
      <c r="EVN47" s="225"/>
      <c r="EVO47" s="225"/>
      <c r="EVP47" s="225"/>
      <c r="EVQ47" s="225"/>
      <c r="EVR47" s="225"/>
      <c r="EVS47" s="225"/>
      <c r="EVT47" s="225"/>
      <c r="EVU47" s="225"/>
      <c r="EVV47" s="225"/>
      <c r="EVW47" s="225"/>
      <c r="EVX47" s="225"/>
      <c r="EVY47" s="225"/>
      <c r="EVZ47" s="225"/>
      <c r="EWA47" s="225"/>
      <c r="EWB47" s="225"/>
      <c r="EWC47" s="225"/>
      <c r="EWD47" s="225"/>
      <c r="EWE47" s="225"/>
      <c r="EWF47" s="225"/>
      <c r="EWG47" s="225"/>
      <c r="EWH47" s="225"/>
      <c r="EWI47" s="225"/>
      <c r="EWJ47" s="225"/>
      <c r="EWK47" s="225"/>
      <c r="EWL47" s="225"/>
      <c r="EWM47" s="225"/>
      <c r="EWN47" s="225"/>
      <c r="EWO47" s="225"/>
      <c r="EWP47" s="225"/>
      <c r="EWQ47" s="225"/>
      <c r="EWR47" s="225"/>
      <c r="EWS47" s="225"/>
      <c r="EWT47" s="225"/>
      <c r="EWU47" s="225"/>
      <c r="EWV47" s="225"/>
      <c r="EWW47" s="225"/>
      <c r="EWX47" s="225"/>
      <c r="EWY47" s="225"/>
      <c r="EWZ47" s="225"/>
      <c r="EXA47" s="225"/>
      <c r="EXB47" s="225"/>
      <c r="EXC47" s="225"/>
      <c r="EXD47" s="225"/>
      <c r="EXE47" s="225"/>
      <c r="EXF47" s="225"/>
      <c r="EXG47" s="225"/>
      <c r="EXH47" s="225"/>
      <c r="EXI47" s="225"/>
      <c r="EXJ47" s="225"/>
      <c r="EXK47" s="225"/>
      <c r="EXL47" s="225"/>
      <c r="EXM47" s="225"/>
      <c r="EXN47" s="225"/>
      <c r="EXO47" s="225"/>
      <c r="EXP47" s="225"/>
      <c r="EXQ47" s="225"/>
      <c r="EXR47" s="225"/>
      <c r="EXS47" s="225"/>
      <c r="EXT47" s="225"/>
      <c r="EXU47" s="225"/>
      <c r="EXV47" s="225"/>
      <c r="EXW47" s="225"/>
      <c r="EXX47" s="225"/>
      <c r="EXY47" s="225"/>
      <c r="EXZ47" s="225"/>
      <c r="EYA47" s="225"/>
      <c r="EYB47" s="225"/>
      <c r="EYC47" s="225"/>
      <c r="EYD47" s="225"/>
      <c r="EYE47" s="225"/>
      <c r="EYF47" s="225"/>
      <c r="EYG47" s="225"/>
      <c r="EYH47" s="225"/>
      <c r="EYI47" s="225"/>
      <c r="EYJ47" s="225"/>
      <c r="EYK47" s="225"/>
      <c r="EYL47" s="225"/>
      <c r="EYM47" s="225"/>
      <c r="EYN47" s="225"/>
      <c r="EYO47" s="225"/>
      <c r="EYP47" s="225"/>
      <c r="EYQ47" s="225"/>
      <c r="EYR47" s="225"/>
      <c r="EYS47" s="225"/>
      <c r="EYT47" s="225"/>
      <c r="EYU47" s="225"/>
      <c r="EYV47" s="225"/>
      <c r="EYW47" s="225"/>
      <c r="EYX47" s="225"/>
      <c r="EYY47" s="225"/>
      <c r="EYZ47" s="225"/>
      <c r="EZA47" s="225"/>
      <c r="EZB47" s="225"/>
      <c r="EZC47" s="225"/>
      <c r="EZD47" s="225"/>
      <c r="EZE47" s="225"/>
      <c r="EZF47" s="225"/>
      <c r="EZG47" s="225"/>
      <c r="EZH47" s="225"/>
      <c r="EZI47" s="225"/>
      <c r="EZJ47" s="225"/>
      <c r="EZK47" s="225"/>
      <c r="EZL47" s="225"/>
      <c r="EZM47" s="225"/>
      <c r="EZN47" s="225"/>
      <c r="EZO47" s="225"/>
      <c r="EZP47" s="225"/>
      <c r="EZQ47" s="225"/>
      <c r="EZR47" s="225"/>
      <c r="EZS47" s="225"/>
      <c r="EZT47" s="225"/>
      <c r="EZU47" s="225"/>
      <c r="EZV47" s="225"/>
      <c r="EZW47" s="225"/>
      <c r="EZX47" s="225"/>
      <c r="EZY47" s="225"/>
      <c r="EZZ47" s="225"/>
      <c r="FAA47" s="225"/>
      <c r="FAB47" s="225"/>
      <c r="FAC47" s="225"/>
      <c r="FAD47" s="225"/>
      <c r="FAE47" s="225"/>
      <c r="FAF47" s="225"/>
      <c r="FAG47" s="225"/>
      <c r="FAH47" s="225"/>
      <c r="FAI47" s="225"/>
      <c r="FAJ47" s="225"/>
      <c r="FAK47" s="225"/>
      <c r="FAL47" s="225"/>
      <c r="FAM47" s="225"/>
      <c r="FAN47" s="225"/>
      <c r="FAO47" s="225"/>
      <c r="FAP47" s="225"/>
      <c r="FAQ47" s="225"/>
      <c r="FAR47" s="225"/>
      <c r="FAS47" s="225"/>
      <c r="FAT47" s="225"/>
      <c r="FAU47" s="225"/>
      <c r="FAV47" s="225"/>
      <c r="FAW47" s="225"/>
      <c r="FAX47" s="225"/>
      <c r="FAY47" s="225"/>
      <c r="FAZ47" s="225"/>
      <c r="FBA47" s="225"/>
      <c r="FBB47" s="225"/>
      <c r="FBC47" s="225"/>
      <c r="FBD47" s="225"/>
      <c r="FBE47" s="225"/>
      <c r="FBF47" s="225"/>
      <c r="FBG47" s="225"/>
      <c r="FBH47" s="225"/>
      <c r="FBI47" s="225"/>
      <c r="FBJ47" s="225"/>
      <c r="FBK47" s="225"/>
      <c r="FBL47" s="225"/>
      <c r="FBM47" s="225"/>
      <c r="FBN47" s="225"/>
      <c r="FBO47" s="225"/>
      <c r="FBP47" s="225"/>
      <c r="FBQ47" s="225"/>
      <c r="FBR47" s="225"/>
      <c r="FBS47" s="225"/>
      <c r="FBT47" s="225"/>
      <c r="FBU47" s="225"/>
      <c r="FBV47" s="225"/>
      <c r="FBW47" s="225"/>
      <c r="FBX47" s="225"/>
      <c r="FBY47" s="225"/>
      <c r="FBZ47" s="225"/>
      <c r="FCA47" s="225"/>
      <c r="FCB47" s="225"/>
      <c r="FCC47" s="225"/>
      <c r="FCD47" s="225"/>
      <c r="FCE47" s="225"/>
      <c r="FCF47" s="225"/>
      <c r="FCG47" s="225"/>
      <c r="FCH47" s="225"/>
      <c r="FCI47" s="225"/>
      <c r="FCJ47" s="225"/>
      <c r="FCK47" s="225"/>
      <c r="FCL47" s="225"/>
      <c r="FCM47" s="225"/>
      <c r="FCN47" s="225"/>
      <c r="FCO47" s="225"/>
      <c r="FCP47" s="225"/>
      <c r="FCQ47" s="225"/>
      <c r="FCR47" s="225"/>
      <c r="FCS47" s="225"/>
      <c r="FCT47" s="225"/>
      <c r="FCU47" s="225"/>
      <c r="FCV47" s="225"/>
      <c r="FCW47" s="225"/>
      <c r="FCX47" s="225"/>
      <c r="FCY47" s="225"/>
      <c r="FCZ47" s="225"/>
      <c r="FDA47" s="225"/>
      <c r="FDB47" s="225"/>
      <c r="FDC47" s="225"/>
      <c r="FDD47" s="225"/>
      <c r="FDE47" s="225"/>
      <c r="FDF47" s="225"/>
      <c r="FDG47" s="225"/>
      <c r="FDH47" s="225"/>
      <c r="FDI47" s="225"/>
      <c r="FDJ47" s="225"/>
      <c r="FDK47" s="225"/>
      <c r="FDL47" s="225"/>
      <c r="FDM47" s="225"/>
      <c r="FDN47" s="225"/>
      <c r="FDO47" s="225"/>
      <c r="FDP47" s="225"/>
      <c r="FDQ47" s="225"/>
      <c r="FDR47" s="225"/>
      <c r="FDS47" s="225"/>
      <c r="FDT47" s="225"/>
      <c r="FDU47" s="225"/>
      <c r="FDV47" s="225"/>
      <c r="FDW47" s="225"/>
      <c r="FDX47" s="225"/>
      <c r="FDY47" s="225"/>
      <c r="FDZ47" s="225"/>
      <c r="FEA47" s="225"/>
      <c r="FEB47" s="225"/>
      <c r="FEC47" s="225"/>
      <c r="FED47" s="225"/>
      <c r="FEE47" s="225"/>
      <c r="FEF47" s="225"/>
      <c r="FEG47" s="225"/>
      <c r="FEH47" s="225"/>
      <c r="FEI47" s="225"/>
      <c r="FEJ47" s="225"/>
      <c r="FEK47" s="225"/>
      <c r="FEL47" s="225"/>
      <c r="FEM47" s="225"/>
      <c r="FEN47" s="225"/>
      <c r="FEO47" s="225"/>
      <c r="FEP47" s="225"/>
      <c r="FEQ47" s="225"/>
      <c r="FER47" s="225"/>
      <c r="FES47" s="225"/>
      <c r="FET47" s="225"/>
      <c r="FEU47" s="225"/>
      <c r="FEV47" s="225"/>
      <c r="FEW47" s="225"/>
      <c r="FEX47" s="225"/>
      <c r="FEY47" s="225"/>
      <c r="FEZ47" s="225"/>
      <c r="FFA47" s="225"/>
      <c r="FFB47" s="225"/>
      <c r="FFC47" s="225"/>
      <c r="FFD47" s="225"/>
      <c r="FFE47" s="225"/>
      <c r="FFF47" s="225"/>
      <c r="FFG47" s="225"/>
      <c r="FFH47" s="225"/>
      <c r="FFI47" s="225"/>
      <c r="FFJ47" s="225"/>
      <c r="FFK47" s="225"/>
      <c r="FFL47" s="225"/>
      <c r="FFM47" s="225"/>
      <c r="FFN47" s="225"/>
      <c r="FFO47" s="225"/>
      <c r="FFP47" s="225"/>
      <c r="FFQ47" s="225"/>
      <c r="FFR47" s="225"/>
      <c r="FFS47" s="225"/>
      <c r="FFT47" s="225"/>
      <c r="FFU47" s="225"/>
      <c r="FFV47" s="225"/>
      <c r="FFW47" s="225"/>
      <c r="FFX47" s="225"/>
      <c r="FFY47" s="225"/>
      <c r="FFZ47" s="225"/>
      <c r="FGA47" s="225"/>
      <c r="FGB47" s="225"/>
      <c r="FGC47" s="225"/>
      <c r="FGD47" s="225"/>
      <c r="FGE47" s="225"/>
      <c r="FGF47" s="225"/>
      <c r="FGG47" s="225"/>
      <c r="FGH47" s="225"/>
      <c r="FGI47" s="225"/>
      <c r="FGJ47" s="225"/>
      <c r="FGK47" s="225"/>
      <c r="FGL47" s="225"/>
      <c r="FGM47" s="225"/>
      <c r="FGN47" s="225"/>
      <c r="FGO47" s="225"/>
      <c r="FGP47" s="225"/>
      <c r="FGQ47" s="225"/>
      <c r="FGR47" s="225"/>
      <c r="FGS47" s="225"/>
      <c r="FGT47" s="225"/>
      <c r="FGU47" s="225"/>
      <c r="FGV47" s="225"/>
      <c r="FGW47" s="225"/>
      <c r="FGX47" s="225"/>
      <c r="FGY47" s="225"/>
      <c r="FGZ47" s="225"/>
      <c r="FHA47" s="225"/>
      <c r="FHB47" s="225"/>
      <c r="FHC47" s="225"/>
      <c r="FHD47" s="225"/>
      <c r="FHE47" s="225"/>
      <c r="FHF47" s="225"/>
      <c r="FHG47" s="225"/>
      <c r="FHH47" s="225"/>
      <c r="FHI47" s="225"/>
      <c r="FHJ47" s="225"/>
      <c r="FHK47" s="225"/>
      <c r="FHL47" s="225"/>
      <c r="FHM47" s="225"/>
      <c r="FHN47" s="225"/>
      <c r="FHO47" s="225"/>
      <c r="FHP47" s="225"/>
      <c r="FHQ47" s="225"/>
      <c r="FHR47" s="225"/>
      <c r="FHS47" s="225"/>
      <c r="FHT47" s="225"/>
      <c r="FHU47" s="225"/>
      <c r="FHV47" s="225"/>
      <c r="FHW47" s="225"/>
      <c r="FHX47" s="225"/>
      <c r="FHY47" s="225"/>
      <c r="FHZ47" s="225"/>
      <c r="FIA47" s="225"/>
      <c r="FIB47" s="225"/>
      <c r="FIC47" s="225"/>
      <c r="FID47" s="225"/>
      <c r="FIE47" s="225"/>
      <c r="FIF47" s="225"/>
      <c r="FIG47" s="225"/>
      <c r="FIH47" s="225"/>
      <c r="FII47" s="225"/>
      <c r="FIJ47" s="225"/>
      <c r="FIK47" s="225"/>
      <c r="FIL47" s="225"/>
      <c r="FIM47" s="225"/>
      <c r="FIN47" s="225"/>
      <c r="FIO47" s="225"/>
      <c r="FIP47" s="225"/>
      <c r="FIQ47" s="225"/>
      <c r="FIR47" s="225"/>
      <c r="FIS47" s="225"/>
      <c r="FIT47" s="225"/>
      <c r="FIU47" s="225"/>
      <c r="FIV47" s="225"/>
      <c r="FIW47" s="225"/>
      <c r="FIX47" s="225"/>
      <c r="FIY47" s="225"/>
      <c r="FIZ47" s="225"/>
      <c r="FJA47" s="225"/>
      <c r="FJB47" s="225"/>
      <c r="FJC47" s="225"/>
      <c r="FJD47" s="225"/>
      <c r="FJE47" s="225"/>
      <c r="FJF47" s="225"/>
      <c r="FJG47" s="225"/>
      <c r="FJH47" s="225"/>
      <c r="FJI47" s="225"/>
      <c r="FJJ47" s="225"/>
      <c r="FJK47" s="225"/>
      <c r="FJL47" s="225"/>
      <c r="FJM47" s="225"/>
      <c r="FJN47" s="225"/>
      <c r="FJO47" s="225"/>
      <c r="FJP47" s="225"/>
      <c r="FJQ47" s="225"/>
      <c r="FJR47" s="225"/>
      <c r="FJS47" s="225"/>
      <c r="FJT47" s="225"/>
      <c r="FJU47" s="225"/>
      <c r="FJV47" s="225"/>
      <c r="FJW47" s="225"/>
      <c r="FJX47" s="225"/>
      <c r="FJY47" s="225"/>
      <c r="FJZ47" s="225"/>
      <c r="FKA47" s="225"/>
      <c r="FKB47" s="225"/>
      <c r="FKC47" s="225"/>
      <c r="FKD47" s="225"/>
      <c r="FKE47" s="225"/>
      <c r="FKF47" s="225"/>
      <c r="FKG47" s="225"/>
      <c r="FKH47" s="225"/>
      <c r="FKI47" s="225"/>
      <c r="FKJ47" s="225"/>
      <c r="FKK47" s="225"/>
      <c r="FKL47" s="225"/>
      <c r="FKM47" s="225"/>
      <c r="FKN47" s="225"/>
      <c r="FKO47" s="225"/>
      <c r="FKP47" s="225"/>
      <c r="FKQ47" s="225"/>
      <c r="FKR47" s="225"/>
      <c r="FKS47" s="225"/>
      <c r="FKT47" s="225"/>
      <c r="FKU47" s="225"/>
      <c r="FKV47" s="225"/>
      <c r="FKW47" s="225"/>
      <c r="FKX47" s="225"/>
      <c r="FKY47" s="225"/>
      <c r="FKZ47" s="225"/>
      <c r="FLA47" s="225"/>
      <c r="FLB47" s="225"/>
      <c r="FLC47" s="225"/>
      <c r="FLD47" s="225"/>
      <c r="FLE47" s="225"/>
      <c r="FLF47" s="225"/>
      <c r="FLG47" s="225"/>
      <c r="FLH47" s="225"/>
      <c r="FLI47" s="225"/>
      <c r="FLJ47" s="225"/>
      <c r="FLK47" s="225"/>
      <c r="FLL47" s="225"/>
      <c r="FLM47" s="225"/>
      <c r="FLN47" s="225"/>
      <c r="FLO47" s="225"/>
      <c r="FLP47" s="225"/>
      <c r="FLQ47" s="225"/>
      <c r="FLR47" s="225"/>
      <c r="FLS47" s="225"/>
      <c r="FLT47" s="225"/>
      <c r="FLU47" s="225"/>
      <c r="FLV47" s="225"/>
      <c r="FLW47" s="225"/>
      <c r="FLX47" s="225"/>
      <c r="FLY47" s="225"/>
      <c r="FLZ47" s="225"/>
      <c r="FMA47" s="225"/>
      <c r="FMB47" s="225"/>
      <c r="FMC47" s="225"/>
      <c r="FMD47" s="225"/>
      <c r="FME47" s="225"/>
      <c r="FMF47" s="225"/>
      <c r="FMG47" s="225"/>
      <c r="FMH47" s="225"/>
      <c r="FMI47" s="225"/>
      <c r="FMJ47" s="225"/>
      <c r="FMK47" s="225"/>
      <c r="FML47" s="225"/>
      <c r="FMM47" s="225"/>
      <c r="FMN47" s="225"/>
      <c r="FMO47" s="225"/>
      <c r="FMP47" s="225"/>
      <c r="FMQ47" s="225"/>
      <c r="FMR47" s="225"/>
      <c r="FMS47" s="225"/>
      <c r="FMT47" s="225"/>
      <c r="FMU47" s="225"/>
      <c r="FMV47" s="225"/>
      <c r="FMW47" s="225"/>
      <c r="FMX47" s="225"/>
      <c r="FMY47" s="225"/>
      <c r="FMZ47" s="225"/>
      <c r="FNA47" s="225"/>
      <c r="FNB47" s="225"/>
      <c r="FNC47" s="225"/>
      <c r="FND47" s="225"/>
      <c r="FNE47" s="225"/>
      <c r="FNF47" s="225"/>
      <c r="FNG47" s="225"/>
      <c r="FNH47" s="225"/>
      <c r="FNI47" s="225"/>
      <c r="FNJ47" s="225"/>
      <c r="FNK47" s="225"/>
      <c r="FNL47" s="225"/>
      <c r="FNM47" s="225"/>
      <c r="FNN47" s="225"/>
      <c r="FNO47" s="225"/>
      <c r="FNP47" s="225"/>
      <c r="FNQ47" s="225"/>
      <c r="FNR47" s="225"/>
      <c r="FNS47" s="225"/>
      <c r="FNT47" s="225"/>
      <c r="FNU47" s="225"/>
      <c r="FNV47" s="225"/>
      <c r="FNW47" s="225"/>
      <c r="FNX47" s="225"/>
      <c r="FNY47" s="225"/>
      <c r="FNZ47" s="225"/>
      <c r="FOA47" s="225"/>
      <c r="FOB47" s="225"/>
      <c r="FOC47" s="225"/>
      <c r="FOD47" s="225"/>
      <c r="FOE47" s="225"/>
      <c r="FOF47" s="225"/>
      <c r="FOG47" s="225"/>
      <c r="FOH47" s="225"/>
      <c r="FOI47" s="225"/>
      <c r="FOJ47" s="225"/>
      <c r="FOK47" s="225"/>
      <c r="FOL47" s="225"/>
      <c r="FOM47" s="225"/>
      <c r="FON47" s="225"/>
      <c r="FOO47" s="225"/>
      <c r="FOP47" s="225"/>
      <c r="FOQ47" s="225"/>
      <c r="FOR47" s="225"/>
      <c r="FOS47" s="225"/>
      <c r="FOT47" s="225"/>
      <c r="FOU47" s="225"/>
      <c r="FOV47" s="225"/>
      <c r="FOW47" s="225"/>
      <c r="FOX47" s="225"/>
      <c r="FOY47" s="225"/>
      <c r="FOZ47" s="225"/>
      <c r="FPA47" s="225"/>
      <c r="FPB47" s="225"/>
      <c r="FPC47" s="225"/>
      <c r="FPD47" s="225"/>
      <c r="FPE47" s="225"/>
      <c r="FPF47" s="225"/>
      <c r="FPG47" s="225"/>
      <c r="FPH47" s="225"/>
      <c r="FPI47" s="225"/>
      <c r="FPJ47" s="225"/>
      <c r="FPK47" s="225"/>
      <c r="FPL47" s="225"/>
      <c r="FPM47" s="225"/>
      <c r="FPN47" s="225"/>
      <c r="FPO47" s="225"/>
      <c r="FPP47" s="225"/>
      <c r="FPQ47" s="225"/>
      <c r="FPR47" s="225"/>
      <c r="FPS47" s="225"/>
      <c r="FPT47" s="225"/>
      <c r="FPU47" s="225"/>
      <c r="FPV47" s="225"/>
      <c r="FPW47" s="225"/>
      <c r="FPX47" s="225"/>
      <c r="FPY47" s="225"/>
      <c r="FPZ47" s="225"/>
      <c r="FQA47" s="225"/>
      <c r="FQB47" s="225"/>
      <c r="FQC47" s="225"/>
      <c r="FQD47" s="225"/>
      <c r="FQE47" s="225"/>
      <c r="FQF47" s="225"/>
      <c r="FQG47" s="225"/>
      <c r="FQH47" s="225"/>
      <c r="FQI47" s="225"/>
      <c r="FQJ47" s="225"/>
      <c r="FQK47" s="225"/>
      <c r="FQL47" s="225"/>
      <c r="FQM47" s="225"/>
      <c r="FQN47" s="225"/>
      <c r="FQO47" s="225"/>
      <c r="FQP47" s="225"/>
      <c r="FQQ47" s="225"/>
      <c r="FQR47" s="225"/>
      <c r="FQS47" s="225"/>
      <c r="FQT47" s="225"/>
      <c r="FQU47" s="225"/>
      <c r="FQV47" s="225"/>
      <c r="FQW47" s="225"/>
      <c r="FQX47" s="225"/>
      <c r="FQY47" s="225"/>
      <c r="FQZ47" s="225"/>
      <c r="FRA47" s="225"/>
      <c r="FRB47" s="225"/>
      <c r="FRC47" s="225"/>
      <c r="FRD47" s="225"/>
      <c r="FRE47" s="225"/>
      <c r="FRF47" s="225"/>
      <c r="FRG47" s="225"/>
      <c r="FRH47" s="225"/>
      <c r="FRI47" s="225"/>
      <c r="FRJ47" s="225"/>
      <c r="FRK47" s="225"/>
      <c r="FRL47" s="225"/>
      <c r="FRM47" s="225"/>
      <c r="FRN47" s="225"/>
      <c r="FRO47" s="225"/>
      <c r="FRP47" s="225"/>
      <c r="FRQ47" s="225"/>
      <c r="FRR47" s="225"/>
      <c r="FRS47" s="225"/>
      <c r="FRT47" s="225"/>
      <c r="FRU47" s="225"/>
      <c r="FRV47" s="225"/>
      <c r="FRW47" s="225"/>
      <c r="FRX47" s="225"/>
      <c r="FRY47" s="225"/>
      <c r="FRZ47" s="225"/>
      <c r="FSA47" s="225"/>
      <c r="FSB47" s="225"/>
      <c r="FSC47" s="225"/>
      <c r="FSD47" s="225"/>
      <c r="FSE47" s="225"/>
      <c r="FSF47" s="225"/>
      <c r="FSG47" s="225"/>
      <c r="FSH47" s="225"/>
      <c r="FSI47" s="225"/>
      <c r="FSJ47" s="225"/>
      <c r="FSK47" s="225"/>
      <c r="FSL47" s="225"/>
      <c r="FSM47" s="225"/>
      <c r="FSN47" s="225"/>
      <c r="FSO47" s="225"/>
      <c r="FSP47" s="225"/>
      <c r="FSQ47" s="225"/>
      <c r="FSR47" s="225"/>
      <c r="FSS47" s="225"/>
      <c r="FST47" s="225"/>
      <c r="FSU47" s="225"/>
      <c r="FSV47" s="225"/>
      <c r="FSW47" s="225"/>
      <c r="FSX47" s="225"/>
      <c r="FSY47" s="225"/>
      <c r="FSZ47" s="225"/>
      <c r="FTA47" s="225"/>
      <c r="FTB47" s="225"/>
      <c r="FTC47" s="225"/>
      <c r="FTD47" s="225"/>
      <c r="FTE47" s="225"/>
      <c r="FTF47" s="225"/>
      <c r="FTG47" s="225"/>
      <c r="FTH47" s="225"/>
      <c r="FTI47" s="225"/>
      <c r="FTJ47" s="225"/>
      <c r="FTK47" s="225"/>
      <c r="FTL47" s="225"/>
      <c r="FTM47" s="225"/>
      <c r="FTN47" s="225"/>
      <c r="FTO47" s="225"/>
      <c r="FTP47" s="225"/>
      <c r="FTQ47" s="225"/>
      <c r="FTR47" s="225"/>
      <c r="FTS47" s="225"/>
      <c r="FTT47" s="225"/>
      <c r="FTU47" s="225"/>
      <c r="FTV47" s="225"/>
      <c r="FTW47" s="225"/>
      <c r="FTX47" s="225"/>
      <c r="FTY47" s="225"/>
      <c r="FTZ47" s="225"/>
      <c r="FUA47" s="225"/>
      <c r="FUB47" s="225"/>
      <c r="FUC47" s="225"/>
      <c r="FUD47" s="225"/>
      <c r="FUE47" s="225"/>
      <c r="FUF47" s="225"/>
      <c r="FUG47" s="225"/>
      <c r="FUH47" s="225"/>
      <c r="FUI47" s="225"/>
      <c r="FUJ47" s="225"/>
      <c r="FUK47" s="225"/>
      <c r="FUL47" s="225"/>
      <c r="FUM47" s="225"/>
      <c r="FUN47" s="225"/>
      <c r="FUO47" s="225"/>
      <c r="FUP47" s="225"/>
      <c r="FUQ47" s="225"/>
      <c r="FUR47" s="225"/>
      <c r="FUS47" s="225"/>
      <c r="FUT47" s="225"/>
      <c r="FUU47" s="225"/>
      <c r="FUV47" s="225"/>
      <c r="FUW47" s="225"/>
      <c r="FUX47" s="225"/>
      <c r="FUY47" s="225"/>
      <c r="FUZ47" s="225"/>
      <c r="FVA47" s="225"/>
      <c r="FVB47" s="225"/>
      <c r="FVC47" s="225"/>
      <c r="FVD47" s="225"/>
      <c r="FVE47" s="225"/>
      <c r="FVF47" s="225"/>
      <c r="FVG47" s="225"/>
      <c r="FVH47" s="225"/>
      <c r="FVI47" s="225"/>
      <c r="FVJ47" s="225"/>
      <c r="FVK47" s="225"/>
      <c r="FVL47" s="225"/>
      <c r="FVM47" s="225"/>
      <c r="FVN47" s="225"/>
      <c r="FVO47" s="225"/>
      <c r="FVP47" s="225"/>
      <c r="FVQ47" s="225"/>
      <c r="FVR47" s="225"/>
      <c r="FVS47" s="225"/>
      <c r="FVT47" s="225"/>
      <c r="FVU47" s="225"/>
      <c r="FVV47" s="225"/>
      <c r="FVW47" s="225"/>
      <c r="FVX47" s="225"/>
      <c r="FVY47" s="225"/>
      <c r="FVZ47" s="225"/>
      <c r="FWA47" s="225"/>
      <c r="FWB47" s="225"/>
      <c r="FWC47" s="225"/>
      <c r="FWD47" s="225"/>
      <c r="FWE47" s="225"/>
      <c r="FWF47" s="225"/>
      <c r="FWG47" s="225"/>
      <c r="FWH47" s="225"/>
      <c r="FWI47" s="225"/>
      <c r="FWJ47" s="225"/>
      <c r="FWK47" s="225"/>
      <c r="FWL47" s="225"/>
      <c r="FWM47" s="225"/>
      <c r="FWN47" s="225"/>
      <c r="FWO47" s="225"/>
      <c r="FWP47" s="225"/>
      <c r="FWQ47" s="225"/>
      <c r="FWR47" s="225"/>
      <c r="FWS47" s="225"/>
      <c r="FWT47" s="225"/>
      <c r="FWU47" s="225"/>
      <c r="FWV47" s="225"/>
      <c r="FWW47" s="225"/>
      <c r="FWX47" s="225"/>
      <c r="FWY47" s="225"/>
      <c r="FWZ47" s="225"/>
      <c r="FXA47" s="225"/>
      <c r="FXB47" s="225"/>
      <c r="FXC47" s="225"/>
      <c r="FXD47" s="225"/>
      <c r="FXE47" s="225"/>
      <c r="FXF47" s="225"/>
      <c r="FXG47" s="225"/>
      <c r="FXH47" s="225"/>
      <c r="FXI47" s="225"/>
      <c r="FXJ47" s="225"/>
      <c r="FXK47" s="225"/>
      <c r="FXL47" s="225"/>
      <c r="FXM47" s="225"/>
      <c r="FXN47" s="225"/>
      <c r="FXO47" s="225"/>
      <c r="FXP47" s="225"/>
      <c r="FXQ47" s="225"/>
      <c r="FXR47" s="225"/>
      <c r="FXS47" s="225"/>
      <c r="FXT47" s="225"/>
      <c r="FXU47" s="225"/>
      <c r="FXV47" s="225"/>
      <c r="FXW47" s="225"/>
      <c r="FXX47" s="225"/>
      <c r="FXY47" s="225"/>
      <c r="FXZ47" s="225"/>
      <c r="FYA47" s="225"/>
      <c r="FYB47" s="225"/>
      <c r="FYC47" s="225"/>
      <c r="FYD47" s="225"/>
      <c r="FYE47" s="225"/>
      <c r="FYF47" s="225"/>
      <c r="FYG47" s="225"/>
      <c r="FYH47" s="225"/>
      <c r="FYI47" s="225"/>
      <c r="FYJ47" s="225"/>
      <c r="FYK47" s="225"/>
      <c r="FYL47" s="225"/>
      <c r="FYM47" s="225"/>
      <c r="FYN47" s="225"/>
      <c r="FYO47" s="225"/>
      <c r="FYP47" s="225"/>
      <c r="FYQ47" s="225"/>
      <c r="FYR47" s="225"/>
      <c r="FYS47" s="225"/>
      <c r="FYT47" s="225"/>
      <c r="FYU47" s="225"/>
      <c r="FYV47" s="225"/>
      <c r="FYW47" s="225"/>
      <c r="FYX47" s="225"/>
      <c r="FYY47" s="225"/>
      <c r="FYZ47" s="225"/>
      <c r="FZA47" s="225"/>
      <c r="FZB47" s="225"/>
      <c r="FZC47" s="225"/>
      <c r="FZD47" s="225"/>
      <c r="FZE47" s="225"/>
      <c r="FZF47" s="225"/>
      <c r="FZG47" s="225"/>
      <c r="FZH47" s="225"/>
      <c r="FZI47" s="225"/>
      <c r="FZJ47" s="225"/>
      <c r="FZK47" s="225"/>
      <c r="FZL47" s="225"/>
      <c r="FZM47" s="225"/>
      <c r="FZN47" s="225"/>
      <c r="FZO47" s="225"/>
      <c r="FZP47" s="225"/>
      <c r="FZQ47" s="225"/>
      <c r="FZR47" s="225"/>
      <c r="FZS47" s="225"/>
      <c r="FZT47" s="225"/>
      <c r="FZU47" s="225"/>
      <c r="FZV47" s="225"/>
      <c r="FZW47" s="225"/>
      <c r="FZX47" s="225"/>
      <c r="FZY47" s="225"/>
      <c r="FZZ47" s="225"/>
      <c r="GAA47" s="225"/>
      <c r="GAB47" s="225"/>
      <c r="GAC47" s="225"/>
      <c r="GAD47" s="225"/>
      <c r="GAE47" s="225"/>
      <c r="GAF47" s="225"/>
      <c r="GAG47" s="225"/>
      <c r="GAH47" s="225"/>
      <c r="GAI47" s="225"/>
      <c r="GAJ47" s="225"/>
      <c r="GAK47" s="225"/>
      <c r="GAL47" s="225"/>
      <c r="GAM47" s="225"/>
      <c r="GAN47" s="225"/>
      <c r="GAO47" s="225"/>
      <c r="GAP47" s="225"/>
      <c r="GAQ47" s="225"/>
      <c r="GAR47" s="225"/>
      <c r="GAS47" s="225"/>
      <c r="GAT47" s="225"/>
      <c r="GAU47" s="225"/>
      <c r="GAV47" s="225"/>
      <c r="GAW47" s="225"/>
      <c r="GAX47" s="225"/>
      <c r="GAY47" s="225"/>
      <c r="GAZ47" s="225"/>
      <c r="GBA47" s="225"/>
      <c r="GBB47" s="225"/>
      <c r="GBC47" s="225"/>
      <c r="GBD47" s="225"/>
      <c r="GBE47" s="225"/>
      <c r="GBF47" s="225"/>
      <c r="GBG47" s="225"/>
      <c r="GBH47" s="225"/>
      <c r="GBI47" s="225"/>
      <c r="GBJ47" s="225"/>
      <c r="GBK47" s="225"/>
      <c r="GBL47" s="225"/>
      <c r="GBM47" s="225"/>
      <c r="GBN47" s="225"/>
      <c r="GBO47" s="225"/>
      <c r="GBP47" s="225"/>
      <c r="GBQ47" s="225"/>
      <c r="GBR47" s="225"/>
      <c r="GBS47" s="225"/>
      <c r="GBT47" s="225"/>
      <c r="GBU47" s="225"/>
      <c r="GBV47" s="225"/>
      <c r="GBW47" s="225"/>
      <c r="GBX47" s="225"/>
      <c r="GBY47" s="225"/>
      <c r="GBZ47" s="225"/>
      <c r="GCA47" s="225"/>
      <c r="GCB47" s="225"/>
      <c r="GCC47" s="225"/>
      <c r="GCD47" s="225"/>
      <c r="GCE47" s="225"/>
      <c r="GCF47" s="225"/>
      <c r="GCG47" s="225"/>
      <c r="GCH47" s="225"/>
      <c r="GCI47" s="225"/>
      <c r="GCJ47" s="225"/>
      <c r="GCK47" s="225"/>
      <c r="GCL47" s="225"/>
      <c r="GCM47" s="225"/>
      <c r="GCN47" s="225"/>
      <c r="GCO47" s="225"/>
      <c r="GCP47" s="225"/>
      <c r="GCQ47" s="225"/>
      <c r="GCR47" s="225"/>
      <c r="GCS47" s="225"/>
      <c r="GCT47" s="225"/>
      <c r="GCU47" s="225"/>
      <c r="GCV47" s="225"/>
      <c r="GCW47" s="225"/>
      <c r="GCX47" s="225"/>
      <c r="GCY47" s="225"/>
      <c r="GCZ47" s="225"/>
      <c r="GDA47" s="225"/>
      <c r="GDB47" s="225"/>
      <c r="GDC47" s="225"/>
      <c r="GDD47" s="225"/>
      <c r="GDE47" s="225"/>
      <c r="GDF47" s="225"/>
      <c r="GDG47" s="225"/>
      <c r="GDH47" s="225"/>
      <c r="GDI47" s="225"/>
      <c r="GDJ47" s="225"/>
      <c r="GDK47" s="225"/>
      <c r="GDL47" s="225"/>
      <c r="GDM47" s="225"/>
      <c r="GDN47" s="225"/>
      <c r="GDO47" s="225"/>
      <c r="GDP47" s="225"/>
      <c r="GDQ47" s="225"/>
      <c r="GDR47" s="225"/>
      <c r="GDS47" s="225"/>
      <c r="GDT47" s="225"/>
      <c r="GDU47" s="225"/>
      <c r="GDV47" s="225"/>
      <c r="GDW47" s="225"/>
      <c r="GDX47" s="225"/>
      <c r="GDY47" s="225"/>
      <c r="GDZ47" s="225"/>
      <c r="GEA47" s="225"/>
      <c r="GEB47" s="225"/>
      <c r="GEC47" s="225"/>
      <c r="GED47" s="225"/>
      <c r="GEE47" s="225"/>
      <c r="GEF47" s="225"/>
      <c r="GEG47" s="225"/>
      <c r="GEH47" s="225"/>
      <c r="GEI47" s="225"/>
      <c r="GEJ47" s="225"/>
      <c r="GEK47" s="225"/>
      <c r="GEL47" s="225"/>
      <c r="GEM47" s="225"/>
      <c r="GEN47" s="225"/>
      <c r="GEO47" s="225"/>
      <c r="GEP47" s="225"/>
      <c r="GEQ47" s="225"/>
      <c r="GER47" s="225"/>
      <c r="GES47" s="225"/>
      <c r="GET47" s="225"/>
      <c r="GEU47" s="225"/>
      <c r="GEV47" s="225"/>
      <c r="GEW47" s="225"/>
      <c r="GEX47" s="225"/>
      <c r="GEY47" s="225"/>
      <c r="GEZ47" s="225"/>
      <c r="GFA47" s="225"/>
      <c r="GFB47" s="225"/>
      <c r="GFC47" s="225"/>
      <c r="GFD47" s="225"/>
      <c r="GFE47" s="225"/>
      <c r="GFF47" s="225"/>
      <c r="GFG47" s="225"/>
      <c r="GFH47" s="225"/>
      <c r="GFI47" s="225"/>
      <c r="GFJ47" s="225"/>
      <c r="GFK47" s="225"/>
      <c r="GFL47" s="225"/>
      <c r="GFM47" s="225"/>
      <c r="GFN47" s="225"/>
      <c r="GFO47" s="225"/>
      <c r="GFP47" s="225"/>
      <c r="GFQ47" s="225"/>
      <c r="GFR47" s="225"/>
      <c r="GFS47" s="225"/>
      <c r="GFT47" s="225"/>
      <c r="GFU47" s="225"/>
      <c r="GFV47" s="225"/>
      <c r="GFW47" s="225"/>
      <c r="GFX47" s="225"/>
      <c r="GFY47" s="225"/>
      <c r="GFZ47" s="225"/>
      <c r="GGA47" s="225"/>
      <c r="GGB47" s="225"/>
      <c r="GGC47" s="225"/>
      <c r="GGD47" s="225"/>
      <c r="GGE47" s="225"/>
      <c r="GGF47" s="225"/>
      <c r="GGG47" s="225"/>
      <c r="GGH47" s="225"/>
      <c r="GGI47" s="225"/>
      <c r="GGJ47" s="225"/>
      <c r="GGK47" s="225"/>
      <c r="GGL47" s="225"/>
      <c r="GGM47" s="225"/>
      <c r="GGN47" s="225"/>
      <c r="GGO47" s="225"/>
      <c r="GGP47" s="225"/>
      <c r="GGQ47" s="225"/>
      <c r="GGR47" s="225"/>
      <c r="GGS47" s="225"/>
      <c r="GGT47" s="225"/>
      <c r="GGU47" s="225"/>
      <c r="GGV47" s="225"/>
      <c r="GGW47" s="225"/>
      <c r="GGX47" s="225"/>
      <c r="GGY47" s="225"/>
      <c r="GGZ47" s="225"/>
      <c r="GHA47" s="225"/>
      <c r="GHB47" s="225"/>
      <c r="GHC47" s="225"/>
      <c r="GHD47" s="225"/>
      <c r="GHE47" s="225"/>
      <c r="GHF47" s="225"/>
      <c r="GHG47" s="225"/>
      <c r="GHH47" s="225"/>
      <c r="GHI47" s="225"/>
      <c r="GHJ47" s="225"/>
      <c r="GHK47" s="225"/>
      <c r="GHL47" s="225"/>
      <c r="GHM47" s="225"/>
      <c r="GHN47" s="225"/>
      <c r="GHO47" s="225"/>
      <c r="GHP47" s="225"/>
      <c r="GHQ47" s="225"/>
      <c r="GHR47" s="225"/>
      <c r="GHS47" s="225"/>
      <c r="GHT47" s="225"/>
      <c r="GHU47" s="225"/>
      <c r="GHV47" s="225"/>
      <c r="GHW47" s="225"/>
      <c r="GHX47" s="225"/>
      <c r="GHY47" s="225"/>
      <c r="GHZ47" s="225"/>
      <c r="GIA47" s="225"/>
      <c r="GIB47" s="225"/>
      <c r="GIC47" s="225"/>
      <c r="GID47" s="225"/>
      <c r="GIE47" s="225"/>
      <c r="GIF47" s="225"/>
      <c r="GIG47" s="225"/>
      <c r="GIH47" s="225"/>
      <c r="GII47" s="225"/>
      <c r="GIJ47" s="225"/>
      <c r="GIK47" s="225"/>
      <c r="GIL47" s="225"/>
      <c r="GIM47" s="225"/>
      <c r="GIN47" s="225"/>
      <c r="GIO47" s="225"/>
      <c r="GIP47" s="225"/>
      <c r="GIQ47" s="225"/>
      <c r="GIR47" s="225"/>
      <c r="GIS47" s="225"/>
      <c r="GIT47" s="225"/>
      <c r="GIU47" s="225"/>
      <c r="GIV47" s="225"/>
      <c r="GIW47" s="225"/>
      <c r="GIX47" s="225"/>
      <c r="GIY47" s="225"/>
      <c r="GIZ47" s="225"/>
      <c r="GJA47" s="225"/>
      <c r="GJB47" s="225"/>
      <c r="GJC47" s="225"/>
      <c r="GJD47" s="225"/>
      <c r="GJE47" s="225"/>
      <c r="GJF47" s="225"/>
      <c r="GJG47" s="225"/>
      <c r="GJH47" s="225"/>
      <c r="GJI47" s="225"/>
      <c r="GJJ47" s="225"/>
      <c r="GJK47" s="225"/>
      <c r="GJL47" s="225"/>
      <c r="GJM47" s="225"/>
      <c r="GJN47" s="225"/>
      <c r="GJO47" s="225"/>
      <c r="GJP47" s="225"/>
      <c r="GJQ47" s="225"/>
      <c r="GJR47" s="225"/>
      <c r="GJS47" s="225"/>
      <c r="GJT47" s="225"/>
      <c r="GJU47" s="225"/>
      <c r="GJV47" s="225"/>
      <c r="GJW47" s="225"/>
      <c r="GJX47" s="225"/>
      <c r="GJY47" s="225"/>
      <c r="GJZ47" s="225"/>
      <c r="GKA47" s="225"/>
      <c r="GKB47" s="225"/>
      <c r="GKC47" s="225"/>
      <c r="GKD47" s="225"/>
      <c r="GKE47" s="225"/>
      <c r="GKF47" s="225"/>
      <c r="GKG47" s="225"/>
      <c r="GKH47" s="225"/>
      <c r="GKI47" s="225"/>
      <c r="GKJ47" s="225"/>
      <c r="GKK47" s="225"/>
      <c r="GKL47" s="225"/>
      <c r="GKM47" s="225"/>
      <c r="GKN47" s="225"/>
      <c r="GKO47" s="225"/>
      <c r="GKP47" s="225"/>
      <c r="GKQ47" s="225"/>
      <c r="GKR47" s="225"/>
      <c r="GKS47" s="225"/>
      <c r="GKT47" s="225"/>
      <c r="GKU47" s="225"/>
      <c r="GKV47" s="225"/>
      <c r="GKW47" s="225"/>
      <c r="GKX47" s="225"/>
      <c r="GKY47" s="225"/>
      <c r="GKZ47" s="225"/>
      <c r="GLA47" s="225"/>
      <c r="GLB47" s="225"/>
      <c r="GLC47" s="225"/>
      <c r="GLD47" s="225"/>
      <c r="GLE47" s="225"/>
      <c r="GLF47" s="225"/>
      <c r="GLG47" s="225"/>
      <c r="GLH47" s="225"/>
      <c r="GLI47" s="225"/>
      <c r="GLJ47" s="225"/>
      <c r="GLK47" s="225"/>
      <c r="GLL47" s="225"/>
      <c r="GLM47" s="225"/>
      <c r="GLN47" s="225"/>
      <c r="GLO47" s="225"/>
      <c r="GLP47" s="225"/>
      <c r="GLQ47" s="225"/>
      <c r="GLR47" s="225"/>
      <c r="GLS47" s="225"/>
      <c r="GLT47" s="225"/>
      <c r="GLU47" s="225"/>
      <c r="GLV47" s="225"/>
      <c r="GLW47" s="225"/>
      <c r="GLX47" s="225"/>
      <c r="GLY47" s="225"/>
      <c r="GLZ47" s="225"/>
      <c r="GMA47" s="225"/>
      <c r="GMB47" s="225"/>
      <c r="GMC47" s="225"/>
      <c r="GMD47" s="225"/>
      <c r="GME47" s="225"/>
      <c r="GMF47" s="225"/>
      <c r="GMG47" s="225"/>
      <c r="GMH47" s="225"/>
      <c r="GMI47" s="225"/>
      <c r="GMJ47" s="225"/>
      <c r="GMK47" s="225"/>
      <c r="GML47" s="225"/>
      <c r="GMM47" s="225"/>
      <c r="GMN47" s="225"/>
      <c r="GMO47" s="225"/>
      <c r="GMP47" s="225"/>
      <c r="GMQ47" s="225"/>
      <c r="GMR47" s="225"/>
      <c r="GMS47" s="225"/>
      <c r="GMT47" s="225"/>
      <c r="GMU47" s="225"/>
      <c r="GMV47" s="225"/>
      <c r="GMW47" s="225"/>
      <c r="GMX47" s="225"/>
      <c r="GMY47" s="225"/>
      <c r="GMZ47" s="225"/>
      <c r="GNA47" s="225"/>
      <c r="GNB47" s="225"/>
      <c r="GNC47" s="225"/>
      <c r="GND47" s="225"/>
      <c r="GNE47" s="225"/>
      <c r="GNF47" s="225"/>
      <c r="GNG47" s="225"/>
      <c r="GNH47" s="225"/>
      <c r="GNI47" s="225"/>
      <c r="GNJ47" s="225"/>
      <c r="GNK47" s="225"/>
      <c r="GNL47" s="225"/>
      <c r="GNM47" s="225"/>
      <c r="GNN47" s="225"/>
      <c r="GNO47" s="225"/>
      <c r="GNP47" s="225"/>
      <c r="GNQ47" s="225"/>
      <c r="GNR47" s="225"/>
      <c r="GNS47" s="225"/>
      <c r="GNT47" s="225"/>
      <c r="GNU47" s="225"/>
      <c r="GNV47" s="225"/>
      <c r="GNW47" s="225"/>
      <c r="GNX47" s="225"/>
      <c r="GNY47" s="225"/>
      <c r="GNZ47" s="225"/>
      <c r="GOA47" s="225"/>
      <c r="GOB47" s="225"/>
      <c r="GOC47" s="225"/>
      <c r="GOD47" s="225"/>
      <c r="GOE47" s="225"/>
      <c r="GOF47" s="225"/>
      <c r="GOG47" s="225"/>
      <c r="GOH47" s="225"/>
      <c r="GOI47" s="225"/>
      <c r="GOJ47" s="225"/>
      <c r="GOK47" s="225"/>
      <c r="GOL47" s="225"/>
      <c r="GOM47" s="225"/>
      <c r="GON47" s="225"/>
      <c r="GOO47" s="225"/>
      <c r="GOP47" s="225"/>
      <c r="GOQ47" s="225"/>
      <c r="GOR47" s="225"/>
      <c r="GOS47" s="225"/>
      <c r="GOT47" s="225"/>
      <c r="GOU47" s="225"/>
      <c r="GOV47" s="225"/>
      <c r="GOW47" s="225"/>
      <c r="GOX47" s="225"/>
      <c r="GOY47" s="225"/>
      <c r="GOZ47" s="225"/>
      <c r="GPA47" s="225"/>
      <c r="GPB47" s="225"/>
      <c r="GPC47" s="225"/>
      <c r="GPD47" s="225"/>
      <c r="GPE47" s="225"/>
      <c r="GPF47" s="225"/>
      <c r="GPG47" s="225"/>
      <c r="GPH47" s="225"/>
      <c r="GPI47" s="225"/>
      <c r="GPJ47" s="225"/>
      <c r="GPK47" s="225"/>
      <c r="GPL47" s="225"/>
      <c r="GPM47" s="225"/>
      <c r="GPN47" s="225"/>
      <c r="GPO47" s="225"/>
      <c r="GPP47" s="225"/>
      <c r="GPQ47" s="225"/>
      <c r="GPR47" s="225"/>
      <c r="GPS47" s="225"/>
      <c r="GPT47" s="225"/>
      <c r="GPU47" s="225"/>
      <c r="GPV47" s="225"/>
      <c r="GPW47" s="225"/>
      <c r="GPX47" s="225"/>
      <c r="GPY47" s="225"/>
      <c r="GPZ47" s="225"/>
      <c r="GQA47" s="225"/>
      <c r="GQB47" s="225"/>
      <c r="GQC47" s="225"/>
      <c r="GQD47" s="225"/>
      <c r="GQE47" s="225"/>
      <c r="GQF47" s="225"/>
      <c r="GQG47" s="225"/>
      <c r="GQH47" s="225"/>
      <c r="GQI47" s="225"/>
      <c r="GQJ47" s="225"/>
      <c r="GQK47" s="225"/>
      <c r="GQL47" s="225"/>
      <c r="GQM47" s="225"/>
      <c r="GQN47" s="225"/>
      <c r="GQO47" s="225"/>
      <c r="GQP47" s="225"/>
      <c r="GQQ47" s="225"/>
      <c r="GQR47" s="225"/>
      <c r="GQS47" s="225"/>
      <c r="GQT47" s="225"/>
      <c r="GQU47" s="225"/>
      <c r="GQV47" s="225"/>
      <c r="GQW47" s="225"/>
      <c r="GQX47" s="225"/>
      <c r="GQY47" s="225"/>
      <c r="GQZ47" s="225"/>
      <c r="GRA47" s="225"/>
      <c r="GRB47" s="225"/>
      <c r="GRC47" s="225"/>
      <c r="GRD47" s="225"/>
      <c r="GRE47" s="225"/>
      <c r="GRF47" s="225"/>
      <c r="GRG47" s="225"/>
      <c r="GRH47" s="225"/>
      <c r="GRI47" s="225"/>
      <c r="GRJ47" s="225"/>
      <c r="GRK47" s="225"/>
      <c r="GRL47" s="225"/>
      <c r="GRM47" s="225"/>
      <c r="GRN47" s="225"/>
      <c r="GRO47" s="225"/>
      <c r="GRP47" s="225"/>
      <c r="GRQ47" s="225"/>
      <c r="GRR47" s="225"/>
      <c r="GRS47" s="225"/>
      <c r="GRT47" s="225"/>
      <c r="GRU47" s="225"/>
      <c r="GRV47" s="225"/>
      <c r="GRW47" s="225"/>
      <c r="GRX47" s="225"/>
      <c r="GRY47" s="225"/>
      <c r="GRZ47" s="225"/>
      <c r="GSA47" s="225"/>
      <c r="GSB47" s="225"/>
      <c r="GSC47" s="225"/>
      <c r="GSD47" s="225"/>
      <c r="GSE47" s="225"/>
      <c r="GSF47" s="225"/>
      <c r="GSG47" s="225"/>
      <c r="GSH47" s="225"/>
      <c r="GSI47" s="225"/>
      <c r="GSJ47" s="225"/>
      <c r="GSK47" s="225"/>
      <c r="GSL47" s="225"/>
      <c r="GSM47" s="225"/>
      <c r="GSN47" s="225"/>
      <c r="GSO47" s="225"/>
      <c r="GSP47" s="225"/>
      <c r="GSQ47" s="225"/>
      <c r="GSR47" s="225"/>
      <c r="GSS47" s="225"/>
      <c r="GST47" s="225"/>
      <c r="GSU47" s="225"/>
      <c r="GSV47" s="225"/>
      <c r="GSW47" s="225"/>
      <c r="GSX47" s="225"/>
      <c r="GSY47" s="225"/>
      <c r="GSZ47" s="225"/>
      <c r="GTA47" s="225"/>
      <c r="GTB47" s="225"/>
      <c r="GTC47" s="225"/>
      <c r="GTD47" s="225"/>
      <c r="GTE47" s="225"/>
      <c r="GTF47" s="225"/>
      <c r="GTG47" s="225"/>
      <c r="GTH47" s="225"/>
      <c r="GTI47" s="225"/>
      <c r="GTJ47" s="225"/>
      <c r="GTK47" s="225"/>
      <c r="GTL47" s="225"/>
      <c r="GTM47" s="225"/>
      <c r="GTN47" s="225"/>
      <c r="GTO47" s="225"/>
      <c r="GTP47" s="225"/>
      <c r="GTQ47" s="225"/>
      <c r="GTR47" s="225"/>
      <c r="GTS47" s="225"/>
      <c r="GTT47" s="225"/>
      <c r="GTU47" s="225"/>
      <c r="GTV47" s="225"/>
      <c r="GTW47" s="225"/>
      <c r="GTX47" s="225"/>
      <c r="GTY47" s="225"/>
      <c r="GTZ47" s="225"/>
      <c r="GUA47" s="225"/>
      <c r="GUB47" s="225"/>
      <c r="GUC47" s="225"/>
      <c r="GUD47" s="225"/>
      <c r="GUE47" s="225"/>
      <c r="GUF47" s="225"/>
      <c r="GUG47" s="225"/>
      <c r="GUH47" s="225"/>
      <c r="GUI47" s="225"/>
      <c r="GUJ47" s="225"/>
      <c r="GUK47" s="225"/>
      <c r="GUL47" s="225"/>
      <c r="GUM47" s="225"/>
      <c r="GUN47" s="225"/>
      <c r="GUO47" s="225"/>
      <c r="GUP47" s="225"/>
      <c r="GUQ47" s="225"/>
      <c r="GUR47" s="225"/>
      <c r="GUS47" s="225"/>
      <c r="GUT47" s="225"/>
      <c r="GUU47" s="225"/>
      <c r="GUV47" s="225"/>
      <c r="GUW47" s="225"/>
      <c r="GUX47" s="225"/>
      <c r="GUY47" s="225"/>
      <c r="GUZ47" s="225"/>
      <c r="GVA47" s="225"/>
      <c r="GVB47" s="225"/>
      <c r="GVC47" s="225"/>
      <c r="GVD47" s="225"/>
      <c r="GVE47" s="225"/>
      <c r="GVF47" s="225"/>
      <c r="GVG47" s="225"/>
      <c r="GVH47" s="225"/>
      <c r="GVI47" s="225"/>
      <c r="GVJ47" s="225"/>
      <c r="GVK47" s="225"/>
      <c r="GVL47" s="225"/>
      <c r="GVM47" s="225"/>
      <c r="GVN47" s="225"/>
      <c r="GVO47" s="225"/>
      <c r="GVP47" s="225"/>
      <c r="GVQ47" s="225"/>
      <c r="GVR47" s="225"/>
      <c r="GVS47" s="225"/>
      <c r="GVT47" s="225"/>
      <c r="GVU47" s="225"/>
      <c r="GVV47" s="225"/>
      <c r="GVW47" s="225"/>
      <c r="GVX47" s="225"/>
      <c r="GVY47" s="225"/>
      <c r="GVZ47" s="225"/>
      <c r="GWA47" s="225"/>
      <c r="GWB47" s="225"/>
      <c r="GWC47" s="225"/>
      <c r="GWD47" s="225"/>
      <c r="GWE47" s="225"/>
      <c r="GWF47" s="225"/>
      <c r="GWG47" s="225"/>
      <c r="GWH47" s="225"/>
      <c r="GWI47" s="225"/>
      <c r="GWJ47" s="225"/>
      <c r="GWK47" s="225"/>
      <c r="GWL47" s="225"/>
      <c r="GWM47" s="225"/>
      <c r="GWN47" s="225"/>
      <c r="GWO47" s="225"/>
      <c r="GWP47" s="225"/>
      <c r="GWQ47" s="225"/>
      <c r="GWR47" s="225"/>
      <c r="GWS47" s="225"/>
      <c r="GWT47" s="225"/>
      <c r="GWU47" s="225"/>
      <c r="GWV47" s="225"/>
      <c r="GWW47" s="225"/>
      <c r="GWX47" s="225"/>
      <c r="GWY47" s="225"/>
      <c r="GWZ47" s="225"/>
      <c r="GXA47" s="225"/>
      <c r="GXB47" s="225"/>
      <c r="GXC47" s="225"/>
      <c r="GXD47" s="225"/>
      <c r="GXE47" s="225"/>
      <c r="GXF47" s="225"/>
      <c r="GXG47" s="225"/>
      <c r="GXH47" s="225"/>
      <c r="GXI47" s="225"/>
      <c r="GXJ47" s="225"/>
      <c r="GXK47" s="225"/>
      <c r="GXL47" s="225"/>
      <c r="GXM47" s="225"/>
      <c r="GXN47" s="225"/>
      <c r="GXO47" s="225"/>
      <c r="GXP47" s="225"/>
      <c r="GXQ47" s="225"/>
      <c r="GXR47" s="225"/>
      <c r="GXS47" s="225"/>
      <c r="GXT47" s="225"/>
      <c r="GXU47" s="225"/>
      <c r="GXV47" s="225"/>
      <c r="GXW47" s="225"/>
      <c r="GXX47" s="225"/>
      <c r="GXY47" s="225"/>
      <c r="GXZ47" s="225"/>
      <c r="GYA47" s="225"/>
      <c r="GYB47" s="225"/>
      <c r="GYC47" s="225"/>
      <c r="GYD47" s="225"/>
      <c r="GYE47" s="225"/>
      <c r="GYF47" s="225"/>
      <c r="GYG47" s="225"/>
      <c r="GYH47" s="225"/>
      <c r="GYI47" s="225"/>
      <c r="GYJ47" s="225"/>
      <c r="GYK47" s="225"/>
      <c r="GYL47" s="225"/>
      <c r="GYM47" s="225"/>
      <c r="GYN47" s="225"/>
      <c r="GYO47" s="225"/>
      <c r="GYP47" s="225"/>
      <c r="GYQ47" s="225"/>
      <c r="GYR47" s="225"/>
      <c r="GYS47" s="225"/>
      <c r="GYT47" s="225"/>
      <c r="GYU47" s="225"/>
      <c r="GYV47" s="225"/>
      <c r="GYW47" s="225"/>
      <c r="GYX47" s="225"/>
      <c r="GYY47" s="225"/>
      <c r="GYZ47" s="225"/>
      <c r="GZA47" s="225"/>
      <c r="GZB47" s="225"/>
      <c r="GZC47" s="225"/>
      <c r="GZD47" s="225"/>
      <c r="GZE47" s="225"/>
      <c r="GZF47" s="225"/>
      <c r="GZG47" s="225"/>
      <c r="GZH47" s="225"/>
      <c r="GZI47" s="225"/>
      <c r="GZJ47" s="225"/>
      <c r="GZK47" s="225"/>
      <c r="GZL47" s="225"/>
      <c r="GZM47" s="225"/>
      <c r="GZN47" s="225"/>
      <c r="GZO47" s="225"/>
      <c r="GZP47" s="225"/>
      <c r="GZQ47" s="225"/>
      <c r="GZR47" s="225"/>
      <c r="GZS47" s="225"/>
      <c r="GZT47" s="225"/>
      <c r="GZU47" s="225"/>
      <c r="GZV47" s="225"/>
      <c r="GZW47" s="225"/>
      <c r="GZX47" s="225"/>
      <c r="GZY47" s="225"/>
      <c r="GZZ47" s="225"/>
      <c r="HAA47" s="225"/>
      <c r="HAB47" s="225"/>
      <c r="HAC47" s="225"/>
      <c r="HAD47" s="225"/>
      <c r="HAE47" s="225"/>
      <c r="HAF47" s="225"/>
      <c r="HAG47" s="225"/>
      <c r="HAH47" s="225"/>
      <c r="HAI47" s="225"/>
      <c r="HAJ47" s="225"/>
      <c r="HAK47" s="225"/>
      <c r="HAL47" s="225"/>
      <c r="HAM47" s="225"/>
      <c r="HAN47" s="225"/>
      <c r="HAO47" s="225"/>
      <c r="HAP47" s="225"/>
      <c r="HAQ47" s="225"/>
      <c r="HAR47" s="225"/>
      <c r="HAS47" s="225"/>
      <c r="HAT47" s="225"/>
      <c r="HAU47" s="225"/>
      <c r="HAV47" s="225"/>
      <c r="HAW47" s="225"/>
      <c r="HAX47" s="225"/>
      <c r="HAY47" s="225"/>
      <c r="HAZ47" s="225"/>
      <c r="HBA47" s="225"/>
      <c r="HBB47" s="225"/>
      <c r="HBC47" s="225"/>
      <c r="HBD47" s="225"/>
      <c r="HBE47" s="225"/>
      <c r="HBF47" s="225"/>
      <c r="HBG47" s="225"/>
      <c r="HBH47" s="225"/>
      <c r="HBI47" s="225"/>
      <c r="HBJ47" s="225"/>
      <c r="HBK47" s="225"/>
      <c r="HBL47" s="225"/>
      <c r="HBM47" s="225"/>
      <c r="HBN47" s="225"/>
      <c r="HBO47" s="225"/>
      <c r="HBP47" s="225"/>
      <c r="HBQ47" s="225"/>
      <c r="HBR47" s="225"/>
      <c r="HBS47" s="225"/>
      <c r="HBT47" s="225"/>
      <c r="HBU47" s="225"/>
      <c r="HBV47" s="225"/>
      <c r="HBW47" s="225"/>
      <c r="HBX47" s="225"/>
      <c r="HBY47" s="225"/>
      <c r="HBZ47" s="225"/>
      <c r="HCA47" s="225"/>
      <c r="HCB47" s="225"/>
      <c r="HCC47" s="225"/>
      <c r="HCD47" s="225"/>
      <c r="HCE47" s="225"/>
      <c r="HCF47" s="225"/>
      <c r="HCG47" s="225"/>
      <c r="HCH47" s="225"/>
      <c r="HCI47" s="225"/>
      <c r="HCJ47" s="225"/>
      <c r="HCK47" s="225"/>
      <c r="HCL47" s="225"/>
      <c r="HCM47" s="225"/>
      <c r="HCN47" s="225"/>
      <c r="HCO47" s="225"/>
      <c r="HCP47" s="225"/>
      <c r="HCQ47" s="225"/>
      <c r="HCR47" s="225"/>
      <c r="HCS47" s="225"/>
      <c r="HCT47" s="225"/>
      <c r="HCU47" s="225"/>
      <c r="HCV47" s="225"/>
      <c r="HCW47" s="225"/>
      <c r="HCX47" s="225"/>
      <c r="HCY47" s="225"/>
      <c r="HCZ47" s="225"/>
      <c r="HDA47" s="225"/>
      <c r="HDB47" s="225"/>
      <c r="HDC47" s="225"/>
      <c r="HDD47" s="225"/>
      <c r="HDE47" s="225"/>
      <c r="HDF47" s="225"/>
      <c r="HDG47" s="225"/>
      <c r="HDH47" s="225"/>
      <c r="HDI47" s="225"/>
      <c r="HDJ47" s="225"/>
      <c r="HDK47" s="225"/>
      <c r="HDL47" s="225"/>
      <c r="HDM47" s="225"/>
      <c r="HDN47" s="225"/>
      <c r="HDO47" s="225"/>
      <c r="HDP47" s="225"/>
      <c r="HDQ47" s="225"/>
      <c r="HDR47" s="225"/>
      <c r="HDS47" s="225"/>
      <c r="HDT47" s="225"/>
      <c r="HDU47" s="225"/>
      <c r="HDV47" s="225"/>
      <c r="HDW47" s="225"/>
      <c r="HDX47" s="225"/>
      <c r="HDY47" s="225"/>
      <c r="HDZ47" s="225"/>
      <c r="HEA47" s="225"/>
      <c r="HEB47" s="225"/>
      <c r="HEC47" s="225"/>
      <c r="HED47" s="225"/>
      <c r="HEE47" s="225"/>
      <c r="HEF47" s="225"/>
      <c r="HEG47" s="225"/>
      <c r="HEH47" s="225"/>
      <c r="HEI47" s="225"/>
      <c r="HEJ47" s="225"/>
      <c r="HEK47" s="225"/>
      <c r="HEL47" s="225"/>
      <c r="HEM47" s="225"/>
      <c r="HEN47" s="225"/>
      <c r="HEO47" s="225"/>
      <c r="HEP47" s="225"/>
      <c r="HEQ47" s="225"/>
      <c r="HER47" s="225"/>
      <c r="HES47" s="225"/>
      <c r="HET47" s="225"/>
      <c r="HEU47" s="225"/>
      <c r="HEV47" s="225"/>
      <c r="HEW47" s="225"/>
      <c r="HEX47" s="225"/>
      <c r="HEY47" s="225"/>
      <c r="HEZ47" s="225"/>
      <c r="HFA47" s="225"/>
      <c r="HFB47" s="225"/>
      <c r="HFC47" s="225"/>
      <c r="HFD47" s="225"/>
      <c r="HFE47" s="225"/>
      <c r="HFF47" s="225"/>
      <c r="HFG47" s="225"/>
      <c r="HFH47" s="225"/>
      <c r="HFI47" s="225"/>
      <c r="HFJ47" s="225"/>
      <c r="HFK47" s="225"/>
      <c r="HFL47" s="225"/>
      <c r="HFM47" s="225"/>
      <c r="HFN47" s="225"/>
      <c r="HFO47" s="225"/>
      <c r="HFP47" s="225"/>
      <c r="HFQ47" s="225"/>
      <c r="HFR47" s="225"/>
      <c r="HFS47" s="225"/>
      <c r="HFT47" s="225"/>
      <c r="HFU47" s="225"/>
      <c r="HFV47" s="225"/>
      <c r="HFW47" s="225"/>
      <c r="HFX47" s="225"/>
      <c r="HFY47" s="225"/>
      <c r="HFZ47" s="225"/>
      <c r="HGA47" s="225"/>
      <c r="HGB47" s="225"/>
      <c r="HGC47" s="225"/>
      <c r="HGD47" s="225"/>
      <c r="HGE47" s="225"/>
      <c r="HGF47" s="225"/>
      <c r="HGG47" s="225"/>
      <c r="HGH47" s="225"/>
      <c r="HGI47" s="225"/>
      <c r="HGJ47" s="225"/>
      <c r="HGK47" s="225"/>
      <c r="HGL47" s="225"/>
      <c r="HGM47" s="225"/>
      <c r="HGN47" s="225"/>
      <c r="HGO47" s="225"/>
      <c r="HGP47" s="225"/>
      <c r="HGQ47" s="225"/>
      <c r="HGR47" s="225"/>
      <c r="HGS47" s="225"/>
      <c r="HGT47" s="225"/>
      <c r="HGU47" s="225"/>
      <c r="HGV47" s="225"/>
      <c r="HGW47" s="225"/>
      <c r="HGX47" s="225"/>
      <c r="HGY47" s="225"/>
      <c r="HGZ47" s="225"/>
      <c r="HHA47" s="225"/>
      <c r="HHB47" s="225"/>
      <c r="HHC47" s="225"/>
      <c r="HHD47" s="225"/>
      <c r="HHE47" s="225"/>
      <c r="HHF47" s="225"/>
      <c r="HHG47" s="225"/>
      <c r="HHH47" s="225"/>
      <c r="HHI47" s="225"/>
      <c r="HHJ47" s="225"/>
      <c r="HHK47" s="225"/>
      <c r="HHL47" s="225"/>
      <c r="HHM47" s="225"/>
      <c r="HHN47" s="225"/>
      <c r="HHO47" s="225"/>
      <c r="HHP47" s="225"/>
      <c r="HHQ47" s="225"/>
      <c r="HHR47" s="225"/>
      <c r="HHS47" s="225"/>
      <c r="HHT47" s="225"/>
      <c r="HHU47" s="225"/>
      <c r="HHV47" s="225"/>
      <c r="HHW47" s="225"/>
      <c r="HHX47" s="225"/>
      <c r="HHY47" s="225"/>
      <c r="HHZ47" s="225"/>
      <c r="HIA47" s="225"/>
      <c r="HIB47" s="225"/>
      <c r="HIC47" s="225"/>
      <c r="HID47" s="225"/>
      <c r="HIE47" s="225"/>
      <c r="HIF47" s="225"/>
      <c r="HIG47" s="225"/>
      <c r="HIH47" s="225"/>
      <c r="HII47" s="225"/>
      <c r="HIJ47" s="225"/>
      <c r="HIK47" s="225"/>
      <c r="HIL47" s="225"/>
      <c r="HIM47" s="225"/>
      <c r="HIN47" s="225"/>
      <c r="HIO47" s="225"/>
      <c r="HIP47" s="225"/>
      <c r="HIQ47" s="225"/>
      <c r="HIR47" s="225"/>
      <c r="HIS47" s="225"/>
      <c r="HIT47" s="225"/>
      <c r="HIU47" s="225"/>
      <c r="HIV47" s="225"/>
      <c r="HIW47" s="225"/>
      <c r="HIX47" s="225"/>
      <c r="HIY47" s="225"/>
      <c r="HIZ47" s="225"/>
      <c r="HJA47" s="225"/>
      <c r="HJB47" s="225"/>
      <c r="HJC47" s="225"/>
      <c r="HJD47" s="225"/>
      <c r="HJE47" s="225"/>
      <c r="HJF47" s="225"/>
      <c r="HJG47" s="225"/>
      <c r="HJH47" s="225"/>
      <c r="HJI47" s="225"/>
      <c r="HJJ47" s="225"/>
      <c r="HJK47" s="225"/>
      <c r="HJL47" s="225"/>
      <c r="HJM47" s="225"/>
      <c r="HJN47" s="225"/>
      <c r="HJO47" s="225"/>
      <c r="HJP47" s="225"/>
      <c r="HJQ47" s="225"/>
      <c r="HJR47" s="225"/>
      <c r="HJS47" s="225"/>
      <c r="HJT47" s="225"/>
      <c r="HJU47" s="225"/>
      <c r="HJV47" s="225"/>
      <c r="HJW47" s="225"/>
      <c r="HJX47" s="225"/>
      <c r="HJY47" s="225"/>
      <c r="HJZ47" s="225"/>
      <c r="HKA47" s="225"/>
      <c r="HKB47" s="225"/>
      <c r="HKC47" s="225"/>
      <c r="HKD47" s="225"/>
      <c r="HKE47" s="225"/>
      <c r="HKF47" s="225"/>
      <c r="HKG47" s="225"/>
      <c r="HKH47" s="225"/>
      <c r="HKI47" s="225"/>
      <c r="HKJ47" s="225"/>
      <c r="HKK47" s="225"/>
      <c r="HKL47" s="225"/>
      <c r="HKM47" s="225"/>
      <c r="HKN47" s="225"/>
      <c r="HKO47" s="225"/>
      <c r="HKP47" s="225"/>
      <c r="HKQ47" s="225"/>
      <c r="HKR47" s="225"/>
      <c r="HKS47" s="225"/>
      <c r="HKT47" s="225"/>
      <c r="HKU47" s="225"/>
      <c r="HKV47" s="225"/>
      <c r="HKW47" s="225"/>
      <c r="HKX47" s="225"/>
      <c r="HKY47" s="225"/>
      <c r="HKZ47" s="225"/>
      <c r="HLA47" s="225"/>
      <c r="HLB47" s="225"/>
      <c r="HLC47" s="225"/>
      <c r="HLD47" s="225"/>
      <c r="HLE47" s="225"/>
      <c r="HLF47" s="225"/>
      <c r="HLG47" s="225"/>
      <c r="HLH47" s="225"/>
      <c r="HLI47" s="225"/>
      <c r="HLJ47" s="225"/>
      <c r="HLK47" s="225"/>
      <c r="HLL47" s="225"/>
      <c r="HLM47" s="225"/>
      <c r="HLN47" s="225"/>
      <c r="HLO47" s="225"/>
      <c r="HLP47" s="225"/>
      <c r="HLQ47" s="225"/>
      <c r="HLR47" s="225"/>
      <c r="HLS47" s="225"/>
      <c r="HLT47" s="225"/>
      <c r="HLU47" s="225"/>
      <c r="HLV47" s="225"/>
      <c r="HLW47" s="225"/>
      <c r="HLX47" s="225"/>
      <c r="HLY47" s="225"/>
      <c r="HLZ47" s="225"/>
      <c r="HMA47" s="225"/>
      <c r="HMB47" s="225"/>
      <c r="HMC47" s="225"/>
      <c r="HMD47" s="225"/>
      <c r="HME47" s="225"/>
      <c r="HMF47" s="225"/>
      <c r="HMG47" s="225"/>
      <c r="HMH47" s="225"/>
      <c r="HMI47" s="225"/>
      <c r="HMJ47" s="225"/>
      <c r="HMK47" s="225"/>
      <c r="HML47" s="225"/>
      <c r="HMM47" s="225"/>
      <c r="HMN47" s="225"/>
      <c r="HMO47" s="225"/>
      <c r="HMP47" s="225"/>
      <c r="HMQ47" s="225"/>
      <c r="HMR47" s="225"/>
      <c r="HMS47" s="225"/>
      <c r="HMT47" s="225"/>
      <c r="HMU47" s="225"/>
      <c r="HMV47" s="225"/>
      <c r="HMW47" s="225"/>
      <c r="HMX47" s="225"/>
      <c r="HMY47" s="225"/>
      <c r="HMZ47" s="225"/>
      <c r="HNA47" s="225"/>
      <c r="HNB47" s="225"/>
      <c r="HNC47" s="225"/>
      <c r="HND47" s="225"/>
      <c r="HNE47" s="225"/>
      <c r="HNF47" s="225"/>
      <c r="HNG47" s="225"/>
      <c r="HNH47" s="225"/>
      <c r="HNI47" s="225"/>
      <c r="HNJ47" s="225"/>
      <c r="HNK47" s="225"/>
      <c r="HNL47" s="225"/>
      <c r="HNM47" s="225"/>
      <c r="HNN47" s="225"/>
      <c r="HNO47" s="225"/>
      <c r="HNP47" s="225"/>
      <c r="HNQ47" s="225"/>
      <c r="HNR47" s="225"/>
      <c r="HNS47" s="225"/>
      <c r="HNT47" s="225"/>
      <c r="HNU47" s="225"/>
      <c r="HNV47" s="225"/>
      <c r="HNW47" s="225"/>
      <c r="HNX47" s="225"/>
      <c r="HNY47" s="225"/>
      <c r="HNZ47" s="225"/>
      <c r="HOA47" s="225"/>
      <c r="HOB47" s="225"/>
      <c r="HOC47" s="225"/>
      <c r="HOD47" s="225"/>
      <c r="HOE47" s="225"/>
      <c r="HOF47" s="225"/>
      <c r="HOG47" s="225"/>
      <c r="HOH47" s="225"/>
      <c r="HOI47" s="225"/>
      <c r="HOJ47" s="225"/>
      <c r="HOK47" s="225"/>
      <c r="HOL47" s="225"/>
      <c r="HOM47" s="225"/>
      <c r="HON47" s="225"/>
      <c r="HOO47" s="225"/>
      <c r="HOP47" s="225"/>
      <c r="HOQ47" s="225"/>
      <c r="HOR47" s="225"/>
      <c r="HOS47" s="225"/>
      <c r="HOT47" s="225"/>
      <c r="HOU47" s="225"/>
      <c r="HOV47" s="225"/>
      <c r="HOW47" s="225"/>
      <c r="HOX47" s="225"/>
      <c r="HOY47" s="225"/>
      <c r="HOZ47" s="225"/>
      <c r="HPA47" s="225"/>
      <c r="HPB47" s="225"/>
      <c r="HPC47" s="225"/>
      <c r="HPD47" s="225"/>
      <c r="HPE47" s="225"/>
      <c r="HPF47" s="225"/>
      <c r="HPG47" s="225"/>
      <c r="HPH47" s="225"/>
      <c r="HPI47" s="225"/>
      <c r="HPJ47" s="225"/>
      <c r="HPK47" s="225"/>
      <c r="HPL47" s="225"/>
      <c r="HPM47" s="225"/>
      <c r="HPN47" s="225"/>
      <c r="HPO47" s="225"/>
      <c r="HPP47" s="225"/>
      <c r="HPQ47" s="225"/>
      <c r="HPR47" s="225"/>
      <c r="HPS47" s="225"/>
      <c r="HPT47" s="225"/>
      <c r="HPU47" s="225"/>
      <c r="HPV47" s="225"/>
      <c r="HPW47" s="225"/>
      <c r="HPX47" s="225"/>
      <c r="HPY47" s="225"/>
      <c r="HPZ47" s="225"/>
      <c r="HQA47" s="225"/>
      <c r="HQB47" s="225"/>
      <c r="HQC47" s="225"/>
      <c r="HQD47" s="225"/>
      <c r="HQE47" s="225"/>
      <c r="HQF47" s="225"/>
      <c r="HQG47" s="225"/>
      <c r="HQH47" s="225"/>
      <c r="HQI47" s="225"/>
      <c r="HQJ47" s="225"/>
      <c r="HQK47" s="225"/>
      <c r="HQL47" s="225"/>
      <c r="HQM47" s="225"/>
      <c r="HQN47" s="225"/>
      <c r="HQO47" s="225"/>
      <c r="HQP47" s="225"/>
      <c r="HQQ47" s="225"/>
      <c r="HQR47" s="225"/>
      <c r="HQS47" s="225"/>
      <c r="HQT47" s="225"/>
      <c r="HQU47" s="225"/>
      <c r="HQV47" s="225"/>
      <c r="HQW47" s="225"/>
      <c r="HQX47" s="225"/>
      <c r="HQY47" s="225"/>
      <c r="HQZ47" s="225"/>
      <c r="HRA47" s="225"/>
      <c r="HRB47" s="225"/>
      <c r="HRC47" s="225"/>
      <c r="HRD47" s="225"/>
      <c r="HRE47" s="225"/>
      <c r="HRF47" s="225"/>
      <c r="HRG47" s="225"/>
      <c r="HRH47" s="225"/>
      <c r="HRI47" s="225"/>
      <c r="HRJ47" s="225"/>
      <c r="HRK47" s="225"/>
      <c r="HRL47" s="225"/>
      <c r="HRM47" s="225"/>
      <c r="HRN47" s="225"/>
      <c r="HRO47" s="225"/>
      <c r="HRP47" s="225"/>
      <c r="HRQ47" s="225"/>
      <c r="HRR47" s="225"/>
      <c r="HRS47" s="225"/>
      <c r="HRT47" s="225"/>
      <c r="HRU47" s="225"/>
      <c r="HRV47" s="225"/>
      <c r="HRW47" s="225"/>
      <c r="HRX47" s="225"/>
      <c r="HRY47" s="225"/>
      <c r="HRZ47" s="225"/>
      <c r="HSA47" s="225"/>
      <c r="HSB47" s="225"/>
      <c r="HSC47" s="225"/>
      <c r="HSD47" s="225"/>
      <c r="HSE47" s="225"/>
      <c r="HSF47" s="225"/>
      <c r="HSG47" s="225"/>
      <c r="HSH47" s="225"/>
      <c r="HSI47" s="225"/>
      <c r="HSJ47" s="225"/>
      <c r="HSK47" s="225"/>
      <c r="HSL47" s="225"/>
      <c r="HSM47" s="225"/>
      <c r="HSN47" s="225"/>
      <c r="HSO47" s="225"/>
      <c r="HSP47" s="225"/>
      <c r="HSQ47" s="225"/>
      <c r="HSR47" s="225"/>
      <c r="HSS47" s="225"/>
      <c r="HST47" s="225"/>
      <c r="HSU47" s="225"/>
      <c r="HSV47" s="225"/>
      <c r="HSW47" s="225"/>
      <c r="HSX47" s="225"/>
      <c r="HSY47" s="225"/>
      <c r="HSZ47" s="225"/>
      <c r="HTA47" s="225"/>
      <c r="HTB47" s="225"/>
      <c r="HTC47" s="225"/>
      <c r="HTD47" s="225"/>
      <c r="HTE47" s="225"/>
      <c r="HTF47" s="225"/>
      <c r="HTG47" s="225"/>
      <c r="HTH47" s="225"/>
      <c r="HTI47" s="225"/>
      <c r="HTJ47" s="225"/>
      <c r="HTK47" s="225"/>
      <c r="HTL47" s="225"/>
      <c r="HTM47" s="225"/>
      <c r="HTN47" s="225"/>
      <c r="HTO47" s="225"/>
      <c r="HTP47" s="225"/>
      <c r="HTQ47" s="225"/>
      <c r="HTR47" s="225"/>
      <c r="HTS47" s="225"/>
      <c r="HTT47" s="225"/>
      <c r="HTU47" s="225"/>
      <c r="HTV47" s="225"/>
      <c r="HTW47" s="225"/>
      <c r="HTX47" s="225"/>
      <c r="HTY47" s="225"/>
      <c r="HTZ47" s="225"/>
      <c r="HUA47" s="225"/>
      <c r="HUB47" s="225"/>
      <c r="HUC47" s="225"/>
      <c r="HUD47" s="225"/>
      <c r="HUE47" s="225"/>
      <c r="HUF47" s="225"/>
      <c r="HUG47" s="225"/>
      <c r="HUH47" s="225"/>
      <c r="HUI47" s="225"/>
      <c r="HUJ47" s="225"/>
      <c r="HUK47" s="225"/>
      <c r="HUL47" s="225"/>
      <c r="HUM47" s="225"/>
      <c r="HUN47" s="225"/>
      <c r="HUO47" s="225"/>
      <c r="HUP47" s="225"/>
      <c r="HUQ47" s="225"/>
      <c r="HUR47" s="225"/>
      <c r="HUS47" s="225"/>
      <c r="HUT47" s="225"/>
      <c r="HUU47" s="225"/>
      <c r="HUV47" s="225"/>
      <c r="HUW47" s="225"/>
      <c r="HUX47" s="225"/>
      <c r="HUY47" s="225"/>
      <c r="HUZ47" s="225"/>
      <c r="HVA47" s="225"/>
      <c r="HVB47" s="225"/>
      <c r="HVC47" s="225"/>
      <c r="HVD47" s="225"/>
      <c r="HVE47" s="225"/>
      <c r="HVF47" s="225"/>
      <c r="HVG47" s="225"/>
      <c r="HVH47" s="225"/>
      <c r="HVI47" s="225"/>
      <c r="HVJ47" s="225"/>
      <c r="HVK47" s="225"/>
      <c r="HVL47" s="225"/>
      <c r="HVM47" s="225"/>
      <c r="HVN47" s="225"/>
      <c r="HVO47" s="225"/>
      <c r="HVP47" s="225"/>
      <c r="HVQ47" s="225"/>
      <c r="HVR47" s="225"/>
      <c r="HVS47" s="225"/>
      <c r="HVT47" s="225"/>
      <c r="HVU47" s="225"/>
      <c r="HVV47" s="225"/>
      <c r="HVW47" s="225"/>
      <c r="HVX47" s="225"/>
      <c r="HVY47" s="225"/>
      <c r="HVZ47" s="225"/>
      <c r="HWA47" s="225"/>
      <c r="HWB47" s="225"/>
      <c r="HWC47" s="225"/>
      <c r="HWD47" s="225"/>
      <c r="HWE47" s="225"/>
      <c r="HWF47" s="225"/>
      <c r="HWG47" s="225"/>
      <c r="HWH47" s="225"/>
      <c r="HWI47" s="225"/>
      <c r="HWJ47" s="225"/>
      <c r="HWK47" s="225"/>
      <c r="HWL47" s="225"/>
      <c r="HWM47" s="225"/>
      <c r="HWN47" s="225"/>
      <c r="HWO47" s="225"/>
      <c r="HWP47" s="225"/>
      <c r="HWQ47" s="225"/>
      <c r="HWR47" s="225"/>
      <c r="HWS47" s="225"/>
      <c r="HWT47" s="225"/>
      <c r="HWU47" s="225"/>
      <c r="HWV47" s="225"/>
      <c r="HWW47" s="225"/>
      <c r="HWX47" s="225"/>
      <c r="HWY47" s="225"/>
      <c r="HWZ47" s="225"/>
      <c r="HXA47" s="225"/>
      <c r="HXB47" s="225"/>
      <c r="HXC47" s="225"/>
      <c r="HXD47" s="225"/>
      <c r="HXE47" s="225"/>
      <c r="HXF47" s="225"/>
      <c r="HXG47" s="225"/>
      <c r="HXH47" s="225"/>
      <c r="HXI47" s="225"/>
      <c r="HXJ47" s="225"/>
      <c r="HXK47" s="225"/>
      <c r="HXL47" s="225"/>
      <c r="HXM47" s="225"/>
      <c r="HXN47" s="225"/>
      <c r="HXO47" s="225"/>
      <c r="HXP47" s="225"/>
      <c r="HXQ47" s="225"/>
      <c r="HXR47" s="225"/>
      <c r="HXS47" s="225"/>
      <c r="HXT47" s="225"/>
      <c r="HXU47" s="225"/>
      <c r="HXV47" s="225"/>
      <c r="HXW47" s="225"/>
      <c r="HXX47" s="225"/>
      <c r="HXY47" s="225"/>
      <c r="HXZ47" s="225"/>
      <c r="HYA47" s="225"/>
      <c r="HYB47" s="225"/>
      <c r="HYC47" s="225"/>
      <c r="HYD47" s="225"/>
      <c r="HYE47" s="225"/>
      <c r="HYF47" s="225"/>
      <c r="HYG47" s="225"/>
      <c r="HYH47" s="225"/>
      <c r="HYI47" s="225"/>
      <c r="HYJ47" s="225"/>
      <c r="HYK47" s="225"/>
      <c r="HYL47" s="225"/>
      <c r="HYM47" s="225"/>
      <c r="HYN47" s="225"/>
      <c r="HYO47" s="225"/>
      <c r="HYP47" s="225"/>
      <c r="HYQ47" s="225"/>
      <c r="HYR47" s="225"/>
      <c r="HYS47" s="225"/>
      <c r="HYT47" s="225"/>
      <c r="HYU47" s="225"/>
      <c r="HYV47" s="225"/>
      <c r="HYW47" s="225"/>
      <c r="HYX47" s="225"/>
      <c r="HYY47" s="225"/>
      <c r="HYZ47" s="225"/>
      <c r="HZA47" s="225"/>
      <c r="HZB47" s="225"/>
      <c r="HZC47" s="225"/>
      <c r="HZD47" s="225"/>
      <c r="HZE47" s="225"/>
      <c r="HZF47" s="225"/>
      <c r="HZG47" s="225"/>
      <c r="HZH47" s="225"/>
      <c r="HZI47" s="225"/>
      <c r="HZJ47" s="225"/>
      <c r="HZK47" s="225"/>
      <c r="HZL47" s="225"/>
      <c r="HZM47" s="225"/>
      <c r="HZN47" s="225"/>
      <c r="HZO47" s="225"/>
      <c r="HZP47" s="225"/>
      <c r="HZQ47" s="225"/>
      <c r="HZR47" s="225"/>
      <c r="HZS47" s="225"/>
      <c r="HZT47" s="225"/>
      <c r="HZU47" s="225"/>
      <c r="HZV47" s="225"/>
      <c r="HZW47" s="225"/>
      <c r="HZX47" s="225"/>
      <c r="HZY47" s="225"/>
      <c r="HZZ47" s="225"/>
      <c r="IAA47" s="225"/>
      <c r="IAB47" s="225"/>
      <c r="IAC47" s="225"/>
      <c r="IAD47" s="225"/>
      <c r="IAE47" s="225"/>
      <c r="IAF47" s="225"/>
      <c r="IAG47" s="225"/>
      <c r="IAH47" s="225"/>
      <c r="IAI47" s="225"/>
      <c r="IAJ47" s="225"/>
      <c r="IAK47" s="225"/>
      <c r="IAL47" s="225"/>
      <c r="IAM47" s="225"/>
      <c r="IAN47" s="225"/>
      <c r="IAO47" s="225"/>
      <c r="IAP47" s="225"/>
      <c r="IAQ47" s="225"/>
      <c r="IAR47" s="225"/>
      <c r="IAS47" s="225"/>
      <c r="IAT47" s="225"/>
      <c r="IAU47" s="225"/>
      <c r="IAV47" s="225"/>
      <c r="IAW47" s="225"/>
      <c r="IAX47" s="225"/>
      <c r="IAY47" s="225"/>
      <c r="IAZ47" s="225"/>
      <c r="IBA47" s="225"/>
      <c r="IBB47" s="225"/>
      <c r="IBC47" s="225"/>
      <c r="IBD47" s="225"/>
      <c r="IBE47" s="225"/>
      <c r="IBF47" s="225"/>
      <c r="IBG47" s="225"/>
      <c r="IBH47" s="225"/>
      <c r="IBI47" s="225"/>
      <c r="IBJ47" s="225"/>
      <c r="IBK47" s="225"/>
      <c r="IBL47" s="225"/>
      <c r="IBM47" s="225"/>
      <c r="IBN47" s="225"/>
      <c r="IBO47" s="225"/>
      <c r="IBP47" s="225"/>
      <c r="IBQ47" s="225"/>
      <c r="IBR47" s="225"/>
      <c r="IBS47" s="225"/>
      <c r="IBT47" s="225"/>
      <c r="IBU47" s="225"/>
      <c r="IBV47" s="225"/>
      <c r="IBW47" s="225"/>
      <c r="IBX47" s="225"/>
      <c r="IBY47" s="225"/>
      <c r="IBZ47" s="225"/>
      <c r="ICA47" s="225"/>
      <c r="ICB47" s="225"/>
      <c r="ICC47" s="225"/>
      <c r="ICD47" s="225"/>
      <c r="ICE47" s="225"/>
      <c r="ICF47" s="225"/>
      <c r="ICG47" s="225"/>
      <c r="ICH47" s="225"/>
      <c r="ICI47" s="225"/>
      <c r="ICJ47" s="225"/>
      <c r="ICK47" s="225"/>
      <c r="ICL47" s="225"/>
      <c r="ICM47" s="225"/>
      <c r="ICN47" s="225"/>
      <c r="ICO47" s="225"/>
      <c r="ICP47" s="225"/>
      <c r="ICQ47" s="225"/>
      <c r="ICR47" s="225"/>
      <c r="ICS47" s="225"/>
      <c r="ICT47" s="225"/>
      <c r="ICU47" s="225"/>
      <c r="ICV47" s="225"/>
      <c r="ICW47" s="225"/>
      <c r="ICX47" s="225"/>
      <c r="ICY47" s="225"/>
      <c r="ICZ47" s="225"/>
      <c r="IDA47" s="225"/>
      <c r="IDB47" s="225"/>
      <c r="IDC47" s="225"/>
      <c r="IDD47" s="225"/>
      <c r="IDE47" s="225"/>
      <c r="IDF47" s="225"/>
      <c r="IDG47" s="225"/>
      <c r="IDH47" s="225"/>
      <c r="IDI47" s="225"/>
      <c r="IDJ47" s="225"/>
      <c r="IDK47" s="225"/>
      <c r="IDL47" s="225"/>
      <c r="IDM47" s="225"/>
      <c r="IDN47" s="225"/>
      <c r="IDO47" s="225"/>
      <c r="IDP47" s="225"/>
      <c r="IDQ47" s="225"/>
      <c r="IDR47" s="225"/>
      <c r="IDS47" s="225"/>
      <c r="IDT47" s="225"/>
      <c r="IDU47" s="225"/>
      <c r="IDV47" s="225"/>
      <c r="IDW47" s="225"/>
      <c r="IDX47" s="225"/>
      <c r="IDY47" s="225"/>
      <c r="IDZ47" s="225"/>
      <c r="IEA47" s="225"/>
      <c r="IEB47" s="225"/>
      <c r="IEC47" s="225"/>
      <c r="IED47" s="225"/>
      <c r="IEE47" s="225"/>
      <c r="IEF47" s="225"/>
      <c r="IEG47" s="225"/>
      <c r="IEH47" s="225"/>
      <c r="IEI47" s="225"/>
      <c r="IEJ47" s="225"/>
      <c r="IEK47" s="225"/>
      <c r="IEL47" s="225"/>
      <c r="IEM47" s="225"/>
      <c r="IEN47" s="225"/>
      <c r="IEO47" s="225"/>
      <c r="IEP47" s="225"/>
      <c r="IEQ47" s="225"/>
      <c r="IER47" s="225"/>
      <c r="IES47" s="225"/>
      <c r="IET47" s="225"/>
      <c r="IEU47" s="225"/>
      <c r="IEV47" s="225"/>
      <c r="IEW47" s="225"/>
      <c r="IEX47" s="225"/>
      <c r="IEY47" s="225"/>
      <c r="IEZ47" s="225"/>
      <c r="IFA47" s="225"/>
      <c r="IFB47" s="225"/>
      <c r="IFC47" s="225"/>
      <c r="IFD47" s="225"/>
      <c r="IFE47" s="225"/>
      <c r="IFF47" s="225"/>
      <c r="IFG47" s="225"/>
      <c r="IFH47" s="225"/>
      <c r="IFI47" s="225"/>
      <c r="IFJ47" s="225"/>
      <c r="IFK47" s="225"/>
      <c r="IFL47" s="225"/>
      <c r="IFM47" s="225"/>
      <c r="IFN47" s="225"/>
      <c r="IFO47" s="225"/>
      <c r="IFP47" s="225"/>
      <c r="IFQ47" s="225"/>
      <c r="IFR47" s="225"/>
      <c r="IFS47" s="225"/>
      <c r="IFT47" s="225"/>
      <c r="IFU47" s="225"/>
      <c r="IFV47" s="225"/>
      <c r="IFW47" s="225"/>
      <c r="IFX47" s="225"/>
      <c r="IFY47" s="225"/>
      <c r="IFZ47" s="225"/>
      <c r="IGA47" s="225"/>
      <c r="IGB47" s="225"/>
      <c r="IGC47" s="225"/>
      <c r="IGD47" s="225"/>
      <c r="IGE47" s="225"/>
      <c r="IGF47" s="225"/>
      <c r="IGG47" s="225"/>
      <c r="IGH47" s="225"/>
      <c r="IGI47" s="225"/>
      <c r="IGJ47" s="225"/>
      <c r="IGK47" s="225"/>
      <c r="IGL47" s="225"/>
      <c r="IGM47" s="225"/>
      <c r="IGN47" s="225"/>
      <c r="IGO47" s="225"/>
      <c r="IGP47" s="225"/>
      <c r="IGQ47" s="225"/>
      <c r="IGR47" s="225"/>
      <c r="IGS47" s="225"/>
      <c r="IGT47" s="225"/>
      <c r="IGU47" s="225"/>
      <c r="IGV47" s="225"/>
      <c r="IGW47" s="225"/>
      <c r="IGX47" s="225"/>
      <c r="IGY47" s="225"/>
      <c r="IGZ47" s="225"/>
      <c r="IHA47" s="225"/>
      <c r="IHB47" s="225"/>
      <c r="IHC47" s="225"/>
      <c r="IHD47" s="225"/>
      <c r="IHE47" s="225"/>
      <c r="IHF47" s="225"/>
      <c r="IHG47" s="225"/>
      <c r="IHH47" s="225"/>
      <c r="IHI47" s="225"/>
      <c r="IHJ47" s="225"/>
      <c r="IHK47" s="225"/>
      <c r="IHL47" s="225"/>
      <c r="IHM47" s="225"/>
      <c r="IHN47" s="225"/>
      <c r="IHO47" s="225"/>
      <c r="IHP47" s="225"/>
      <c r="IHQ47" s="225"/>
      <c r="IHR47" s="225"/>
      <c r="IHS47" s="225"/>
      <c r="IHT47" s="225"/>
      <c r="IHU47" s="225"/>
      <c r="IHV47" s="225"/>
      <c r="IHW47" s="225"/>
      <c r="IHX47" s="225"/>
      <c r="IHY47" s="225"/>
      <c r="IHZ47" s="225"/>
      <c r="IIA47" s="225"/>
      <c r="IIB47" s="225"/>
      <c r="IIC47" s="225"/>
      <c r="IID47" s="225"/>
      <c r="IIE47" s="225"/>
      <c r="IIF47" s="225"/>
      <c r="IIG47" s="225"/>
      <c r="IIH47" s="225"/>
      <c r="III47" s="225"/>
      <c r="IIJ47" s="225"/>
      <c r="IIK47" s="225"/>
      <c r="IIL47" s="225"/>
      <c r="IIM47" s="225"/>
      <c r="IIN47" s="225"/>
      <c r="IIO47" s="225"/>
      <c r="IIP47" s="225"/>
      <c r="IIQ47" s="225"/>
      <c r="IIR47" s="225"/>
      <c r="IIS47" s="225"/>
      <c r="IIT47" s="225"/>
      <c r="IIU47" s="225"/>
      <c r="IIV47" s="225"/>
      <c r="IIW47" s="225"/>
      <c r="IIX47" s="225"/>
      <c r="IIY47" s="225"/>
      <c r="IIZ47" s="225"/>
      <c r="IJA47" s="225"/>
      <c r="IJB47" s="225"/>
      <c r="IJC47" s="225"/>
      <c r="IJD47" s="225"/>
      <c r="IJE47" s="225"/>
      <c r="IJF47" s="225"/>
      <c r="IJG47" s="225"/>
      <c r="IJH47" s="225"/>
      <c r="IJI47" s="225"/>
      <c r="IJJ47" s="225"/>
      <c r="IJK47" s="225"/>
      <c r="IJL47" s="225"/>
      <c r="IJM47" s="225"/>
      <c r="IJN47" s="225"/>
      <c r="IJO47" s="225"/>
      <c r="IJP47" s="225"/>
      <c r="IJQ47" s="225"/>
      <c r="IJR47" s="225"/>
      <c r="IJS47" s="225"/>
      <c r="IJT47" s="225"/>
      <c r="IJU47" s="225"/>
      <c r="IJV47" s="225"/>
      <c r="IJW47" s="225"/>
      <c r="IJX47" s="225"/>
      <c r="IJY47" s="225"/>
      <c r="IJZ47" s="225"/>
      <c r="IKA47" s="225"/>
      <c r="IKB47" s="225"/>
      <c r="IKC47" s="225"/>
      <c r="IKD47" s="225"/>
      <c r="IKE47" s="225"/>
      <c r="IKF47" s="225"/>
      <c r="IKG47" s="225"/>
      <c r="IKH47" s="225"/>
      <c r="IKI47" s="225"/>
      <c r="IKJ47" s="225"/>
      <c r="IKK47" s="225"/>
      <c r="IKL47" s="225"/>
      <c r="IKM47" s="225"/>
      <c r="IKN47" s="225"/>
      <c r="IKO47" s="225"/>
      <c r="IKP47" s="225"/>
      <c r="IKQ47" s="225"/>
      <c r="IKR47" s="225"/>
      <c r="IKS47" s="225"/>
      <c r="IKT47" s="225"/>
      <c r="IKU47" s="225"/>
      <c r="IKV47" s="225"/>
      <c r="IKW47" s="225"/>
      <c r="IKX47" s="225"/>
      <c r="IKY47" s="225"/>
      <c r="IKZ47" s="225"/>
      <c r="ILA47" s="225"/>
      <c r="ILB47" s="225"/>
      <c r="ILC47" s="225"/>
      <c r="ILD47" s="225"/>
      <c r="ILE47" s="225"/>
      <c r="ILF47" s="225"/>
      <c r="ILG47" s="225"/>
      <c r="ILH47" s="225"/>
      <c r="ILI47" s="225"/>
      <c r="ILJ47" s="225"/>
      <c r="ILK47" s="225"/>
      <c r="ILL47" s="225"/>
      <c r="ILM47" s="225"/>
      <c r="ILN47" s="225"/>
      <c r="ILO47" s="225"/>
      <c r="ILP47" s="225"/>
      <c r="ILQ47" s="225"/>
      <c r="ILR47" s="225"/>
      <c r="ILS47" s="225"/>
      <c r="ILT47" s="225"/>
      <c r="ILU47" s="225"/>
      <c r="ILV47" s="225"/>
      <c r="ILW47" s="225"/>
      <c r="ILX47" s="225"/>
      <c r="ILY47" s="225"/>
      <c r="ILZ47" s="225"/>
      <c r="IMA47" s="225"/>
      <c r="IMB47" s="225"/>
      <c r="IMC47" s="225"/>
      <c r="IMD47" s="225"/>
      <c r="IME47" s="225"/>
      <c r="IMF47" s="225"/>
      <c r="IMG47" s="225"/>
      <c r="IMH47" s="225"/>
      <c r="IMI47" s="225"/>
      <c r="IMJ47" s="225"/>
      <c r="IMK47" s="225"/>
      <c r="IML47" s="225"/>
      <c r="IMM47" s="225"/>
      <c r="IMN47" s="225"/>
      <c r="IMO47" s="225"/>
      <c r="IMP47" s="225"/>
      <c r="IMQ47" s="225"/>
      <c r="IMR47" s="225"/>
      <c r="IMS47" s="225"/>
      <c r="IMT47" s="225"/>
      <c r="IMU47" s="225"/>
      <c r="IMV47" s="225"/>
      <c r="IMW47" s="225"/>
      <c r="IMX47" s="225"/>
      <c r="IMY47" s="225"/>
      <c r="IMZ47" s="225"/>
      <c r="INA47" s="225"/>
      <c r="INB47" s="225"/>
      <c r="INC47" s="225"/>
      <c r="IND47" s="225"/>
      <c r="INE47" s="225"/>
      <c r="INF47" s="225"/>
      <c r="ING47" s="225"/>
      <c r="INH47" s="225"/>
      <c r="INI47" s="225"/>
      <c r="INJ47" s="225"/>
      <c r="INK47" s="225"/>
      <c r="INL47" s="225"/>
      <c r="INM47" s="225"/>
      <c r="INN47" s="225"/>
      <c r="INO47" s="225"/>
      <c r="INP47" s="225"/>
      <c r="INQ47" s="225"/>
      <c r="INR47" s="225"/>
      <c r="INS47" s="225"/>
      <c r="INT47" s="225"/>
      <c r="INU47" s="225"/>
      <c r="INV47" s="225"/>
      <c r="INW47" s="225"/>
      <c r="INX47" s="225"/>
      <c r="INY47" s="225"/>
      <c r="INZ47" s="225"/>
      <c r="IOA47" s="225"/>
      <c r="IOB47" s="225"/>
      <c r="IOC47" s="225"/>
      <c r="IOD47" s="225"/>
      <c r="IOE47" s="225"/>
      <c r="IOF47" s="225"/>
      <c r="IOG47" s="225"/>
      <c r="IOH47" s="225"/>
      <c r="IOI47" s="225"/>
      <c r="IOJ47" s="225"/>
      <c r="IOK47" s="225"/>
      <c r="IOL47" s="225"/>
      <c r="IOM47" s="225"/>
      <c r="ION47" s="225"/>
      <c r="IOO47" s="225"/>
      <c r="IOP47" s="225"/>
      <c r="IOQ47" s="225"/>
      <c r="IOR47" s="225"/>
      <c r="IOS47" s="225"/>
      <c r="IOT47" s="225"/>
      <c r="IOU47" s="225"/>
      <c r="IOV47" s="225"/>
      <c r="IOW47" s="225"/>
      <c r="IOX47" s="225"/>
      <c r="IOY47" s="225"/>
      <c r="IOZ47" s="225"/>
      <c r="IPA47" s="225"/>
      <c r="IPB47" s="225"/>
      <c r="IPC47" s="225"/>
      <c r="IPD47" s="225"/>
      <c r="IPE47" s="225"/>
      <c r="IPF47" s="225"/>
      <c r="IPG47" s="225"/>
      <c r="IPH47" s="225"/>
      <c r="IPI47" s="225"/>
      <c r="IPJ47" s="225"/>
      <c r="IPK47" s="225"/>
      <c r="IPL47" s="225"/>
      <c r="IPM47" s="225"/>
      <c r="IPN47" s="225"/>
      <c r="IPO47" s="225"/>
      <c r="IPP47" s="225"/>
      <c r="IPQ47" s="225"/>
      <c r="IPR47" s="225"/>
      <c r="IPS47" s="225"/>
      <c r="IPT47" s="225"/>
      <c r="IPU47" s="225"/>
      <c r="IPV47" s="225"/>
      <c r="IPW47" s="225"/>
      <c r="IPX47" s="225"/>
      <c r="IPY47" s="225"/>
      <c r="IPZ47" s="225"/>
      <c r="IQA47" s="225"/>
      <c r="IQB47" s="225"/>
      <c r="IQC47" s="225"/>
      <c r="IQD47" s="225"/>
      <c r="IQE47" s="225"/>
      <c r="IQF47" s="225"/>
      <c r="IQG47" s="225"/>
      <c r="IQH47" s="225"/>
      <c r="IQI47" s="225"/>
      <c r="IQJ47" s="225"/>
      <c r="IQK47" s="225"/>
      <c r="IQL47" s="225"/>
      <c r="IQM47" s="225"/>
      <c r="IQN47" s="225"/>
      <c r="IQO47" s="225"/>
      <c r="IQP47" s="225"/>
      <c r="IQQ47" s="225"/>
      <c r="IQR47" s="225"/>
      <c r="IQS47" s="225"/>
      <c r="IQT47" s="225"/>
      <c r="IQU47" s="225"/>
      <c r="IQV47" s="225"/>
      <c r="IQW47" s="225"/>
      <c r="IQX47" s="225"/>
      <c r="IQY47" s="225"/>
      <c r="IQZ47" s="225"/>
      <c r="IRA47" s="225"/>
      <c r="IRB47" s="225"/>
      <c r="IRC47" s="225"/>
      <c r="IRD47" s="225"/>
      <c r="IRE47" s="225"/>
      <c r="IRF47" s="225"/>
      <c r="IRG47" s="225"/>
      <c r="IRH47" s="225"/>
      <c r="IRI47" s="225"/>
      <c r="IRJ47" s="225"/>
      <c r="IRK47" s="225"/>
      <c r="IRL47" s="225"/>
      <c r="IRM47" s="225"/>
      <c r="IRN47" s="225"/>
      <c r="IRO47" s="225"/>
      <c r="IRP47" s="225"/>
      <c r="IRQ47" s="225"/>
      <c r="IRR47" s="225"/>
      <c r="IRS47" s="225"/>
      <c r="IRT47" s="225"/>
      <c r="IRU47" s="225"/>
      <c r="IRV47" s="225"/>
      <c r="IRW47" s="225"/>
      <c r="IRX47" s="225"/>
      <c r="IRY47" s="225"/>
      <c r="IRZ47" s="225"/>
      <c r="ISA47" s="225"/>
      <c r="ISB47" s="225"/>
      <c r="ISC47" s="225"/>
      <c r="ISD47" s="225"/>
      <c r="ISE47" s="225"/>
      <c r="ISF47" s="225"/>
      <c r="ISG47" s="225"/>
      <c r="ISH47" s="225"/>
      <c r="ISI47" s="225"/>
      <c r="ISJ47" s="225"/>
      <c r="ISK47" s="225"/>
      <c r="ISL47" s="225"/>
      <c r="ISM47" s="225"/>
      <c r="ISN47" s="225"/>
      <c r="ISO47" s="225"/>
      <c r="ISP47" s="225"/>
      <c r="ISQ47" s="225"/>
      <c r="ISR47" s="225"/>
      <c r="ISS47" s="225"/>
      <c r="IST47" s="225"/>
      <c r="ISU47" s="225"/>
      <c r="ISV47" s="225"/>
      <c r="ISW47" s="225"/>
      <c r="ISX47" s="225"/>
      <c r="ISY47" s="225"/>
      <c r="ISZ47" s="225"/>
      <c r="ITA47" s="225"/>
      <c r="ITB47" s="225"/>
      <c r="ITC47" s="225"/>
      <c r="ITD47" s="225"/>
      <c r="ITE47" s="225"/>
      <c r="ITF47" s="225"/>
      <c r="ITG47" s="225"/>
      <c r="ITH47" s="225"/>
      <c r="ITI47" s="225"/>
      <c r="ITJ47" s="225"/>
      <c r="ITK47" s="225"/>
      <c r="ITL47" s="225"/>
      <c r="ITM47" s="225"/>
      <c r="ITN47" s="225"/>
      <c r="ITO47" s="225"/>
      <c r="ITP47" s="225"/>
      <c r="ITQ47" s="225"/>
      <c r="ITR47" s="225"/>
      <c r="ITS47" s="225"/>
      <c r="ITT47" s="225"/>
      <c r="ITU47" s="225"/>
      <c r="ITV47" s="225"/>
      <c r="ITW47" s="225"/>
      <c r="ITX47" s="225"/>
      <c r="ITY47" s="225"/>
      <c r="ITZ47" s="225"/>
      <c r="IUA47" s="225"/>
      <c r="IUB47" s="225"/>
      <c r="IUC47" s="225"/>
      <c r="IUD47" s="225"/>
      <c r="IUE47" s="225"/>
      <c r="IUF47" s="225"/>
      <c r="IUG47" s="225"/>
      <c r="IUH47" s="225"/>
      <c r="IUI47" s="225"/>
      <c r="IUJ47" s="225"/>
      <c r="IUK47" s="225"/>
      <c r="IUL47" s="225"/>
      <c r="IUM47" s="225"/>
      <c r="IUN47" s="225"/>
      <c r="IUO47" s="225"/>
      <c r="IUP47" s="225"/>
      <c r="IUQ47" s="225"/>
      <c r="IUR47" s="225"/>
      <c r="IUS47" s="225"/>
      <c r="IUT47" s="225"/>
      <c r="IUU47" s="225"/>
      <c r="IUV47" s="225"/>
      <c r="IUW47" s="225"/>
      <c r="IUX47" s="225"/>
      <c r="IUY47" s="225"/>
      <c r="IUZ47" s="225"/>
      <c r="IVA47" s="225"/>
      <c r="IVB47" s="225"/>
      <c r="IVC47" s="225"/>
      <c r="IVD47" s="225"/>
      <c r="IVE47" s="225"/>
      <c r="IVF47" s="225"/>
      <c r="IVG47" s="225"/>
      <c r="IVH47" s="225"/>
      <c r="IVI47" s="225"/>
      <c r="IVJ47" s="225"/>
      <c r="IVK47" s="225"/>
      <c r="IVL47" s="225"/>
      <c r="IVM47" s="225"/>
      <c r="IVN47" s="225"/>
      <c r="IVO47" s="225"/>
      <c r="IVP47" s="225"/>
      <c r="IVQ47" s="225"/>
      <c r="IVR47" s="225"/>
      <c r="IVS47" s="225"/>
      <c r="IVT47" s="225"/>
      <c r="IVU47" s="225"/>
      <c r="IVV47" s="225"/>
      <c r="IVW47" s="225"/>
      <c r="IVX47" s="225"/>
      <c r="IVY47" s="225"/>
      <c r="IVZ47" s="225"/>
      <c r="IWA47" s="225"/>
      <c r="IWB47" s="225"/>
      <c r="IWC47" s="225"/>
      <c r="IWD47" s="225"/>
      <c r="IWE47" s="225"/>
      <c r="IWF47" s="225"/>
      <c r="IWG47" s="225"/>
      <c r="IWH47" s="225"/>
      <c r="IWI47" s="225"/>
      <c r="IWJ47" s="225"/>
      <c r="IWK47" s="225"/>
      <c r="IWL47" s="225"/>
      <c r="IWM47" s="225"/>
      <c r="IWN47" s="225"/>
      <c r="IWO47" s="225"/>
      <c r="IWP47" s="225"/>
      <c r="IWQ47" s="225"/>
      <c r="IWR47" s="225"/>
      <c r="IWS47" s="225"/>
      <c r="IWT47" s="225"/>
      <c r="IWU47" s="225"/>
      <c r="IWV47" s="225"/>
      <c r="IWW47" s="225"/>
      <c r="IWX47" s="225"/>
      <c r="IWY47" s="225"/>
      <c r="IWZ47" s="225"/>
      <c r="IXA47" s="225"/>
      <c r="IXB47" s="225"/>
      <c r="IXC47" s="225"/>
      <c r="IXD47" s="225"/>
      <c r="IXE47" s="225"/>
      <c r="IXF47" s="225"/>
      <c r="IXG47" s="225"/>
      <c r="IXH47" s="225"/>
      <c r="IXI47" s="225"/>
      <c r="IXJ47" s="225"/>
      <c r="IXK47" s="225"/>
      <c r="IXL47" s="225"/>
      <c r="IXM47" s="225"/>
      <c r="IXN47" s="225"/>
      <c r="IXO47" s="225"/>
      <c r="IXP47" s="225"/>
      <c r="IXQ47" s="225"/>
      <c r="IXR47" s="225"/>
      <c r="IXS47" s="225"/>
      <c r="IXT47" s="225"/>
      <c r="IXU47" s="225"/>
      <c r="IXV47" s="225"/>
      <c r="IXW47" s="225"/>
      <c r="IXX47" s="225"/>
      <c r="IXY47" s="225"/>
      <c r="IXZ47" s="225"/>
      <c r="IYA47" s="225"/>
      <c r="IYB47" s="225"/>
      <c r="IYC47" s="225"/>
      <c r="IYD47" s="225"/>
      <c r="IYE47" s="225"/>
      <c r="IYF47" s="225"/>
      <c r="IYG47" s="225"/>
      <c r="IYH47" s="225"/>
      <c r="IYI47" s="225"/>
      <c r="IYJ47" s="225"/>
      <c r="IYK47" s="225"/>
      <c r="IYL47" s="225"/>
      <c r="IYM47" s="225"/>
      <c r="IYN47" s="225"/>
      <c r="IYO47" s="225"/>
      <c r="IYP47" s="225"/>
      <c r="IYQ47" s="225"/>
      <c r="IYR47" s="225"/>
      <c r="IYS47" s="225"/>
      <c r="IYT47" s="225"/>
      <c r="IYU47" s="225"/>
      <c r="IYV47" s="225"/>
      <c r="IYW47" s="225"/>
      <c r="IYX47" s="225"/>
      <c r="IYY47" s="225"/>
      <c r="IYZ47" s="225"/>
      <c r="IZA47" s="225"/>
      <c r="IZB47" s="225"/>
      <c r="IZC47" s="225"/>
      <c r="IZD47" s="225"/>
      <c r="IZE47" s="225"/>
      <c r="IZF47" s="225"/>
      <c r="IZG47" s="225"/>
      <c r="IZH47" s="225"/>
      <c r="IZI47" s="225"/>
      <c r="IZJ47" s="225"/>
      <c r="IZK47" s="225"/>
      <c r="IZL47" s="225"/>
      <c r="IZM47" s="225"/>
      <c r="IZN47" s="225"/>
      <c r="IZO47" s="225"/>
      <c r="IZP47" s="225"/>
      <c r="IZQ47" s="225"/>
      <c r="IZR47" s="225"/>
      <c r="IZS47" s="225"/>
      <c r="IZT47" s="225"/>
      <c r="IZU47" s="225"/>
      <c r="IZV47" s="225"/>
      <c r="IZW47" s="225"/>
      <c r="IZX47" s="225"/>
      <c r="IZY47" s="225"/>
      <c r="IZZ47" s="225"/>
      <c r="JAA47" s="225"/>
      <c r="JAB47" s="225"/>
      <c r="JAC47" s="225"/>
      <c r="JAD47" s="225"/>
      <c r="JAE47" s="225"/>
      <c r="JAF47" s="225"/>
      <c r="JAG47" s="225"/>
      <c r="JAH47" s="225"/>
      <c r="JAI47" s="225"/>
      <c r="JAJ47" s="225"/>
      <c r="JAK47" s="225"/>
      <c r="JAL47" s="225"/>
      <c r="JAM47" s="225"/>
      <c r="JAN47" s="225"/>
      <c r="JAO47" s="225"/>
      <c r="JAP47" s="225"/>
      <c r="JAQ47" s="225"/>
      <c r="JAR47" s="225"/>
      <c r="JAS47" s="225"/>
      <c r="JAT47" s="225"/>
      <c r="JAU47" s="225"/>
      <c r="JAV47" s="225"/>
      <c r="JAW47" s="225"/>
      <c r="JAX47" s="225"/>
      <c r="JAY47" s="225"/>
      <c r="JAZ47" s="225"/>
      <c r="JBA47" s="225"/>
      <c r="JBB47" s="225"/>
      <c r="JBC47" s="225"/>
      <c r="JBD47" s="225"/>
      <c r="JBE47" s="225"/>
      <c r="JBF47" s="225"/>
      <c r="JBG47" s="225"/>
      <c r="JBH47" s="225"/>
      <c r="JBI47" s="225"/>
      <c r="JBJ47" s="225"/>
      <c r="JBK47" s="225"/>
      <c r="JBL47" s="225"/>
      <c r="JBM47" s="225"/>
      <c r="JBN47" s="225"/>
      <c r="JBO47" s="225"/>
      <c r="JBP47" s="225"/>
      <c r="JBQ47" s="225"/>
      <c r="JBR47" s="225"/>
      <c r="JBS47" s="225"/>
      <c r="JBT47" s="225"/>
      <c r="JBU47" s="225"/>
      <c r="JBV47" s="225"/>
      <c r="JBW47" s="225"/>
      <c r="JBX47" s="225"/>
      <c r="JBY47" s="225"/>
      <c r="JBZ47" s="225"/>
      <c r="JCA47" s="225"/>
      <c r="JCB47" s="225"/>
      <c r="JCC47" s="225"/>
      <c r="JCD47" s="225"/>
      <c r="JCE47" s="225"/>
      <c r="JCF47" s="225"/>
      <c r="JCG47" s="225"/>
      <c r="JCH47" s="225"/>
      <c r="JCI47" s="225"/>
      <c r="JCJ47" s="225"/>
      <c r="JCK47" s="225"/>
      <c r="JCL47" s="225"/>
      <c r="JCM47" s="225"/>
      <c r="JCN47" s="225"/>
      <c r="JCO47" s="225"/>
      <c r="JCP47" s="225"/>
      <c r="JCQ47" s="225"/>
      <c r="JCR47" s="225"/>
      <c r="JCS47" s="225"/>
      <c r="JCT47" s="225"/>
      <c r="JCU47" s="225"/>
      <c r="JCV47" s="225"/>
      <c r="JCW47" s="225"/>
      <c r="JCX47" s="225"/>
      <c r="JCY47" s="225"/>
      <c r="JCZ47" s="225"/>
      <c r="JDA47" s="225"/>
      <c r="JDB47" s="225"/>
      <c r="JDC47" s="225"/>
      <c r="JDD47" s="225"/>
      <c r="JDE47" s="225"/>
      <c r="JDF47" s="225"/>
      <c r="JDG47" s="225"/>
      <c r="JDH47" s="225"/>
      <c r="JDI47" s="225"/>
      <c r="JDJ47" s="225"/>
      <c r="JDK47" s="225"/>
      <c r="JDL47" s="225"/>
      <c r="JDM47" s="225"/>
      <c r="JDN47" s="225"/>
      <c r="JDO47" s="225"/>
      <c r="JDP47" s="225"/>
      <c r="JDQ47" s="225"/>
      <c r="JDR47" s="225"/>
      <c r="JDS47" s="225"/>
      <c r="JDT47" s="225"/>
      <c r="JDU47" s="225"/>
      <c r="JDV47" s="225"/>
      <c r="JDW47" s="225"/>
      <c r="JDX47" s="225"/>
      <c r="JDY47" s="225"/>
      <c r="JDZ47" s="225"/>
      <c r="JEA47" s="225"/>
      <c r="JEB47" s="225"/>
      <c r="JEC47" s="225"/>
      <c r="JED47" s="225"/>
      <c r="JEE47" s="225"/>
      <c r="JEF47" s="225"/>
      <c r="JEG47" s="225"/>
      <c r="JEH47" s="225"/>
      <c r="JEI47" s="225"/>
      <c r="JEJ47" s="225"/>
      <c r="JEK47" s="225"/>
      <c r="JEL47" s="225"/>
      <c r="JEM47" s="225"/>
      <c r="JEN47" s="225"/>
      <c r="JEO47" s="225"/>
      <c r="JEP47" s="225"/>
      <c r="JEQ47" s="225"/>
      <c r="JER47" s="225"/>
      <c r="JES47" s="225"/>
      <c r="JET47" s="225"/>
      <c r="JEU47" s="225"/>
      <c r="JEV47" s="225"/>
      <c r="JEW47" s="225"/>
      <c r="JEX47" s="225"/>
      <c r="JEY47" s="225"/>
      <c r="JEZ47" s="225"/>
      <c r="JFA47" s="225"/>
      <c r="JFB47" s="225"/>
      <c r="JFC47" s="225"/>
      <c r="JFD47" s="225"/>
      <c r="JFE47" s="225"/>
      <c r="JFF47" s="225"/>
      <c r="JFG47" s="225"/>
      <c r="JFH47" s="225"/>
      <c r="JFI47" s="225"/>
      <c r="JFJ47" s="225"/>
      <c r="JFK47" s="225"/>
      <c r="JFL47" s="225"/>
      <c r="JFM47" s="225"/>
      <c r="JFN47" s="225"/>
      <c r="JFO47" s="225"/>
      <c r="JFP47" s="225"/>
      <c r="JFQ47" s="225"/>
      <c r="JFR47" s="225"/>
      <c r="JFS47" s="225"/>
      <c r="JFT47" s="225"/>
      <c r="JFU47" s="225"/>
      <c r="JFV47" s="225"/>
      <c r="JFW47" s="225"/>
      <c r="JFX47" s="225"/>
      <c r="JFY47" s="225"/>
      <c r="JFZ47" s="225"/>
      <c r="JGA47" s="225"/>
      <c r="JGB47" s="225"/>
      <c r="JGC47" s="225"/>
      <c r="JGD47" s="225"/>
      <c r="JGE47" s="225"/>
      <c r="JGF47" s="225"/>
      <c r="JGG47" s="225"/>
      <c r="JGH47" s="225"/>
      <c r="JGI47" s="225"/>
      <c r="JGJ47" s="225"/>
      <c r="JGK47" s="225"/>
      <c r="JGL47" s="225"/>
      <c r="JGM47" s="225"/>
      <c r="JGN47" s="225"/>
      <c r="JGO47" s="225"/>
      <c r="JGP47" s="225"/>
      <c r="JGQ47" s="225"/>
      <c r="JGR47" s="225"/>
      <c r="JGS47" s="225"/>
      <c r="JGT47" s="225"/>
      <c r="JGU47" s="225"/>
      <c r="JGV47" s="225"/>
      <c r="JGW47" s="225"/>
      <c r="JGX47" s="225"/>
      <c r="JGY47" s="225"/>
      <c r="JGZ47" s="225"/>
      <c r="JHA47" s="225"/>
      <c r="JHB47" s="225"/>
      <c r="JHC47" s="225"/>
      <c r="JHD47" s="225"/>
      <c r="JHE47" s="225"/>
      <c r="JHF47" s="225"/>
      <c r="JHG47" s="225"/>
      <c r="JHH47" s="225"/>
      <c r="JHI47" s="225"/>
      <c r="JHJ47" s="225"/>
      <c r="JHK47" s="225"/>
      <c r="JHL47" s="225"/>
      <c r="JHM47" s="225"/>
      <c r="JHN47" s="225"/>
      <c r="JHO47" s="225"/>
      <c r="JHP47" s="225"/>
      <c r="JHQ47" s="225"/>
      <c r="JHR47" s="225"/>
      <c r="JHS47" s="225"/>
      <c r="JHT47" s="225"/>
      <c r="JHU47" s="225"/>
      <c r="JHV47" s="225"/>
      <c r="JHW47" s="225"/>
      <c r="JHX47" s="225"/>
      <c r="JHY47" s="225"/>
      <c r="JHZ47" s="225"/>
      <c r="JIA47" s="225"/>
      <c r="JIB47" s="225"/>
      <c r="JIC47" s="225"/>
      <c r="JID47" s="225"/>
      <c r="JIE47" s="225"/>
      <c r="JIF47" s="225"/>
      <c r="JIG47" s="225"/>
      <c r="JIH47" s="225"/>
      <c r="JII47" s="225"/>
      <c r="JIJ47" s="225"/>
      <c r="JIK47" s="225"/>
      <c r="JIL47" s="225"/>
      <c r="JIM47" s="225"/>
      <c r="JIN47" s="225"/>
      <c r="JIO47" s="225"/>
      <c r="JIP47" s="225"/>
      <c r="JIQ47" s="225"/>
      <c r="JIR47" s="225"/>
      <c r="JIS47" s="225"/>
      <c r="JIT47" s="225"/>
      <c r="JIU47" s="225"/>
      <c r="JIV47" s="225"/>
      <c r="JIW47" s="225"/>
      <c r="JIX47" s="225"/>
      <c r="JIY47" s="225"/>
      <c r="JIZ47" s="225"/>
      <c r="JJA47" s="225"/>
      <c r="JJB47" s="225"/>
      <c r="JJC47" s="225"/>
      <c r="JJD47" s="225"/>
      <c r="JJE47" s="225"/>
      <c r="JJF47" s="225"/>
      <c r="JJG47" s="225"/>
      <c r="JJH47" s="225"/>
      <c r="JJI47" s="225"/>
      <c r="JJJ47" s="225"/>
      <c r="JJK47" s="225"/>
      <c r="JJL47" s="225"/>
      <c r="JJM47" s="225"/>
      <c r="JJN47" s="225"/>
      <c r="JJO47" s="225"/>
      <c r="JJP47" s="225"/>
      <c r="JJQ47" s="225"/>
      <c r="JJR47" s="225"/>
      <c r="JJS47" s="225"/>
      <c r="JJT47" s="225"/>
      <c r="JJU47" s="225"/>
      <c r="JJV47" s="225"/>
      <c r="JJW47" s="225"/>
      <c r="JJX47" s="225"/>
      <c r="JJY47" s="225"/>
      <c r="JJZ47" s="225"/>
      <c r="JKA47" s="225"/>
      <c r="JKB47" s="225"/>
      <c r="JKC47" s="225"/>
      <c r="JKD47" s="225"/>
      <c r="JKE47" s="225"/>
      <c r="JKF47" s="225"/>
      <c r="JKG47" s="225"/>
      <c r="JKH47" s="225"/>
      <c r="JKI47" s="225"/>
      <c r="JKJ47" s="225"/>
      <c r="JKK47" s="225"/>
      <c r="JKL47" s="225"/>
      <c r="JKM47" s="225"/>
      <c r="JKN47" s="225"/>
      <c r="JKO47" s="225"/>
      <c r="JKP47" s="225"/>
      <c r="JKQ47" s="225"/>
      <c r="JKR47" s="225"/>
      <c r="JKS47" s="225"/>
      <c r="JKT47" s="225"/>
      <c r="JKU47" s="225"/>
      <c r="JKV47" s="225"/>
      <c r="JKW47" s="225"/>
      <c r="JKX47" s="225"/>
      <c r="JKY47" s="225"/>
      <c r="JKZ47" s="225"/>
      <c r="JLA47" s="225"/>
      <c r="JLB47" s="225"/>
      <c r="JLC47" s="225"/>
      <c r="JLD47" s="225"/>
      <c r="JLE47" s="225"/>
      <c r="JLF47" s="225"/>
      <c r="JLG47" s="225"/>
      <c r="JLH47" s="225"/>
      <c r="JLI47" s="225"/>
      <c r="JLJ47" s="225"/>
      <c r="JLK47" s="225"/>
      <c r="JLL47" s="225"/>
      <c r="JLM47" s="225"/>
      <c r="JLN47" s="225"/>
      <c r="JLO47" s="225"/>
      <c r="JLP47" s="225"/>
      <c r="JLQ47" s="225"/>
      <c r="JLR47" s="225"/>
      <c r="JLS47" s="225"/>
      <c r="JLT47" s="225"/>
      <c r="JLU47" s="225"/>
      <c r="JLV47" s="225"/>
      <c r="JLW47" s="225"/>
      <c r="JLX47" s="225"/>
      <c r="JLY47" s="225"/>
      <c r="JLZ47" s="225"/>
      <c r="JMA47" s="225"/>
      <c r="JMB47" s="225"/>
      <c r="JMC47" s="225"/>
      <c r="JMD47" s="225"/>
      <c r="JME47" s="225"/>
      <c r="JMF47" s="225"/>
      <c r="JMG47" s="225"/>
      <c r="JMH47" s="225"/>
      <c r="JMI47" s="225"/>
      <c r="JMJ47" s="225"/>
      <c r="JMK47" s="225"/>
      <c r="JML47" s="225"/>
      <c r="JMM47" s="225"/>
      <c r="JMN47" s="225"/>
      <c r="JMO47" s="225"/>
      <c r="JMP47" s="225"/>
      <c r="JMQ47" s="225"/>
      <c r="JMR47" s="225"/>
      <c r="JMS47" s="225"/>
      <c r="JMT47" s="225"/>
      <c r="JMU47" s="225"/>
      <c r="JMV47" s="225"/>
      <c r="JMW47" s="225"/>
      <c r="JMX47" s="225"/>
      <c r="JMY47" s="225"/>
      <c r="JMZ47" s="225"/>
      <c r="JNA47" s="225"/>
      <c r="JNB47" s="225"/>
      <c r="JNC47" s="225"/>
      <c r="JND47" s="225"/>
      <c r="JNE47" s="225"/>
      <c r="JNF47" s="225"/>
      <c r="JNG47" s="225"/>
      <c r="JNH47" s="225"/>
      <c r="JNI47" s="225"/>
      <c r="JNJ47" s="225"/>
      <c r="JNK47" s="225"/>
      <c r="JNL47" s="225"/>
      <c r="JNM47" s="225"/>
      <c r="JNN47" s="225"/>
      <c r="JNO47" s="225"/>
      <c r="JNP47" s="225"/>
      <c r="JNQ47" s="225"/>
      <c r="JNR47" s="225"/>
      <c r="JNS47" s="225"/>
      <c r="JNT47" s="225"/>
      <c r="JNU47" s="225"/>
      <c r="JNV47" s="225"/>
      <c r="JNW47" s="225"/>
      <c r="JNX47" s="225"/>
      <c r="JNY47" s="225"/>
      <c r="JNZ47" s="225"/>
      <c r="JOA47" s="225"/>
      <c r="JOB47" s="225"/>
      <c r="JOC47" s="225"/>
      <c r="JOD47" s="225"/>
      <c r="JOE47" s="225"/>
      <c r="JOF47" s="225"/>
      <c r="JOG47" s="225"/>
      <c r="JOH47" s="225"/>
      <c r="JOI47" s="225"/>
      <c r="JOJ47" s="225"/>
      <c r="JOK47" s="225"/>
      <c r="JOL47" s="225"/>
      <c r="JOM47" s="225"/>
      <c r="JON47" s="225"/>
      <c r="JOO47" s="225"/>
      <c r="JOP47" s="225"/>
      <c r="JOQ47" s="225"/>
      <c r="JOR47" s="225"/>
      <c r="JOS47" s="225"/>
      <c r="JOT47" s="225"/>
      <c r="JOU47" s="225"/>
      <c r="JOV47" s="225"/>
      <c r="JOW47" s="225"/>
      <c r="JOX47" s="225"/>
      <c r="JOY47" s="225"/>
      <c r="JOZ47" s="225"/>
      <c r="JPA47" s="225"/>
      <c r="JPB47" s="225"/>
      <c r="JPC47" s="225"/>
      <c r="JPD47" s="225"/>
      <c r="JPE47" s="225"/>
      <c r="JPF47" s="225"/>
      <c r="JPG47" s="225"/>
      <c r="JPH47" s="225"/>
      <c r="JPI47" s="225"/>
      <c r="JPJ47" s="225"/>
      <c r="JPK47" s="225"/>
      <c r="JPL47" s="225"/>
      <c r="JPM47" s="225"/>
      <c r="JPN47" s="225"/>
      <c r="JPO47" s="225"/>
      <c r="JPP47" s="225"/>
      <c r="JPQ47" s="225"/>
      <c r="JPR47" s="225"/>
      <c r="JPS47" s="225"/>
      <c r="JPT47" s="225"/>
      <c r="JPU47" s="225"/>
      <c r="JPV47" s="225"/>
      <c r="JPW47" s="225"/>
      <c r="JPX47" s="225"/>
      <c r="JPY47" s="225"/>
      <c r="JPZ47" s="225"/>
      <c r="JQA47" s="225"/>
      <c r="JQB47" s="225"/>
      <c r="JQC47" s="225"/>
      <c r="JQD47" s="225"/>
      <c r="JQE47" s="225"/>
      <c r="JQF47" s="225"/>
      <c r="JQG47" s="225"/>
      <c r="JQH47" s="225"/>
      <c r="JQI47" s="225"/>
      <c r="JQJ47" s="225"/>
      <c r="JQK47" s="225"/>
      <c r="JQL47" s="225"/>
      <c r="JQM47" s="225"/>
      <c r="JQN47" s="225"/>
      <c r="JQO47" s="225"/>
      <c r="JQP47" s="225"/>
      <c r="JQQ47" s="225"/>
      <c r="JQR47" s="225"/>
      <c r="JQS47" s="225"/>
      <c r="JQT47" s="225"/>
      <c r="JQU47" s="225"/>
      <c r="JQV47" s="225"/>
      <c r="JQW47" s="225"/>
      <c r="JQX47" s="225"/>
      <c r="JQY47" s="225"/>
      <c r="JQZ47" s="225"/>
      <c r="JRA47" s="225"/>
      <c r="JRB47" s="225"/>
      <c r="JRC47" s="225"/>
      <c r="JRD47" s="225"/>
      <c r="JRE47" s="225"/>
      <c r="JRF47" s="225"/>
      <c r="JRG47" s="225"/>
      <c r="JRH47" s="225"/>
      <c r="JRI47" s="225"/>
      <c r="JRJ47" s="225"/>
      <c r="JRK47" s="225"/>
      <c r="JRL47" s="225"/>
      <c r="JRM47" s="225"/>
      <c r="JRN47" s="225"/>
      <c r="JRO47" s="225"/>
      <c r="JRP47" s="225"/>
      <c r="JRQ47" s="225"/>
      <c r="JRR47" s="225"/>
      <c r="JRS47" s="225"/>
      <c r="JRT47" s="225"/>
      <c r="JRU47" s="225"/>
      <c r="JRV47" s="225"/>
      <c r="JRW47" s="225"/>
      <c r="JRX47" s="225"/>
      <c r="JRY47" s="225"/>
      <c r="JRZ47" s="225"/>
      <c r="JSA47" s="225"/>
      <c r="JSB47" s="225"/>
      <c r="JSC47" s="225"/>
      <c r="JSD47" s="225"/>
      <c r="JSE47" s="225"/>
      <c r="JSF47" s="225"/>
      <c r="JSG47" s="225"/>
      <c r="JSH47" s="225"/>
      <c r="JSI47" s="225"/>
      <c r="JSJ47" s="225"/>
      <c r="JSK47" s="225"/>
      <c r="JSL47" s="225"/>
      <c r="JSM47" s="225"/>
      <c r="JSN47" s="225"/>
      <c r="JSO47" s="225"/>
      <c r="JSP47" s="225"/>
      <c r="JSQ47" s="225"/>
      <c r="JSR47" s="225"/>
      <c r="JSS47" s="225"/>
      <c r="JST47" s="225"/>
      <c r="JSU47" s="225"/>
      <c r="JSV47" s="225"/>
      <c r="JSW47" s="225"/>
      <c r="JSX47" s="225"/>
      <c r="JSY47" s="225"/>
      <c r="JSZ47" s="225"/>
      <c r="JTA47" s="225"/>
      <c r="JTB47" s="225"/>
      <c r="JTC47" s="225"/>
      <c r="JTD47" s="225"/>
      <c r="JTE47" s="225"/>
      <c r="JTF47" s="225"/>
      <c r="JTG47" s="225"/>
      <c r="JTH47" s="225"/>
      <c r="JTI47" s="225"/>
      <c r="JTJ47" s="225"/>
      <c r="JTK47" s="225"/>
      <c r="JTL47" s="225"/>
      <c r="JTM47" s="225"/>
      <c r="JTN47" s="225"/>
      <c r="JTO47" s="225"/>
      <c r="JTP47" s="225"/>
      <c r="JTQ47" s="225"/>
      <c r="JTR47" s="225"/>
      <c r="JTS47" s="225"/>
      <c r="JTT47" s="225"/>
      <c r="JTU47" s="225"/>
      <c r="JTV47" s="225"/>
      <c r="JTW47" s="225"/>
      <c r="JTX47" s="225"/>
      <c r="JTY47" s="225"/>
      <c r="JTZ47" s="225"/>
      <c r="JUA47" s="225"/>
      <c r="JUB47" s="225"/>
      <c r="JUC47" s="225"/>
      <c r="JUD47" s="225"/>
      <c r="JUE47" s="225"/>
      <c r="JUF47" s="225"/>
      <c r="JUG47" s="225"/>
      <c r="JUH47" s="225"/>
      <c r="JUI47" s="225"/>
      <c r="JUJ47" s="225"/>
      <c r="JUK47" s="225"/>
      <c r="JUL47" s="225"/>
      <c r="JUM47" s="225"/>
      <c r="JUN47" s="225"/>
      <c r="JUO47" s="225"/>
      <c r="JUP47" s="225"/>
      <c r="JUQ47" s="225"/>
      <c r="JUR47" s="225"/>
      <c r="JUS47" s="225"/>
      <c r="JUT47" s="225"/>
      <c r="JUU47" s="225"/>
      <c r="JUV47" s="225"/>
      <c r="JUW47" s="225"/>
      <c r="JUX47" s="225"/>
      <c r="JUY47" s="225"/>
      <c r="JUZ47" s="225"/>
      <c r="JVA47" s="225"/>
      <c r="JVB47" s="225"/>
      <c r="JVC47" s="225"/>
      <c r="JVD47" s="225"/>
      <c r="JVE47" s="225"/>
      <c r="JVF47" s="225"/>
      <c r="JVG47" s="225"/>
      <c r="JVH47" s="225"/>
      <c r="JVI47" s="225"/>
      <c r="JVJ47" s="225"/>
      <c r="JVK47" s="225"/>
      <c r="JVL47" s="225"/>
      <c r="JVM47" s="225"/>
      <c r="JVN47" s="225"/>
      <c r="JVO47" s="225"/>
      <c r="JVP47" s="225"/>
      <c r="JVQ47" s="225"/>
      <c r="JVR47" s="225"/>
      <c r="JVS47" s="225"/>
      <c r="JVT47" s="225"/>
      <c r="JVU47" s="225"/>
      <c r="JVV47" s="225"/>
      <c r="JVW47" s="225"/>
      <c r="JVX47" s="225"/>
      <c r="JVY47" s="225"/>
      <c r="JVZ47" s="225"/>
      <c r="JWA47" s="225"/>
      <c r="JWB47" s="225"/>
      <c r="JWC47" s="225"/>
      <c r="JWD47" s="225"/>
      <c r="JWE47" s="225"/>
      <c r="JWF47" s="225"/>
      <c r="JWG47" s="225"/>
      <c r="JWH47" s="225"/>
      <c r="JWI47" s="225"/>
      <c r="JWJ47" s="225"/>
      <c r="JWK47" s="225"/>
      <c r="JWL47" s="225"/>
      <c r="JWM47" s="225"/>
      <c r="JWN47" s="225"/>
      <c r="JWO47" s="225"/>
      <c r="JWP47" s="225"/>
      <c r="JWQ47" s="225"/>
      <c r="JWR47" s="225"/>
      <c r="JWS47" s="225"/>
      <c r="JWT47" s="225"/>
      <c r="JWU47" s="225"/>
      <c r="JWV47" s="225"/>
      <c r="JWW47" s="225"/>
      <c r="JWX47" s="225"/>
      <c r="JWY47" s="225"/>
      <c r="JWZ47" s="225"/>
      <c r="JXA47" s="225"/>
      <c r="JXB47" s="225"/>
      <c r="JXC47" s="225"/>
      <c r="JXD47" s="225"/>
      <c r="JXE47" s="225"/>
      <c r="JXF47" s="225"/>
      <c r="JXG47" s="225"/>
      <c r="JXH47" s="225"/>
      <c r="JXI47" s="225"/>
      <c r="JXJ47" s="225"/>
      <c r="JXK47" s="225"/>
      <c r="JXL47" s="225"/>
      <c r="JXM47" s="225"/>
      <c r="JXN47" s="225"/>
      <c r="JXO47" s="225"/>
      <c r="JXP47" s="225"/>
      <c r="JXQ47" s="225"/>
      <c r="JXR47" s="225"/>
      <c r="JXS47" s="225"/>
      <c r="JXT47" s="225"/>
      <c r="JXU47" s="225"/>
      <c r="JXV47" s="225"/>
      <c r="JXW47" s="225"/>
      <c r="JXX47" s="225"/>
      <c r="JXY47" s="225"/>
      <c r="JXZ47" s="225"/>
      <c r="JYA47" s="225"/>
      <c r="JYB47" s="225"/>
      <c r="JYC47" s="225"/>
      <c r="JYD47" s="225"/>
      <c r="JYE47" s="225"/>
      <c r="JYF47" s="225"/>
      <c r="JYG47" s="225"/>
      <c r="JYH47" s="225"/>
      <c r="JYI47" s="225"/>
      <c r="JYJ47" s="225"/>
      <c r="JYK47" s="225"/>
      <c r="JYL47" s="225"/>
      <c r="JYM47" s="225"/>
      <c r="JYN47" s="225"/>
      <c r="JYO47" s="225"/>
      <c r="JYP47" s="225"/>
      <c r="JYQ47" s="225"/>
      <c r="JYR47" s="225"/>
      <c r="JYS47" s="225"/>
      <c r="JYT47" s="225"/>
      <c r="JYU47" s="225"/>
      <c r="JYV47" s="225"/>
      <c r="JYW47" s="225"/>
      <c r="JYX47" s="225"/>
      <c r="JYY47" s="225"/>
      <c r="JYZ47" s="225"/>
      <c r="JZA47" s="225"/>
      <c r="JZB47" s="225"/>
      <c r="JZC47" s="225"/>
      <c r="JZD47" s="225"/>
      <c r="JZE47" s="225"/>
      <c r="JZF47" s="225"/>
      <c r="JZG47" s="225"/>
      <c r="JZH47" s="225"/>
      <c r="JZI47" s="225"/>
      <c r="JZJ47" s="225"/>
      <c r="JZK47" s="225"/>
      <c r="JZL47" s="225"/>
      <c r="JZM47" s="225"/>
      <c r="JZN47" s="225"/>
      <c r="JZO47" s="225"/>
      <c r="JZP47" s="225"/>
      <c r="JZQ47" s="225"/>
      <c r="JZR47" s="225"/>
      <c r="JZS47" s="225"/>
      <c r="JZT47" s="225"/>
      <c r="JZU47" s="225"/>
      <c r="JZV47" s="225"/>
      <c r="JZW47" s="225"/>
      <c r="JZX47" s="225"/>
      <c r="JZY47" s="225"/>
      <c r="JZZ47" s="225"/>
      <c r="KAA47" s="225"/>
      <c r="KAB47" s="225"/>
      <c r="KAC47" s="225"/>
      <c r="KAD47" s="225"/>
      <c r="KAE47" s="225"/>
      <c r="KAF47" s="225"/>
      <c r="KAG47" s="225"/>
      <c r="KAH47" s="225"/>
      <c r="KAI47" s="225"/>
      <c r="KAJ47" s="225"/>
      <c r="KAK47" s="225"/>
      <c r="KAL47" s="225"/>
      <c r="KAM47" s="225"/>
      <c r="KAN47" s="225"/>
      <c r="KAO47" s="225"/>
      <c r="KAP47" s="225"/>
      <c r="KAQ47" s="225"/>
      <c r="KAR47" s="225"/>
      <c r="KAS47" s="225"/>
      <c r="KAT47" s="225"/>
      <c r="KAU47" s="225"/>
      <c r="KAV47" s="225"/>
      <c r="KAW47" s="225"/>
      <c r="KAX47" s="225"/>
      <c r="KAY47" s="225"/>
      <c r="KAZ47" s="225"/>
      <c r="KBA47" s="225"/>
      <c r="KBB47" s="225"/>
      <c r="KBC47" s="225"/>
      <c r="KBD47" s="225"/>
      <c r="KBE47" s="225"/>
      <c r="KBF47" s="225"/>
      <c r="KBG47" s="225"/>
      <c r="KBH47" s="225"/>
      <c r="KBI47" s="225"/>
      <c r="KBJ47" s="225"/>
      <c r="KBK47" s="225"/>
      <c r="KBL47" s="225"/>
      <c r="KBM47" s="225"/>
      <c r="KBN47" s="225"/>
      <c r="KBO47" s="225"/>
      <c r="KBP47" s="225"/>
      <c r="KBQ47" s="225"/>
      <c r="KBR47" s="225"/>
      <c r="KBS47" s="225"/>
      <c r="KBT47" s="225"/>
      <c r="KBU47" s="225"/>
      <c r="KBV47" s="225"/>
      <c r="KBW47" s="225"/>
      <c r="KBX47" s="225"/>
      <c r="KBY47" s="225"/>
      <c r="KBZ47" s="225"/>
      <c r="KCA47" s="225"/>
      <c r="KCB47" s="225"/>
      <c r="KCC47" s="225"/>
      <c r="KCD47" s="225"/>
      <c r="KCE47" s="225"/>
      <c r="KCF47" s="225"/>
      <c r="KCG47" s="225"/>
      <c r="KCH47" s="225"/>
      <c r="KCI47" s="225"/>
      <c r="KCJ47" s="225"/>
      <c r="KCK47" s="225"/>
      <c r="KCL47" s="225"/>
      <c r="KCM47" s="225"/>
      <c r="KCN47" s="225"/>
      <c r="KCO47" s="225"/>
      <c r="KCP47" s="225"/>
      <c r="KCQ47" s="225"/>
      <c r="KCR47" s="225"/>
      <c r="KCS47" s="225"/>
      <c r="KCT47" s="225"/>
      <c r="KCU47" s="225"/>
      <c r="KCV47" s="225"/>
      <c r="KCW47" s="225"/>
      <c r="KCX47" s="225"/>
      <c r="KCY47" s="225"/>
      <c r="KCZ47" s="225"/>
      <c r="KDA47" s="225"/>
      <c r="KDB47" s="225"/>
      <c r="KDC47" s="225"/>
      <c r="KDD47" s="225"/>
      <c r="KDE47" s="225"/>
      <c r="KDF47" s="225"/>
      <c r="KDG47" s="225"/>
      <c r="KDH47" s="225"/>
      <c r="KDI47" s="225"/>
      <c r="KDJ47" s="225"/>
      <c r="KDK47" s="225"/>
      <c r="KDL47" s="225"/>
      <c r="KDM47" s="225"/>
      <c r="KDN47" s="225"/>
      <c r="KDO47" s="225"/>
      <c r="KDP47" s="225"/>
      <c r="KDQ47" s="225"/>
      <c r="KDR47" s="225"/>
      <c r="KDS47" s="225"/>
      <c r="KDT47" s="225"/>
      <c r="KDU47" s="225"/>
      <c r="KDV47" s="225"/>
      <c r="KDW47" s="225"/>
      <c r="KDX47" s="225"/>
      <c r="KDY47" s="225"/>
      <c r="KDZ47" s="225"/>
      <c r="KEA47" s="225"/>
      <c r="KEB47" s="225"/>
      <c r="KEC47" s="225"/>
      <c r="KED47" s="225"/>
      <c r="KEE47" s="225"/>
      <c r="KEF47" s="225"/>
      <c r="KEG47" s="225"/>
      <c r="KEH47" s="225"/>
      <c r="KEI47" s="225"/>
      <c r="KEJ47" s="225"/>
      <c r="KEK47" s="225"/>
      <c r="KEL47" s="225"/>
      <c r="KEM47" s="225"/>
      <c r="KEN47" s="225"/>
      <c r="KEO47" s="225"/>
      <c r="KEP47" s="225"/>
      <c r="KEQ47" s="225"/>
      <c r="KER47" s="225"/>
      <c r="KES47" s="225"/>
      <c r="KET47" s="225"/>
      <c r="KEU47" s="225"/>
      <c r="KEV47" s="225"/>
      <c r="KEW47" s="225"/>
      <c r="KEX47" s="225"/>
      <c r="KEY47" s="225"/>
      <c r="KEZ47" s="225"/>
      <c r="KFA47" s="225"/>
      <c r="KFB47" s="225"/>
      <c r="KFC47" s="225"/>
      <c r="KFD47" s="225"/>
      <c r="KFE47" s="225"/>
      <c r="KFF47" s="225"/>
      <c r="KFG47" s="225"/>
      <c r="KFH47" s="225"/>
      <c r="KFI47" s="225"/>
      <c r="KFJ47" s="225"/>
      <c r="KFK47" s="225"/>
      <c r="KFL47" s="225"/>
      <c r="KFM47" s="225"/>
      <c r="KFN47" s="225"/>
      <c r="KFO47" s="225"/>
      <c r="KFP47" s="225"/>
      <c r="KFQ47" s="225"/>
      <c r="KFR47" s="225"/>
      <c r="KFS47" s="225"/>
      <c r="KFT47" s="225"/>
      <c r="KFU47" s="225"/>
      <c r="KFV47" s="225"/>
      <c r="KFW47" s="225"/>
      <c r="KFX47" s="225"/>
      <c r="KFY47" s="225"/>
      <c r="KFZ47" s="225"/>
      <c r="KGA47" s="225"/>
      <c r="KGB47" s="225"/>
      <c r="KGC47" s="225"/>
      <c r="KGD47" s="225"/>
      <c r="KGE47" s="225"/>
      <c r="KGF47" s="225"/>
      <c r="KGG47" s="225"/>
      <c r="KGH47" s="225"/>
      <c r="KGI47" s="225"/>
      <c r="KGJ47" s="225"/>
      <c r="KGK47" s="225"/>
      <c r="KGL47" s="225"/>
      <c r="KGM47" s="225"/>
      <c r="KGN47" s="225"/>
      <c r="KGO47" s="225"/>
      <c r="KGP47" s="225"/>
      <c r="KGQ47" s="225"/>
      <c r="KGR47" s="225"/>
      <c r="KGS47" s="225"/>
      <c r="KGT47" s="225"/>
      <c r="KGU47" s="225"/>
      <c r="KGV47" s="225"/>
      <c r="KGW47" s="225"/>
      <c r="KGX47" s="225"/>
      <c r="KGY47" s="225"/>
      <c r="KGZ47" s="225"/>
      <c r="KHA47" s="225"/>
      <c r="KHB47" s="225"/>
      <c r="KHC47" s="225"/>
      <c r="KHD47" s="225"/>
      <c r="KHE47" s="225"/>
      <c r="KHF47" s="225"/>
      <c r="KHG47" s="225"/>
      <c r="KHH47" s="225"/>
      <c r="KHI47" s="225"/>
      <c r="KHJ47" s="225"/>
      <c r="KHK47" s="225"/>
      <c r="KHL47" s="225"/>
      <c r="KHM47" s="225"/>
      <c r="KHN47" s="225"/>
      <c r="KHO47" s="225"/>
      <c r="KHP47" s="225"/>
      <c r="KHQ47" s="225"/>
      <c r="KHR47" s="225"/>
      <c r="KHS47" s="225"/>
      <c r="KHT47" s="225"/>
      <c r="KHU47" s="225"/>
      <c r="KHV47" s="225"/>
      <c r="KHW47" s="225"/>
      <c r="KHX47" s="225"/>
      <c r="KHY47" s="225"/>
      <c r="KHZ47" s="225"/>
      <c r="KIA47" s="225"/>
      <c r="KIB47" s="225"/>
      <c r="KIC47" s="225"/>
      <c r="KID47" s="225"/>
      <c r="KIE47" s="225"/>
      <c r="KIF47" s="225"/>
      <c r="KIG47" s="225"/>
      <c r="KIH47" s="225"/>
      <c r="KII47" s="225"/>
      <c r="KIJ47" s="225"/>
      <c r="KIK47" s="225"/>
      <c r="KIL47" s="225"/>
      <c r="KIM47" s="225"/>
      <c r="KIN47" s="225"/>
      <c r="KIO47" s="225"/>
      <c r="KIP47" s="225"/>
      <c r="KIQ47" s="225"/>
      <c r="KIR47" s="225"/>
      <c r="KIS47" s="225"/>
      <c r="KIT47" s="225"/>
      <c r="KIU47" s="225"/>
      <c r="KIV47" s="225"/>
      <c r="KIW47" s="225"/>
      <c r="KIX47" s="225"/>
      <c r="KIY47" s="225"/>
      <c r="KIZ47" s="225"/>
      <c r="KJA47" s="225"/>
      <c r="KJB47" s="225"/>
      <c r="KJC47" s="225"/>
      <c r="KJD47" s="225"/>
      <c r="KJE47" s="225"/>
      <c r="KJF47" s="225"/>
      <c r="KJG47" s="225"/>
      <c r="KJH47" s="225"/>
      <c r="KJI47" s="225"/>
      <c r="KJJ47" s="225"/>
      <c r="KJK47" s="225"/>
      <c r="KJL47" s="225"/>
      <c r="KJM47" s="225"/>
      <c r="KJN47" s="225"/>
      <c r="KJO47" s="225"/>
      <c r="KJP47" s="225"/>
      <c r="KJQ47" s="225"/>
      <c r="KJR47" s="225"/>
      <c r="KJS47" s="225"/>
      <c r="KJT47" s="225"/>
      <c r="KJU47" s="225"/>
      <c r="KJV47" s="225"/>
      <c r="KJW47" s="225"/>
      <c r="KJX47" s="225"/>
      <c r="KJY47" s="225"/>
      <c r="KJZ47" s="225"/>
      <c r="KKA47" s="225"/>
      <c r="KKB47" s="225"/>
      <c r="KKC47" s="225"/>
      <c r="KKD47" s="225"/>
      <c r="KKE47" s="225"/>
      <c r="KKF47" s="225"/>
      <c r="KKG47" s="225"/>
      <c r="KKH47" s="225"/>
      <c r="KKI47" s="225"/>
      <c r="KKJ47" s="225"/>
      <c r="KKK47" s="225"/>
      <c r="KKL47" s="225"/>
      <c r="KKM47" s="225"/>
      <c r="KKN47" s="225"/>
      <c r="KKO47" s="225"/>
      <c r="KKP47" s="225"/>
      <c r="KKQ47" s="225"/>
      <c r="KKR47" s="225"/>
      <c r="KKS47" s="225"/>
      <c r="KKT47" s="225"/>
      <c r="KKU47" s="225"/>
      <c r="KKV47" s="225"/>
      <c r="KKW47" s="225"/>
      <c r="KKX47" s="225"/>
      <c r="KKY47" s="225"/>
      <c r="KKZ47" s="225"/>
      <c r="KLA47" s="225"/>
      <c r="KLB47" s="225"/>
      <c r="KLC47" s="225"/>
      <c r="KLD47" s="225"/>
      <c r="KLE47" s="225"/>
      <c r="KLF47" s="225"/>
      <c r="KLG47" s="225"/>
      <c r="KLH47" s="225"/>
      <c r="KLI47" s="225"/>
      <c r="KLJ47" s="225"/>
      <c r="KLK47" s="225"/>
      <c r="KLL47" s="225"/>
      <c r="KLM47" s="225"/>
      <c r="KLN47" s="225"/>
      <c r="KLO47" s="225"/>
      <c r="KLP47" s="225"/>
      <c r="KLQ47" s="225"/>
      <c r="KLR47" s="225"/>
      <c r="KLS47" s="225"/>
      <c r="KLT47" s="225"/>
      <c r="KLU47" s="225"/>
      <c r="KLV47" s="225"/>
      <c r="KLW47" s="225"/>
      <c r="KLX47" s="225"/>
      <c r="KLY47" s="225"/>
      <c r="KLZ47" s="225"/>
      <c r="KMA47" s="225"/>
      <c r="KMB47" s="225"/>
      <c r="KMC47" s="225"/>
      <c r="KMD47" s="225"/>
      <c r="KME47" s="225"/>
      <c r="KMF47" s="225"/>
      <c r="KMG47" s="225"/>
      <c r="KMH47" s="225"/>
      <c r="KMI47" s="225"/>
      <c r="KMJ47" s="225"/>
      <c r="KMK47" s="225"/>
      <c r="KML47" s="225"/>
      <c r="KMM47" s="225"/>
      <c r="KMN47" s="225"/>
      <c r="KMO47" s="225"/>
      <c r="KMP47" s="225"/>
      <c r="KMQ47" s="225"/>
      <c r="KMR47" s="225"/>
      <c r="KMS47" s="225"/>
      <c r="KMT47" s="225"/>
      <c r="KMU47" s="225"/>
      <c r="KMV47" s="225"/>
      <c r="KMW47" s="225"/>
      <c r="KMX47" s="225"/>
      <c r="KMY47" s="225"/>
      <c r="KMZ47" s="225"/>
      <c r="KNA47" s="225"/>
      <c r="KNB47" s="225"/>
      <c r="KNC47" s="225"/>
      <c r="KND47" s="225"/>
      <c r="KNE47" s="225"/>
      <c r="KNF47" s="225"/>
      <c r="KNG47" s="225"/>
      <c r="KNH47" s="225"/>
      <c r="KNI47" s="225"/>
      <c r="KNJ47" s="225"/>
      <c r="KNK47" s="225"/>
      <c r="KNL47" s="225"/>
      <c r="KNM47" s="225"/>
      <c r="KNN47" s="225"/>
      <c r="KNO47" s="225"/>
      <c r="KNP47" s="225"/>
      <c r="KNQ47" s="225"/>
      <c r="KNR47" s="225"/>
      <c r="KNS47" s="225"/>
      <c r="KNT47" s="225"/>
      <c r="KNU47" s="225"/>
      <c r="KNV47" s="225"/>
      <c r="KNW47" s="225"/>
      <c r="KNX47" s="225"/>
      <c r="KNY47" s="225"/>
      <c r="KNZ47" s="225"/>
      <c r="KOA47" s="225"/>
      <c r="KOB47" s="225"/>
      <c r="KOC47" s="225"/>
      <c r="KOD47" s="225"/>
      <c r="KOE47" s="225"/>
      <c r="KOF47" s="225"/>
      <c r="KOG47" s="225"/>
      <c r="KOH47" s="225"/>
      <c r="KOI47" s="225"/>
      <c r="KOJ47" s="225"/>
      <c r="KOK47" s="225"/>
      <c r="KOL47" s="225"/>
      <c r="KOM47" s="225"/>
      <c r="KON47" s="225"/>
      <c r="KOO47" s="225"/>
      <c r="KOP47" s="225"/>
      <c r="KOQ47" s="225"/>
      <c r="KOR47" s="225"/>
      <c r="KOS47" s="225"/>
      <c r="KOT47" s="225"/>
      <c r="KOU47" s="225"/>
      <c r="KOV47" s="225"/>
      <c r="KOW47" s="225"/>
      <c r="KOX47" s="225"/>
      <c r="KOY47" s="225"/>
      <c r="KOZ47" s="225"/>
      <c r="KPA47" s="225"/>
      <c r="KPB47" s="225"/>
      <c r="KPC47" s="225"/>
      <c r="KPD47" s="225"/>
      <c r="KPE47" s="225"/>
      <c r="KPF47" s="225"/>
      <c r="KPG47" s="225"/>
      <c r="KPH47" s="225"/>
      <c r="KPI47" s="225"/>
      <c r="KPJ47" s="225"/>
      <c r="KPK47" s="225"/>
      <c r="KPL47" s="225"/>
      <c r="KPM47" s="225"/>
      <c r="KPN47" s="225"/>
      <c r="KPO47" s="225"/>
      <c r="KPP47" s="225"/>
      <c r="KPQ47" s="225"/>
      <c r="KPR47" s="225"/>
      <c r="KPS47" s="225"/>
      <c r="KPT47" s="225"/>
      <c r="KPU47" s="225"/>
      <c r="KPV47" s="225"/>
      <c r="KPW47" s="225"/>
      <c r="KPX47" s="225"/>
      <c r="KPY47" s="225"/>
      <c r="KPZ47" s="225"/>
      <c r="KQA47" s="225"/>
      <c r="KQB47" s="225"/>
      <c r="KQC47" s="225"/>
      <c r="KQD47" s="225"/>
      <c r="KQE47" s="225"/>
      <c r="KQF47" s="225"/>
      <c r="KQG47" s="225"/>
      <c r="KQH47" s="225"/>
      <c r="KQI47" s="225"/>
      <c r="KQJ47" s="225"/>
      <c r="KQK47" s="225"/>
      <c r="KQL47" s="225"/>
      <c r="KQM47" s="225"/>
      <c r="KQN47" s="225"/>
      <c r="KQO47" s="225"/>
      <c r="KQP47" s="225"/>
      <c r="KQQ47" s="225"/>
      <c r="KQR47" s="225"/>
      <c r="KQS47" s="225"/>
      <c r="KQT47" s="225"/>
      <c r="KQU47" s="225"/>
      <c r="KQV47" s="225"/>
      <c r="KQW47" s="225"/>
      <c r="KQX47" s="225"/>
      <c r="KQY47" s="225"/>
      <c r="KQZ47" s="225"/>
      <c r="KRA47" s="225"/>
      <c r="KRB47" s="225"/>
      <c r="KRC47" s="225"/>
      <c r="KRD47" s="225"/>
      <c r="KRE47" s="225"/>
      <c r="KRF47" s="225"/>
      <c r="KRG47" s="225"/>
      <c r="KRH47" s="225"/>
      <c r="KRI47" s="225"/>
      <c r="KRJ47" s="225"/>
      <c r="KRK47" s="225"/>
      <c r="KRL47" s="225"/>
      <c r="KRM47" s="225"/>
      <c r="KRN47" s="225"/>
      <c r="KRO47" s="225"/>
      <c r="KRP47" s="225"/>
      <c r="KRQ47" s="225"/>
      <c r="KRR47" s="225"/>
      <c r="KRS47" s="225"/>
      <c r="KRT47" s="225"/>
      <c r="KRU47" s="225"/>
      <c r="KRV47" s="225"/>
      <c r="KRW47" s="225"/>
      <c r="KRX47" s="225"/>
      <c r="KRY47" s="225"/>
      <c r="KRZ47" s="225"/>
      <c r="KSA47" s="225"/>
      <c r="KSB47" s="225"/>
      <c r="KSC47" s="225"/>
      <c r="KSD47" s="225"/>
      <c r="KSE47" s="225"/>
      <c r="KSF47" s="225"/>
      <c r="KSG47" s="225"/>
      <c r="KSH47" s="225"/>
      <c r="KSI47" s="225"/>
      <c r="KSJ47" s="225"/>
      <c r="KSK47" s="225"/>
      <c r="KSL47" s="225"/>
      <c r="KSM47" s="225"/>
      <c r="KSN47" s="225"/>
      <c r="KSO47" s="225"/>
      <c r="KSP47" s="225"/>
      <c r="KSQ47" s="225"/>
      <c r="KSR47" s="225"/>
      <c r="KSS47" s="225"/>
      <c r="KST47" s="225"/>
      <c r="KSU47" s="225"/>
      <c r="KSV47" s="225"/>
      <c r="KSW47" s="225"/>
      <c r="KSX47" s="225"/>
      <c r="KSY47" s="225"/>
      <c r="KSZ47" s="225"/>
      <c r="KTA47" s="225"/>
      <c r="KTB47" s="225"/>
      <c r="KTC47" s="225"/>
      <c r="KTD47" s="225"/>
      <c r="KTE47" s="225"/>
      <c r="KTF47" s="225"/>
      <c r="KTG47" s="225"/>
      <c r="KTH47" s="225"/>
      <c r="KTI47" s="225"/>
      <c r="KTJ47" s="225"/>
      <c r="KTK47" s="225"/>
      <c r="KTL47" s="225"/>
      <c r="KTM47" s="225"/>
      <c r="KTN47" s="225"/>
      <c r="KTO47" s="225"/>
      <c r="KTP47" s="225"/>
      <c r="KTQ47" s="225"/>
      <c r="KTR47" s="225"/>
      <c r="KTS47" s="225"/>
      <c r="KTT47" s="225"/>
      <c r="KTU47" s="225"/>
      <c r="KTV47" s="225"/>
      <c r="KTW47" s="225"/>
      <c r="KTX47" s="225"/>
      <c r="KTY47" s="225"/>
      <c r="KTZ47" s="225"/>
      <c r="KUA47" s="225"/>
      <c r="KUB47" s="225"/>
      <c r="KUC47" s="225"/>
      <c r="KUD47" s="225"/>
      <c r="KUE47" s="225"/>
      <c r="KUF47" s="225"/>
      <c r="KUG47" s="225"/>
      <c r="KUH47" s="225"/>
      <c r="KUI47" s="225"/>
      <c r="KUJ47" s="225"/>
      <c r="KUK47" s="225"/>
      <c r="KUL47" s="225"/>
      <c r="KUM47" s="225"/>
      <c r="KUN47" s="225"/>
      <c r="KUO47" s="225"/>
      <c r="KUP47" s="225"/>
      <c r="KUQ47" s="225"/>
      <c r="KUR47" s="225"/>
      <c r="KUS47" s="225"/>
      <c r="KUT47" s="225"/>
      <c r="KUU47" s="225"/>
      <c r="KUV47" s="225"/>
      <c r="KUW47" s="225"/>
      <c r="KUX47" s="225"/>
      <c r="KUY47" s="225"/>
      <c r="KUZ47" s="225"/>
      <c r="KVA47" s="225"/>
      <c r="KVB47" s="225"/>
      <c r="KVC47" s="225"/>
      <c r="KVD47" s="225"/>
      <c r="KVE47" s="225"/>
      <c r="KVF47" s="225"/>
      <c r="KVG47" s="225"/>
      <c r="KVH47" s="225"/>
      <c r="KVI47" s="225"/>
      <c r="KVJ47" s="225"/>
      <c r="KVK47" s="225"/>
      <c r="KVL47" s="225"/>
      <c r="KVM47" s="225"/>
      <c r="KVN47" s="225"/>
      <c r="KVO47" s="225"/>
      <c r="KVP47" s="225"/>
      <c r="KVQ47" s="225"/>
      <c r="KVR47" s="225"/>
      <c r="KVS47" s="225"/>
      <c r="KVT47" s="225"/>
      <c r="KVU47" s="225"/>
      <c r="KVV47" s="225"/>
      <c r="KVW47" s="225"/>
      <c r="KVX47" s="225"/>
      <c r="KVY47" s="225"/>
      <c r="KVZ47" s="225"/>
      <c r="KWA47" s="225"/>
      <c r="KWB47" s="225"/>
      <c r="KWC47" s="225"/>
      <c r="KWD47" s="225"/>
      <c r="KWE47" s="225"/>
      <c r="KWF47" s="225"/>
      <c r="KWG47" s="225"/>
      <c r="KWH47" s="225"/>
      <c r="KWI47" s="225"/>
      <c r="KWJ47" s="225"/>
      <c r="KWK47" s="225"/>
      <c r="KWL47" s="225"/>
      <c r="KWM47" s="225"/>
      <c r="KWN47" s="225"/>
      <c r="KWO47" s="225"/>
      <c r="KWP47" s="225"/>
      <c r="KWQ47" s="225"/>
      <c r="KWR47" s="225"/>
      <c r="KWS47" s="225"/>
      <c r="KWT47" s="225"/>
      <c r="KWU47" s="225"/>
      <c r="KWV47" s="225"/>
      <c r="KWW47" s="225"/>
      <c r="KWX47" s="225"/>
      <c r="KWY47" s="225"/>
      <c r="KWZ47" s="225"/>
      <c r="KXA47" s="225"/>
      <c r="KXB47" s="225"/>
      <c r="KXC47" s="225"/>
      <c r="KXD47" s="225"/>
      <c r="KXE47" s="225"/>
      <c r="KXF47" s="225"/>
      <c r="KXG47" s="225"/>
      <c r="KXH47" s="225"/>
      <c r="KXI47" s="225"/>
      <c r="KXJ47" s="225"/>
      <c r="KXK47" s="225"/>
      <c r="KXL47" s="225"/>
      <c r="KXM47" s="225"/>
      <c r="KXN47" s="225"/>
      <c r="KXO47" s="225"/>
      <c r="KXP47" s="225"/>
      <c r="KXQ47" s="225"/>
      <c r="KXR47" s="225"/>
      <c r="KXS47" s="225"/>
      <c r="KXT47" s="225"/>
      <c r="KXU47" s="225"/>
      <c r="KXV47" s="225"/>
      <c r="KXW47" s="225"/>
      <c r="KXX47" s="225"/>
      <c r="KXY47" s="225"/>
      <c r="KXZ47" s="225"/>
      <c r="KYA47" s="225"/>
      <c r="KYB47" s="225"/>
      <c r="KYC47" s="225"/>
      <c r="KYD47" s="225"/>
      <c r="KYE47" s="225"/>
      <c r="KYF47" s="225"/>
      <c r="KYG47" s="225"/>
      <c r="KYH47" s="225"/>
      <c r="KYI47" s="225"/>
      <c r="KYJ47" s="225"/>
      <c r="KYK47" s="225"/>
      <c r="KYL47" s="225"/>
      <c r="KYM47" s="225"/>
      <c r="KYN47" s="225"/>
      <c r="KYO47" s="225"/>
      <c r="KYP47" s="225"/>
      <c r="KYQ47" s="225"/>
      <c r="KYR47" s="225"/>
      <c r="KYS47" s="225"/>
      <c r="KYT47" s="225"/>
      <c r="KYU47" s="225"/>
      <c r="KYV47" s="225"/>
      <c r="KYW47" s="225"/>
      <c r="KYX47" s="225"/>
      <c r="KYY47" s="225"/>
      <c r="KYZ47" s="225"/>
      <c r="KZA47" s="225"/>
      <c r="KZB47" s="225"/>
      <c r="KZC47" s="225"/>
      <c r="KZD47" s="225"/>
      <c r="KZE47" s="225"/>
      <c r="KZF47" s="225"/>
      <c r="KZG47" s="225"/>
      <c r="KZH47" s="225"/>
      <c r="KZI47" s="225"/>
      <c r="KZJ47" s="225"/>
      <c r="KZK47" s="225"/>
      <c r="KZL47" s="225"/>
      <c r="KZM47" s="225"/>
      <c r="KZN47" s="225"/>
      <c r="KZO47" s="225"/>
      <c r="KZP47" s="225"/>
      <c r="KZQ47" s="225"/>
      <c r="KZR47" s="225"/>
      <c r="KZS47" s="225"/>
      <c r="KZT47" s="225"/>
      <c r="KZU47" s="225"/>
      <c r="KZV47" s="225"/>
      <c r="KZW47" s="225"/>
      <c r="KZX47" s="225"/>
      <c r="KZY47" s="225"/>
      <c r="KZZ47" s="225"/>
      <c r="LAA47" s="225"/>
      <c r="LAB47" s="225"/>
      <c r="LAC47" s="225"/>
      <c r="LAD47" s="225"/>
      <c r="LAE47" s="225"/>
      <c r="LAF47" s="225"/>
      <c r="LAG47" s="225"/>
      <c r="LAH47" s="225"/>
      <c r="LAI47" s="225"/>
      <c r="LAJ47" s="225"/>
      <c r="LAK47" s="225"/>
      <c r="LAL47" s="225"/>
      <c r="LAM47" s="225"/>
      <c r="LAN47" s="225"/>
      <c r="LAO47" s="225"/>
      <c r="LAP47" s="225"/>
      <c r="LAQ47" s="225"/>
      <c r="LAR47" s="225"/>
      <c r="LAS47" s="225"/>
      <c r="LAT47" s="225"/>
      <c r="LAU47" s="225"/>
      <c r="LAV47" s="225"/>
      <c r="LAW47" s="225"/>
      <c r="LAX47" s="225"/>
      <c r="LAY47" s="225"/>
      <c r="LAZ47" s="225"/>
      <c r="LBA47" s="225"/>
      <c r="LBB47" s="225"/>
      <c r="LBC47" s="225"/>
      <c r="LBD47" s="225"/>
      <c r="LBE47" s="225"/>
      <c r="LBF47" s="225"/>
      <c r="LBG47" s="225"/>
      <c r="LBH47" s="225"/>
      <c r="LBI47" s="225"/>
      <c r="LBJ47" s="225"/>
      <c r="LBK47" s="225"/>
      <c r="LBL47" s="225"/>
      <c r="LBM47" s="225"/>
      <c r="LBN47" s="225"/>
      <c r="LBO47" s="225"/>
      <c r="LBP47" s="225"/>
      <c r="LBQ47" s="225"/>
      <c r="LBR47" s="225"/>
      <c r="LBS47" s="225"/>
      <c r="LBT47" s="225"/>
      <c r="LBU47" s="225"/>
      <c r="LBV47" s="225"/>
      <c r="LBW47" s="225"/>
      <c r="LBX47" s="225"/>
      <c r="LBY47" s="225"/>
      <c r="LBZ47" s="225"/>
      <c r="LCA47" s="225"/>
      <c r="LCB47" s="225"/>
      <c r="LCC47" s="225"/>
      <c r="LCD47" s="225"/>
      <c r="LCE47" s="225"/>
      <c r="LCF47" s="225"/>
      <c r="LCG47" s="225"/>
      <c r="LCH47" s="225"/>
      <c r="LCI47" s="225"/>
      <c r="LCJ47" s="225"/>
      <c r="LCK47" s="225"/>
      <c r="LCL47" s="225"/>
      <c r="LCM47" s="225"/>
      <c r="LCN47" s="225"/>
      <c r="LCO47" s="225"/>
      <c r="LCP47" s="225"/>
      <c r="LCQ47" s="225"/>
      <c r="LCR47" s="225"/>
      <c r="LCS47" s="225"/>
      <c r="LCT47" s="225"/>
      <c r="LCU47" s="225"/>
      <c r="LCV47" s="225"/>
      <c r="LCW47" s="225"/>
      <c r="LCX47" s="225"/>
      <c r="LCY47" s="225"/>
      <c r="LCZ47" s="225"/>
      <c r="LDA47" s="225"/>
      <c r="LDB47" s="225"/>
      <c r="LDC47" s="225"/>
      <c r="LDD47" s="225"/>
      <c r="LDE47" s="225"/>
      <c r="LDF47" s="225"/>
      <c r="LDG47" s="225"/>
      <c r="LDH47" s="225"/>
      <c r="LDI47" s="225"/>
      <c r="LDJ47" s="225"/>
      <c r="LDK47" s="225"/>
      <c r="LDL47" s="225"/>
      <c r="LDM47" s="225"/>
      <c r="LDN47" s="225"/>
      <c r="LDO47" s="225"/>
      <c r="LDP47" s="225"/>
      <c r="LDQ47" s="225"/>
      <c r="LDR47" s="225"/>
      <c r="LDS47" s="225"/>
      <c r="LDT47" s="225"/>
      <c r="LDU47" s="225"/>
      <c r="LDV47" s="225"/>
      <c r="LDW47" s="225"/>
      <c r="LDX47" s="225"/>
      <c r="LDY47" s="225"/>
      <c r="LDZ47" s="225"/>
      <c r="LEA47" s="225"/>
      <c r="LEB47" s="225"/>
      <c r="LEC47" s="225"/>
      <c r="LED47" s="225"/>
      <c r="LEE47" s="225"/>
      <c r="LEF47" s="225"/>
      <c r="LEG47" s="225"/>
      <c r="LEH47" s="225"/>
      <c r="LEI47" s="225"/>
      <c r="LEJ47" s="225"/>
      <c r="LEK47" s="225"/>
      <c r="LEL47" s="225"/>
      <c r="LEM47" s="225"/>
      <c r="LEN47" s="225"/>
      <c r="LEO47" s="225"/>
      <c r="LEP47" s="225"/>
      <c r="LEQ47" s="225"/>
      <c r="LER47" s="225"/>
      <c r="LES47" s="225"/>
      <c r="LET47" s="225"/>
      <c r="LEU47" s="225"/>
      <c r="LEV47" s="225"/>
      <c r="LEW47" s="225"/>
      <c r="LEX47" s="225"/>
      <c r="LEY47" s="225"/>
      <c r="LEZ47" s="225"/>
      <c r="LFA47" s="225"/>
      <c r="LFB47" s="225"/>
      <c r="LFC47" s="225"/>
      <c r="LFD47" s="225"/>
      <c r="LFE47" s="225"/>
      <c r="LFF47" s="225"/>
      <c r="LFG47" s="225"/>
      <c r="LFH47" s="225"/>
      <c r="LFI47" s="225"/>
      <c r="LFJ47" s="225"/>
      <c r="LFK47" s="225"/>
      <c r="LFL47" s="225"/>
      <c r="LFM47" s="225"/>
      <c r="LFN47" s="225"/>
      <c r="LFO47" s="225"/>
      <c r="LFP47" s="225"/>
      <c r="LFQ47" s="225"/>
      <c r="LFR47" s="225"/>
      <c r="LFS47" s="225"/>
      <c r="LFT47" s="225"/>
      <c r="LFU47" s="225"/>
      <c r="LFV47" s="225"/>
      <c r="LFW47" s="225"/>
      <c r="LFX47" s="225"/>
      <c r="LFY47" s="225"/>
      <c r="LFZ47" s="225"/>
      <c r="LGA47" s="225"/>
      <c r="LGB47" s="225"/>
      <c r="LGC47" s="225"/>
      <c r="LGD47" s="225"/>
      <c r="LGE47" s="225"/>
      <c r="LGF47" s="225"/>
      <c r="LGG47" s="225"/>
      <c r="LGH47" s="225"/>
      <c r="LGI47" s="225"/>
      <c r="LGJ47" s="225"/>
      <c r="LGK47" s="225"/>
      <c r="LGL47" s="225"/>
      <c r="LGM47" s="225"/>
      <c r="LGN47" s="225"/>
      <c r="LGO47" s="225"/>
      <c r="LGP47" s="225"/>
      <c r="LGQ47" s="225"/>
      <c r="LGR47" s="225"/>
      <c r="LGS47" s="225"/>
      <c r="LGT47" s="225"/>
      <c r="LGU47" s="225"/>
      <c r="LGV47" s="225"/>
      <c r="LGW47" s="225"/>
      <c r="LGX47" s="225"/>
      <c r="LGY47" s="225"/>
      <c r="LGZ47" s="225"/>
      <c r="LHA47" s="225"/>
      <c r="LHB47" s="225"/>
      <c r="LHC47" s="225"/>
      <c r="LHD47" s="225"/>
      <c r="LHE47" s="225"/>
      <c r="LHF47" s="225"/>
      <c r="LHG47" s="225"/>
      <c r="LHH47" s="225"/>
      <c r="LHI47" s="225"/>
      <c r="LHJ47" s="225"/>
      <c r="LHK47" s="225"/>
      <c r="LHL47" s="225"/>
      <c r="LHM47" s="225"/>
      <c r="LHN47" s="225"/>
      <c r="LHO47" s="225"/>
      <c r="LHP47" s="225"/>
      <c r="LHQ47" s="225"/>
      <c r="LHR47" s="225"/>
      <c r="LHS47" s="225"/>
      <c r="LHT47" s="225"/>
      <c r="LHU47" s="225"/>
      <c r="LHV47" s="225"/>
      <c r="LHW47" s="225"/>
      <c r="LHX47" s="225"/>
      <c r="LHY47" s="225"/>
      <c r="LHZ47" s="225"/>
      <c r="LIA47" s="225"/>
      <c r="LIB47" s="225"/>
      <c r="LIC47" s="225"/>
      <c r="LID47" s="225"/>
      <c r="LIE47" s="225"/>
      <c r="LIF47" s="225"/>
      <c r="LIG47" s="225"/>
      <c r="LIH47" s="225"/>
      <c r="LII47" s="225"/>
      <c r="LIJ47" s="225"/>
      <c r="LIK47" s="225"/>
      <c r="LIL47" s="225"/>
      <c r="LIM47" s="225"/>
      <c r="LIN47" s="225"/>
      <c r="LIO47" s="225"/>
      <c r="LIP47" s="225"/>
      <c r="LIQ47" s="225"/>
      <c r="LIR47" s="225"/>
      <c r="LIS47" s="225"/>
      <c r="LIT47" s="225"/>
      <c r="LIU47" s="225"/>
      <c r="LIV47" s="225"/>
      <c r="LIW47" s="225"/>
      <c r="LIX47" s="225"/>
      <c r="LIY47" s="225"/>
      <c r="LIZ47" s="225"/>
      <c r="LJA47" s="225"/>
      <c r="LJB47" s="225"/>
      <c r="LJC47" s="225"/>
      <c r="LJD47" s="225"/>
      <c r="LJE47" s="225"/>
      <c r="LJF47" s="225"/>
      <c r="LJG47" s="225"/>
      <c r="LJH47" s="225"/>
      <c r="LJI47" s="225"/>
      <c r="LJJ47" s="225"/>
      <c r="LJK47" s="225"/>
      <c r="LJL47" s="225"/>
      <c r="LJM47" s="225"/>
      <c r="LJN47" s="225"/>
      <c r="LJO47" s="225"/>
      <c r="LJP47" s="225"/>
      <c r="LJQ47" s="225"/>
      <c r="LJR47" s="225"/>
      <c r="LJS47" s="225"/>
      <c r="LJT47" s="225"/>
      <c r="LJU47" s="225"/>
      <c r="LJV47" s="225"/>
      <c r="LJW47" s="225"/>
      <c r="LJX47" s="225"/>
      <c r="LJY47" s="225"/>
      <c r="LJZ47" s="225"/>
      <c r="LKA47" s="225"/>
      <c r="LKB47" s="225"/>
      <c r="LKC47" s="225"/>
      <c r="LKD47" s="225"/>
      <c r="LKE47" s="225"/>
      <c r="LKF47" s="225"/>
      <c r="LKG47" s="225"/>
      <c r="LKH47" s="225"/>
      <c r="LKI47" s="225"/>
      <c r="LKJ47" s="225"/>
      <c r="LKK47" s="225"/>
      <c r="LKL47" s="225"/>
      <c r="LKM47" s="225"/>
      <c r="LKN47" s="225"/>
      <c r="LKO47" s="225"/>
      <c r="LKP47" s="225"/>
      <c r="LKQ47" s="225"/>
      <c r="LKR47" s="225"/>
      <c r="LKS47" s="225"/>
      <c r="LKT47" s="225"/>
      <c r="LKU47" s="225"/>
      <c r="LKV47" s="225"/>
      <c r="LKW47" s="225"/>
      <c r="LKX47" s="225"/>
      <c r="LKY47" s="225"/>
      <c r="LKZ47" s="225"/>
      <c r="LLA47" s="225"/>
      <c r="LLB47" s="225"/>
      <c r="LLC47" s="225"/>
      <c r="LLD47" s="225"/>
      <c r="LLE47" s="225"/>
      <c r="LLF47" s="225"/>
      <c r="LLG47" s="225"/>
      <c r="LLH47" s="225"/>
      <c r="LLI47" s="225"/>
      <c r="LLJ47" s="225"/>
      <c r="LLK47" s="225"/>
      <c r="LLL47" s="225"/>
      <c r="LLM47" s="225"/>
      <c r="LLN47" s="225"/>
      <c r="LLO47" s="225"/>
      <c r="LLP47" s="225"/>
      <c r="LLQ47" s="225"/>
      <c r="LLR47" s="225"/>
      <c r="LLS47" s="225"/>
      <c r="LLT47" s="225"/>
      <c r="LLU47" s="225"/>
      <c r="LLV47" s="225"/>
      <c r="LLW47" s="225"/>
      <c r="LLX47" s="225"/>
      <c r="LLY47" s="225"/>
      <c r="LLZ47" s="225"/>
      <c r="LMA47" s="225"/>
      <c r="LMB47" s="225"/>
      <c r="LMC47" s="225"/>
      <c r="LMD47" s="225"/>
      <c r="LME47" s="225"/>
      <c r="LMF47" s="225"/>
      <c r="LMG47" s="225"/>
      <c r="LMH47" s="225"/>
      <c r="LMI47" s="225"/>
      <c r="LMJ47" s="225"/>
      <c r="LMK47" s="225"/>
      <c r="LML47" s="225"/>
      <c r="LMM47" s="225"/>
      <c r="LMN47" s="225"/>
      <c r="LMO47" s="225"/>
      <c r="LMP47" s="225"/>
      <c r="LMQ47" s="225"/>
      <c r="LMR47" s="225"/>
      <c r="LMS47" s="225"/>
      <c r="LMT47" s="225"/>
      <c r="LMU47" s="225"/>
      <c r="LMV47" s="225"/>
      <c r="LMW47" s="225"/>
      <c r="LMX47" s="225"/>
      <c r="LMY47" s="225"/>
      <c r="LMZ47" s="225"/>
      <c r="LNA47" s="225"/>
      <c r="LNB47" s="225"/>
      <c r="LNC47" s="225"/>
      <c r="LND47" s="225"/>
      <c r="LNE47" s="225"/>
      <c r="LNF47" s="225"/>
      <c r="LNG47" s="225"/>
      <c r="LNH47" s="225"/>
      <c r="LNI47" s="225"/>
      <c r="LNJ47" s="225"/>
      <c r="LNK47" s="225"/>
      <c r="LNL47" s="225"/>
      <c r="LNM47" s="225"/>
      <c r="LNN47" s="225"/>
      <c r="LNO47" s="225"/>
      <c r="LNP47" s="225"/>
      <c r="LNQ47" s="225"/>
      <c r="LNR47" s="225"/>
      <c r="LNS47" s="225"/>
      <c r="LNT47" s="225"/>
      <c r="LNU47" s="225"/>
      <c r="LNV47" s="225"/>
      <c r="LNW47" s="225"/>
      <c r="LNX47" s="225"/>
      <c r="LNY47" s="225"/>
      <c r="LNZ47" s="225"/>
      <c r="LOA47" s="225"/>
      <c r="LOB47" s="225"/>
      <c r="LOC47" s="225"/>
      <c r="LOD47" s="225"/>
      <c r="LOE47" s="225"/>
      <c r="LOF47" s="225"/>
      <c r="LOG47" s="225"/>
      <c r="LOH47" s="225"/>
      <c r="LOI47" s="225"/>
      <c r="LOJ47" s="225"/>
      <c r="LOK47" s="225"/>
      <c r="LOL47" s="225"/>
      <c r="LOM47" s="225"/>
      <c r="LON47" s="225"/>
      <c r="LOO47" s="225"/>
      <c r="LOP47" s="225"/>
      <c r="LOQ47" s="225"/>
      <c r="LOR47" s="225"/>
      <c r="LOS47" s="225"/>
      <c r="LOT47" s="225"/>
      <c r="LOU47" s="225"/>
      <c r="LOV47" s="225"/>
      <c r="LOW47" s="225"/>
      <c r="LOX47" s="225"/>
      <c r="LOY47" s="225"/>
      <c r="LOZ47" s="225"/>
      <c r="LPA47" s="225"/>
      <c r="LPB47" s="225"/>
      <c r="LPC47" s="225"/>
      <c r="LPD47" s="225"/>
      <c r="LPE47" s="225"/>
      <c r="LPF47" s="225"/>
      <c r="LPG47" s="225"/>
      <c r="LPH47" s="225"/>
      <c r="LPI47" s="225"/>
      <c r="LPJ47" s="225"/>
      <c r="LPK47" s="225"/>
      <c r="LPL47" s="225"/>
      <c r="LPM47" s="225"/>
      <c r="LPN47" s="225"/>
      <c r="LPO47" s="225"/>
      <c r="LPP47" s="225"/>
      <c r="LPQ47" s="225"/>
      <c r="LPR47" s="225"/>
      <c r="LPS47" s="225"/>
      <c r="LPT47" s="225"/>
      <c r="LPU47" s="225"/>
      <c r="LPV47" s="225"/>
      <c r="LPW47" s="225"/>
      <c r="LPX47" s="225"/>
      <c r="LPY47" s="225"/>
      <c r="LPZ47" s="225"/>
      <c r="LQA47" s="225"/>
      <c r="LQB47" s="225"/>
      <c r="LQC47" s="225"/>
      <c r="LQD47" s="225"/>
      <c r="LQE47" s="225"/>
      <c r="LQF47" s="225"/>
      <c r="LQG47" s="225"/>
      <c r="LQH47" s="225"/>
      <c r="LQI47" s="225"/>
      <c r="LQJ47" s="225"/>
      <c r="LQK47" s="225"/>
      <c r="LQL47" s="225"/>
      <c r="LQM47" s="225"/>
      <c r="LQN47" s="225"/>
      <c r="LQO47" s="225"/>
      <c r="LQP47" s="225"/>
      <c r="LQQ47" s="225"/>
      <c r="LQR47" s="225"/>
      <c r="LQS47" s="225"/>
      <c r="LQT47" s="225"/>
      <c r="LQU47" s="225"/>
      <c r="LQV47" s="225"/>
      <c r="LQW47" s="225"/>
      <c r="LQX47" s="225"/>
      <c r="LQY47" s="225"/>
      <c r="LQZ47" s="225"/>
      <c r="LRA47" s="225"/>
      <c r="LRB47" s="225"/>
      <c r="LRC47" s="225"/>
      <c r="LRD47" s="225"/>
      <c r="LRE47" s="225"/>
      <c r="LRF47" s="225"/>
      <c r="LRG47" s="225"/>
      <c r="LRH47" s="225"/>
      <c r="LRI47" s="225"/>
      <c r="LRJ47" s="225"/>
      <c r="LRK47" s="225"/>
      <c r="LRL47" s="225"/>
      <c r="LRM47" s="225"/>
      <c r="LRN47" s="225"/>
      <c r="LRO47" s="225"/>
      <c r="LRP47" s="225"/>
      <c r="LRQ47" s="225"/>
      <c r="LRR47" s="225"/>
      <c r="LRS47" s="225"/>
      <c r="LRT47" s="225"/>
      <c r="LRU47" s="225"/>
      <c r="LRV47" s="225"/>
      <c r="LRW47" s="225"/>
      <c r="LRX47" s="225"/>
      <c r="LRY47" s="225"/>
      <c r="LRZ47" s="225"/>
      <c r="LSA47" s="225"/>
      <c r="LSB47" s="225"/>
      <c r="LSC47" s="225"/>
      <c r="LSD47" s="225"/>
      <c r="LSE47" s="225"/>
      <c r="LSF47" s="225"/>
      <c r="LSG47" s="225"/>
      <c r="LSH47" s="225"/>
      <c r="LSI47" s="225"/>
      <c r="LSJ47" s="225"/>
      <c r="LSK47" s="225"/>
      <c r="LSL47" s="225"/>
      <c r="LSM47" s="225"/>
      <c r="LSN47" s="225"/>
      <c r="LSO47" s="225"/>
      <c r="LSP47" s="225"/>
      <c r="LSQ47" s="225"/>
      <c r="LSR47" s="225"/>
      <c r="LSS47" s="225"/>
      <c r="LST47" s="225"/>
      <c r="LSU47" s="225"/>
      <c r="LSV47" s="225"/>
      <c r="LSW47" s="225"/>
      <c r="LSX47" s="225"/>
      <c r="LSY47" s="225"/>
      <c r="LSZ47" s="225"/>
      <c r="LTA47" s="225"/>
      <c r="LTB47" s="225"/>
      <c r="LTC47" s="225"/>
      <c r="LTD47" s="225"/>
      <c r="LTE47" s="225"/>
      <c r="LTF47" s="225"/>
      <c r="LTG47" s="225"/>
      <c r="LTH47" s="225"/>
      <c r="LTI47" s="225"/>
      <c r="LTJ47" s="225"/>
      <c r="LTK47" s="225"/>
      <c r="LTL47" s="225"/>
      <c r="LTM47" s="225"/>
      <c r="LTN47" s="225"/>
      <c r="LTO47" s="225"/>
      <c r="LTP47" s="225"/>
      <c r="LTQ47" s="225"/>
      <c r="LTR47" s="225"/>
      <c r="LTS47" s="225"/>
      <c r="LTT47" s="225"/>
      <c r="LTU47" s="225"/>
      <c r="LTV47" s="225"/>
      <c r="LTW47" s="225"/>
      <c r="LTX47" s="225"/>
      <c r="LTY47" s="225"/>
      <c r="LTZ47" s="225"/>
      <c r="LUA47" s="225"/>
      <c r="LUB47" s="225"/>
      <c r="LUC47" s="225"/>
      <c r="LUD47" s="225"/>
      <c r="LUE47" s="225"/>
      <c r="LUF47" s="225"/>
      <c r="LUG47" s="225"/>
      <c r="LUH47" s="225"/>
      <c r="LUI47" s="225"/>
      <c r="LUJ47" s="225"/>
      <c r="LUK47" s="225"/>
      <c r="LUL47" s="225"/>
      <c r="LUM47" s="225"/>
      <c r="LUN47" s="225"/>
      <c r="LUO47" s="225"/>
      <c r="LUP47" s="225"/>
      <c r="LUQ47" s="225"/>
      <c r="LUR47" s="225"/>
      <c r="LUS47" s="225"/>
      <c r="LUT47" s="225"/>
      <c r="LUU47" s="225"/>
      <c r="LUV47" s="225"/>
      <c r="LUW47" s="225"/>
      <c r="LUX47" s="225"/>
      <c r="LUY47" s="225"/>
      <c r="LUZ47" s="225"/>
      <c r="LVA47" s="225"/>
      <c r="LVB47" s="225"/>
      <c r="LVC47" s="225"/>
      <c r="LVD47" s="225"/>
      <c r="LVE47" s="225"/>
      <c r="LVF47" s="225"/>
      <c r="LVG47" s="225"/>
      <c r="LVH47" s="225"/>
      <c r="LVI47" s="225"/>
      <c r="LVJ47" s="225"/>
      <c r="LVK47" s="225"/>
      <c r="LVL47" s="225"/>
      <c r="LVM47" s="225"/>
      <c r="LVN47" s="225"/>
      <c r="LVO47" s="225"/>
      <c r="LVP47" s="225"/>
      <c r="LVQ47" s="225"/>
      <c r="LVR47" s="225"/>
      <c r="LVS47" s="225"/>
      <c r="LVT47" s="225"/>
      <c r="LVU47" s="225"/>
      <c r="LVV47" s="225"/>
      <c r="LVW47" s="225"/>
      <c r="LVX47" s="225"/>
      <c r="LVY47" s="225"/>
      <c r="LVZ47" s="225"/>
      <c r="LWA47" s="225"/>
      <c r="LWB47" s="225"/>
      <c r="LWC47" s="225"/>
      <c r="LWD47" s="225"/>
      <c r="LWE47" s="225"/>
      <c r="LWF47" s="225"/>
      <c r="LWG47" s="225"/>
      <c r="LWH47" s="225"/>
      <c r="LWI47" s="225"/>
      <c r="LWJ47" s="225"/>
      <c r="LWK47" s="225"/>
      <c r="LWL47" s="225"/>
      <c r="LWM47" s="225"/>
      <c r="LWN47" s="225"/>
      <c r="LWO47" s="225"/>
      <c r="LWP47" s="225"/>
      <c r="LWQ47" s="225"/>
      <c r="LWR47" s="225"/>
      <c r="LWS47" s="225"/>
      <c r="LWT47" s="225"/>
      <c r="LWU47" s="225"/>
      <c r="LWV47" s="225"/>
      <c r="LWW47" s="225"/>
      <c r="LWX47" s="225"/>
      <c r="LWY47" s="225"/>
      <c r="LWZ47" s="225"/>
      <c r="LXA47" s="225"/>
      <c r="LXB47" s="225"/>
      <c r="LXC47" s="225"/>
      <c r="LXD47" s="225"/>
      <c r="LXE47" s="225"/>
      <c r="LXF47" s="225"/>
      <c r="LXG47" s="225"/>
      <c r="LXH47" s="225"/>
      <c r="LXI47" s="225"/>
      <c r="LXJ47" s="225"/>
      <c r="LXK47" s="225"/>
      <c r="LXL47" s="225"/>
      <c r="LXM47" s="225"/>
      <c r="LXN47" s="225"/>
      <c r="LXO47" s="225"/>
      <c r="LXP47" s="225"/>
      <c r="LXQ47" s="225"/>
      <c r="LXR47" s="225"/>
      <c r="LXS47" s="225"/>
      <c r="LXT47" s="225"/>
      <c r="LXU47" s="225"/>
      <c r="LXV47" s="225"/>
      <c r="LXW47" s="225"/>
      <c r="LXX47" s="225"/>
      <c r="LXY47" s="225"/>
      <c r="LXZ47" s="225"/>
      <c r="LYA47" s="225"/>
      <c r="LYB47" s="225"/>
      <c r="LYC47" s="225"/>
      <c r="LYD47" s="225"/>
      <c r="LYE47" s="225"/>
      <c r="LYF47" s="225"/>
      <c r="LYG47" s="225"/>
      <c r="LYH47" s="225"/>
      <c r="LYI47" s="225"/>
      <c r="LYJ47" s="225"/>
      <c r="LYK47" s="225"/>
      <c r="LYL47" s="225"/>
      <c r="LYM47" s="225"/>
      <c r="LYN47" s="225"/>
      <c r="LYO47" s="225"/>
      <c r="LYP47" s="225"/>
      <c r="LYQ47" s="225"/>
      <c r="LYR47" s="225"/>
      <c r="LYS47" s="225"/>
      <c r="LYT47" s="225"/>
      <c r="LYU47" s="225"/>
      <c r="LYV47" s="225"/>
      <c r="LYW47" s="225"/>
      <c r="LYX47" s="225"/>
      <c r="LYY47" s="225"/>
      <c r="LYZ47" s="225"/>
      <c r="LZA47" s="225"/>
      <c r="LZB47" s="225"/>
      <c r="LZC47" s="225"/>
      <c r="LZD47" s="225"/>
      <c r="LZE47" s="225"/>
      <c r="LZF47" s="225"/>
      <c r="LZG47" s="225"/>
      <c r="LZH47" s="225"/>
      <c r="LZI47" s="225"/>
      <c r="LZJ47" s="225"/>
      <c r="LZK47" s="225"/>
      <c r="LZL47" s="225"/>
      <c r="LZM47" s="225"/>
      <c r="LZN47" s="225"/>
      <c r="LZO47" s="225"/>
      <c r="LZP47" s="225"/>
      <c r="LZQ47" s="225"/>
      <c r="LZR47" s="225"/>
      <c r="LZS47" s="225"/>
      <c r="LZT47" s="225"/>
      <c r="LZU47" s="225"/>
      <c r="LZV47" s="225"/>
      <c r="LZW47" s="225"/>
      <c r="LZX47" s="225"/>
      <c r="LZY47" s="225"/>
      <c r="LZZ47" s="225"/>
      <c r="MAA47" s="225"/>
      <c r="MAB47" s="225"/>
      <c r="MAC47" s="225"/>
      <c r="MAD47" s="225"/>
      <c r="MAE47" s="225"/>
      <c r="MAF47" s="225"/>
      <c r="MAG47" s="225"/>
      <c r="MAH47" s="225"/>
      <c r="MAI47" s="225"/>
      <c r="MAJ47" s="225"/>
      <c r="MAK47" s="225"/>
      <c r="MAL47" s="225"/>
      <c r="MAM47" s="225"/>
      <c r="MAN47" s="225"/>
      <c r="MAO47" s="225"/>
      <c r="MAP47" s="225"/>
      <c r="MAQ47" s="225"/>
      <c r="MAR47" s="225"/>
      <c r="MAS47" s="225"/>
      <c r="MAT47" s="225"/>
      <c r="MAU47" s="225"/>
      <c r="MAV47" s="225"/>
      <c r="MAW47" s="225"/>
      <c r="MAX47" s="225"/>
      <c r="MAY47" s="225"/>
      <c r="MAZ47" s="225"/>
      <c r="MBA47" s="225"/>
      <c r="MBB47" s="225"/>
      <c r="MBC47" s="225"/>
      <c r="MBD47" s="225"/>
      <c r="MBE47" s="225"/>
      <c r="MBF47" s="225"/>
      <c r="MBG47" s="225"/>
      <c r="MBH47" s="225"/>
      <c r="MBI47" s="225"/>
      <c r="MBJ47" s="225"/>
      <c r="MBK47" s="225"/>
      <c r="MBL47" s="225"/>
      <c r="MBM47" s="225"/>
      <c r="MBN47" s="225"/>
      <c r="MBO47" s="225"/>
      <c r="MBP47" s="225"/>
      <c r="MBQ47" s="225"/>
      <c r="MBR47" s="225"/>
      <c r="MBS47" s="225"/>
      <c r="MBT47" s="225"/>
      <c r="MBU47" s="225"/>
      <c r="MBV47" s="225"/>
      <c r="MBW47" s="225"/>
      <c r="MBX47" s="225"/>
      <c r="MBY47" s="225"/>
      <c r="MBZ47" s="225"/>
      <c r="MCA47" s="225"/>
      <c r="MCB47" s="225"/>
      <c r="MCC47" s="225"/>
      <c r="MCD47" s="225"/>
      <c r="MCE47" s="225"/>
      <c r="MCF47" s="225"/>
      <c r="MCG47" s="225"/>
      <c r="MCH47" s="225"/>
      <c r="MCI47" s="225"/>
      <c r="MCJ47" s="225"/>
      <c r="MCK47" s="225"/>
      <c r="MCL47" s="225"/>
      <c r="MCM47" s="225"/>
      <c r="MCN47" s="225"/>
      <c r="MCO47" s="225"/>
      <c r="MCP47" s="225"/>
      <c r="MCQ47" s="225"/>
      <c r="MCR47" s="225"/>
      <c r="MCS47" s="225"/>
      <c r="MCT47" s="225"/>
      <c r="MCU47" s="225"/>
      <c r="MCV47" s="225"/>
      <c r="MCW47" s="225"/>
      <c r="MCX47" s="225"/>
      <c r="MCY47" s="225"/>
      <c r="MCZ47" s="225"/>
      <c r="MDA47" s="225"/>
      <c r="MDB47" s="225"/>
      <c r="MDC47" s="225"/>
      <c r="MDD47" s="225"/>
      <c r="MDE47" s="225"/>
      <c r="MDF47" s="225"/>
      <c r="MDG47" s="225"/>
      <c r="MDH47" s="225"/>
      <c r="MDI47" s="225"/>
      <c r="MDJ47" s="225"/>
      <c r="MDK47" s="225"/>
      <c r="MDL47" s="225"/>
      <c r="MDM47" s="225"/>
      <c r="MDN47" s="225"/>
      <c r="MDO47" s="225"/>
      <c r="MDP47" s="225"/>
      <c r="MDQ47" s="225"/>
      <c r="MDR47" s="225"/>
      <c r="MDS47" s="225"/>
      <c r="MDT47" s="225"/>
      <c r="MDU47" s="225"/>
      <c r="MDV47" s="225"/>
      <c r="MDW47" s="225"/>
      <c r="MDX47" s="225"/>
      <c r="MDY47" s="225"/>
      <c r="MDZ47" s="225"/>
      <c r="MEA47" s="225"/>
      <c r="MEB47" s="225"/>
      <c r="MEC47" s="225"/>
      <c r="MED47" s="225"/>
      <c r="MEE47" s="225"/>
      <c r="MEF47" s="225"/>
      <c r="MEG47" s="225"/>
      <c r="MEH47" s="225"/>
      <c r="MEI47" s="225"/>
      <c r="MEJ47" s="225"/>
      <c r="MEK47" s="225"/>
      <c r="MEL47" s="225"/>
      <c r="MEM47" s="225"/>
      <c r="MEN47" s="225"/>
      <c r="MEO47" s="225"/>
      <c r="MEP47" s="225"/>
      <c r="MEQ47" s="225"/>
      <c r="MER47" s="225"/>
      <c r="MES47" s="225"/>
      <c r="MET47" s="225"/>
      <c r="MEU47" s="225"/>
      <c r="MEV47" s="225"/>
      <c r="MEW47" s="225"/>
      <c r="MEX47" s="225"/>
      <c r="MEY47" s="225"/>
      <c r="MEZ47" s="225"/>
      <c r="MFA47" s="225"/>
      <c r="MFB47" s="225"/>
      <c r="MFC47" s="225"/>
      <c r="MFD47" s="225"/>
      <c r="MFE47" s="225"/>
      <c r="MFF47" s="225"/>
      <c r="MFG47" s="225"/>
      <c r="MFH47" s="225"/>
      <c r="MFI47" s="225"/>
      <c r="MFJ47" s="225"/>
      <c r="MFK47" s="225"/>
      <c r="MFL47" s="225"/>
      <c r="MFM47" s="225"/>
      <c r="MFN47" s="225"/>
      <c r="MFO47" s="225"/>
      <c r="MFP47" s="225"/>
      <c r="MFQ47" s="225"/>
      <c r="MFR47" s="225"/>
      <c r="MFS47" s="225"/>
      <c r="MFT47" s="225"/>
      <c r="MFU47" s="225"/>
      <c r="MFV47" s="225"/>
      <c r="MFW47" s="225"/>
      <c r="MFX47" s="225"/>
      <c r="MFY47" s="225"/>
      <c r="MFZ47" s="225"/>
      <c r="MGA47" s="225"/>
      <c r="MGB47" s="225"/>
      <c r="MGC47" s="225"/>
      <c r="MGD47" s="225"/>
      <c r="MGE47" s="225"/>
      <c r="MGF47" s="225"/>
      <c r="MGG47" s="225"/>
      <c r="MGH47" s="225"/>
      <c r="MGI47" s="225"/>
      <c r="MGJ47" s="225"/>
      <c r="MGK47" s="225"/>
      <c r="MGL47" s="225"/>
      <c r="MGM47" s="225"/>
      <c r="MGN47" s="225"/>
      <c r="MGO47" s="225"/>
      <c r="MGP47" s="225"/>
      <c r="MGQ47" s="225"/>
      <c r="MGR47" s="225"/>
      <c r="MGS47" s="225"/>
      <c r="MGT47" s="225"/>
      <c r="MGU47" s="225"/>
      <c r="MGV47" s="225"/>
      <c r="MGW47" s="225"/>
      <c r="MGX47" s="225"/>
      <c r="MGY47" s="225"/>
      <c r="MGZ47" s="225"/>
      <c r="MHA47" s="225"/>
      <c r="MHB47" s="225"/>
      <c r="MHC47" s="225"/>
      <c r="MHD47" s="225"/>
      <c r="MHE47" s="225"/>
      <c r="MHF47" s="225"/>
      <c r="MHG47" s="225"/>
      <c r="MHH47" s="225"/>
      <c r="MHI47" s="225"/>
      <c r="MHJ47" s="225"/>
      <c r="MHK47" s="225"/>
      <c r="MHL47" s="225"/>
      <c r="MHM47" s="225"/>
      <c r="MHN47" s="225"/>
      <c r="MHO47" s="225"/>
      <c r="MHP47" s="225"/>
      <c r="MHQ47" s="225"/>
      <c r="MHR47" s="225"/>
      <c r="MHS47" s="225"/>
      <c r="MHT47" s="225"/>
      <c r="MHU47" s="225"/>
      <c r="MHV47" s="225"/>
      <c r="MHW47" s="225"/>
      <c r="MHX47" s="225"/>
      <c r="MHY47" s="225"/>
      <c r="MHZ47" s="225"/>
      <c r="MIA47" s="225"/>
      <c r="MIB47" s="225"/>
      <c r="MIC47" s="225"/>
      <c r="MID47" s="225"/>
      <c r="MIE47" s="225"/>
      <c r="MIF47" s="225"/>
      <c r="MIG47" s="225"/>
      <c r="MIH47" s="225"/>
      <c r="MII47" s="225"/>
      <c r="MIJ47" s="225"/>
      <c r="MIK47" s="225"/>
      <c r="MIL47" s="225"/>
      <c r="MIM47" s="225"/>
      <c r="MIN47" s="225"/>
      <c r="MIO47" s="225"/>
      <c r="MIP47" s="225"/>
      <c r="MIQ47" s="225"/>
      <c r="MIR47" s="225"/>
      <c r="MIS47" s="225"/>
      <c r="MIT47" s="225"/>
      <c r="MIU47" s="225"/>
      <c r="MIV47" s="225"/>
      <c r="MIW47" s="225"/>
      <c r="MIX47" s="225"/>
      <c r="MIY47" s="225"/>
      <c r="MIZ47" s="225"/>
      <c r="MJA47" s="225"/>
      <c r="MJB47" s="225"/>
      <c r="MJC47" s="225"/>
      <c r="MJD47" s="225"/>
      <c r="MJE47" s="225"/>
      <c r="MJF47" s="225"/>
      <c r="MJG47" s="225"/>
      <c r="MJH47" s="225"/>
      <c r="MJI47" s="225"/>
      <c r="MJJ47" s="225"/>
      <c r="MJK47" s="225"/>
      <c r="MJL47" s="225"/>
      <c r="MJM47" s="225"/>
      <c r="MJN47" s="225"/>
      <c r="MJO47" s="225"/>
      <c r="MJP47" s="225"/>
      <c r="MJQ47" s="225"/>
      <c r="MJR47" s="225"/>
      <c r="MJS47" s="225"/>
      <c r="MJT47" s="225"/>
      <c r="MJU47" s="225"/>
      <c r="MJV47" s="225"/>
      <c r="MJW47" s="225"/>
      <c r="MJX47" s="225"/>
      <c r="MJY47" s="225"/>
      <c r="MJZ47" s="225"/>
      <c r="MKA47" s="225"/>
      <c r="MKB47" s="225"/>
      <c r="MKC47" s="225"/>
      <c r="MKD47" s="225"/>
      <c r="MKE47" s="225"/>
      <c r="MKF47" s="225"/>
      <c r="MKG47" s="225"/>
      <c r="MKH47" s="225"/>
      <c r="MKI47" s="225"/>
      <c r="MKJ47" s="225"/>
      <c r="MKK47" s="225"/>
      <c r="MKL47" s="225"/>
      <c r="MKM47" s="225"/>
      <c r="MKN47" s="225"/>
      <c r="MKO47" s="225"/>
      <c r="MKP47" s="225"/>
      <c r="MKQ47" s="225"/>
      <c r="MKR47" s="225"/>
      <c r="MKS47" s="225"/>
      <c r="MKT47" s="225"/>
      <c r="MKU47" s="225"/>
      <c r="MKV47" s="225"/>
      <c r="MKW47" s="225"/>
      <c r="MKX47" s="225"/>
      <c r="MKY47" s="225"/>
      <c r="MKZ47" s="225"/>
      <c r="MLA47" s="225"/>
      <c r="MLB47" s="225"/>
      <c r="MLC47" s="225"/>
      <c r="MLD47" s="225"/>
      <c r="MLE47" s="225"/>
      <c r="MLF47" s="225"/>
      <c r="MLG47" s="225"/>
      <c r="MLH47" s="225"/>
      <c r="MLI47" s="225"/>
      <c r="MLJ47" s="225"/>
      <c r="MLK47" s="225"/>
      <c r="MLL47" s="225"/>
      <c r="MLM47" s="225"/>
      <c r="MLN47" s="225"/>
      <c r="MLO47" s="225"/>
      <c r="MLP47" s="225"/>
      <c r="MLQ47" s="225"/>
      <c r="MLR47" s="225"/>
      <c r="MLS47" s="225"/>
      <c r="MLT47" s="225"/>
      <c r="MLU47" s="225"/>
      <c r="MLV47" s="225"/>
      <c r="MLW47" s="225"/>
      <c r="MLX47" s="225"/>
      <c r="MLY47" s="225"/>
      <c r="MLZ47" s="225"/>
      <c r="MMA47" s="225"/>
      <c r="MMB47" s="225"/>
      <c r="MMC47" s="225"/>
      <c r="MMD47" s="225"/>
      <c r="MME47" s="225"/>
      <c r="MMF47" s="225"/>
      <c r="MMG47" s="225"/>
      <c r="MMH47" s="225"/>
      <c r="MMI47" s="225"/>
      <c r="MMJ47" s="225"/>
      <c r="MMK47" s="225"/>
      <c r="MML47" s="225"/>
      <c r="MMM47" s="225"/>
      <c r="MMN47" s="225"/>
      <c r="MMO47" s="225"/>
      <c r="MMP47" s="225"/>
      <c r="MMQ47" s="225"/>
      <c r="MMR47" s="225"/>
      <c r="MMS47" s="225"/>
      <c r="MMT47" s="225"/>
      <c r="MMU47" s="225"/>
      <c r="MMV47" s="225"/>
      <c r="MMW47" s="225"/>
      <c r="MMX47" s="225"/>
      <c r="MMY47" s="225"/>
      <c r="MMZ47" s="225"/>
      <c r="MNA47" s="225"/>
      <c r="MNB47" s="225"/>
      <c r="MNC47" s="225"/>
      <c r="MND47" s="225"/>
      <c r="MNE47" s="225"/>
      <c r="MNF47" s="225"/>
      <c r="MNG47" s="225"/>
      <c r="MNH47" s="225"/>
      <c r="MNI47" s="225"/>
      <c r="MNJ47" s="225"/>
      <c r="MNK47" s="225"/>
      <c r="MNL47" s="225"/>
      <c r="MNM47" s="225"/>
      <c r="MNN47" s="225"/>
      <c r="MNO47" s="225"/>
      <c r="MNP47" s="225"/>
      <c r="MNQ47" s="225"/>
      <c r="MNR47" s="225"/>
      <c r="MNS47" s="225"/>
      <c r="MNT47" s="225"/>
      <c r="MNU47" s="225"/>
      <c r="MNV47" s="225"/>
      <c r="MNW47" s="225"/>
      <c r="MNX47" s="225"/>
      <c r="MNY47" s="225"/>
      <c r="MNZ47" s="225"/>
      <c r="MOA47" s="225"/>
      <c r="MOB47" s="225"/>
      <c r="MOC47" s="225"/>
      <c r="MOD47" s="225"/>
      <c r="MOE47" s="225"/>
      <c r="MOF47" s="225"/>
      <c r="MOG47" s="225"/>
      <c r="MOH47" s="225"/>
      <c r="MOI47" s="225"/>
      <c r="MOJ47" s="225"/>
      <c r="MOK47" s="225"/>
      <c r="MOL47" s="225"/>
      <c r="MOM47" s="225"/>
      <c r="MON47" s="225"/>
      <c r="MOO47" s="225"/>
      <c r="MOP47" s="225"/>
      <c r="MOQ47" s="225"/>
      <c r="MOR47" s="225"/>
      <c r="MOS47" s="225"/>
      <c r="MOT47" s="225"/>
      <c r="MOU47" s="225"/>
      <c r="MOV47" s="225"/>
      <c r="MOW47" s="225"/>
      <c r="MOX47" s="225"/>
      <c r="MOY47" s="225"/>
      <c r="MOZ47" s="225"/>
      <c r="MPA47" s="225"/>
      <c r="MPB47" s="225"/>
      <c r="MPC47" s="225"/>
      <c r="MPD47" s="225"/>
      <c r="MPE47" s="225"/>
      <c r="MPF47" s="225"/>
      <c r="MPG47" s="225"/>
      <c r="MPH47" s="225"/>
      <c r="MPI47" s="225"/>
      <c r="MPJ47" s="225"/>
      <c r="MPK47" s="225"/>
      <c r="MPL47" s="225"/>
      <c r="MPM47" s="225"/>
      <c r="MPN47" s="225"/>
      <c r="MPO47" s="225"/>
      <c r="MPP47" s="225"/>
      <c r="MPQ47" s="225"/>
      <c r="MPR47" s="225"/>
      <c r="MPS47" s="225"/>
      <c r="MPT47" s="225"/>
      <c r="MPU47" s="225"/>
      <c r="MPV47" s="225"/>
      <c r="MPW47" s="225"/>
      <c r="MPX47" s="225"/>
      <c r="MPY47" s="225"/>
      <c r="MPZ47" s="225"/>
      <c r="MQA47" s="225"/>
      <c r="MQB47" s="225"/>
      <c r="MQC47" s="225"/>
      <c r="MQD47" s="225"/>
      <c r="MQE47" s="225"/>
      <c r="MQF47" s="225"/>
      <c r="MQG47" s="225"/>
      <c r="MQH47" s="225"/>
      <c r="MQI47" s="225"/>
      <c r="MQJ47" s="225"/>
      <c r="MQK47" s="225"/>
      <c r="MQL47" s="225"/>
      <c r="MQM47" s="225"/>
      <c r="MQN47" s="225"/>
      <c r="MQO47" s="225"/>
      <c r="MQP47" s="225"/>
      <c r="MQQ47" s="225"/>
      <c r="MQR47" s="225"/>
      <c r="MQS47" s="225"/>
      <c r="MQT47" s="225"/>
      <c r="MQU47" s="225"/>
      <c r="MQV47" s="225"/>
      <c r="MQW47" s="225"/>
      <c r="MQX47" s="225"/>
      <c r="MQY47" s="225"/>
      <c r="MQZ47" s="225"/>
      <c r="MRA47" s="225"/>
      <c r="MRB47" s="225"/>
      <c r="MRC47" s="225"/>
      <c r="MRD47" s="225"/>
      <c r="MRE47" s="225"/>
      <c r="MRF47" s="225"/>
      <c r="MRG47" s="225"/>
      <c r="MRH47" s="225"/>
      <c r="MRI47" s="225"/>
      <c r="MRJ47" s="225"/>
      <c r="MRK47" s="225"/>
      <c r="MRL47" s="225"/>
      <c r="MRM47" s="225"/>
      <c r="MRN47" s="225"/>
      <c r="MRO47" s="225"/>
      <c r="MRP47" s="225"/>
      <c r="MRQ47" s="225"/>
      <c r="MRR47" s="225"/>
      <c r="MRS47" s="225"/>
      <c r="MRT47" s="225"/>
      <c r="MRU47" s="225"/>
      <c r="MRV47" s="225"/>
      <c r="MRW47" s="225"/>
      <c r="MRX47" s="225"/>
      <c r="MRY47" s="225"/>
      <c r="MRZ47" s="225"/>
      <c r="MSA47" s="225"/>
      <c r="MSB47" s="225"/>
      <c r="MSC47" s="225"/>
      <c r="MSD47" s="225"/>
      <c r="MSE47" s="225"/>
      <c r="MSF47" s="225"/>
      <c r="MSG47" s="225"/>
      <c r="MSH47" s="225"/>
      <c r="MSI47" s="225"/>
      <c r="MSJ47" s="225"/>
      <c r="MSK47" s="225"/>
      <c r="MSL47" s="225"/>
      <c r="MSM47" s="225"/>
      <c r="MSN47" s="225"/>
      <c r="MSO47" s="225"/>
      <c r="MSP47" s="225"/>
      <c r="MSQ47" s="225"/>
      <c r="MSR47" s="225"/>
      <c r="MSS47" s="225"/>
      <c r="MST47" s="225"/>
      <c r="MSU47" s="225"/>
      <c r="MSV47" s="225"/>
      <c r="MSW47" s="225"/>
      <c r="MSX47" s="225"/>
      <c r="MSY47" s="225"/>
      <c r="MSZ47" s="225"/>
      <c r="MTA47" s="225"/>
      <c r="MTB47" s="225"/>
      <c r="MTC47" s="225"/>
      <c r="MTD47" s="225"/>
      <c r="MTE47" s="225"/>
      <c r="MTF47" s="225"/>
      <c r="MTG47" s="225"/>
      <c r="MTH47" s="225"/>
      <c r="MTI47" s="225"/>
      <c r="MTJ47" s="225"/>
      <c r="MTK47" s="225"/>
      <c r="MTL47" s="225"/>
      <c r="MTM47" s="225"/>
      <c r="MTN47" s="225"/>
      <c r="MTO47" s="225"/>
      <c r="MTP47" s="225"/>
      <c r="MTQ47" s="225"/>
      <c r="MTR47" s="225"/>
      <c r="MTS47" s="225"/>
      <c r="MTT47" s="225"/>
      <c r="MTU47" s="225"/>
      <c r="MTV47" s="225"/>
      <c r="MTW47" s="225"/>
      <c r="MTX47" s="225"/>
      <c r="MTY47" s="225"/>
      <c r="MTZ47" s="225"/>
      <c r="MUA47" s="225"/>
      <c r="MUB47" s="225"/>
      <c r="MUC47" s="225"/>
      <c r="MUD47" s="225"/>
      <c r="MUE47" s="225"/>
      <c r="MUF47" s="225"/>
      <c r="MUG47" s="225"/>
      <c r="MUH47" s="225"/>
      <c r="MUI47" s="225"/>
      <c r="MUJ47" s="225"/>
      <c r="MUK47" s="225"/>
      <c r="MUL47" s="225"/>
      <c r="MUM47" s="225"/>
      <c r="MUN47" s="225"/>
      <c r="MUO47" s="225"/>
      <c r="MUP47" s="225"/>
      <c r="MUQ47" s="225"/>
      <c r="MUR47" s="225"/>
      <c r="MUS47" s="225"/>
      <c r="MUT47" s="225"/>
      <c r="MUU47" s="225"/>
      <c r="MUV47" s="225"/>
      <c r="MUW47" s="225"/>
      <c r="MUX47" s="225"/>
      <c r="MUY47" s="225"/>
      <c r="MUZ47" s="225"/>
      <c r="MVA47" s="225"/>
      <c r="MVB47" s="225"/>
      <c r="MVC47" s="225"/>
      <c r="MVD47" s="225"/>
      <c r="MVE47" s="225"/>
      <c r="MVF47" s="225"/>
      <c r="MVG47" s="225"/>
      <c r="MVH47" s="225"/>
      <c r="MVI47" s="225"/>
      <c r="MVJ47" s="225"/>
      <c r="MVK47" s="225"/>
      <c r="MVL47" s="225"/>
      <c r="MVM47" s="225"/>
      <c r="MVN47" s="225"/>
      <c r="MVO47" s="225"/>
      <c r="MVP47" s="225"/>
      <c r="MVQ47" s="225"/>
      <c r="MVR47" s="225"/>
      <c r="MVS47" s="225"/>
      <c r="MVT47" s="225"/>
      <c r="MVU47" s="225"/>
      <c r="MVV47" s="225"/>
      <c r="MVW47" s="225"/>
      <c r="MVX47" s="225"/>
      <c r="MVY47" s="225"/>
      <c r="MVZ47" s="225"/>
      <c r="MWA47" s="225"/>
      <c r="MWB47" s="225"/>
      <c r="MWC47" s="225"/>
      <c r="MWD47" s="225"/>
      <c r="MWE47" s="225"/>
      <c r="MWF47" s="225"/>
      <c r="MWG47" s="225"/>
      <c r="MWH47" s="225"/>
      <c r="MWI47" s="225"/>
      <c r="MWJ47" s="225"/>
      <c r="MWK47" s="225"/>
      <c r="MWL47" s="225"/>
      <c r="MWM47" s="225"/>
      <c r="MWN47" s="225"/>
      <c r="MWO47" s="225"/>
      <c r="MWP47" s="225"/>
      <c r="MWQ47" s="225"/>
      <c r="MWR47" s="225"/>
      <c r="MWS47" s="225"/>
      <c r="MWT47" s="225"/>
      <c r="MWU47" s="225"/>
      <c r="MWV47" s="225"/>
      <c r="MWW47" s="225"/>
      <c r="MWX47" s="225"/>
      <c r="MWY47" s="225"/>
      <c r="MWZ47" s="225"/>
      <c r="MXA47" s="225"/>
      <c r="MXB47" s="225"/>
      <c r="MXC47" s="225"/>
      <c r="MXD47" s="225"/>
      <c r="MXE47" s="225"/>
      <c r="MXF47" s="225"/>
      <c r="MXG47" s="225"/>
      <c r="MXH47" s="225"/>
      <c r="MXI47" s="225"/>
      <c r="MXJ47" s="225"/>
      <c r="MXK47" s="225"/>
      <c r="MXL47" s="225"/>
      <c r="MXM47" s="225"/>
      <c r="MXN47" s="225"/>
      <c r="MXO47" s="225"/>
      <c r="MXP47" s="225"/>
      <c r="MXQ47" s="225"/>
      <c r="MXR47" s="225"/>
      <c r="MXS47" s="225"/>
      <c r="MXT47" s="225"/>
      <c r="MXU47" s="225"/>
      <c r="MXV47" s="225"/>
      <c r="MXW47" s="225"/>
      <c r="MXX47" s="225"/>
      <c r="MXY47" s="225"/>
      <c r="MXZ47" s="225"/>
      <c r="MYA47" s="225"/>
      <c r="MYB47" s="225"/>
      <c r="MYC47" s="225"/>
      <c r="MYD47" s="225"/>
      <c r="MYE47" s="225"/>
      <c r="MYF47" s="225"/>
      <c r="MYG47" s="225"/>
      <c r="MYH47" s="225"/>
      <c r="MYI47" s="225"/>
      <c r="MYJ47" s="225"/>
      <c r="MYK47" s="225"/>
      <c r="MYL47" s="225"/>
      <c r="MYM47" s="225"/>
      <c r="MYN47" s="225"/>
      <c r="MYO47" s="225"/>
      <c r="MYP47" s="225"/>
      <c r="MYQ47" s="225"/>
      <c r="MYR47" s="225"/>
      <c r="MYS47" s="225"/>
      <c r="MYT47" s="225"/>
      <c r="MYU47" s="225"/>
      <c r="MYV47" s="225"/>
      <c r="MYW47" s="225"/>
      <c r="MYX47" s="225"/>
      <c r="MYY47" s="225"/>
      <c r="MYZ47" s="225"/>
      <c r="MZA47" s="225"/>
      <c r="MZB47" s="225"/>
      <c r="MZC47" s="225"/>
      <c r="MZD47" s="225"/>
      <c r="MZE47" s="225"/>
      <c r="MZF47" s="225"/>
      <c r="MZG47" s="225"/>
      <c r="MZH47" s="225"/>
      <c r="MZI47" s="225"/>
      <c r="MZJ47" s="225"/>
      <c r="MZK47" s="225"/>
      <c r="MZL47" s="225"/>
      <c r="MZM47" s="225"/>
      <c r="MZN47" s="225"/>
      <c r="MZO47" s="225"/>
      <c r="MZP47" s="225"/>
      <c r="MZQ47" s="225"/>
      <c r="MZR47" s="225"/>
      <c r="MZS47" s="225"/>
      <c r="MZT47" s="225"/>
      <c r="MZU47" s="225"/>
      <c r="MZV47" s="225"/>
      <c r="MZW47" s="225"/>
      <c r="MZX47" s="225"/>
      <c r="MZY47" s="225"/>
      <c r="MZZ47" s="225"/>
      <c r="NAA47" s="225"/>
      <c r="NAB47" s="225"/>
      <c r="NAC47" s="225"/>
      <c r="NAD47" s="225"/>
      <c r="NAE47" s="225"/>
      <c r="NAF47" s="225"/>
      <c r="NAG47" s="225"/>
      <c r="NAH47" s="225"/>
      <c r="NAI47" s="225"/>
      <c r="NAJ47" s="225"/>
      <c r="NAK47" s="225"/>
      <c r="NAL47" s="225"/>
      <c r="NAM47" s="225"/>
      <c r="NAN47" s="225"/>
      <c r="NAO47" s="225"/>
      <c r="NAP47" s="225"/>
      <c r="NAQ47" s="225"/>
      <c r="NAR47" s="225"/>
      <c r="NAS47" s="225"/>
      <c r="NAT47" s="225"/>
      <c r="NAU47" s="225"/>
      <c r="NAV47" s="225"/>
      <c r="NAW47" s="225"/>
      <c r="NAX47" s="225"/>
      <c r="NAY47" s="225"/>
      <c r="NAZ47" s="225"/>
      <c r="NBA47" s="225"/>
      <c r="NBB47" s="225"/>
      <c r="NBC47" s="225"/>
      <c r="NBD47" s="225"/>
      <c r="NBE47" s="225"/>
      <c r="NBF47" s="225"/>
      <c r="NBG47" s="225"/>
      <c r="NBH47" s="225"/>
      <c r="NBI47" s="225"/>
      <c r="NBJ47" s="225"/>
      <c r="NBK47" s="225"/>
      <c r="NBL47" s="225"/>
      <c r="NBM47" s="225"/>
      <c r="NBN47" s="225"/>
      <c r="NBO47" s="225"/>
      <c r="NBP47" s="225"/>
      <c r="NBQ47" s="225"/>
      <c r="NBR47" s="225"/>
      <c r="NBS47" s="225"/>
      <c r="NBT47" s="225"/>
      <c r="NBU47" s="225"/>
      <c r="NBV47" s="225"/>
      <c r="NBW47" s="225"/>
      <c r="NBX47" s="225"/>
      <c r="NBY47" s="225"/>
      <c r="NBZ47" s="225"/>
      <c r="NCA47" s="225"/>
      <c r="NCB47" s="225"/>
      <c r="NCC47" s="225"/>
      <c r="NCD47" s="225"/>
      <c r="NCE47" s="225"/>
      <c r="NCF47" s="225"/>
      <c r="NCG47" s="225"/>
      <c r="NCH47" s="225"/>
      <c r="NCI47" s="225"/>
      <c r="NCJ47" s="225"/>
      <c r="NCK47" s="225"/>
      <c r="NCL47" s="225"/>
      <c r="NCM47" s="225"/>
      <c r="NCN47" s="225"/>
      <c r="NCO47" s="225"/>
      <c r="NCP47" s="225"/>
      <c r="NCQ47" s="225"/>
      <c r="NCR47" s="225"/>
      <c r="NCS47" s="225"/>
      <c r="NCT47" s="225"/>
      <c r="NCU47" s="225"/>
      <c r="NCV47" s="225"/>
      <c r="NCW47" s="225"/>
      <c r="NCX47" s="225"/>
      <c r="NCY47" s="225"/>
      <c r="NCZ47" s="225"/>
      <c r="NDA47" s="225"/>
      <c r="NDB47" s="225"/>
      <c r="NDC47" s="225"/>
      <c r="NDD47" s="225"/>
      <c r="NDE47" s="225"/>
      <c r="NDF47" s="225"/>
      <c r="NDG47" s="225"/>
      <c r="NDH47" s="225"/>
      <c r="NDI47" s="225"/>
      <c r="NDJ47" s="225"/>
      <c r="NDK47" s="225"/>
      <c r="NDL47" s="225"/>
      <c r="NDM47" s="225"/>
      <c r="NDN47" s="225"/>
      <c r="NDO47" s="225"/>
      <c r="NDP47" s="225"/>
      <c r="NDQ47" s="225"/>
      <c r="NDR47" s="225"/>
      <c r="NDS47" s="225"/>
      <c r="NDT47" s="225"/>
      <c r="NDU47" s="225"/>
      <c r="NDV47" s="225"/>
      <c r="NDW47" s="225"/>
      <c r="NDX47" s="225"/>
      <c r="NDY47" s="225"/>
      <c r="NDZ47" s="225"/>
      <c r="NEA47" s="225"/>
      <c r="NEB47" s="225"/>
      <c r="NEC47" s="225"/>
      <c r="NED47" s="225"/>
      <c r="NEE47" s="225"/>
      <c r="NEF47" s="225"/>
      <c r="NEG47" s="225"/>
      <c r="NEH47" s="225"/>
      <c r="NEI47" s="225"/>
      <c r="NEJ47" s="225"/>
      <c r="NEK47" s="225"/>
      <c r="NEL47" s="225"/>
      <c r="NEM47" s="225"/>
      <c r="NEN47" s="225"/>
      <c r="NEO47" s="225"/>
      <c r="NEP47" s="225"/>
      <c r="NEQ47" s="225"/>
      <c r="NER47" s="225"/>
      <c r="NES47" s="225"/>
      <c r="NET47" s="225"/>
      <c r="NEU47" s="225"/>
      <c r="NEV47" s="225"/>
      <c r="NEW47" s="225"/>
      <c r="NEX47" s="225"/>
      <c r="NEY47" s="225"/>
      <c r="NEZ47" s="225"/>
      <c r="NFA47" s="225"/>
      <c r="NFB47" s="225"/>
      <c r="NFC47" s="225"/>
      <c r="NFD47" s="225"/>
      <c r="NFE47" s="225"/>
      <c r="NFF47" s="225"/>
      <c r="NFG47" s="225"/>
      <c r="NFH47" s="225"/>
      <c r="NFI47" s="225"/>
      <c r="NFJ47" s="225"/>
      <c r="NFK47" s="225"/>
      <c r="NFL47" s="225"/>
      <c r="NFM47" s="225"/>
      <c r="NFN47" s="225"/>
      <c r="NFO47" s="225"/>
      <c r="NFP47" s="225"/>
      <c r="NFQ47" s="225"/>
      <c r="NFR47" s="225"/>
      <c r="NFS47" s="225"/>
      <c r="NFT47" s="225"/>
      <c r="NFU47" s="225"/>
      <c r="NFV47" s="225"/>
      <c r="NFW47" s="225"/>
      <c r="NFX47" s="225"/>
      <c r="NFY47" s="225"/>
      <c r="NFZ47" s="225"/>
      <c r="NGA47" s="225"/>
      <c r="NGB47" s="225"/>
      <c r="NGC47" s="225"/>
      <c r="NGD47" s="225"/>
      <c r="NGE47" s="225"/>
      <c r="NGF47" s="225"/>
      <c r="NGG47" s="225"/>
      <c r="NGH47" s="225"/>
      <c r="NGI47" s="225"/>
      <c r="NGJ47" s="225"/>
      <c r="NGK47" s="225"/>
      <c r="NGL47" s="225"/>
      <c r="NGM47" s="225"/>
      <c r="NGN47" s="225"/>
      <c r="NGO47" s="225"/>
      <c r="NGP47" s="225"/>
      <c r="NGQ47" s="225"/>
      <c r="NGR47" s="225"/>
      <c r="NGS47" s="225"/>
      <c r="NGT47" s="225"/>
      <c r="NGU47" s="225"/>
      <c r="NGV47" s="225"/>
      <c r="NGW47" s="225"/>
      <c r="NGX47" s="225"/>
      <c r="NGY47" s="225"/>
      <c r="NGZ47" s="225"/>
      <c r="NHA47" s="225"/>
      <c r="NHB47" s="225"/>
      <c r="NHC47" s="225"/>
      <c r="NHD47" s="225"/>
      <c r="NHE47" s="225"/>
      <c r="NHF47" s="225"/>
      <c r="NHG47" s="225"/>
      <c r="NHH47" s="225"/>
      <c r="NHI47" s="225"/>
      <c r="NHJ47" s="225"/>
      <c r="NHK47" s="225"/>
      <c r="NHL47" s="225"/>
      <c r="NHM47" s="225"/>
      <c r="NHN47" s="225"/>
      <c r="NHO47" s="225"/>
      <c r="NHP47" s="225"/>
      <c r="NHQ47" s="225"/>
      <c r="NHR47" s="225"/>
      <c r="NHS47" s="225"/>
      <c r="NHT47" s="225"/>
      <c r="NHU47" s="225"/>
      <c r="NHV47" s="225"/>
      <c r="NHW47" s="225"/>
      <c r="NHX47" s="225"/>
      <c r="NHY47" s="225"/>
      <c r="NHZ47" s="225"/>
      <c r="NIA47" s="225"/>
      <c r="NIB47" s="225"/>
      <c r="NIC47" s="225"/>
      <c r="NID47" s="225"/>
      <c r="NIE47" s="225"/>
      <c r="NIF47" s="225"/>
      <c r="NIG47" s="225"/>
      <c r="NIH47" s="225"/>
      <c r="NII47" s="225"/>
      <c r="NIJ47" s="225"/>
      <c r="NIK47" s="225"/>
      <c r="NIL47" s="225"/>
      <c r="NIM47" s="225"/>
      <c r="NIN47" s="225"/>
      <c r="NIO47" s="225"/>
      <c r="NIP47" s="225"/>
      <c r="NIQ47" s="225"/>
      <c r="NIR47" s="225"/>
      <c r="NIS47" s="225"/>
      <c r="NIT47" s="225"/>
      <c r="NIU47" s="225"/>
      <c r="NIV47" s="225"/>
      <c r="NIW47" s="225"/>
      <c r="NIX47" s="225"/>
      <c r="NIY47" s="225"/>
      <c r="NIZ47" s="225"/>
      <c r="NJA47" s="225"/>
      <c r="NJB47" s="225"/>
      <c r="NJC47" s="225"/>
      <c r="NJD47" s="225"/>
      <c r="NJE47" s="225"/>
      <c r="NJF47" s="225"/>
      <c r="NJG47" s="225"/>
      <c r="NJH47" s="225"/>
      <c r="NJI47" s="225"/>
      <c r="NJJ47" s="225"/>
      <c r="NJK47" s="225"/>
      <c r="NJL47" s="225"/>
      <c r="NJM47" s="225"/>
      <c r="NJN47" s="225"/>
      <c r="NJO47" s="225"/>
      <c r="NJP47" s="225"/>
      <c r="NJQ47" s="225"/>
      <c r="NJR47" s="225"/>
      <c r="NJS47" s="225"/>
      <c r="NJT47" s="225"/>
      <c r="NJU47" s="225"/>
      <c r="NJV47" s="225"/>
      <c r="NJW47" s="225"/>
      <c r="NJX47" s="225"/>
      <c r="NJY47" s="225"/>
      <c r="NJZ47" s="225"/>
      <c r="NKA47" s="225"/>
      <c r="NKB47" s="225"/>
      <c r="NKC47" s="225"/>
      <c r="NKD47" s="225"/>
      <c r="NKE47" s="225"/>
      <c r="NKF47" s="225"/>
      <c r="NKG47" s="225"/>
      <c r="NKH47" s="225"/>
      <c r="NKI47" s="225"/>
      <c r="NKJ47" s="225"/>
      <c r="NKK47" s="225"/>
      <c r="NKL47" s="225"/>
      <c r="NKM47" s="225"/>
      <c r="NKN47" s="225"/>
      <c r="NKO47" s="225"/>
      <c r="NKP47" s="225"/>
      <c r="NKQ47" s="225"/>
      <c r="NKR47" s="225"/>
      <c r="NKS47" s="225"/>
      <c r="NKT47" s="225"/>
      <c r="NKU47" s="225"/>
      <c r="NKV47" s="225"/>
      <c r="NKW47" s="225"/>
      <c r="NKX47" s="225"/>
      <c r="NKY47" s="225"/>
      <c r="NKZ47" s="225"/>
      <c r="NLA47" s="225"/>
      <c r="NLB47" s="225"/>
      <c r="NLC47" s="225"/>
      <c r="NLD47" s="225"/>
      <c r="NLE47" s="225"/>
      <c r="NLF47" s="225"/>
      <c r="NLG47" s="225"/>
      <c r="NLH47" s="225"/>
      <c r="NLI47" s="225"/>
      <c r="NLJ47" s="225"/>
      <c r="NLK47" s="225"/>
      <c r="NLL47" s="225"/>
      <c r="NLM47" s="225"/>
      <c r="NLN47" s="225"/>
      <c r="NLO47" s="225"/>
      <c r="NLP47" s="225"/>
      <c r="NLQ47" s="225"/>
      <c r="NLR47" s="225"/>
      <c r="NLS47" s="225"/>
      <c r="NLT47" s="225"/>
      <c r="NLU47" s="225"/>
      <c r="NLV47" s="225"/>
      <c r="NLW47" s="225"/>
      <c r="NLX47" s="225"/>
      <c r="NLY47" s="225"/>
      <c r="NLZ47" s="225"/>
      <c r="NMA47" s="225"/>
      <c r="NMB47" s="225"/>
      <c r="NMC47" s="225"/>
      <c r="NMD47" s="225"/>
      <c r="NME47" s="225"/>
      <c r="NMF47" s="225"/>
      <c r="NMG47" s="225"/>
      <c r="NMH47" s="225"/>
      <c r="NMI47" s="225"/>
      <c r="NMJ47" s="225"/>
      <c r="NMK47" s="225"/>
      <c r="NML47" s="225"/>
      <c r="NMM47" s="225"/>
      <c r="NMN47" s="225"/>
      <c r="NMO47" s="225"/>
      <c r="NMP47" s="225"/>
      <c r="NMQ47" s="225"/>
      <c r="NMR47" s="225"/>
      <c r="NMS47" s="225"/>
      <c r="NMT47" s="225"/>
      <c r="NMU47" s="225"/>
      <c r="NMV47" s="225"/>
      <c r="NMW47" s="225"/>
      <c r="NMX47" s="225"/>
      <c r="NMY47" s="225"/>
      <c r="NMZ47" s="225"/>
      <c r="NNA47" s="225"/>
      <c r="NNB47" s="225"/>
      <c r="NNC47" s="225"/>
      <c r="NND47" s="225"/>
      <c r="NNE47" s="225"/>
      <c r="NNF47" s="225"/>
      <c r="NNG47" s="225"/>
      <c r="NNH47" s="225"/>
      <c r="NNI47" s="225"/>
      <c r="NNJ47" s="225"/>
      <c r="NNK47" s="225"/>
      <c r="NNL47" s="225"/>
      <c r="NNM47" s="225"/>
      <c r="NNN47" s="225"/>
      <c r="NNO47" s="225"/>
      <c r="NNP47" s="225"/>
      <c r="NNQ47" s="225"/>
      <c r="NNR47" s="225"/>
      <c r="NNS47" s="225"/>
      <c r="NNT47" s="225"/>
      <c r="NNU47" s="225"/>
      <c r="NNV47" s="225"/>
      <c r="NNW47" s="225"/>
      <c r="NNX47" s="225"/>
      <c r="NNY47" s="225"/>
      <c r="NNZ47" s="225"/>
      <c r="NOA47" s="225"/>
      <c r="NOB47" s="225"/>
      <c r="NOC47" s="225"/>
      <c r="NOD47" s="225"/>
      <c r="NOE47" s="225"/>
      <c r="NOF47" s="225"/>
      <c r="NOG47" s="225"/>
      <c r="NOH47" s="225"/>
      <c r="NOI47" s="225"/>
      <c r="NOJ47" s="225"/>
      <c r="NOK47" s="225"/>
      <c r="NOL47" s="225"/>
      <c r="NOM47" s="225"/>
      <c r="NON47" s="225"/>
      <c r="NOO47" s="225"/>
      <c r="NOP47" s="225"/>
      <c r="NOQ47" s="225"/>
      <c r="NOR47" s="225"/>
      <c r="NOS47" s="225"/>
      <c r="NOT47" s="225"/>
      <c r="NOU47" s="225"/>
      <c r="NOV47" s="225"/>
      <c r="NOW47" s="225"/>
      <c r="NOX47" s="225"/>
      <c r="NOY47" s="225"/>
      <c r="NOZ47" s="225"/>
      <c r="NPA47" s="225"/>
      <c r="NPB47" s="225"/>
      <c r="NPC47" s="225"/>
      <c r="NPD47" s="225"/>
      <c r="NPE47" s="225"/>
      <c r="NPF47" s="225"/>
      <c r="NPG47" s="225"/>
      <c r="NPH47" s="225"/>
      <c r="NPI47" s="225"/>
      <c r="NPJ47" s="225"/>
      <c r="NPK47" s="225"/>
      <c r="NPL47" s="225"/>
      <c r="NPM47" s="225"/>
      <c r="NPN47" s="225"/>
      <c r="NPO47" s="225"/>
      <c r="NPP47" s="225"/>
      <c r="NPQ47" s="225"/>
      <c r="NPR47" s="225"/>
      <c r="NPS47" s="225"/>
      <c r="NPT47" s="225"/>
      <c r="NPU47" s="225"/>
      <c r="NPV47" s="225"/>
      <c r="NPW47" s="225"/>
      <c r="NPX47" s="225"/>
      <c r="NPY47" s="225"/>
      <c r="NPZ47" s="225"/>
      <c r="NQA47" s="225"/>
      <c r="NQB47" s="225"/>
      <c r="NQC47" s="225"/>
      <c r="NQD47" s="225"/>
      <c r="NQE47" s="225"/>
      <c r="NQF47" s="225"/>
      <c r="NQG47" s="225"/>
      <c r="NQH47" s="225"/>
      <c r="NQI47" s="225"/>
      <c r="NQJ47" s="225"/>
      <c r="NQK47" s="225"/>
      <c r="NQL47" s="225"/>
      <c r="NQM47" s="225"/>
      <c r="NQN47" s="225"/>
      <c r="NQO47" s="225"/>
      <c r="NQP47" s="225"/>
      <c r="NQQ47" s="225"/>
      <c r="NQR47" s="225"/>
      <c r="NQS47" s="225"/>
      <c r="NQT47" s="225"/>
      <c r="NQU47" s="225"/>
      <c r="NQV47" s="225"/>
      <c r="NQW47" s="225"/>
      <c r="NQX47" s="225"/>
      <c r="NQY47" s="225"/>
      <c r="NQZ47" s="225"/>
      <c r="NRA47" s="225"/>
      <c r="NRB47" s="225"/>
      <c r="NRC47" s="225"/>
      <c r="NRD47" s="225"/>
      <c r="NRE47" s="225"/>
      <c r="NRF47" s="225"/>
      <c r="NRG47" s="225"/>
      <c r="NRH47" s="225"/>
      <c r="NRI47" s="225"/>
      <c r="NRJ47" s="225"/>
      <c r="NRK47" s="225"/>
      <c r="NRL47" s="225"/>
      <c r="NRM47" s="225"/>
      <c r="NRN47" s="225"/>
      <c r="NRO47" s="225"/>
      <c r="NRP47" s="225"/>
      <c r="NRQ47" s="225"/>
      <c r="NRR47" s="225"/>
      <c r="NRS47" s="225"/>
      <c r="NRT47" s="225"/>
      <c r="NRU47" s="225"/>
      <c r="NRV47" s="225"/>
      <c r="NRW47" s="225"/>
      <c r="NRX47" s="225"/>
      <c r="NRY47" s="225"/>
      <c r="NRZ47" s="225"/>
      <c r="NSA47" s="225"/>
      <c r="NSB47" s="225"/>
      <c r="NSC47" s="225"/>
      <c r="NSD47" s="225"/>
      <c r="NSE47" s="225"/>
      <c r="NSF47" s="225"/>
      <c r="NSG47" s="225"/>
      <c r="NSH47" s="225"/>
      <c r="NSI47" s="225"/>
      <c r="NSJ47" s="225"/>
      <c r="NSK47" s="225"/>
      <c r="NSL47" s="225"/>
      <c r="NSM47" s="225"/>
      <c r="NSN47" s="225"/>
      <c r="NSO47" s="225"/>
      <c r="NSP47" s="225"/>
      <c r="NSQ47" s="225"/>
      <c r="NSR47" s="225"/>
      <c r="NSS47" s="225"/>
      <c r="NST47" s="225"/>
      <c r="NSU47" s="225"/>
      <c r="NSV47" s="225"/>
      <c r="NSW47" s="225"/>
      <c r="NSX47" s="225"/>
      <c r="NSY47" s="225"/>
      <c r="NSZ47" s="225"/>
      <c r="NTA47" s="225"/>
      <c r="NTB47" s="225"/>
      <c r="NTC47" s="225"/>
      <c r="NTD47" s="225"/>
      <c r="NTE47" s="225"/>
      <c r="NTF47" s="225"/>
      <c r="NTG47" s="225"/>
      <c r="NTH47" s="225"/>
      <c r="NTI47" s="225"/>
      <c r="NTJ47" s="225"/>
      <c r="NTK47" s="225"/>
      <c r="NTL47" s="225"/>
      <c r="NTM47" s="225"/>
      <c r="NTN47" s="225"/>
      <c r="NTO47" s="225"/>
      <c r="NTP47" s="225"/>
      <c r="NTQ47" s="225"/>
      <c r="NTR47" s="225"/>
      <c r="NTS47" s="225"/>
      <c r="NTT47" s="225"/>
      <c r="NTU47" s="225"/>
      <c r="NTV47" s="225"/>
      <c r="NTW47" s="225"/>
      <c r="NTX47" s="225"/>
      <c r="NTY47" s="225"/>
      <c r="NTZ47" s="225"/>
      <c r="NUA47" s="225"/>
      <c r="NUB47" s="225"/>
      <c r="NUC47" s="225"/>
      <c r="NUD47" s="225"/>
      <c r="NUE47" s="225"/>
      <c r="NUF47" s="225"/>
      <c r="NUG47" s="225"/>
      <c r="NUH47" s="225"/>
      <c r="NUI47" s="225"/>
      <c r="NUJ47" s="225"/>
      <c r="NUK47" s="225"/>
      <c r="NUL47" s="225"/>
      <c r="NUM47" s="225"/>
      <c r="NUN47" s="225"/>
      <c r="NUO47" s="225"/>
      <c r="NUP47" s="225"/>
      <c r="NUQ47" s="225"/>
      <c r="NUR47" s="225"/>
      <c r="NUS47" s="225"/>
      <c r="NUT47" s="225"/>
      <c r="NUU47" s="225"/>
      <c r="NUV47" s="225"/>
      <c r="NUW47" s="225"/>
      <c r="NUX47" s="225"/>
      <c r="NUY47" s="225"/>
      <c r="NUZ47" s="225"/>
      <c r="NVA47" s="225"/>
      <c r="NVB47" s="225"/>
      <c r="NVC47" s="225"/>
      <c r="NVD47" s="225"/>
      <c r="NVE47" s="225"/>
      <c r="NVF47" s="225"/>
      <c r="NVG47" s="225"/>
      <c r="NVH47" s="225"/>
      <c r="NVI47" s="225"/>
      <c r="NVJ47" s="225"/>
      <c r="NVK47" s="225"/>
      <c r="NVL47" s="225"/>
      <c r="NVM47" s="225"/>
      <c r="NVN47" s="225"/>
      <c r="NVO47" s="225"/>
      <c r="NVP47" s="225"/>
      <c r="NVQ47" s="225"/>
      <c r="NVR47" s="225"/>
      <c r="NVS47" s="225"/>
      <c r="NVT47" s="225"/>
      <c r="NVU47" s="225"/>
      <c r="NVV47" s="225"/>
      <c r="NVW47" s="225"/>
      <c r="NVX47" s="225"/>
      <c r="NVY47" s="225"/>
      <c r="NVZ47" s="225"/>
      <c r="NWA47" s="225"/>
      <c r="NWB47" s="225"/>
      <c r="NWC47" s="225"/>
      <c r="NWD47" s="225"/>
      <c r="NWE47" s="225"/>
      <c r="NWF47" s="225"/>
      <c r="NWG47" s="225"/>
      <c r="NWH47" s="225"/>
      <c r="NWI47" s="225"/>
      <c r="NWJ47" s="225"/>
      <c r="NWK47" s="225"/>
      <c r="NWL47" s="225"/>
      <c r="NWM47" s="225"/>
      <c r="NWN47" s="225"/>
      <c r="NWO47" s="225"/>
      <c r="NWP47" s="225"/>
      <c r="NWQ47" s="225"/>
      <c r="NWR47" s="225"/>
      <c r="NWS47" s="225"/>
      <c r="NWT47" s="225"/>
      <c r="NWU47" s="225"/>
      <c r="NWV47" s="225"/>
      <c r="NWW47" s="225"/>
      <c r="NWX47" s="225"/>
      <c r="NWY47" s="225"/>
      <c r="NWZ47" s="225"/>
      <c r="NXA47" s="225"/>
      <c r="NXB47" s="225"/>
      <c r="NXC47" s="225"/>
      <c r="NXD47" s="225"/>
      <c r="NXE47" s="225"/>
      <c r="NXF47" s="225"/>
      <c r="NXG47" s="225"/>
      <c r="NXH47" s="225"/>
      <c r="NXI47" s="225"/>
      <c r="NXJ47" s="225"/>
      <c r="NXK47" s="225"/>
      <c r="NXL47" s="225"/>
      <c r="NXM47" s="225"/>
      <c r="NXN47" s="225"/>
      <c r="NXO47" s="225"/>
      <c r="NXP47" s="225"/>
      <c r="NXQ47" s="225"/>
      <c r="NXR47" s="225"/>
      <c r="NXS47" s="225"/>
      <c r="NXT47" s="225"/>
      <c r="NXU47" s="225"/>
      <c r="NXV47" s="225"/>
      <c r="NXW47" s="225"/>
      <c r="NXX47" s="225"/>
      <c r="NXY47" s="225"/>
      <c r="NXZ47" s="225"/>
      <c r="NYA47" s="225"/>
      <c r="NYB47" s="225"/>
      <c r="NYC47" s="225"/>
      <c r="NYD47" s="225"/>
      <c r="NYE47" s="225"/>
      <c r="NYF47" s="225"/>
      <c r="NYG47" s="225"/>
      <c r="NYH47" s="225"/>
      <c r="NYI47" s="225"/>
      <c r="NYJ47" s="225"/>
      <c r="NYK47" s="225"/>
      <c r="NYL47" s="225"/>
      <c r="NYM47" s="225"/>
      <c r="NYN47" s="225"/>
      <c r="NYO47" s="225"/>
      <c r="NYP47" s="225"/>
      <c r="NYQ47" s="225"/>
      <c r="NYR47" s="225"/>
      <c r="NYS47" s="225"/>
      <c r="NYT47" s="225"/>
      <c r="NYU47" s="225"/>
      <c r="NYV47" s="225"/>
      <c r="NYW47" s="225"/>
      <c r="NYX47" s="225"/>
      <c r="NYY47" s="225"/>
      <c r="NYZ47" s="225"/>
      <c r="NZA47" s="225"/>
      <c r="NZB47" s="225"/>
      <c r="NZC47" s="225"/>
      <c r="NZD47" s="225"/>
      <c r="NZE47" s="225"/>
      <c r="NZF47" s="225"/>
      <c r="NZG47" s="225"/>
      <c r="NZH47" s="225"/>
      <c r="NZI47" s="225"/>
      <c r="NZJ47" s="225"/>
      <c r="NZK47" s="225"/>
      <c r="NZL47" s="225"/>
      <c r="NZM47" s="225"/>
      <c r="NZN47" s="225"/>
      <c r="NZO47" s="225"/>
      <c r="NZP47" s="225"/>
      <c r="NZQ47" s="225"/>
      <c r="NZR47" s="225"/>
      <c r="NZS47" s="225"/>
      <c r="NZT47" s="225"/>
      <c r="NZU47" s="225"/>
      <c r="NZV47" s="225"/>
      <c r="NZW47" s="225"/>
      <c r="NZX47" s="225"/>
      <c r="NZY47" s="225"/>
      <c r="NZZ47" s="225"/>
      <c r="OAA47" s="225"/>
      <c r="OAB47" s="225"/>
      <c r="OAC47" s="225"/>
      <c r="OAD47" s="225"/>
      <c r="OAE47" s="225"/>
      <c r="OAF47" s="225"/>
      <c r="OAG47" s="225"/>
      <c r="OAH47" s="225"/>
      <c r="OAI47" s="225"/>
      <c r="OAJ47" s="225"/>
      <c r="OAK47" s="225"/>
      <c r="OAL47" s="225"/>
      <c r="OAM47" s="225"/>
      <c r="OAN47" s="225"/>
      <c r="OAO47" s="225"/>
      <c r="OAP47" s="225"/>
      <c r="OAQ47" s="225"/>
      <c r="OAR47" s="225"/>
      <c r="OAS47" s="225"/>
      <c r="OAT47" s="225"/>
      <c r="OAU47" s="225"/>
      <c r="OAV47" s="225"/>
      <c r="OAW47" s="225"/>
      <c r="OAX47" s="225"/>
      <c r="OAY47" s="225"/>
      <c r="OAZ47" s="225"/>
      <c r="OBA47" s="225"/>
      <c r="OBB47" s="225"/>
      <c r="OBC47" s="225"/>
      <c r="OBD47" s="225"/>
      <c r="OBE47" s="225"/>
      <c r="OBF47" s="225"/>
      <c r="OBG47" s="225"/>
      <c r="OBH47" s="225"/>
      <c r="OBI47" s="225"/>
      <c r="OBJ47" s="225"/>
      <c r="OBK47" s="225"/>
      <c r="OBL47" s="225"/>
      <c r="OBM47" s="225"/>
      <c r="OBN47" s="225"/>
      <c r="OBO47" s="225"/>
      <c r="OBP47" s="225"/>
      <c r="OBQ47" s="225"/>
      <c r="OBR47" s="225"/>
      <c r="OBS47" s="225"/>
      <c r="OBT47" s="225"/>
      <c r="OBU47" s="225"/>
      <c r="OBV47" s="225"/>
      <c r="OBW47" s="225"/>
      <c r="OBX47" s="225"/>
      <c r="OBY47" s="225"/>
      <c r="OBZ47" s="225"/>
      <c r="OCA47" s="225"/>
      <c r="OCB47" s="225"/>
      <c r="OCC47" s="225"/>
      <c r="OCD47" s="225"/>
      <c r="OCE47" s="225"/>
      <c r="OCF47" s="225"/>
      <c r="OCG47" s="225"/>
      <c r="OCH47" s="225"/>
      <c r="OCI47" s="225"/>
      <c r="OCJ47" s="225"/>
      <c r="OCK47" s="225"/>
      <c r="OCL47" s="225"/>
      <c r="OCM47" s="225"/>
      <c r="OCN47" s="225"/>
      <c r="OCO47" s="225"/>
      <c r="OCP47" s="225"/>
      <c r="OCQ47" s="225"/>
      <c r="OCR47" s="225"/>
      <c r="OCS47" s="225"/>
      <c r="OCT47" s="225"/>
      <c r="OCU47" s="225"/>
      <c r="OCV47" s="225"/>
      <c r="OCW47" s="225"/>
      <c r="OCX47" s="225"/>
      <c r="OCY47" s="225"/>
      <c r="OCZ47" s="225"/>
      <c r="ODA47" s="225"/>
      <c r="ODB47" s="225"/>
      <c r="ODC47" s="225"/>
      <c r="ODD47" s="225"/>
      <c r="ODE47" s="225"/>
      <c r="ODF47" s="225"/>
      <c r="ODG47" s="225"/>
      <c r="ODH47" s="225"/>
      <c r="ODI47" s="225"/>
      <c r="ODJ47" s="225"/>
      <c r="ODK47" s="225"/>
      <c r="ODL47" s="225"/>
      <c r="ODM47" s="225"/>
      <c r="ODN47" s="225"/>
      <c r="ODO47" s="225"/>
      <c r="ODP47" s="225"/>
      <c r="ODQ47" s="225"/>
      <c r="ODR47" s="225"/>
      <c r="ODS47" s="225"/>
      <c r="ODT47" s="225"/>
      <c r="ODU47" s="225"/>
      <c r="ODV47" s="225"/>
      <c r="ODW47" s="225"/>
      <c r="ODX47" s="225"/>
      <c r="ODY47" s="225"/>
      <c r="ODZ47" s="225"/>
      <c r="OEA47" s="225"/>
      <c r="OEB47" s="225"/>
      <c r="OEC47" s="225"/>
      <c r="OED47" s="225"/>
      <c r="OEE47" s="225"/>
      <c r="OEF47" s="225"/>
      <c r="OEG47" s="225"/>
      <c r="OEH47" s="225"/>
      <c r="OEI47" s="225"/>
      <c r="OEJ47" s="225"/>
      <c r="OEK47" s="225"/>
      <c r="OEL47" s="225"/>
      <c r="OEM47" s="225"/>
      <c r="OEN47" s="225"/>
      <c r="OEO47" s="225"/>
      <c r="OEP47" s="225"/>
      <c r="OEQ47" s="225"/>
      <c r="OER47" s="225"/>
      <c r="OES47" s="225"/>
      <c r="OET47" s="225"/>
      <c r="OEU47" s="225"/>
      <c r="OEV47" s="225"/>
      <c r="OEW47" s="225"/>
      <c r="OEX47" s="225"/>
      <c r="OEY47" s="225"/>
      <c r="OEZ47" s="225"/>
      <c r="OFA47" s="225"/>
      <c r="OFB47" s="225"/>
      <c r="OFC47" s="225"/>
      <c r="OFD47" s="225"/>
      <c r="OFE47" s="225"/>
      <c r="OFF47" s="225"/>
      <c r="OFG47" s="225"/>
      <c r="OFH47" s="225"/>
      <c r="OFI47" s="225"/>
      <c r="OFJ47" s="225"/>
      <c r="OFK47" s="225"/>
      <c r="OFL47" s="225"/>
      <c r="OFM47" s="225"/>
      <c r="OFN47" s="225"/>
      <c r="OFO47" s="225"/>
      <c r="OFP47" s="225"/>
      <c r="OFQ47" s="225"/>
      <c r="OFR47" s="225"/>
      <c r="OFS47" s="225"/>
      <c r="OFT47" s="225"/>
      <c r="OFU47" s="225"/>
      <c r="OFV47" s="225"/>
      <c r="OFW47" s="225"/>
      <c r="OFX47" s="225"/>
      <c r="OFY47" s="225"/>
      <c r="OFZ47" s="225"/>
      <c r="OGA47" s="225"/>
      <c r="OGB47" s="225"/>
      <c r="OGC47" s="225"/>
      <c r="OGD47" s="225"/>
      <c r="OGE47" s="225"/>
      <c r="OGF47" s="225"/>
      <c r="OGG47" s="225"/>
      <c r="OGH47" s="225"/>
      <c r="OGI47" s="225"/>
      <c r="OGJ47" s="225"/>
      <c r="OGK47" s="225"/>
      <c r="OGL47" s="225"/>
      <c r="OGM47" s="225"/>
      <c r="OGN47" s="225"/>
      <c r="OGO47" s="225"/>
      <c r="OGP47" s="225"/>
      <c r="OGQ47" s="225"/>
      <c r="OGR47" s="225"/>
      <c r="OGS47" s="225"/>
      <c r="OGT47" s="225"/>
      <c r="OGU47" s="225"/>
      <c r="OGV47" s="225"/>
      <c r="OGW47" s="225"/>
      <c r="OGX47" s="225"/>
      <c r="OGY47" s="225"/>
      <c r="OGZ47" s="225"/>
      <c r="OHA47" s="225"/>
      <c r="OHB47" s="225"/>
      <c r="OHC47" s="225"/>
      <c r="OHD47" s="225"/>
      <c r="OHE47" s="225"/>
      <c r="OHF47" s="225"/>
      <c r="OHG47" s="225"/>
      <c r="OHH47" s="225"/>
      <c r="OHI47" s="225"/>
      <c r="OHJ47" s="225"/>
      <c r="OHK47" s="225"/>
      <c r="OHL47" s="225"/>
      <c r="OHM47" s="225"/>
      <c r="OHN47" s="225"/>
      <c r="OHO47" s="225"/>
      <c r="OHP47" s="225"/>
      <c r="OHQ47" s="225"/>
      <c r="OHR47" s="225"/>
      <c r="OHS47" s="225"/>
      <c r="OHT47" s="225"/>
      <c r="OHU47" s="225"/>
      <c r="OHV47" s="225"/>
      <c r="OHW47" s="225"/>
      <c r="OHX47" s="225"/>
      <c r="OHY47" s="225"/>
      <c r="OHZ47" s="225"/>
      <c r="OIA47" s="225"/>
      <c r="OIB47" s="225"/>
      <c r="OIC47" s="225"/>
      <c r="OID47" s="225"/>
      <c r="OIE47" s="225"/>
      <c r="OIF47" s="225"/>
      <c r="OIG47" s="225"/>
      <c r="OIH47" s="225"/>
      <c r="OII47" s="225"/>
      <c r="OIJ47" s="225"/>
      <c r="OIK47" s="225"/>
      <c r="OIL47" s="225"/>
      <c r="OIM47" s="225"/>
      <c r="OIN47" s="225"/>
      <c r="OIO47" s="225"/>
      <c r="OIP47" s="225"/>
      <c r="OIQ47" s="225"/>
      <c r="OIR47" s="225"/>
      <c r="OIS47" s="225"/>
      <c r="OIT47" s="225"/>
      <c r="OIU47" s="225"/>
      <c r="OIV47" s="225"/>
      <c r="OIW47" s="225"/>
      <c r="OIX47" s="225"/>
      <c r="OIY47" s="225"/>
      <c r="OIZ47" s="225"/>
      <c r="OJA47" s="225"/>
      <c r="OJB47" s="225"/>
      <c r="OJC47" s="225"/>
      <c r="OJD47" s="225"/>
      <c r="OJE47" s="225"/>
      <c r="OJF47" s="225"/>
      <c r="OJG47" s="225"/>
      <c r="OJH47" s="225"/>
      <c r="OJI47" s="225"/>
      <c r="OJJ47" s="225"/>
      <c r="OJK47" s="225"/>
      <c r="OJL47" s="225"/>
      <c r="OJM47" s="225"/>
      <c r="OJN47" s="225"/>
      <c r="OJO47" s="225"/>
      <c r="OJP47" s="225"/>
      <c r="OJQ47" s="225"/>
      <c r="OJR47" s="225"/>
      <c r="OJS47" s="225"/>
      <c r="OJT47" s="225"/>
      <c r="OJU47" s="225"/>
      <c r="OJV47" s="225"/>
      <c r="OJW47" s="225"/>
      <c r="OJX47" s="225"/>
      <c r="OJY47" s="225"/>
      <c r="OJZ47" s="225"/>
      <c r="OKA47" s="225"/>
      <c r="OKB47" s="225"/>
      <c r="OKC47" s="225"/>
      <c r="OKD47" s="225"/>
      <c r="OKE47" s="225"/>
      <c r="OKF47" s="225"/>
      <c r="OKG47" s="225"/>
      <c r="OKH47" s="225"/>
      <c r="OKI47" s="225"/>
      <c r="OKJ47" s="225"/>
      <c r="OKK47" s="225"/>
      <c r="OKL47" s="225"/>
      <c r="OKM47" s="225"/>
      <c r="OKN47" s="225"/>
      <c r="OKO47" s="225"/>
      <c r="OKP47" s="225"/>
      <c r="OKQ47" s="225"/>
      <c r="OKR47" s="225"/>
      <c r="OKS47" s="225"/>
      <c r="OKT47" s="225"/>
      <c r="OKU47" s="225"/>
      <c r="OKV47" s="225"/>
      <c r="OKW47" s="225"/>
      <c r="OKX47" s="225"/>
      <c r="OKY47" s="225"/>
      <c r="OKZ47" s="225"/>
      <c r="OLA47" s="225"/>
      <c r="OLB47" s="225"/>
      <c r="OLC47" s="225"/>
      <c r="OLD47" s="225"/>
      <c r="OLE47" s="225"/>
      <c r="OLF47" s="225"/>
      <c r="OLG47" s="225"/>
      <c r="OLH47" s="225"/>
      <c r="OLI47" s="225"/>
      <c r="OLJ47" s="225"/>
      <c r="OLK47" s="225"/>
      <c r="OLL47" s="225"/>
      <c r="OLM47" s="225"/>
      <c r="OLN47" s="225"/>
      <c r="OLO47" s="225"/>
      <c r="OLP47" s="225"/>
      <c r="OLQ47" s="225"/>
      <c r="OLR47" s="225"/>
      <c r="OLS47" s="225"/>
      <c r="OLT47" s="225"/>
      <c r="OLU47" s="225"/>
      <c r="OLV47" s="225"/>
      <c r="OLW47" s="225"/>
      <c r="OLX47" s="225"/>
      <c r="OLY47" s="225"/>
      <c r="OLZ47" s="225"/>
      <c r="OMA47" s="225"/>
      <c r="OMB47" s="225"/>
      <c r="OMC47" s="225"/>
      <c r="OMD47" s="225"/>
      <c r="OME47" s="225"/>
      <c r="OMF47" s="225"/>
      <c r="OMG47" s="225"/>
      <c r="OMH47" s="225"/>
      <c r="OMI47" s="225"/>
      <c r="OMJ47" s="225"/>
      <c r="OMK47" s="225"/>
      <c r="OML47" s="225"/>
      <c r="OMM47" s="225"/>
      <c r="OMN47" s="225"/>
      <c r="OMO47" s="225"/>
      <c r="OMP47" s="225"/>
      <c r="OMQ47" s="225"/>
      <c r="OMR47" s="225"/>
      <c r="OMS47" s="225"/>
      <c r="OMT47" s="225"/>
      <c r="OMU47" s="225"/>
      <c r="OMV47" s="225"/>
      <c r="OMW47" s="225"/>
      <c r="OMX47" s="225"/>
      <c r="OMY47" s="225"/>
      <c r="OMZ47" s="225"/>
      <c r="ONA47" s="225"/>
      <c r="ONB47" s="225"/>
      <c r="ONC47" s="225"/>
      <c r="OND47" s="225"/>
      <c r="ONE47" s="225"/>
      <c r="ONF47" s="225"/>
      <c r="ONG47" s="225"/>
      <c r="ONH47" s="225"/>
      <c r="ONI47" s="225"/>
      <c r="ONJ47" s="225"/>
      <c r="ONK47" s="225"/>
      <c r="ONL47" s="225"/>
      <c r="ONM47" s="225"/>
      <c r="ONN47" s="225"/>
      <c r="ONO47" s="225"/>
      <c r="ONP47" s="225"/>
      <c r="ONQ47" s="225"/>
      <c r="ONR47" s="225"/>
      <c r="ONS47" s="225"/>
      <c r="ONT47" s="225"/>
      <c r="ONU47" s="225"/>
      <c r="ONV47" s="225"/>
      <c r="ONW47" s="225"/>
      <c r="ONX47" s="225"/>
      <c r="ONY47" s="225"/>
      <c r="ONZ47" s="225"/>
      <c r="OOA47" s="225"/>
      <c r="OOB47" s="225"/>
      <c r="OOC47" s="225"/>
      <c r="OOD47" s="225"/>
      <c r="OOE47" s="225"/>
      <c r="OOF47" s="225"/>
      <c r="OOG47" s="225"/>
      <c r="OOH47" s="225"/>
      <c r="OOI47" s="225"/>
      <c r="OOJ47" s="225"/>
      <c r="OOK47" s="225"/>
      <c r="OOL47" s="225"/>
      <c r="OOM47" s="225"/>
      <c r="OON47" s="225"/>
      <c r="OOO47" s="225"/>
      <c r="OOP47" s="225"/>
      <c r="OOQ47" s="225"/>
      <c r="OOR47" s="225"/>
      <c r="OOS47" s="225"/>
      <c r="OOT47" s="225"/>
      <c r="OOU47" s="225"/>
      <c r="OOV47" s="225"/>
      <c r="OOW47" s="225"/>
      <c r="OOX47" s="225"/>
      <c r="OOY47" s="225"/>
      <c r="OOZ47" s="225"/>
      <c r="OPA47" s="225"/>
      <c r="OPB47" s="225"/>
      <c r="OPC47" s="225"/>
      <c r="OPD47" s="225"/>
      <c r="OPE47" s="225"/>
      <c r="OPF47" s="225"/>
      <c r="OPG47" s="225"/>
      <c r="OPH47" s="225"/>
      <c r="OPI47" s="225"/>
      <c r="OPJ47" s="225"/>
      <c r="OPK47" s="225"/>
      <c r="OPL47" s="225"/>
      <c r="OPM47" s="225"/>
      <c r="OPN47" s="225"/>
      <c r="OPO47" s="225"/>
      <c r="OPP47" s="225"/>
      <c r="OPQ47" s="225"/>
      <c r="OPR47" s="225"/>
      <c r="OPS47" s="225"/>
      <c r="OPT47" s="225"/>
      <c r="OPU47" s="225"/>
      <c r="OPV47" s="225"/>
      <c r="OPW47" s="225"/>
      <c r="OPX47" s="225"/>
      <c r="OPY47" s="225"/>
      <c r="OPZ47" s="225"/>
      <c r="OQA47" s="225"/>
      <c r="OQB47" s="225"/>
      <c r="OQC47" s="225"/>
      <c r="OQD47" s="225"/>
      <c r="OQE47" s="225"/>
      <c r="OQF47" s="225"/>
      <c r="OQG47" s="225"/>
      <c r="OQH47" s="225"/>
      <c r="OQI47" s="225"/>
      <c r="OQJ47" s="225"/>
      <c r="OQK47" s="225"/>
      <c r="OQL47" s="225"/>
      <c r="OQM47" s="225"/>
      <c r="OQN47" s="225"/>
      <c r="OQO47" s="225"/>
      <c r="OQP47" s="225"/>
      <c r="OQQ47" s="225"/>
      <c r="OQR47" s="225"/>
      <c r="OQS47" s="225"/>
      <c r="OQT47" s="225"/>
      <c r="OQU47" s="225"/>
      <c r="OQV47" s="225"/>
      <c r="OQW47" s="225"/>
      <c r="OQX47" s="225"/>
      <c r="OQY47" s="225"/>
      <c r="OQZ47" s="225"/>
      <c r="ORA47" s="225"/>
      <c r="ORB47" s="225"/>
      <c r="ORC47" s="225"/>
      <c r="ORD47" s="225"/>
      <c r="ORE47" s="225"/>
      <c r="ORF47" s="225"/>
      <c r="ORG47" s="225"/>
      <c r="ORH47" s="225"/>
      <c r="ORI47" s="225"/>
      <c r="ORJ47" s="225"/>
      <c r="ORK47" s="225"/>
      <c r="ORL47" s="225"/>
      <c r="ORM47" s="225"/>
      <c r="ORN47" s="225"/>
      <c r="ORO47" s="225"/>
      <c r="ORP47" s="225"/>
      <c r="ORQ47" s="225"/>
      <c r="ORR47" s="225"/>
      <c r="ORS47" s="225"/>
      <c r="ORT47" s="225"/>
      <c r="ORU47" s="225"/>
      <c r="ORV47" s="225"/>
      <c r="ORW47" s="225"/>
      <c r="ORX47" s="225"/>
      <c r="ORY47" s="225"/>
      <c r="ORZ47" s="225"/>
      <c r="OSA47" s="225"/>
      <c r="OSB47" s="225"/>
      <c r="OSC47" s="225"/>
      <c r="OSD47" s="225"/>
      <c r="OSE47" s="225"/>
      <c r="OSF47" s="225"/>
      <c r="OSG47" s="225"/>
      <c r="OSH47" s="225"/>
      <c r="OSI47" s="225"/>
      <c r="OSJ47" s="225"/>
      <c r="OSK47" s="225"/>
      <c r="OSL47" s="225"/>
      <c r="OSM47" s="225"/>
      <c r="OSN47" s="225"/>
      <c r="OSO47" s="225"/>
      <c r="OSP47" s="225"/>
      <c r="OSQ47" s="225"/>
      <c r="OSR47" s="225"/>
      <c r="OSS47" s="225"/>
      <c r="OST47" s="225"/>
      <c r="OSU47" s="225"/>
      <c r="OSV47" s="225"/>
      <c r="OSW47" s="225"/>
      <c r="OSX47" s="225"/>
      <c r="OSY47" s="225"/>
      <c r="OSZ47" s="225"/>
      <c r="OTA47" s="225"/>
      <c r="OTB47" s="225"/>
      <c r="OTC47" s="225"/>
      <c r="OTD47" s="225"/>
      <c r="OTE47" s="225"/>
      <c r="OTF47" s="225"/>
      <c r="OTG47" s="225"/>
      <c r="OTH47" s="225"/>
      <c r="OTI47" s="225"/>
      <c r="OTJ47" s="225"/>
      <c r="OTK47" s="225"/>
      <c r="OTL47" s="225"/>
      <c r="OTM47" s="225"/>
      <c r="OTN47" s="225"/>
      <c r="OTO47" s="225"/>
      <c r="OTP47" s="225"/>
      <c r="OTQ47" s="225"/>
      <c r="OTR47" s="225"/>
      <c r="OTS47" s="225"/>
      <c r="OTT47" s="225"/>
      <c r="OTU47" s="225"/>
      <c r="OTV47" s="225"/>
      <c r="OTW47" s="225"/>
      <c r="OTX47" s="225"/>
      <c r="OTY47" s="225"/>
      <c r="OTZ47" s="225"/>
      <c r="OUA47" s="225"/>
      <c r="OUB47" s="225"/>
      <c r="OUC47" s="225"/>
      <c r="OUD47" s="225"/>
      <c r="OUE47" s="225"/>
      <c r="OUF47" s="225"/>
      <c r="OUG47" s="225"/>
      <c r="OUH47" s="225"/>
      <c r="OUI47" s="225"/>
      <c r="OUJ47" s="225"/>
      <c r="OUK47" s="225"/>
      <c r="OUL47" s="225"/>
      <c r="OUM47" s="225"/>
      <c r="OUN47" s="225"/>
      <c r="OUO47" s="225"/>
      <c r="OUP47" s="225"/>
      <c r="OUQ47" s="225"/>
      <c r="OUR47" s="225"/>
      <c r="OUS47" s="225"/>
      <c r="OUT47" s="225"/>
      <c r="OUU47" s="225"/>
      <c r="OUV47" s="225"/>
      <c r="OUW47" s="225"/>
      <c r="OUX47" s="225"/>
      <c r="OUY47" s="225"/>
      <c r="OUZ47" s="225"/>
      <c r="OVA47" s="225"/>
      <c r="OVB47" s="225"/>
      <c r="OVC47" s="225"/>
      <c r="OVD47" s="225"/>
      <c r="OVE47" s="225"/>
      <c r="OVF47" s="225"/>
      <c r="OVG47" s="225"/>
      <c r="OVH47" s="225"/>
      <c r="OVI47" s="225"/>
      <c r="OVJ47" s="225"/>
      <c r="OVK47" s="225"/>
      <c r="OVL47" s="225"/>
      <c r="OVM47" s="225"/>
      <c r="OVN47" s="225"/>
      <c r="OVO47" s="225"/>
      <c r="OVP47" s="225"/>
      <c r="OVQ47" s="225"/>
      <c r="OVR47" s="225"/>
      <c r="OVS47" s="225"/>
      <c r="OVT47" s="225"/>
      <c r="OVU47" s="225"/>
      <c r="OVV47" s="225"/>
      <c r="OVW47" s="225"/>
      <c r="OVX47" s="225"/>
      <c r="OVY47" s="225"/>
      <c r="OVZ47" s="225"/>
      <c r="OWA47" s="225"/>
      <c r="OWB47" s="225"/>
      <c r="OWC47" s="225"/>
      <c r="OWD47" s="225"/>
      <c r="OWE47" s="225"/>
      <c r="OWF47" s="225"/>
      <c r="OWG47" s="225"/>
      <c r="OWH47" s="225"/>
      <c r="OWI47" s="225"/>
      <c r="OWJ47" s="225"/>
      <c r="OWK47" s="225"/>
      <c r="OWL47" s="225"/>
      <c r="OWM47" s="225"/>
      <c r="OWN47" s="225"/>
      <c r="OWO47" s="225"/>
      <c r="OWP47" s="225"/>
      <c r="OWQ47" s="225"/>
      <c r="OWR47" s="225"/>
      <c r="OWS47" s="225"/>
      <c r="OWT47" s="225"/>
      <c r="OWU47" s="225"/>
      <c r="OWV47" s="225"/>
      <c r="OWW47" s="225"/>
      <c r="OWX47" s="225"/>
      <c r="OWY47" s="225"/>
      <c r="OWZ47" s="225"/>
      <c r="OXA47" s="225"/>
      <c r="OXB47" s="225"/>
      <c r="OXC47" s="225"/>
      <c r="OXD47" s="225"/>
      <c r="OXE47" s="225"/>
      <c r="OXF47" s="225"/>
      <c r="OXG47" s="225"/>
      <c r="OXH47" s="225"/>
      <c r="OXI47" s="225"/>
      <c r="OXJ47" s="225"/>
      <c r="OXK47" s="225"/>
      <c r="OXL47" s="225"/>
      <c r="OXM47" s="225"/>
      <c r="OXN47" s="225"/>
      <c r="OXO47" s="225"/>
      <c r="OXP47" s="225"/>
      <c r="OXQ47" s="225"/>
      <c r="OXR47" s="225"/>
      <c r="OXS47" s="225"/>
      <c r="OXT47" s="225"/>
      <c r="OXU47" s="225"/>
      <c r="OXV47" s="225"/>
      <c r="OXW47" s="225"/>
      <c r="OXX47" s="225"/>
      <c r="OXY47" s="225"/>
      <c r="OXZ47" s="225"/>
      <c r="OYA47" s="225"/>
      <c r="OYB47" s="225"/>
      <c r="OYC47" s="225"/>
      <c r="OYD47" s="225"/>
      <c r="OYE47" s="225"/>
      <c r="OYF47" s="225"/>
      <c r="OYG47" s="225"/>
      <c r="OYH47" s="225"/>
      <c r="OYI47" s="225"/>
      <c r="OYJ47" s="225"/>
      <c r="OYK47" s="225"/>
      <c r="OYL47" s="225"/>
      <c r="OYM47" s="225"/>
      <c r="OYN47" s="225"/>
      <c r="OYO47" s="225"/>
      <c r="OYP47" s="225"/>
      <c r="OYQ47" s="225"/>
      <c r="OYR47" s="225"/>
      <c r="OYS47" s="225"/>
      <c r="OYT47" s="225"/>
      <c r="OYU47" s="225"/>
      <c r="OYV47" s="225"/>
      <c r="OYW47" s="225"/>
      <c r="OYX47" s="225"/>
      <c r="OYY47" s="225"/>
      <c r="OYZ47" s="225"/>
      <c r="OZA47" s="225"/>
      <c r="OZB47" s="225"/>
      <c r="OZC47" s="225"/>
      <c r="OZD47" s="225"/>
      <c r="OZE47" s="225"/>
      <c r="OZF47" s="225"/>
      <c r="OZG47" s="225"/>
      <c r="OZH47" s="225"/>
      <c r="OZI47" s="225"/>
      <c r="OZJ47" s="225"/>
      <c r="OZK47" s="225"/>
      <c r="OZL47" s="225"/>
      <c r="OZM47" s="225"/>
      <c r="OZN47" s="225"/>
      <c r="OZO47" s="225"/>
      <c r="OZP47" s="225"/>
      <c r="OZQ47" s="225"/>
      <c r="OZR47" s="225"/>
      <c r="OZS47" s="225"/>
      <c r="OZT47" s="225"/>
      <c r="OZU47" s="225"/>
      <c r="OZV47" s="225"/>
      <c r="OZW47" s="225"/>
      <c r="OZX47" s="225"/>
      <c r="OZY47" s="225"/>
      <c r="OZZ47" s="225"/>
      <c r="PAA47" s="225"/>
      <c r="PAB47" s="225"/>
      <c r="PAC47" s="225"/>
      <c r="PAD47" s="225"/>
      <c r="PAE47" s="225"/>
      <c r="PAF47" s="225"/>
      <c r="PAG47" s="225"/>
      <c r="PAH47" s="225"/>
      <c r="PAI47" s="225"/>
      <c r="PAJ47" s="225"/>
      <c r="PAK47" s="225"/>
      <c r="PAL47" s="225"/>
      <c r="PAM47" s="225"/>
      <c r="PAN47" s="225"/>
      <c r="PAO47" s="225"/>
      <c r="PAP47" s="225"/>
      <c r="PAQ47" s="225"/>
      <c r="PAR47" s="225"/>
      <c r="PAS47" s="225"/>
      <c r="PAT47" s="225"/>
      <c r="PAU47" s="225"/>
      <c r="PAV47" s="225"/>
      <c r="PAW47" s="225"/>
      <c r="PAX47" s="225"/>
      <c r="PAY47" s="225"/>
      <c r="PAZ47" s="225"/>
      <c r="PBA47" s="225"/>
      <c r="PBB47" s="225"/>
      <c r="PBC47" s="225"/>
      <c r="PBD47" s="225"/>
      <c r="PBE47" s="225"/>
      <c r="PBF47" s="225"/>
      <c r="PBG47" s="225"/>
      <c r="PBH47" s="225"/>
      <c r="PBI47" s="225"/>
      <c r="PBJ47" s="225"/>
      <c r="PBK47" s="225"/>
      <c r="PBL47" s="225"/>
      <c r="PBM47" s="225"/>
      <c r="PBN47" s="225"/>
      <c r="PBO47" s="225"/>
      <c r="PBP47" s="225"/>
      <c r="PBQ47" s="225"/>
      <c r="PBR47" s="225"/>
      <c r="PBS47" s="225"/>
      <c r="PBT47" s="225"/>
      <c r="PBU47" s="225"/>
      <c r="PBV47" s="225"/>
      <c r="PBW47" s="225"/>
      <c r="PBX47" s="225"/>
      <c r="PBY47" s="225"/>
      <c r="PBZ47" s="225"/>
      <c r="PCA47" s="225"/>
      <c r="PCB47" s="225"/>
      <c r="PCC47" s="225"/>
      <c r="PCD47" s="225"/>
      <c r="PCE47" s="225"/>
      <c r="PCF47" s="225"/>
      <c r="PCG47" s="225"/>
      <c r="PCH47" s="225"/>
      <c r="PCI47" s="225"/>
      <c r="PCJ47" s="225"/>
      <c r="PCK47" s="225"/>
      <c r="PCL47" s="225"/>
      <c r="PCM47" s="225"/>
      <c r="PCN47" s="225"/>
      <c r="PCO47" s="225"/>
      <c r="PCP47" s="225"/>
      <c r="PCQ47" s="225"/>
      <c r="PCR47" s="225"/>
      <c r="PCS47" s="225"/>
      <c r="PCT47" s="225"/>
      <c r="PCU47" s="225"/>
      <c r="PCV47" s="225"/>
      <c r="PCW47" s="225"/>
      <c r="PCX47" s="225"/>
      <c r="PCY47" s="225"/>
      <c r="PCZ47" s="225"/>
      <c r="PDA47" s="225"/>
      <c r="PDB47" s="225"/>
      <c r="PDC47" s="225"/>
      <c r="PDD47" s="225"/>
      <c r="PDE47" s="225"/>
      <c r="PDF47" s="225"/>
      <c r="PDG47" s="225"/>
      <c r="PDH47" s="225"/>
      <c r="PDI47" s="225"/>
      <c r="PDJ47" s="225"/>
      <c r="PDK47" s="225"/>
      <c r="PDL47" s="225"/>
      <c r="PDM47" s="225"/>
      <c r="PDN47" s="225"/>
      <c r="PDO47" s="225"/>
      <c r="PDP47" s="225"/>
      <c r="PDQ47" s="225"/>
      <c r="PDR47" s="225"/>
      <c r="PDS47" s="225"/>
      <c r="PDT47" s="225"/>
      <c r="PDU47" s="225"/>
      <c r="PDV47" s="225"/>
      <c r="PDW47" s="225"/>
      <c r="PDX47" s="225"/>
      <c r="PDY47" s="225"/>
      <c r="PDZ47" s="225"/>
      <c r="PEA47" s="225"/>
      <c r="PEB47" s="225"/>
      <c r="PEC47" s="225"/>
      <c r="PED47" s="225"/>
      <c r="PEE47" s="225"/>
      <c r="PEF47" s="225"/>
      <c r="PEG47" s="225"/>
      <c r="PEH47" s="225"/>
      <c r="PEI47" s="225"/>
      <c r="PEJ47" s="225"/>
      <c r="PEK47" s="225"/>
      <c r="PEL47" s="225"/>
      <c r="PEM47" s="225"/>
      <c r="PEN47" s="225"/>
      <c r="PEO47" s="225"/>
      <c r="PEP47" s="225"/>
      <c r="PEQ47" s="225"/>
      <c r="PER47" s="225"/>
      <c r="PES47" s="225"/>
      <c r="PET47" s="225"/>
      <c r="PEU47" s="225"/>
      <c r="PEV47" s="225"/>
      <c r="PEW47" s="225"/>
      <c r="PEX47" s="225"/>
      <c r="PEY47" s="225"/>
      <c r="PEZ47" s="225"/>
      <c r="PFA47" s="225"/>
      <c r="PFB47" s="225"/>
      <c r="PFC47" s="225"/>
      <c r="PFD47" s="225"/>
      <c r="PFE47" s="225"/>
      <c r="PFF47" s="225"/>
      <c r="PFG47" s="225"/>
      <c r="PFH47" s="225"/>
      <c r="PFI47" s="225"/>
      <c r="PFJ47" s="225"/>
      <c r="PFK47" s="225"/>
      <c r="PFL47" s="225"/>
      <c r="PFM47" s="225"/>
      <c r="PFN47" s="225"/>
      <c r="PFO47" s="225"/>
      <c r="PFP47" s="225"/>
      <c r="PFQ47" s="225"/>
      <c r="PFR47" s="225"/>
      <c r="PFS47" s="225"/>
      <c r="PFT47" s="225"/>
      <c r="PFU47" s="225"/>
      <c r="PFV47" s="225"/>
      <c r="PFW47" s="225"/>
      <c r="PFX47" s="225"/>
      <c r="PFY47" s="225"/>
      <c r="PFZ47" s="225"/>
      <c r="PGA47" s="225"/>
      <c r="PGB47" s="225"/>
      <c r="PGC47" s="225"/>
      <c r="PGD47" s="225"/>
      <c r="PGE47" s="225"/>
      <c r="PGF47" s="225"/>
      <c r="PGG47" s="225"/>
      <c r="PGH47" s="225"/>
      <c r="PGI47" s="225"/>
      <c r="PGJ47" s="225"/>
      <c r="PGK47" s="225"/>
      <c r="PGL47" s="225"/>
      <c r="PGM47" s="225"/>
      <c r="PGN47" s="225"/>
      <c r="PGO47" s="225"/>
      <c r="PGP47" s="225"/>
      <c r="PGQ47" s="225"/>
      <c r="PGR47" s="225"/>
      <c r="PGS47" s="225"/>
      <c r="PGT47" s="225"/>
      <c r="PGU47" s="225"/>
      <c r="PGV47" s="225"/>
      <c r="PGW47" s="225"/>
      <c r="PGX47" s="225"/>
      <c r="PGY47" s="225"/>
      <c r="PGZ47" s="225"/>
      <c r="PHA47" s="225"/>
      <c r="PHB47" s="225"/>
      <c r="PHC47" s="225"/>
      <c r="PHD47" s="225"/>
      <c r="PHE47" s="225"/>
      <c r="PHF47" s="225"/>
      <c r="PHG47" s="225"/>
      <c r="PHH47" s="225"/>
      <c r="PHI47" s="225"/>
      <c r="PHJ47" s="225"/>
      <c r="PHK47" s="225"/>
      <c r="PHL47" s="225"/>
      <c r="PHM47" s="225"/>
      <c r="PHN47" s="225"/>
      <c r="PHO47" s="225"/>
      <c r="PHP47" s="225"/>
      <c r="PHQ47" s="225"/>
      <c r="PHR47" s="225"/>
      <c r="PHS47" s="225"/>
      <c r="PHT47" s="225"/>
      <c r="PHU47" s="225"/>
      <c r="PHV47" s="225"/>
      <c r="PHW47" s="225"/>
      <c r="PHX47" s="225"/>
      <c r="PHY47" s="225"/>
      <c r="PHZ47" s="225"/>
      <c r="PIA47" s="225"/>
      <c r="PIB47" s="225"/>
      <c r="PIC47" s="225"/>
      <c r="PID47" s="225"/>
      <c r="PIE47" s="225"/>
      <c r="PIF47" s="225"/>
      <c r="PIG47" s="225"/>
      <c r="PIH47" s="225"/>
      <c r="PII47" s="225"/>
      <c r="PIJ47" s="225"/>
      <c r="PIK47" s="225"/>
      <c r="PIL47" s="225"/>
      <c r="PIM47" s="225"/>
      <c r="PIN47" s="225"/>
      <c r="PIO47" s="225"/>
      <c r="PIP47" s="225"/>
      <c r="PIQ47" s="225"/>
      <c r="PIR47" s="225"/>
      <c r="PIS47" s="225"/>
      <c r="PIT47" s="225"/>
      <c r="PIU47" s="225"/>
      <c r="PIV47" s="225"/>
      <c r="PIW47" s="225"/>
      <c r="PIX47" s="225"/>
      <c r="PIY47" s="225"/>
      <c r="PIZ47" s="225"/>
      <c r="PJA47" s="225"/>
      <c r="PJB47" s="225"/>
      <c r="PJC47" s="225"/>
      <c r="PJD47" s="225"/>
      <c r="PJE47" s="225"/>
      <c r="PJF47" s="225"/>
      <c r="PJG47" s="225"/>
      <c r="PJH47" s="225"/>
      <c r="PJI47" s="225"/>
      <c r="PJJ47" s="225"/>
      <c r="PJK47" s="225"/>
      <c r="PJL47" s="225"/>
      <c r="PJM47" s="225"/>
      <c r="PJN47" s="225"/>
      <c r="PJO47" s="225"/>
      <c r="PJP47" s="225"/>
      <c r="PJQ47" s="225"/>
      <c r="PJR47" s="225"/>
      <c r="PJS47" s="225"/>
      <c r="PJT47" s="225"/>
      <c r="PJU47" s="225"/>
      <c r="PJV47" s="225"/>
      <c r="PJW47" s="225"/>
      <c r="PJX47" s="225"/>
      <c r="PJY47" s="225"/>
      <c r="PJZ47" s="225"/>
      <c r="PKA47" s="225"/>
      <c r="PKB47" s="225"/>
      <c r="PKC47" s="225"/>
      <c r="PKD47" s="225"/>
      <c r="PKE47" s="225"/>
      <c r="PKF47" s="225"/>
      <c r="PKG47" s="225"/>
      <c r="PKH47" s="225"/>
      <c r="PKI47" s="225"/>
      <c r="PKJ47" s="225"/>
      <c r="PKK47" s="225"/>
      <c r="PKL47" s="225"/>
      <c r="PKM47" s="225"/>
      <c r="PKN47" s="225"/>
      <c r="PKO47" s="225"/>
      <c r="PKP47" s="225"/>
      <c r="PKQ47" s="225"/>
      <c r="PKR47" s="225"/>
      <c r="PKS47" s="225"/>
      <c r="PKT47" s="225"/>
      <c r="PKU47" s="225"/>
      <c r="PKV47" s="225"/>
      <c r="PKW47" s="225"/>
      <c r="PKX47" s="225"/>
      <c r="PKY47" s="225"/>
      <c r="PKZ47" s="225"/>
      <c r="PLA47" s="225"/>
      <c r="PLB47" s="225"/>
      <c r="PLC47" s="225"/>
      <c r="PLD47" s="225"/>
      <c r="PLE47" s="225"/>
      <c r="PLF47" s="225"/>
      <c r="PLG47" s="225"/>
      <c r="PLH47" s="225"/>
      <c r="PLI47" s="225"/>
      <c r="PLJ47" s="225"/>
      <c r="PLK47" s="225"/>
      <c r="PLL47" s="225"/>
      <c r="PLM47" s="225"/>
      <c r="PLN47" s="225"/>
      <c r="PLO47" s="225"/>
      <c r="PLP47" s="225"/>
      <c r="PLQ47" s="225"/>
      <c r="PLR47" s="225"/>
      <c r="PLS47" s="225"/>
      <c r="PLT47" s="225"/>
      <c r="PLU47" s="225"/>
      <c r="PLV47" s="225"/>
      <c r="PLW47" s="225"/>
      <c r="PLX47" s="225"/>
      <c r="PLY47" s="225"/>
      <c r="PLZ47" s="225"/>
      <c r="PMA47" s="225"/>
      <c r="PMB47" s="225"/>
      <c r="PMC47" s="225"/>
      <c r="PMD47" s="225"/>
      <c r="PME47" s="225"/>
      <c r="PMF47" s="225"/>
      <c r="PMG47" s="225"/>
      <c r="PMH47" s="225"/>
      <c r="PMI47" s="225"/>
      <c r="PMJ47" s="225"/>
      <c r="PMK47" s="225"/>
      <c r="PML47" s="225"/>
      <c r="PMM47" s="225"/>
      <c r="PMN47" s="225"/>
      <c r="PMO47" s="225"/>
      <c r="PMP47" s="225"/>
      <c r="PMQ47" s="225"/>
      <c r="PMR47" s="225"/>
      <c r="PMS47" s="225"/>
      <c r="PMT47" s="225"/>
      <c r="PMU47" s="225"/>
      <c r="PMV47" s="225"/>
      <c r="PMW47" s="225"/>
      <c r="PMX47" s="225"/>
      <c r="PMY47" s="225"/>
      <c r="PMZ47" s="225"/>
      <c r="PNA47" s="225"/>
      <c r="PNB47" s="225"/>
      <c r="PNC47" s="225"/>
      <c r="PND47" s="225"/>
      <c r="PNE47" s="225"/>
      <c r="PNF47" s="225"/>
      <c r="PNG47" s="225"/>
      <c r="PNH47" s="225"/>
      <c r="PNI47" s="225"/>
      <c r="PNJ47" s="225"/>
      <c r="PNK47" s="225"/>
      <c r="PNL47" s="225"/>
      <c r="PNM47" s="225"/>
      <c r="PNN47" s="225"/>
      <c r="PNO47" s="225"/>
      <c r="PNP47" s="225"/>
      <c r="PNQ47" s="225"/>
      <c r="PNR47" s="225"/>
      <c r="PNS47" s="225"/>
      <c r="PNT47" s="225"/>
      <c r="PNU47" s="225"/>
      <c r="PNV47" s="225"/>
      <c r="PNW47" s="225"/>
      <c r="PNX47" s="225"/>
      <c r="PNY47" s="225"/>
      <c r="PNZ47" s="225"/>
      <c r="POA47" s="225"/>
      <c r="POB47" s="225"/>
      <c r="POC47" s="225"/>
      <c r="POD47" s="225"/>
      <c r="POE47" s="225"/>
      <c r="POF47" s="225"/>
      <c r="POG47" s="225"/>
      <c r="POH47" s="225"/>
      <c r="POI47" s="225"/>
      <c r="POJ47" s="225"/>
      <c r="POK47" s="225"/>
      <c r="POL47" s="225"/>
      <c r="POM47" s="225"/>
      <c r="PON47" s="225"/>
      <c r="POO47" s="225"/>
      <c r="POP47" s="225"/>
      <c r="POQ47" s="225"/>
      <c r="POR47" s="225"/>
      <c r="POS47" s="225"/>
      <c r="POT47" s="225"/>
      <c r="POU47" s="225"/>
      <c r="POV47" s="225"/>
      <c r="POW47" s="225"/>
      <c r="POX47" s="225"/>
      <c r="POY47" s="225"/>
      <c r="POZ47" s="225"/>
      <c r="PPA47" s="225"/>
      <c r="PPB47" s="225"/>
      <c r="PPC47" s="225"/>
      <c r="PPD47" s="225"/>
      <c r="PPE47" s="225"/>
      <c r="PPF47" s="225"/>
      <c r="PPG47" s="225"/>
      <c r="PPH47" s="225"/>
      <c r="PPI47" s="225"/>
      <c r="PPJ47" s="225"/>
      <c r="PPK47" s="225"/>
      <c r="PPL47" s="225"/>
      <c r="PPM47" s="225"/>
      <c r="PPN47" s="225"/>
      <c r="PPO47" s="225"/>
      <c r="PPP47" s="225"/>
      <c r="PPQ47" s="225"/>
      <c r="PPR47" s="225"/>
      <c r="PPS47" s="225"/>
      <c r="PPT47" s="225"/>
      <c r="PPU47" s="225"/>
      <c r="PPV47" s="225"/>
      <c r="PPW47" s="225"/>
      <c r="PPX47" s="225"/>
      <c r="PPY47" s="225"/>
      <c r="PPZ47" s="225"/>
      <c r="PQA47" s="225"/>
      <c r="PQB47" s="225"/>
      <c r="PQC47" s="225"/>
      <c r="PQD47" s="225"/>
      <c r="PQE47" s="225"/>
      <c r="PQF47" s="225"/>
      <c r="PQG47" s="225"/>
      <c r="PQH47" s="225"/>
      <c r="PQI47" s="225"/>
      <c r="PQJ47" s="225"/>
      <c r="PQK47" s="225"/>
      <c r="PQL47" s="225"/>
      <c r="PQM47" s="225"/>
      <c r="PQN47" s="225"/>
      <c r="PQO47" s="225"/>
      <c r="PQP47" s="225"/>
      <c r="PQQ47" s="225"/>
      <c r="PQR47" s="225"/>
      <c r="PQS47" s="225"/>
      <c r="PQT47" s="225"/>
      <c r="PQU47" s="225"/>
      <c r="PQV47" s="225"/>
      <c r="PQW47" s="225"/>
      <c r="PQX47" s="225"/>
      <c r="PQY47" s="225"/>
      <c r="PQZ47" s="225"/>
      <c r="PRA47" s="225"/>
      <c r="PRB47" s="225"/>
      <c r="PRC47" s="225"/>
      <c r="PRD47" s="225"/>
      <c r="PRE47" s="225"/>
      <c r="PRF47" s="225"/>
      <c r="PRG47" s="225"/>
      <c r="PRH47" s="225"/>
      <c r="PRI47" s="225"/>
      <c r="PRJ47" s="225"/>
      <c r="PRK47" s="225"/>
      <c r="PRL47" s="225"/>
      <c r="PRM47" s="225"/>
      <c r="PRN47" s="225"/>
      <c r="PRO47" s="225"/>
      <c r="PRP47" s="225"/>
      <c r="PRQ47" s="225"/>
      <c r="PRR47" s="225"/>
      <c r="PRS47" s="225"/>
      <c r="PRT47" s="225"/>
      <c r="PRU47" s="225"/>
      <c r="PRV47" s="225"/>
      <c r="PRW47" s="225"/>
      <c r="PRX47" s="225"/>
      <c r="PRY47" s="225"/>
      <c r="PRZ47" s="225"/>
      <c r="PSA47" s="225"/>
      <c r="PSB47" s="225"/>
      <c r="PSC47" s="225"/>
      <c r="PSD47" s="225"/>
      <c r="PSE47" s="225"/>
      <c r="PSF47" s="225"/>
      <c r="PSG47" s="225"/>
      <c r="PSH47" s="225"/>
      <c r="PSI47" s="225"/>
      <c r="PSJ47" s="225"/>
      <c r="PSK47" s="225"/>
      <c r="PSL47" s="225"/>
      <c r="PSM47" s="225"/>
      <c r="PSN47" s="225"/>
      <c r="PSO47" s="225"/>
      <c r="PSP47" s="225"/>
      <c r="PSQ47" s="225"/>
      <c r="PSR47" s="225"/>
      <c r="PSS47" s="225"/>
      <c r="PST47" s="225"/>
      <c r="PSU47" s="225"/>
      <c r="PSV47" s="225"/>
      <c r="PSW47" s="225"/>
      <c r="PSX47" s="225"/>
      <c r="PSY47" s="225"/>
      <c r="PSZ47" s="225"/>
      <c r="PTA47" s="225"/>
      <c r="PTB47" s="225"/>
      <c r="PTC47" s="225"/>
      <c r="PTD47" s="225"/>
      <c r="PTE47" s="225"/>
      <c r="PTF47" s="225"/>
      <c r="PTG47" s="225"/>
      <c r="PTH47" s="225"/>
      <c r="PTI47" s="225"/>
      <c r="PTJ47" s="225"/>
      <c r="PTK47" s="225"/>
      <c r="PTL47" s="225"/>
      <c r="PTM47" s="225"/>
      <c r="PTN47" s="225"/>
      <c r="PTO47" s="225"/>
      <c r="PTP47" s="225"/>
      <c r="PTQ47" s="225"/>
      <c r="PTR47" s="225"/>
      <c r="PTS47" s="225"/>
      <c r="PTT47" s="225"/>
      <c r="PTU47" s="225"/>
      <c r="PTV47" s="225"/>
      <c r="PTW47" s="225"/>
      <c r="PTX47" s="225"/>
      <c r="PTY47" s="225"/>
      <c r="PTZ47" s="225"/>
      <c r="PUA47" s="225"/>
      <c r="PUB47" s="225"/>
      <c r="PUC47" s="225"/>
      <c r="PUD47" s="225"/>
      <c r="PUE47" s="225"/>
      <c r="PUF47" s="225"/>
      <c r="PUG47" s="225"/>
      <c r="PUH47" s="225"/>
      <c r="PUI47" s="225"/>
      <c r="PUJ47" s="225"/>
      <c r="PUK47" s="225"/>
      <c r="PUL47" s="225"/>
      <c r="PUM47" s="225"/>
      <c r="PUN47" s="225"/>
      <c r="PUO47" s="225"/>
      <c r="PUP47" s="225"/>
      <c r="PUQ47" s="225"/>
      <c r="PUR47" s="225"/>
      <c r="PUS47" s="225"/>
      <c r="PUT47" s="225"/>
      <c r="PUU47" s="225"/>
      <c r="PUV47" s="225"/>
      <c r="PUW47" s="225"/>
      <c r="PUX47" s="225"/>
      <c r="PUY47" s="225"/>
      <c r="PUZ47" s="225"/>
      <c r="PVA47" s="225"/>
      <c r="PVB47" s="225"/>
      <c r="PVC47" s="225"/>
      <c r="PVD47" s="225"/>
      <c r="PVE47" s="225"/>
      <c r="PVF47" s="225"/>
      <c r="PVG47" s="225"/>
      <c r="PVH47" s="225"/>
      <c r="PVI47" s="225"/>
      <c r="PVJ47" s="225"/>
      <c r="PVK47" s="225"/>
      <c r="PVL47" s="225"/>
      <c r="PVM47" s="225"/>
      <c r="PVN47" s="225"/>
      <c r="PVO47" s="225"/>
      <c r="PVP47" s="225"/>
      <c r="PVQ47" s="225"/>
      <c r="PVR47" s="225"/>
      <c r="PVS47" s="225"/>
      <c r="PVT47" s="225"/>
      <c r="PVU47" s="225"/>
      <c r="PVV47" s="225"/>
      <c r="PVW47" s="225"/>
      <c r="PVX47" s="225"/>
      <c r="PVY47" s="225"/>
      <c r="PVZ47" s="225"/>
      <c r="PWA47" s="225"/>
      <c r="PWB47" s="225"/>
      <c r="PWC47" s="225"/>
      <c r="PWD47" s="225"/>
      <c r="PWE47" s="225"/>
      <c r="PWF47" s="225"/>
      <c r="PWG47" s="225"/>
      <c r="PWH47" s="225"/>
      <c r="PWI47" s="225"/>
      <c r="PWJ47" s="225"/>
      <c r="PWK47" s="225"/>
      <c r="PWL47" s="225"/>
      <c r="PWM47" s="225"/>
      <c r="PWN47" s="225"/>
      <c r="PWO47" s="225"/>
      <c r="PWP47" s="225"/>
      <c r="PWQ47" s="225"/>
      <c r="PWR47" s="225"/>
      <c r="PWS47" s="225"/>
      <c r="PWT47" s="225"/>
      <c r="PWU47" s="225"/>
      <c r="PWV47" s="225"/>
      <c r="PWW47" s="225"/>
      <c r="PWX47" s="225"/>
      <c r="PWY47" s="225"/>
      <c r="PWZ47" s="225"/>
      <c r="PXA47" s="225"/>
      <c r="PXB47" s="225"/>
      <c r="PXC47" s="225"/>
      <c r="PXD47" s="225"/>
      <c r="PXE47" s="225"/>
      <c r="PXF47" s="225"/>
      <c r="PXG47" s="225"/>
      <c r="PXH47" s="225"/>
      <c r="PXI47" s="225"/>
      <c r="PXJ47" s="225"/>
      <c r="PXK47" s="225"/>
      <c r="PXL47" s="225"/>
      <c r="PXM47" s="225"/>
      <c r="PXN47" s="225"/>
      <c r="PXO47" s="225"/>
      <c r="PXP47" s="225"/>
      <c r="PXQ47" s="225"/>
      <c r="PXR47" s="225"/>
      <c r="PXS47" s="225"/>
      <c r="PXT47" s="225"/>
      <c r="PXU47" s="225"/>
      <c r="PXV47" s="225"/>
      <c r="PXW47" s="225"/>
      <c r="PXX47" s="225"/>
      <c r="PXY47" s="225"/>
      <c r="PXZ47" s="225"/>
      <c r="PYA47" s="225"/>
      <c r="PYB47" s="225"/>
      <c r="PYC47" s="225"/>
      <c r="PYD47" s="225"/>
      <c r="PYE47" s="225"/>
      <c r="PYF47" s="225"/>
      <c r="PYG47" s="225"/>
      <c r="PYH47" s="225"/>
      <c r="PYI47" s="225"/>
      <c r="PYJ47" s="225"/>
      <c r="PYK47" s="225"/>
      <c r="PYL47" s="225"/>
      <c r="PYM47" s="225"/>
      <c r="PYN47" s="225"/>
      <c r="PYO47" s="225"/>
      <c r="PYP47" s="225"/>
      <c r="PYQ47" s="225"/>
      <c r="PYR47" s="225"/>
      <c r="PYS47" s="225"/>
      <c r="PYT47" s="225"/>
      <c r="PYU47" s="225"/>
      <c r="PYV47" s="225"/>
      <c r="PYW47" s="225"/>
      <c r="PYX47" s="225"/>
      <c r="PYY47" s="225"/>
      <c r="PYZ47" s="225"/>
      <c r="PZA47" s="225"/>
      <c r="PZB47" s="225"/>
      <c r="PZC47" s="225"/>
      <c r="PZD47" s="225"/>
      <c r="PZE47" s="225"/>
      <c r="PZF47" s="225"/>
      <c r="PZG47" s="225"/>
      <c r="PZH47" s="225"/>
      <c r="PZI47" s="225"/>
      <c r="PZJ47" s="225"/>
      <c r="PZK47" s="225"/>
      <c r="PZL47" s="225"/>
      <c r="PZM47" s="225"/>
      <c r="PZN47" s="225"/>
      <c r="PZO47" s="225"/>
      <c r="PZP47" s="225"/>
      <c r="PZQ47" s="225"/>
      <c r="PZR47" s="225"/>
      <c r="PZS47" s="225"/>
      <c r="PZT47" s="225"/>
      <c r="PZU47" s="225"/>
      <c r="PZV47" s="225"/>
      <c r="PZW47" s="225"/>
      <c r="PZX47" s="225"/>
      <c r="PZY47" s="225"/>
      <c r="PZZ47" s="225"/>
      <c r="QAA47" s="225"/>
      <c r="QAB47" s="225"/>
      <c r="QAC47" s="225"/>
      <c r="QAD47" s="225"/>
      <c r="QAE47" s="225"/>
      <c r="QAF47" s="225"/>
      <c r="QAG47" s="225"/>
      <c r="QAH47" s="225"/>
      <c r="QAI47" s="225"/>
      <c r="QAJ47" s="225"/>
      <c r="QAK47" s="225"/>
      <c r="QAL47" s="225"/>
      <c r="QAM47" s="225"/>
      <c r="QAN47" s="225"/>
      <c r="QAO47" s="225"/>
      <c r="QAP47" s="225"/>
      <c r="QAQ47" s="225"/>
      <c r="QAR47" s="225"/>
      <c r="QAS47" s="225"/>
      <c r="QAT47" s="225"/>
      <c r="QAU47" s="225"/>
      <c r="QAV47" s="225"/>
      <c r="QAW47" s="225"/>
      <c r="QAX47" s="225"/>
      <c r="QAY47" s="225"/>
      <c r="QAZ47" s="225"/>
      <c r="QBA47" s="225"/>
      <c r="QBB47" s="225"/>
      <c r="QBC47" s="225"/>
      <c r="QBD47" s="225"/>
      <c r="QBE47" s="225"/>
      <c r="QBF47" s="225"/>
      <c r="QBG47" s="225"/>
      <c r="QBH47" s="225"/>
      <c r="QBI47" s="225"/>
      <c r="QBJ47" s="225"/>
      <c r="QBK47" s="225"/>
      <c r="QBL47" s="225"/>
      <c r="QBM47" s="225"/>
      <c r="QBN47" s="225"/>
      <c r="QBO47" s="225"/>
      <c r="QBP47" s="225"/>
      <c r="QBQ47" s="225"/>
      <c r="QBR47" s="225"/>
      <c r="QBS47" s="225"/>
      <c r="QBT47" s="225"/>
      <c r="QBU47" s="225"/>
      <c r="QBV47" s="225"/>
      <c r="QBW47" s="225"/>
      <c r="QBX47" s="225"/>
      <c r="QBY47" s="225"/>
      <c r="QBZ47" s="225"/>
      <c r="QCA47" s="225"/>
      <c r="QCB47" s="225"/>
      <c r="QCC47" s="225"/>
      <c r="QCD47" s="225"/>
      <c r="QCE47" s="225"/>
      <c r="QCF47" s="225"/>
      <c r="QCG47" s="225"/>
      <c r="QCH47" s="225"/>
      <c r="QCI47" s="225"/>
      <c r="QCJ47" s="225"/>
      <c r="QCK47" s="225"/>
      <c r="QCL47" s="225"/>
      <c r="QCM47" s="225"/>
      <c r="QCN47" s="225"/>
      <c r="QCO47" s="225"/>
      <c r="QCP47" s="225"/>
      <c r="QCQ47" s="225"/>
      <c r="QCR47" s="225"/>
      <c r="QCS47" s="225"/>
      <c r="QCT47" s="225"/>
      <c r="QCU47" s="225"/>
      <c r="QCV47" s="225"/>
      <c r="QCW47" s="225"/>
      <c r="QCX47" s="225"/>
      <c r="QCY47" s="225"/>
      <c r="QCZ47" s="225"/>
      <c r="QDA47" s="225"/>
      <c r="QDB47" s="225"/>
      <c r="QDC47" s="225"/>
      <c r="QDD47" s="225"/>
      <c r="QDE47" s="225"/>
      <c r="QDF47" s="225"/>
      <c r="QDG47" s="225"/>
      <c r="QDH47" s="225"/>
      <c r="QDI47" s="225"/>
      <c r="QDJ47" s="225"/>
      <c r="QDK47" s="225"/>
      <c r="QDL47" s="225"/>
      <c r="QDM47" s="225"/>
      <c r="QDN47" s="225"/>
      <c r="QDO47" s="225"/>
      <c r="QDP47" s="225"/>
      <c r="QDQ47" s="225"/>
      <c r="QDR47" s="225"/>
      <c r="QDS47" s="225"/>
      <c r="QDT47" s="225"/>
      <c r="QDU47" s="225"/>
      <c r="QDV47" s="225"/>
      <c r="QDW47" s="225"/>
      <c r="QDX47" s="225"/>
      <c r="QDY47" s="225"/>
      <c r="QDZ47" s="225"/>
      <c r="QEA47" s="225"/>
      <c r="QEB47" s="225"/>
      <c r="QEC47" s="225"/>
      <c r="QED47" s="225"/>
      <c r="QEE47" s="225"/>
      <c r="QEF47" s="225"/>
      <c r="QEG47" s="225"/>
      <c r="QEH47" s="225"/>
      <c r="QEI47" s="225"/>
      <c r="QEJ47" s="225"/>
      <c r="QEK47" s="225"/>
      <c r="QEL47" s="225"/>
      <c r="QEM47" s="225"/>
      <c r="QEN47" s="225"/>
      <c r="QEO47" s="225"/>
      <c r="QEP47" s="225"/>
      <c r="QEQ47" s="225"/>
      <c r="QER47" s="225"/>
      <c r="QES47" s="225"/>
      <c r="QET47" s="225"/>
      <c r="QEU47" s="225"/>
      <c r="QEV47" s="225"/>
      <c r="QEW47" s="225"/>
      <c r="QEX47" s="225"/>
      <c r="QEY47" s="225"/>
      <c r="QEZ47" s="225"/>
      <c r="QFA47" s="225"/>
      <c r="QFB47" s="225"/>
      <c r="QFC47" s="225"/>
      <c r="QFD47" s="225"/>
      <c r="QFE47" s="225"/>
      <c r="QFF47" s="225"/>
      <c r="QFG47" s="225"/>
      <c r="QFH47" s="225"/>
      <c r="QFI47" s="225"/>
      <c r="QFJ47" s="225"/>
      <c r="QFK47" s="225"/>
      <c r="QFL47" s="225"/>
      <c r="QFM47" s="225"/>
      <c r="QFN47" s="225"/>
      <c r="QFO47" s="225"/>
      <c r="QFP47" s="225"/>
      <c r="QFQ47" s="225"/>
      <c r="QFR47" s="225"/>
      <c r="QFS47" s="225"/>
      <c r="QFT47" s="225"/>
      <c r="QFU47" s="225"/>
      <c r="QFV47" s="225"/>
      <c r="QFW47" s="225"/>
      <c r="QFX47" s="225"/>
      <c r="QFY47" s="225"/>
      <c r="QFZ47" s="225"/>
      <c r="QGA47" s="225"/>
      <c r="QGB47" s="225"/>
      <c r="QGC47" s="225"/>
      <c r="QGD47" s="225"/>
      <c r="QGE47" s="225"/>
      <c r="QGF47" s="225"/>
      <c r="QGG47" s="225"/>
      <c r="QGH47" s="225"/>
      <c r="QGI47" s="225"/>
      <c r="QGJ47" s="225"/>
      <c r="QGK47" s="225"/>
      <c r="QGL47" s="225"/>
      <c r="QGM47" s="225"/>
      <c r="QGN47" s="225"/>
      <c r="QGO47" s="225"/>
      <c r="QGP47" s="225"/>
      <c r="QGQ47" s="225"/>
      <c r="QGR47" s="225"/>
      <c r="QGS47" s="225"/>
      <c r="QGT47" s="225"/>
      <c r="QGU47" s="225"/>
      <c r="QGV47" s="225"/>
      <c r="QGW47" s="225"/>
      <c r="QGX47" s="225"/>
      <c r="QGY47" s="225"/>
      <c r="QGZ47" s="225"/>
      <c r="QHA47" s="225"/>
      <c r="QHB47" s="225"/>
      <c r="QHC47" s="225"/>
      <c r="QHD47" s="225"/>
      <c r="QHE47" s="225"/>
      <c r="QHF47" s="225"/>
      <c r="QHG47" s="225"/>
      <c r="QHH47" s="225"/>
      <c r="QHI47" s="225"/>
      <c r="QHJ47" s="225"/>
      <c r="QHK47" s="225"/>
      <c r="QHL47" s="225"/>
      <c r="QHM47" s="225"/>
      <c r="QHN47" s="225"/>
      <c r="QHO47" s="225"/>
      <c r="QHP47" s="225"/>
      <c r="QHQ47" s="225"/>
      <c r="QHR47" s="225"/>
      <c r="QHS47" s="225"/>
      <c r="QHT47" s="225"/>
      <c r="QHU47" s="225"/>
      <c r="QHV47" s="225"/>
      <c r="QHW47" s="225"/>
      <c r="QHX47" s="225"/>
      <c r="QHY47" s="225"/>
      <c r="QHZ47" s="225"/>
      <c r="QIA47" s="225"/>
      <c r="QIB47" s="225"/>
      <c r="QIC47" s="225"/>
      <c r="QID47" s="225"/>
      <c r="QIE47" s="225"/>
      <c r="QIF47" s="225"/>
      <c r="QIG47" s="225"/>
      <c r="QIH47" s="225"/>
      <c r="QII47" s="225"/>
      <c r="QIJ47" s="225"/>
      <c r="QIK47" s="225"/>
      <c r="QIL47" s="225"/>
      <c r="QIM47" s="225"/>
      <c r="QIN47" s="225"/>
      <c r="QIO47" s="225"/>
      <c r="QIP47" s="225"/>
      <c r="QIQ47" s="225"/>
      <c r="QIR47" s="225"/>
      <c r="QIS47" s="225"/>
      <c r="QIT47" s="225"/>
      <c r="QIU47" s="225"/>
      <c r="QIV47" s="225"/>
      <c r="QIW47" s="225"/>
      <c r="QIX47" s="225"/>
      <c r="QIY47" s="225"/>
      <c r="QIZ47" s="225"/>
      <c r="QJA47" s="225"/>
      <c r="QJB47" s="225"/>
      <c r="QJC47" s="225"/>
      <c r="QJD47" s="225"/>
      <c r="QJE47" s="225"/>
      <c r="QJF47" s="225"/>
      <c r="QJG47" s="225"/>
      <c r="QJH47" s="225"/>
      <c r="QJI47" s="225"/>
      <c r="QJJ47" s="225"/>
      <c r="QJK47" s="225"/>
      <c r="QJL47" s="225"/>
      <c r="QJM47" s="225"/>
      <c r="QJN47" s="225"/>
      <c r="QJO47" s="225"/>
      <c r="QJP47" s="225"/>
      <c r="QJQ47" s="225"/>
      <c r="QJR47" s="225"/>
      <c r="QJS47" s="225"/>
      <c r="QJT47" s="225"/>
      <c r="QJU47" s="225"/>
      <c r="QJV47" s="225"/>
      <c r="QJW47" s="225"/>
      <c r="QJX47" s="225"/>
      <c r="QJY47" s="225"/>
      <c r="QJZ47" s="225"/>
      <c r="QKA47" s="225"/>
      <c r="QKB47" s="225"/>
      <c r="QKC47" s="225"/>
      <c r="QKD47" s="225"/>
      <c r="QKE47" s="225"/>
      <c r="QKF47" s="225"/>
      <c r="QKG47" s="225"/>
      <c r="QKH47" s="225"/>
      <c r="QKI47" s="225"/>
      <c r="QKJ47" s="225"/>
      <c r="QKK47" s="225"/>
      <c r="QKL47" s="225"/>
      <c r="QKM47" s="225"/>
      <c r="QKN47" s="225"/>
      <c r="QKO47" s="225"/>
      <c r="QKP47" s="225"/>
      <c r="QKQ47" s="225"/>
      <c r="QKR47" s="225"/>
      <c r="QKS47" s="225"/>
      <c r="QKT47" s="225"/>
      <c r="QKU47" s="225"/>
      <c r="QKV47" s="225"/>
      <c r="QKW47" s="225"/>
      <c r="QKX47" s="225"/>
      <c r="QKY47" s="225"/>
      <c r="QKZ47" s="225"/>
      <c r="QLA47" s="225"/>
      <c r="QLB47" s="225"/>
      <c r="QLC47" s="225"/>
      <c r="QLD47" s="225"/>
      <c r="QLE47" s="225"/>
      <c r="QLF47" s="225"/>
      <c r="QLG47" s="225"/>
      <c r="QLH47" s="225"/>
      <c r="QLI47" s="225"/>
      <c r="QLJ47" s="225"/>
      <c r="QLK47" s="225"/>
      <c r="QLL47" s="225"/>
      <c r="QLM47" s="225"/>
      <c r="QLN47" s="225"/>
      <c r="QLO47" s="225"/>
      <c r="QLP47" s="225"/>
      <c r="QLQ47" s="225"/>
      <c r="QLR47" s="225"/>
      <c r="QLS47" s="225"/>
      <c r="QLT47" s="225"/>
      <c r="QLU47" s="225"/>
      <c r="QLV47" s="225"/>
      <c r="QLW47" s="225"/>
      <c r="QLX47" s="225"/>
      <c r="QLY47" s="225"/>
      <c r="QLZ47" s="225"/>
      <c r="QMA47" s="225"/>
      <c r="QMB47" s="225"/>
      <c r="QMC47" s="225"/>
      <c r="QMD47" s="225"/>
      <c r="QME47" s="225"/>
      <c r="QMF47" s="225"/>
      <c r="QMG47" s="225"/>
      <c r="QMH47" s="225"/>
      <c r="QMI47" s="225"/>
      <c r="QMJ47" s="225"/>
      <c r="QMK47" s="225"/>
      <c r="QML47" s="225"/>
      <c r="QMM47" s="225"/>
      <c r="QMN47" s="225"/>
      <c r="QMO47" s="225"/>
      <c r="QMP47" s="225"/>
      <c r="QMQ47" s="225"/>
      <c r="QMR47" s="225"/>
      <c r="QMS47" s="225"/>
      <c r="QMT47" s="225"/>
      <c r="QMU47" s="225"/>
      <c r="QMV47" s="225"/>
      <c r="QMW47" s="225"/>
      <c r="QMX47" s="225"/>
      <c r="QMY47" s="225"/>
      <c r="QMZ47" s="225"/>
      <c r="QNA47" s="225"/>
      <c r="QNB47" s="225"/>
      <c r="QNC47" s="225"/>
      <c r="QND47" s="225"/>
      <c r="QNE47" s="225"/>
      <c r="QNF47" s="225"/>
      <c r="QNG47" s="225"/>
      <c r="QNH47" s="225"/>
      <c r="QNI47" s="225"/>
      <c r="QNJ47" s="225"/>
      <c r="QNK47" s="225"/>
      <c r="QNL47" s="225"/>
      <c r="QNM47" s="225"/>
      <c r="QNN47" s="225"/>
      <c r="QNO47" s="225"/>
      <c r="QNP47" s="225"/>
      <c r="QNQ47" s="225"/>
      <c r="QNR47" s="225"/>
      <c r="QNS47" s="225"/>
      <c r="QNT47" s="225"/>
      <c r="QNU47" s="225"/>
      <c r="QNV47" s="225"/>
      <c r="QNW47" s="225"/>
      <c r="QNX47" s="225"/>
      <c r="QNY47" s="225"/>
      <c r="QNZ47" s="225"/>
      <c r="QOA47" s="225"/>
      <c r="QOB47" s="225"/>
      <c r="QOC47" s="225"/>
      <c r="QOD47" s="225"/>
      <c r="QOE47" s="225"/>
      <c r="QOF47" s="225"/>
      <c r="QOG47" s="225"/>
      <c r="QOH47" s="225"/>
      <c r="QOI47" s="225"/>
      <c r="QOJ47" s="225"/>
      <c r="QOK47" s="225"/>
      <c r="QOL47" s="225"/>
      <c r="QOM47" s="225"/>
      <c r="QON47" s="225"/>
      <c r="QOO47" s="225"/>
      <c r="QOP47" s="225"/>
      <c r="QOQ47" s="225"/>
      <c r="QOR47" s="225"/>
      <c r="QOS47" s="225"/>
      <c r="QOT47" s="225"/>
      <c r="QOU47" s="225"/>
      <c r="QOV47" s="225"/>
      <c r="QOW47" s="225"/>
      <c r="QOX47" s="225"/>
      <c r="QOY47" s="225"/>
      <c r="QOZ47" s="225"/>
      <c r="QPA47" s="225"/>
      <c r="QPB47" s="225"/>
      <c r="QPC47" s="225"/>
      <c r="QPD47" s="225"/>
      <c r="QPE47" s="225"/>
      <c r="QPF47" s="225"/>
      <c r="QPG47" s="225"/>
      <c r="QPH47" s="225"/>
      <c r="QPI47" s="225"/>
      <c r="QPJ47" s="225"/>
      <c r="QPK47" s="225"/>
      <c r="QPL47" s="225"/>
      <c r="QPM47" s="225"/>
      <c r="QPN47" s="225"/>
      <c r="QPO47" s="225"/>
      <c r="QPP47" s="225"/>
      <c r="QPQ47" s="225"/>
      <c r="QPR47" s="225"/>
      <c r="QPS47" s="225"/>
      <c r="QPT47" s="225"/>
      <c r="QPU47" s="225"/>
      <c r="QPV47" s="225"/>
      <c r="QPW47" s="225"/>
      <c r="QPX47" s="225"/>
      <c r="QPY47" s="225"/>
      <c r="QPZ47" s="225"/>
      <c r="QQA47" s="225"/>
      <c r="QQB47" s="225"/>
      <c r="QQC47" s="225"/>
      <c r="QQD47" s="225"/>
      <c r="QQE47" s="225"/>
      <c r="QQF47" s="225"/>
      <c r="QQG47" s="225"/>
      <c r="QQH47" s="225"/>
      <c r="QQI47" s="225"/>
      <c r="QQJ47" s="225"/>
      <c r="QQK47" s="225"/>
      <c r="QQL47" s="225"/>
      <c r="QQM47" s="225"/>
      <c r="QQN47" s="225"/>
      <c r="QQO47" s="225"/>
      <c r="QQP47" s="225"/>
      <c r="QQQ47" s="225"/>
      <c r="QQR47" s="225"/>
      <c r="QQS47" s="225"/>
      <c r="QQT47" s="225"/>
      <c r="QQU47" s="225"/>
      <c r="QQV47" s="225"/>
      <c r="QQW47" s="225"/>
      <c r="QQX47" s="225"/>
      <c r="QQY47" s="225"/>
      <c r="QQZ47" s="225"/>
      <c r="QRA47" s="225"/>
      <c r="QRB47" s="225"/>
      <c r="QRC47" s="225"/>
      <c r="QRD47" s="225"/>
      <c r="QRE47" s="225"/>
      <c r="QRF47" s="225"/>
      <c r="QRG47" s="225"/>
      <c r="QRH47" s="225"/>
      <c r="QRI47" s="225"/>
      <c r="QRJ47" s="225"/>
      <c r="QRK47" s="225"/>
      <c r="QRL47" s="225"/>
      <c r="QRM47" s="225"/>
      <c r="QRN47" s="225"/>
      <c r="QRO47" s="225"/>
      <c r="QRP47" s="225"/>
      <c r="QRQ47" s="225"/>
      <c r="QRR47" s="225"/>
      <c r="QRS47" s="225"/>
      <c r="QRT47" s="225"/>
      <c r="QRU47" s="225"/>
      <c r="QRV47" s="225"/>
      <c r="QRW47" s="225"/>
      <c r="QRX47" s="225"/>
      <c r="QRY47" s="225"/>
      <c r="QRZ47" s="225"/>
      <c r="QSA47" s="225"/>
      <c r="QSB47" s="225"/>
      <c r="QSC47" s="225"/>
      <c r="QSD47" s="225"/>
      <c r="QSE47" s="225"/>
      <c r="QSF47" s="225"/>
      <c r="QSG47" s="225"/>
      <c r="QSH47" s="225"/>
      <c r="QSI47" s="225"/>
      <c r="QSJ47" s="225"/>
      <c r="QSK47" s="225"/>
      <c r="QSL47" s="225"/>
      <c r="QSM47" s="225"/>
      <c r="QSN47" s="225"/>
      <c r="QSO47" s="225"/>
      <c r="QSP47" s="225"/>
      <c r="QSQ47" s="225"/>
      <c r="QSR47" s="225"/>
      <c r="QSS47" s="225"/>
      <c r="QST47" s="225"/>
      <c r="QSU47" s="225"/>
      <c r="QSV47" s="225"/>
      <c r="QSW47" s="225"/>
      <c r="QSX47" s="225"/>
      <c r="QSY47" s="225"/>
      <c r="QSZ47" s="225"/>
      <c r="QTA47" s="225"/>
      <c r="QTB47" s="225"/>
      <c r="QTC47" s="225"/>
      <c r="QTD47" s="225"/>
      <c r="QTE47" s="225"/>
      <c r="QTF47" s="225"/>
      <c r="QTG47" s="225"/>
      <c r="QTH47" s="225"/>
      <c r="QTI47" s="225"/>
      <c r="QTJ47" s="225"/>
      <c r="QTK47" s="225"/>
      <c r="QTL47" s="225"/>
      <c r="QTM47" s="225"/>
      <c r="QTN47" s="225"/>
      <c r="QTO47" s="225"/>
      <c r="QTP47" s="225"/>
      <c r="QTQ47" s="225"/>
      <c r="QTR47" s="225"/>
      <c r="QTS47" s="225"/>
      <c r="QTT47" s="225"/>
      <c r="QTU47" s="225"/>
      <c r="QTV47" s="225"/>
      <c r="QTW47" s="225"/>
      <c r="QTX47" s="225"/>
      <c r="QTY47" s="225"/>
      <c r="QTZ47" s="225"/>
      <c r="QUA47" s="225"/>
      <c r="QUB47" s="225"/>
      <c r="QUC47" s="225"/>
      <c r="QUD47" s="225"/>
      <c r="QUE47" s="225"/>
      <c r="QUF47" s="225"/>
      <c r="QUG47" s="225"/>
      <c r="QUH47" s="225"/>
      <c r="QUI47" s="225"/>
      <c r="QUJ47" s="225"/>
      <c r="QUK47" s="225"/>
      <c r="QUL47" s="225"/>
      <c r="QUM47" s="225"/>
      <c r="QUN47" s="225"/>
      <c r="QUO47" s="225"/>
      <c r="QUP47" s="225"/>
      <c r="QUQ47" s="225"/>
      <c r="QUR47" s="225"/>
      <c r="QUS47" s="225"/>
      <c r="QUT47" s="225"/>
      <c r="QUU47" s="225"/>
      <c r="QUV47" s="225"/>
      <c r="QUW47" s="225"/>
      <c r="QUX47" s="225"/>
      <c r="QUY47" s="225"/>
      <c r="QUZ47" s="225"/>
      <c r="QVA47" s="225"/>
      <c r="QVB47" s="225"/>
      <c r="QVC47" s="225"/>
      <c r="QVD47" s="225"/>
      <c r="QVE47" s="225"/>
      <c r="QVF47" s="225"/>
      <c r="QVG47" s="225"/>
      <c r="QVH47" s="225"/>
      <c r="QVI47" s="225"/>
      <c r="QVJ47" s="225"/>
      <c r="QVK47" s="225"/>
      <c r="QVL47" s="225"/>
      <c r="QVM47" s="225"/>
      <c r="QVN47" s="225"/>
      <c r="QVO47" s="225"/>
      <c r="QVP47" s="225"/>
      <c r="QVQ47" s="225"/>
      <c r="QVR47" s="225"/>
      <c r="QVS47" s="225"/>
      <c r="QVT47" s="225"/>
      <c r="QVU47" s="225"/>
      <c r="QVV47" s="225"/>
      <c r="QVW47" s="225"/>
      <c r="QVX47" s="225"/>
      <c r="QVY47" s="225"/>
      <c r="QVZ47" s="225"/>
      <c r="QWA47" s="225"/>
      <c r="QWB47" s="225"/>
      <c r="QWC47" s="225"/>
      <c r="QWD47" s="225"/>
      <c r="QWE47" s="225"/>
      <c r="QWF47" s="225"/>
      <c r="QWG47" s="225"/>
      <c r="QWH47" s="225"/>
      <c r="QWI47" s="225"/>
      <c r="QWJ47" s="225"/>
      <c r="QWK47" s="225"/>
      <c r="QWL47" s="225"/>
      <c r="QWM47" s="225"/>
      <c r="QWN47" s="225"/>
      <c r="QWO47" s="225"/>
      <c r="QWP47" s="225"/>
      <c r="QWQ47" s="225"/>
      <c r="QWR47" s="225"/>
      <c r="QWS47" s="225"/>
      <c r="QWT47" s="225"/>
      <c r="QWU47" s="225"/>
      <c r="QWV47" s="225"/>
      <c r="QWW47" s="225"/>
      <c r="QWX47" s="225"/>
      <c r="QWY47" s="225"/>
      <c r="QWZ47" s="225"/>
      <c r="QXA47" s="225"/>
      <c r="QXB47" s="225"/>
      <c r="QXC47" s="225"/>
      <c r="QXD47" s="225"/>
      <c r="QXE47" s="225"/>
      <c r="QXF47" s="225"/>
      <c r="QXG47" s="225"/>
      <c r="QXH47" s="225"/>
      <c r="QXI47" s="225"/>
      <c r="QXJ47" s="225"/>
      <c r="QXK47" s="225"/>
      <c r="QXL47" s="225"/>
      <c r="QXM47" s="225"/>
      <c r="QXN47" s="225"/>
      <c r="QXO47" s="225"/>
      <c r="QXP47" s="225"/>
      <c r="QXQ47" s="225"/>
      <c r="QXR47" s="225"/>
      <c r="QXS47" s="225"/>
      <c r="QXT47" s="225"/>
      <c r="QXU47" s="225"/>
      <c r="QXV47" s="225"/>
      <c r="QXW47" s="225"/>
      <c r="QXX47" s="225"/>
      <c r="QXY47" s="225"/>
      <c r="QXZ47" s="225"/>
      <c r="QYA47" s="225"/>
      <c r="QYB47" s="225"/>
      <c r="QYC47" s="225"/>
      <c r="QYD47" s="225"/>
      <c r="QYE47" s="225"/>
      <c r="QYF47" s="225"/>
      <c r="QYG47" s="225"/>
      <c r="QYH47" s="225"/>
      <c r="QYI47" s="225"/>
      <c r="QYJ47" s="225"/>
      <c r="QYK47" s="225"/>
      <c r="QYL47" s="225"/>
      <c r="QYM47" s="225"/>
      <c r="QYN47" s="225"/>
      <c r="QYO47" s="225"/>
      <c r="QYP47" s="225"/>
      <c r="QYQ47" s="225"/>
      <c r="QYR47" s="225"/>
      <c r="QYS47" s="225"/>
      <c r="QYT47" s="225"/>
      <c r="QYU47" s="225"/>
      <c r="QYV47" s="225"/>
      <c r="QYW47" s="225"/>
      <c r="QYX47" s="225"/>
      <c r="QYY47" s="225"/>
      <c r="QYZ47" s="225"/>
      <c r="QZA47" s="225"/>
      <c r="QZB47" s="225"/>
      <c r="QZC47" s="225"/>
      <c r="QZD47" s="225"/>
      <c r="QZE47" s="225"/>
      <c r="QZF47" s="225"/>
      <c r="QZG47" s="225"/>
      <c r="QZH47" s="225"/>
      <c r="QZI47" s="225"/>
      <c r="QZJ47" s="225"/>
      <c r="QZK47" s="225"/>
      <c r="QZL47" s="225"/>
      <c r="QZM47" s="225"/>
      <c r="QZN47" s="225"/>
      <c r="QZO47" s="225"/>
      <c r="QZP47" s="225"/>
      <c r="QZQ47" s="225"/>
      <c r="QZR47" s="225"/>
      <c r="QZS47" s="225"/>
      <c r="QZT47" s="225"/>
      <c r="QZU47" s="225"/>
      <c r="QZV47" s="225"/>
      <c r="QZW47" s="225"/>
      <c r="QZX47" s="225"/>
      <c r="QZY47" s="225"/>
      <c r="QZZ47" s="225"/>
      <c r="RAA47" s="225"/>
      <c r="RAB47" s="225"/>
      <c r="RAC47" s="225"/>
      <c r="RAD47" s="225"/>
      <c r="RAE47" s="225"/>
      <c r="RAF47" s="225"/>
      <c r="RAG47" s="225"/>
      <c r="RAH47" s="225"/>
      <c r="RAI47" s="225"/>
      <c r="RAJ47" s="225"/>
      <c r="RAK47" s="225"/>
      <c r="RAL47" s="225"/>
      <c r="RAM47" s="225"/>
      <c r="RAN47" s="225"/>
      <c r="RAO47" s="225"/>
      <c r="RAP47" s="225"/>
      <c r="RAQ47" s="225"/>
      <c r="RAR47" s="225"/>
      <c r="RAS47" s="225"/>
      <c r="RAT47" s="225"/>
      <c r="RAU47" s="225"/>
      <c r="RAV47" s="225"/>
      <c r="RAW47" s="225"/>
      <c r="RAX47" s="225"/>
      <c r="RAY47" s="225"/>
      <c r="RAZ47" s="225"/>
      <c r="RBA47" s="225"/>
      <c r="RBB47" s="225"/>
      <c r="RBC47" s="225"/>
      <c r="RBD47" s="225"/>
      <c r="RBE47" s="225"/>
      <c r="RBF47" s="225"/>
      <c r="RBG47" s="225"/>
      <c r="RBH47" s="225"/>
      <c r="RBI47" s="225"/>
      <c r="RBJ47" s="225"/>
      <c r="RBK47" s="225"/>
      <c r="RBL47" s="225"/>
      <c r="RBM47" s="225"/>
      <c r="RBN47" s="225"/>
      <c r="RBO47" s="225"/>
      <c r="RBP47" s="225"/>
      <c r="RBQ47" s="225"/>
      <c r="RBR47" s="225"/>
      <c r="RBS47" s="225"/>
      <c r="RBT47" s="225"/>
      <c r="RBU47" s="225"/>
      <c r="RBV47" s="225"/>
      <c r="RBW47" s="225"/>
      <c r="RBX47" s="225"/>
      <c r="RBY47" s="225"/>
      <c r="RBZ47" s="225"/>
      <c r="RCA47" s="225"/>
      <c r="RCB47" s="225"/>
      <c r="RCC47" s="225"/>
      <c r="RCD47" s="225"/>
      <c r="RCE47" s="225"/>
      <c r="RCF47" s="225"/>
      <c r="RCG47" s="225"/>
      <c r="RCH47" s="225"/>
      <c r="RCI47" s="225"/>
      <c r="RCJ47" s="225"/>
      <c r="RCK47" s="225"/>
      <c r="RCL47" s="225"/>
      <c r="RCM47" s="225"/>
      <c r="RCN47" s="225"/>
      <c r="RCO47" s="225"/>
      <c r="RCP47" s="225"/>
      <c r="RCQ47" s="225"/>
      <c r="RCR47" s="225"/>
      <c r="RCS47" s="225"/>
      <c r="RCT47" s="225"/>
      <c r="RCU47" s="225"/>
      <c r="RCV47" s="225"/>
      <c r="RCW47" s="225"/>
      <c r="RCX47" s="225"/>
      <c r="RCY47" s="225"/>
      <c r="RCZ47" s="225"/>
      <c r="RDA47" s="225"/>
      <c r="RDB47" s="225"/>
      <c r="RDC47" s="225"/>
      <c r="RDD47" s="225"/>
      <c r="RDE47" s="225"/>
      <c r="RDF47" s="225"/>
      <c r="RDG47" s="225"/>
      <c r="RDH47" s="225"/>
      <c r="RDI47" s="225"/>
    </row>
    <row r="48" spans="1:12281" x14ac:dyDescent="0.3">
      <c r="A48" s="1">
        <v>2</v>
      </c>
      <c r="B48" s="4">
        <v>0</v>
      </c>
      <c r="C48" s="4">
        <v>100</v>
      </c>
      <c r="D48" s="4">
        <v>0</v>
      </c>
      <c r="E48" s="4">
        <v>0</v>
      </c>
      <c r="F48" s="59"/>
      <c r="G48" s="1">
        <v>2</v>
      </c>
      <c r="H48" s="4">
        <f t="shared" ref="H48:H69" si="7">B48*$C$38/100</f>
        <v>0</v>
      </c>
      <c r="I48" s="82">
        <f>C48*$C$39/100</f>
        <v>264.21180744092436</v>
      </c>
      <c r="J48" s="4">
        <f t="shared" ref="J48:J69" si="8">D48*$C$40/100</f>
        <v>0</v>
      </c>
      <c r="K48" s="4">
        <f t="shared" ref="K48:K69" si="9">$C$41*E48/100</f>
        <v>0</v>
      </c>
      <c r="L48" s="61">
        <f t="shared" ref="L48:L69" si="10">SUM(H48:K48)</f>
        <v>264.21180744092436</v>
      </c>
      <c r="N48" s="1">
        <v>2</v>
      </c>
      <c r="O48" s="4">
        <f t="shared" ref="O48:O69" si="11">H48*$J$7*$M$7</f>
        <v>0</v>
      </c>
      <c r="P48" s="4">
        <f t="shared" si="4"/>
        <v>39.426281618725518</v>
      </c>
      <c r="Q48" s="4">
        <f t="shared" si="5"/>
        <v>0</v>
      </c>
      <c r="R48" s="4">
        <f t="shared" si="6"/>
        <v>0</v>
      </c>
      <c r="S48" s="88">
        <f t="shared" ref="S48:S69" si="12">SUM(O48:R48)</f>
        <v>39.426281618725518</v>
      </c>
      <c r="T48" s="1">
        <v>2</v>
      </c>
      <c r="U48" s="4">
        <f t="shared" ref="U48:U69" si="13">H48*$J$7</f>
        <v>0</v>
      </c>
      <c r="V48" s="4">
        <f t="shared" ref="V48:V69" si="14">I48*$J$13</f>
        <v>52.975155252119464</v>
      </c>
      <c r="W48" s="4">
        <f t="shared" ref="W48:W69" si="15">J48*$J$16</f>
        <v>0</v>
      </c>
      <c r="X48" s="4">
        <f t="shared" ref="X48:X69" si="16">K48*$J$19</f>
        <v>0</v>
      </c>
      <c r="Y48" s="64">
        <f t="shared" ref="Y48:Y69" si="17">SUM(U48:X48)</f>
        <v>52.975155252119464</v>
      </c>
      <c r="Z48" s="225"/>
      <c r="AA48" s="45">
        <f t="shared" ref="AA48:AA69" si="18">S48+$F$35</f>
        <v>57.435100969537494</v>
      </c>
      <c r="AB48" s="45"/>
      <c r="AC48" s="225"/>
      <c r="AD48" s="225"/>
      <c r="AE48" s="225"/>
      <c r="AF48" s="225"/>
      <c r="AG48" s="225"/>
      <c r="AH48" s="225"/>
      <c r="AI48" s="225"/>
      <c r="AJ48" s="225"/>
      <c r="AK48" s="225"/>
      <c r="AL48" s="225"/>
      <c r="AM48" s="225"/>
      <c r="AN48" s="225"/>
      <c r="AO48" s="225"/>
      <c r="AP48" s="225"/>
      <c r="AQ48" s="225"/>
      <c r="AR48" s="225"/>
      <c r="AS48" s="225"/>
      <c r="AT48" s="225"/>
      <c r="AU48" s="225"/>
      <c r="AV48" s="225"/>
      <c r="AW48" s="225"/>
      <c r="AX48" s="225"/>
      <c r="AY48" s="225"/>
      <c r="AZ48" s="225"/>
      <c r="BA48" s="225"/>
      <c r="BB48" s="225"/>
      <c r="BC48" s="225"/>
      <c r="BD48" s="225"/>
      <c r="BE48" s="225"/>
      <c r="BF48" s="225"/>
      <c r="BG48" s="225"/>
      <c r="BH48" s="225"/>
      <c r="BI48" s="225"/>
      <c r="BJ48" s="225"/>
      <c r="BK48" s="225"/>
      <c r="BL48" s="225"/>
      <c r="BM48" s="225"/>
      <c r="BN48" s="225"/>
      <c r="BO48" s="225"/>
      <c r="BP48" s="225"/>
      <c r="BQ48" s="225"/>
      <c r="BR48" s="225"/>
      <c r="BS48" s="225"/>
      <c r="BT48" s="225"/>
      <c r="BU48" s="225"/>
      <c r="BV48" s="225"/>
      <c r="BW48" s="225"/>
      <c r="BX48" s="225"/>
      <c r="BY48" s="225"/>
      <c r="BZ48" s="225"/>
      <c r="CA48" s="225"/>
      <c r="CB48" s="225"/>
      <c r="CC48" s="225"/>
      <c r="CD48" s="225"/>
      <c r="CE48" s="225"/>
      <c r="CF48" s="225"/>
      <c r="CG48" s="225"/>
      <c r="CH48" s="225"/>
      <c r="CI48" s="225"/>
      <c r="CJ48" s="225"/>
      <c r="CK48" s="225"/>
      <c r="CL48" s="225"/>
      <c r="CM48" s="225"/>
      <c r="CN48" s="225"/>
      <c r="CO48" s="225"/>
      <c r="CP48" s="225"/>
      <c r="CQ48" s="225"/>
      <c r="CR48" s="225"/>
      <c r="CS48" s="225"/>
      <c r="CT48" s="225"/>
      <c r="CU48" s="225"/>
      <c r="CV48" s="225"/>
      <c r="CW48" s="225"/>
      <c r="CX48" s="225"/>
      <c r="CY48" s="225"/>
      <c r="CZ48" s="225"/>
      <c r="DA48" s="225"/>
      <c r="DB48" s="225"/>
      <c r="DC48" s="225"/>
      <c r="DD48" s="225"/>
      <c r="DE48" s="225"/>
      <c r="DF48" s="225"/>
      <c r="DG48" s="225"/>
      <c r="DH48" s="225"/>
      <c r="DI48" s="225"/>
      <c r="DJ48" s="225"/>
      <c r="DK48" s="225"/>
      <c r="DL48" s="225"/>
      <c r="DM48" s="225"/>
      <c r="DN48" s="225"/>
      <c r="DO48" s="225"/>
      <c r="DP48" s="225"/>
      <c r="DQ48" s="225"/>
      <c r="DR48" s="225"/>
      <c r="DS48" s="225"/>
      <c r="DT48" s="225"/>
      <c r="DU48" s="225"/>
      <c r="DV48" s="225"/>
      <c r="DW48" s="225"/>
      <c r="DX48" s="225"/>
      <c r="DY48" s="225"/>
      <c r="DZ48" s="225"/>
      <c r="EA48" s="225"/>
      <c r="EB48" s="225"/>
      <c r="EC48" s="225"/>
      <c r="ED48" s="225"/>
      <c r="EE48" s="225"/>
      <c r="EF48" s="225"/>
      <c r="EG48" s="225"/>
      <c r="EH48" s="225"/>
      <c r="EI48" s="225"/>
      <c r="EJ48" s="225"/>
      <c r="EK48" s="225"/>
      <c r="EL48" s="225"/>
      <c r="EM48" s="225"/>
      <c r="EN48" s="225"/>
      <c r="EO48" s="225"/>
      <c r="EP48" s="225"/>
      <c r="EQ48" s="225"/>
      <c r="ER48" s="225"/>
      <c r="ES48" s="225"/>
      <c r="ET48" s="225"/>
      <c r="EU48" s="225"/>
      <c r="EV48" s="225"/>
      <c r="EW48" s="225"/>
      <c r="EX48" s="225"/>
      <c r="EY48" s="225"/>
      <c r="EZ48" s="225"/>
      <c r="FA48" s="225"/>
      <c r="FB48" s="225"/>
      <c r="FC48" s="225"/>
      <c r="FD48" s="225"/>
      <c r="FE48" s="225"/>
      <c r="FF48" s="225"/>
      <c r="FG48" s="225"/>
      <c r="FH48" s="225"/>
      <c r="FI48" s="225"/>
      <c r="FJ48" s="225"/>
      <c r="FK48" s="225"/>
      <c r="FL48" s="225"/>
      <c r="FM48" s="225"/>
      <c r="FN48" s="225"/>
      <c r="FO48" s="225"/>
      <c r="FP48" s="225"/>
      <c r="FQ48" s="225"/>
      <c r="FR48" s="225"/>
      <c r="FS48" s="225"/>
      <c r="FT48" s="225"/>
      <c r="FU48" s="225"/>
      <c r="FV48" s="225"/>
      <c r="FW48" s="225"/>
      <c r="FX48" s="225"/>
      <c r="FY48" s="225"/>
      <c r="FZ48" s="225"/>
      <c r="GA48" s="225"/>
      <c r="GB48" s="225"/>
      <c r="GC48" s="225"/>
      <c r="GD48" s="225"/>
      <c r="GE48" s="225"/>
      <c r="GF48" s="225"/>
      <c r="GG48" s="225"/>
      <c r="GH48" s="225"/>
      <c r="GI48" s="225"/>
      <c r="GJ48" s="225"/>
      <c r="GK48" s="225"/>
      <c r="GL48" s="225"/>
      <c r="GM48" s="225"/>
      <c r="GN48" s="225"/>
      <c r="GO48" s="225"/>
      <c r="GP48" s="225"/>
      <c r="GQ48" s="225"/>
      <c r="GR48" s="225"/>
      <c r="GS48" s="225"/>
      <c r="GT48" s="225"/>
      <c r="GU48" s="225"/>
      <c r="GV48" s="225"/>
      <c r="GW48" s="225"/>
      <c r="GX48" s="225"/>
      <c r="GY48" s="225"/>
      <c r="GZ48" s="225"/>
      <c r="HA48" s="225"/>
      <c r="HB48" s="225"/>
      <c r="HC48" s="225"/>
      <c r="HD48" s="225"/>
      <c r="HE48" s="225"/>
      <c r="HF48" s="225"/>
      <c r="HG48" s="225"/>
      <c r="HH48" s="225"/>
      <c r="HI48" s="225"/>
      <c r="HJ48" s="225"/>
      <c r="HK48" s="225"/>
      <c r="HL48" s="225"/>
      <c r="HM48" s="225"/>
      <c r="HN48" s="225"/>
      <c r="HO48" s="225"/>
      <c r="HP48" s="225"/>
      <c r="HQ48" s="225"/>
      <c r="HR48" s="225"/>
      <c r="HS48" s="225"/>
      <c r="HT48" s="225"/>
      <c r="HU48" s="225"/>
      <c r="HV48" s="225"/>
      <c r="HW48" s="225"/>
      <c r="HX48" s="225"/>
      <c r="HY48" s="225"/>
      <c r="HZ48" s="225"/>
      <c r="IA48" s="225"/>
      <c r="IB48" s="225"/>
      <c r="IC48" s="225"/>
      <c r="ID48" s="225"/>
      <c r="IE48" s="225"/>
      <c r="IF48" s="225"/>
      <c r="IG48" s="225"/>
      <c r="IH48" s="225"/>
      <c r="II48" s="225"/>
      <c r="IJ48" s="225"/>
      <c r="IK48" s="225"/>
      <c r="IL48" s="225"/>
      <c r="IM48" s="225"/>
      <c r="IN48" s="225"/>
      <c r="IO48" s="225"/>
      <c r="IP48" s="225"/>
      <c r="IQ48" s="225"/>
      <c r="IR48" s="225"/>
      <c r="IS48" s="225"/>
      <c r="IT48" s="225"/>
      <c r="IU48" s="225"/>
      <c r="IV48" s="225"/>
      <c r="IW48" s="225"/>
      <c r="IX48" s="225"/>
      <c r="IY48" s="225"/>
      <c r="IZ48" s="225"/>
      <c r="JA48" s="225"/>
      <c r="JB48" s="225"/>
      <c r="JC48" s="225"/>
      <c r="JD48" s="225"/>
      <c r="JE48" s="225"/>
      <c r="JF48" s="225"/>
      <c r="JG48" s="225"/>
      <c r="JH48" s="225"/>
      <c r="JI48" s="225"/>
      <c r="JJ48" s="225"/>
      <c r="JK48" s="225"/>
      <c r="JL48" s="225"/>
      <c r="JM48" s="225"/>
      <c r="JN48" s="225"/>
      <c r="JO48" s="225"/>
      <c r="JP48" s="225"/>
      <c r="JQ48" s="225"/>
      <c r="JR48" s="225"/>
      <c r="JS48" s="225"/>
      <c r="JT48" s="225"/>
      <c r="JU48" s="225"/>
      <c r="JV48" s="225"/>
      <c r="JW48" s="225"/>
      <c r="JX48" s="225"/>
      <c r="JY48" s="225"/>
      <c r="JZ48" s="225"/>
      <c r="KA48" s="225"/>
      <c r="KB48" s="225"/>
      <c r="KC48" s="225"/>
      <c r="KD48" s="225"/>
      <c r="KE48" s="225"/>
      <c r="KF48" s="225"/>
      <c r="KG48" s="225"/>
      <c r="KH48" s="225"/>
      <c r="KI48" s="225"/>
      <c r="KJ48" s="225"/>
      <c r="KK48" s="225"/>
      <c r="KL48" s="225"/>
      <c r="KM48" s="225"/>
      <c r="KN48" s="225"/>
      <c r="KO48" s="225"/>
      <c r="KP48" s="225"/>
      <c r="KQ48" s="225"/>
      <c r="KR48" s="225"/>
      <c r="KS48" s="225"/>
      <c r="KT48" s="225"/>
      <c r="KU48" s="225"/>
      <c r="KV48" s="225"/>
      <c r="KW48" s="225"/>
      <c r="KX48" s="225"/>
      <c r="KY48" s="225"/>
      <c r="KZ48" s="225"/>
      <c r="LA48" s="225"/>
      <c r="LB48" s="225"/>
      <c r="LC48" s="225"/>
      <c r="LD48" s="225"/>
      <c r="LE48" s="225"/>
      <c r="LF48" s="225"/>
      <c r="LG48" s="225"/>
      <c r="LH48" s="225"/>
      <c r="LI48" s="225"/>
      <c r="LJ48" s="225"/>
      <c r="LK48" s="225"/>
      <c r="LL48" s="225"/>
      <c r="LM48" s="225"/>
      <c r="LN48" s="225"/>
      <c r="LO48" s="225"/>
      <c r="LP48" s="225"/>
      <c r="LQ48" s="225"/>
      <c r="LR48" s="225"/>
      <c r="LS48" s="225"/>
      <c r="LT48" s="225"/>
      <c r="LU48" s="225"/>
      <c r="LV48" s="225"/>
      <c r="LW48" s="225"/>
      <c r="LX48" s="225"/>
      <c r="LY48" s="225"/>
      <c r="LZ48" s="225"/>
      <c r="MA48" s="225"/>
      <c r="MB48" s="225"/>
      <c r="MC48" s="225"/>
      <c r="MD48" s="225"/>
      <c r="ME48" s="225"/>
      <c r="MF48" s="225"/>
      <c r="MG48" s="225"/>
      <c r="MH48" s="225"/>
      <c r="MI48" s="225"/>
      <c r="MJ48" s="225"/>
      <c r="MK48" s="225"/>
      <c r="ML48" s="225"/>
      <c r="MM48" s="225"/>
      <c r="MN48" s="225"/>
      <c r="MO48" s="225"/>
      <c r="MP48" s="225"/>
      <c r="MQ48" s="225"/>
      <c r="MR48" s="225"/>
      <c r="MS48" s="225"/>
      <c r="MT48" s="225"/>
      <c r="MU48" s="225"/>
      <c r="MV48" s="225"/>
      <c r="MW48" s="225"/>
      <c r="MX48" s="225"/>
      <c r="MY48" s="225"/>
      <c r="MZ48" s="225"/>
      <c r="NA48" s="225"/>
      <c r="NB48" s="225"/>
      <c r="NC48" s="225"/>
      <c r="ND48" s="225"/>
      <c r="NE48" s="225"/>
      <c r="NF48" s="225"/>
      <c r="NG48" s="225"/>
      <c r="NH48" s="225"/>
      <c r="NI48" s="225"/>
      <c r="NJ48" s="225"/>
      <c r="NK48" s="225"/>
      <c r="NL48" s="225"/>
      <c r="NM48" s="225"/>
      <c r="NN48" s="225"/>
      <c r="NO48" s="225"/>
      <c r="NP48" s="225"/>
      <c r="NQ48" s="225"/>
      <c r="NR48" s="225"/>
      <c r="NS48" s="225"/>
      <c r="NT48" s="225"/>
      <c r="NU48" s="225"/>
      <c r="NV48" s="225"/>
      <c r="NW48" s="225"/>
      <c r="NX48" s="225"/>
      <c r="NY48" s="225"/>
      <c r="NZ48" s="225"/>
      <c r="OA48" s="225"/>
      <c r="OB48" s="225"/>
      <c r="OC48" s="225"/>
      <c r="OD48" s="225"/>
      <c r="OE48" s="225"/>
      <c r="OF48" s="225"/>
      <c r="OG48" s="225"/>
      <c r="OH48" s="225"/>
      <c r="OI48" s="225"/>
      <c r="OJ48" s="225"/>
      <c r="OK48" s="225"/>
      <c r="OL48" s="225"/>
      <c r="OM48" s="225"/>
      <c r="ON48" s="225"/>
      <c r="OO48" s="225"/>
      <c r="OP48" s="225"/>
      <c r="OQ48" s="225"/>
      <c r="OR48" s="225"/>
      <c r="OS48" s="225"/>
      <c r="OT48" s="225"/>
      <c r="OU48" s="225"/>
      <c r="OV48" s="225"/>
      <c r="OW48" s="225"/>
      <c r="OX48" s="225"/>
      <c r="OY48" s="225"/>
      <c r="OZ48" s="225"/>
      <c r="PA48" s="225"/>
      <c r="PB48" s="225"/>
      <c r="PC48" s="225"/>
      <c r="PD48" s="225"/>
      <c r="PE48" s="225"/>
      <c r="PF48" s="225"/>
      <c r="PG48" s="225"/>
      <c r="PH48" s="225"/>
      <c r="PI48" s="225"/>
      <c r="PJ48" s="225"/>
      <c r="PK48" s="225"/>
      <c r="PL48" s="225"/>
      <c r="PM48" s="225"/>
      <c r="PN48" s="225"/>
      <c r="PO48" s="225"/>
      <c r="PP48" s="225"/>
      <c r="PQ48" s="225"/>
      <c r="PR48" s="225"/>
      <c r="PS48" s="225"/>
      <c r="PT48" s="225"/>
      <c r="PU48" s="225"/>
      <c r="PV48" s="225"/>
      <c r="PW48" s="225"/>
      <c r="PX48" s="225"/>
      <c r="PY48" s="225"/>
      <c r="PZ48" s="225"/>
      <c r="QA48" s="225"/>
      <c r="QB48" s="225"/>
      <c r="QC48" s="225"/>
      <c r="QD48" s="225"/>
      <c r="QE48" s="225"/>
      <c r="QF48" s="225"/>
      <c r="QG48" s="225"/>
      <c r="QH48" s="225"/>
      <c r="QI48" s="225"/>
      <c r="QJ48" s="225"/>
      <c r="QK48" s="225"/>
      <c r="QL48" s="225"/>
      <c r="QM48" s="225"/>
      <c r="QN48" s="225"/>
      <c r="QO48" s="225"/>
      <c r="QP48" s="225"/>
      <c r="QQ48" s="225"/>
      <c r="QR48" s="225"/>
      <c r="QS48" s="225"/>
      <c r="QT48" s="225"/>
      <c r="QU48" s="225"/>
      <c r="QV48" s="225"/>
      <c r="QW48" s="225"/>
      <c r="QX48" s="225"/>
      <c r="QY48" s="225"/>
      <c r="QZ48" s="225"/>
      <c r="RA48" s="225"/>
      <c r="RB48" s="225"/>
      <c r="RC48" s="225"/>
      <c r="RD48" s="225"/>
      <c r="RE48" s="225"/>
      <c r="RF48" s="225"/>
      <c r="RG48" s="225"/>
      <c r="RH48" s="225"/>
      <c r="RI48" s="225"/>
      <c r="RJ48" s="225"/>
      <c r="RK48" s="225"/>
      <c r="RL48" s="225"/>
      <c r="RM48" s="225"/>
      <c r="RN48" s="225"/>
      <c r="RO48" s="225"/>
      <c r="RP48" s="225"/>
      <c r="RQ48" s="225"/>
      <c r="RR48" s="225"/>
      <c r="RS48" s="225"/>
      <c r="RT48" s="225"/>
      <c r="RU48" s="225"/>
      <c r="RV48" s="225"/>
      <c r="RW48" s="225"/>
      <c r="RX48" s="225"/>
      <c r="RY48" s="225"/>
      <c r="RZ48" s="225"/>
      <c r="SA48" s="225"/>
      <c r="SB48" s="225"/>
      <c r="SC48" s="225"/>
      <c r="SD48" s="225"/>
      <c r="SE48" s="225"/>
      <c r="SF48" s="225"/>
      <c r="SG48" s="225"/>
      <c r="SH48" s="225"/>
      <c r="SI48" s="225"/>
      <c r="SJ48" s="225"/>
      <c r="SK48" s="225"/>
      <c r="SL48" s="225"/>
      <c r="SM48" s="225"/>
      <c r="SN48" s="225"/>
      <c r="SO48" s="225"/>
      <c r="SP48" s="225"/>
      <c r="SQ48" s="225"/>
      <c r="SR48" s="225"/>
      <c r="SS48" s="225"/>
      <c r="ST48" s="225"/>
      <c r="SU48" s="225"/>
      <c r="SV48" s="225"/>
      <c r="SW48" s="225"/>
      <c r="SX48" s="225"/>
      <c r="SY48" s="225"/>
      <c r="SZ48" s="225"/>
      <c r="TA48" s="225"/>
      <c r="TB48" s="225"/>
      <c r="TC48" s="225"/>
      <c r="TD48" s="225"/>
      <c r="TE48" s="225"/>
      <c r="TF48" s="225"/>
      <c r="TG48" s="225"/>
      <c r="TH48" s="225"/>
      <c r="TI48" s="225"/>
      <c r="TJ48" s="225"/>
      <c r="TK48" s="225"/>
      <c r="TL48" s="225"/>
      <c r="TM48" s="225"/>
      <c r="TN48" s="225"/>
      <c r="TO48" s="225"/>
      <c r="TP48" s="225"/>
      <c r="TQ48" s="225"/>
      <c r="TR48" s="225"/>
      <c r="TS48" s="225"/>
      <c r="TT48" s="225"/>
      <c r="TU48" s="225"/>
      <c r="TV48" s="225"/>
      <c r="TW48" s="225"/>
      <c r="TX48" s="225"/>
      <c r="TY48" s="225"/>
      <c r="TZ48" s="225"/>
      <c r="UA48" s="225"/>
      <c r="UB48" s="225"/>
      <c r="UC48" s="225"/>
      <c r="UD48" s="225"/>
      <c r="UE48" s="225"/>
      <c r="UF48" s="225"/>
      <c r="UG48" s="225"/>
      <c r="UH48" s="225"/>
      <c r="UI48" s="225"/>
      <c r="UJ48" s="225"/>
      <c r="UK48" s="225"/>
      <c r="UL48" s="225"/>
      <c r="UM48" s="225"/>
      <c r="UN48" s="225"/>
      <c r="UO48" s="225"/>
      <c r="UP48" s="225"/>
      <c r="UQ48" s="225"/>
      <c r="UR48" s="225"/>
      <c r="US48" s="225"/>
      <c r="UT48" s="225"/>
      <c r="UU48" s="225"/>
      <c r="UV48" s="225"/>
      <c r="UW48" s="225"/>
      <c r="UX48" s="225"/>
      <c r="UY48" s="225"/>
      <c r="UZ48" s="225"/>
      <c r="VA48" s="225"/>
      <c r="VB48" s="225"/>
      <c r="VC48" s="225"/>
      <c r="VD48" s="225"/>
      <c r="VE48" s="225"/>
      <c r="VF48" s="225"/>
      <c r="VG48" s="225"/>
      <c r="VH48" s="225"/>
      <c r="VI48" s="225"/>
      <c r="VJ48" s="225"/>
      <c r="VK48" s="225"/>
      <c r="VL48" s="225"/>
      <c r="VM48" s="225"/>
      <c r="VN48" s="225"/>
      <c r="VO48" s="225"/>
      <c r="VP48" s="225"/>
      <c r="VQ48" s="225"/>
      <c r="VR48" s="225"/>
      <c r="VS48" s="225"/>
      <c r="VT48" s="225"/>
      <c r="VU48" s="225"/>
      <c r="VV48" s="225"/>
      <c r="VW48" s="225"/>
      <c r="VX48" s="225"/>
      <c r="VY48" s="225"/>
      <c r="VZ48" s="225"/>
      <c r="WA48" s="225"/>
      <c r="WB48" s="225"/>
      <c r="WC48" s="225"/>
      <c r="WD48" s="225"/>
      <c r="WE48" s="225"/>
      <c r="WF48" s="225"/>
      <c r="WG48" s="225"/>
      <c r="WH48" s="225"/>
      <c r="WI48" s="225"/>
      <c r="WJ48" s="225"/>
      <c r="WK48" s="225"/>
      <c r="WL48" s="225"/>
      <c r="WM48" s="225"/>
      <c r="WN48" s="225"/>
      <c r="WO48" s="225"/>
      <c r="WP48" s="225"/>
      <c r="WQ48" s="225"/>
      <c r="WR48" s="225"/>
      <c r="WS48" s="225"/>
      <c r="WT48" s="225"/>
      <c r="WU48" s="225"/>
      <c r="WV48" s="225"/>
      <c r="WW48" s="225"/>
      <c r="WX48" s="225"/>
      <c r="WY48" s="225"/>
      <c r="WZ48" s="225"/>
      <c r="XA48" s="225"/>
      <c r="XB48" s="225"/>
      <c r="XC48" s="225"/>
      <c r="XD48" s="225"/>
      <c r="XE48" s="225"/>
      <c r="XF48" s="225"/>
      <c r="XG48" s="225"/>
      <c r="XH48" s="225"/>
      <c r="XI48" s="225"/>
      <c r="XJ48" s="225"/>
      <c r="XK48" s="225"/>
      <c r="XL48" s="225"/>
      <c r="XM48" s="225"/>
      <c r="XN48" s="225"/>
      <c r="XO48" s="225"/>
      <c r="XP48" s="225"/>
      <c r="XQ48" s="225"/>
      <c r="XR48" s="225"/>
      <c r="XS48" s="225"/>
      <c r="XT48" s="225"/>
      <c r="XU48" s="225"/>
      <c r="XV48" s="225"/>
      <c r="XW48" s="225"/>
      <c r="XX48" s="225"/>
      <c r="XY48" s="225"/>
      <c r="XZ48" s="225"/>
      <c r="YA48" s="225"/>
      <c r="YB48" s="225"/>
      <c r="YC48" s="225"/>
      <c r="YD48" s="225"/>
      <c r="YE48" s="225"/>
      <c r="YF48" s="225"/>
      <c r="YG48" s="225"/>
      <c r="YH48" s="225"/>
      <c r="YI48" s="225"/>
      <c r="YJ48" s="225"/>
      <c r="YK48" s="225"/>
      <c r="YL48" s="225"/>
      <c r="YM48" s="225"/>
      <c r="YN48" s="225"/>
      <c r="YO48" s="225"/>
      <c r="YP48" s="225"/>
      <c r="YQ48" s="225"/>
      <c r="YR48" s="225"/>
      <c r="YS48" s="225"/>
      <c r="YT48" s="225"/>
      <c r="YU48" s="225"/>
      <c r="YV48" s="225"/>
      <c r="YW48" s="225"/>
      <c r="YX48" s="225"/>
      <c r="YY48" s="225"/>
      <c r="YZ48" s="225"/>
      <c r="ZA48" s="225"/>
      <c r="ZB48" s="225"/>
      <c r="ZC48" s="225"/>
      <c r="ZD48" s="225"/>
      <c r="ZE48" s="225"/>
      <c r="ZF48" s="225"/>
      <c r="ZG48" s="225"/>
      <c r="ZH48" s="225"/>
      <c r="ZI48" s="225"/>
      <c r="ZJ48" s="225"/>
      <c r="ZK48" s="225"/>
      <c r="ZL48" s="225"/>
      <c r="ZM48" s="225"/>
      <c r="ZN48" s="225"/>
      <c r="ZO48" s="225"/>
      <c r="ZP48" s="225"/>
      <c r="ZQ48" s="225"/>
      <c r="ZR48" s="225"/>
      <c r="ZS48" s="225"/>
      <c r="ZT48" s="225"/>
      <c r="ZU48" s="225"/>
      <c r="ZV48" s="225"/>
      <c r="ZW48" s="225"/>
      <c r="ZX48" s="225"/>
      <c r="ZY48" s="225"/>
      <c r="ZZ48" s="225"/>
      <c r="AAA48" s="225"/>
      <c r="AAB48" s="225"/>
      <c r="AAC48" s="225"/>
      <c r="AAD48" s="225"/>
      <c r="AAE48" s="225"/>
      <c r="AAF48" s="225"/>
      <c r="AAG48" s="225"/>
      <c r="AAH48" s="225"/>
      <c r="AAI48" s="225"/>
      <c r="AAJ48" s="225"/>
      <c r="AAK48" s="225"/>
      <c r="AAL48" s="225"/>
      <c r="AAM48" s="225"/>
      <c r="AAN48" s="225"/>
      <c r="AAO48" s="225"/>
      <c r="AAP48" s="225"/>
      <c r="AAQ48" s="225"/>
      <c r="AAR48" s="225"/>
      <c r="AAS48" s="225"/>
      <c r="AAT48" s="225"/>
      <c r="AAU48" s="225"/>
      <c r="AAV48" s="225"/>
      <c r="AAW48" s="225"/>
      <c r="AAX48" s="225"/>
      <c r="AAY48" s="225"/>
      <c r="AAZ48" s="225"/>
      <c r="ABA48" s="225"/>
      <c r="ABB48" s="225"/>
      <c r="ABC48" s="225"/>
      <c r="ABD48" s="225"/>
      <c r="ABE48" s="225"/>
      <c r="ABF48" s="225"/>
      <c r="ABG48" s="225"/>
      <c r="ABH48" s="225"/>
      <c r="ABI48" s="225"/>
      <c r="ABJ48" s="225"/>
      <c r="ABK48" s="225"/>
      <c r="ABL48" s="225"/>
      <c r="ABM48" s="225"/>
      <c r="ABN48" s="225"/>
      <c r="ABO48" s="225"/>
      <c r="ABP48" s="225"/>
      <c r="ABQ48" s="225"/>
      <c r="ABR48" s="225"/>
      <c r="ABS48" s="225"/>
      <c r="ABT48" s="225"/>
      <c r="ABU48" s="225"/>
      <c r="ABV48" s="225"/>
      <c r="ABW48" s="225"/>
      <c r="ABX48" s="225"/>
      <c r="ABY48" s="225"/>
      <c r="ABZ48" s="225"/>
      <c r="ACA48" s="225"/>
      <c r="ACB48" s="225"/>
      <c r="ACC48" s="225"/>
      <c r="ACD48" s="225"/>
      <c r="ACE48" s="225"/>
      <c r="ACF48" s="225"/>
      <c r="ACG48" s="225"/>
      <c r="ACH48" s="225"/>
      <c r="ACI48" s="225"/>
      <c r="ACJ48" s="225"/>
      <c r="ACK48" s="225"/>
      <c r="ACL48" s="225"/>
      <c r="ACM48" s="225"/>
      <c r="ACN48" s="225"/>
      <c r="ACO48" s="225"/>
      <c r="ACP48" s="225"/>
      <c r="ACQ48" s="225"/>
      <c r="ACR48" s="225"/>
      <c r="ACS48" s="225"/>
      <c r="ACT48" s="225"/>
      <c r="ACU48" s="225"/>
      <c r="ACV48" s="225"/>
      <c r="ACW48" s="225"/>
      <c r="ACX48" s="225"/>
      <c r="ACY48" s="225"/>
      <c r="ACZ48" s="225"/>
      <c r="ADA48" s="225"/>
      <c r="ADB48" s="225"/>
      <c r="ADC48" s="225"/>
      <c r="ADD48" s="225"/>
      <c r="ADE48" s="225"/>
      <c r="ADF48" s="225"/>
      <c r="ADG48" s="225"/>
      <c r="ADH48" s="225"/>
      <c r="ADI48" s="225"/>
      <c r="ADJ48" s="225"/>
      <c r="ADK48" s="225"/>
      <c r="ADL48" s="225"/>
      <c r="ADM48" s="225"/>
      <c r="ADN48" s="225"/>
      <c r="ADO48" s="225"/>
      <c r="ADP48" s="225"/>
      <c r="ADQ48" s="225"/>
      <c r="ADR48" s="225"/>
      <c r="ADS48" s="225"/>
      <c r="ADT48" s="225"/>
      <c r="ADU48" s="225"/>
      <c r="ADV48" s="225"/>
      <c r="ADW48" s="225"/>
      <c r="ADX48" s="225"/>
      <c r="ADY48" s="225"/>
      <c r="ADZ48" s="225"/>
      <c r="AEA48" s="225"/>
      <c r="AEB48" s="225"/>
      <c r="AEC48" s="225"/>
      <c r="AED48" s="225"/>
      <c r="AEE48" s="225"/>
      <c r="AEF48" s="225"/>
      <c r="AEG48" s="225"/>
      <c r="AEH48" s="225"/>
      <c r="AEI48" s="225"/>
      <c r="AEJ48" s="225"/>
      <c r="AEK48" s="225"/>
      <c r="AEL48" s="225"/>
      <c r="AEM48" s="225"/>
      <c r="AEN48" s="225"/>
      <c r="AEO48" s="225"/>
      <c r="AEP48" s="225"/>
      <c r="AEQ48" s="225"/>
      <c r="AER48" s="225"/>
      <c r="AES48" s="225"/>
      <c r="AET48" s="225"/>
      <c r="AEU48" s="225"/>
      <c r="AEV48" s="225"/>
      <c r="AEW48" s="225"/>
      <c r="AEX48" s="225"/>
      <c r="AEY48" s="225"/>
      <c r="AEZ48" s="225"/>
      <c r="AFA48" s="225"/>
      <c r="AFB48" s="225"/>
      <c r="AFC48" s="225"/>
      <c r="AFD48" s="225"/>
      <c r="AFE48" s="225"/>
      <c r="AFF48" s="225"/>
      <c r="AFG48" s="225"/>
      <c r="AFH48" s="225"/>
      <c r="AFI48" s="225"/>
      <c r="AFJ48" s="225"/>
      <c r="AFK48" s="225"/>
      <c r="AFL48" s="225"/>
      <c r="AFM48" s="225"/>
      <c r="AFN48" s="225"/>
      <c r="AFO48" s="225"/>
      <c r="AFP48" s="225"/>
      <c r="AFQ48" s="225"/>
      <c r="AFR48" s="225"/>
      <c r="AFS48" s="225"/>
      <c r="AFT48" s="225"/>
      <c r="AFU48" s="225"/>
      <c r="AFV48" s="225"/>
      <c r="AFW48" s="225"/>
      <c r="AFX48" s="225"/>
      <c r="AFY48" s="225"/>
      <c r="AFZ48" s="225"/>
      <c r="AGA48" s="225"/>
      <c r="AGB48" s="225"/>
      <c r="AGC48" s="225"/>
      <c r="AGD48" s="225"/>
      <c r="AGE48" s="225"/>
      <c r="AGF48" s="225"/>
      <c r="AGG48" s="225"/>
      <c r="AGH48" s="225"/>
      <c r="AGI48" s="225"/>
      <c r="AGJ48" s="225"/>
      <c r="AGK48" s="225"/>
      <c r="AGL48" s="225"/>
      <c r="AGM48" s="225"/>
      <c r="AGN48" s="225"/>
      <c r="AGO48" s="225"/>
      <c r="AGP48" s="225"/>
      <c r="AGQ48" s="225"/>
      <c r="AGR48" s="225"/>
      <c r="AGS48" s="225"/>
      <c r="AGT48" s="225"/>
      <c r="AGU48" s="225"/>
      <c r="AGV48" s="225"/>
      <c r="AGW48" s="225"/>
      <c r="AGX48" s="225"/>
      <c r="AGY48" s="225"/>
      <c r="AGZ48" s="225"/>
      <c r="AHA48" s="225"/>
      <c r="AHB48" s="225"/>
      <c r="AHC48" s="225"/>
      <c r="AHD48" s="225"/>
      <c r="AHE48" s="225"/>
      <c r="AHF48" s="225"/>
      <c r="AHG48" s="225"/>
      <c r="AHH48" s="225"/>
      <c r="AHI48" s="225"/>
      <c r="AHJ48" s="225"/>
      <c r="AHK48" s="225"/>
      <c r="AHL48" s="225"/>
      <c r="AHM48" s="225"/>
      <c r="AHN48" s="225"/>
      <c r="AHO48" s="225"/>
      <c r="AHP48" s="225"/>
      <c r="AHQ48" s="225"/>
      <c r="AHR48" s="225"/>
      <c r="AHS48" s="225"/>
      <c r="AHT48" s="225"/>
      <c r="AHU48" s="225"/>
      <c r="AHV48" s="225"/>
      <c r="AHW48" s="225"/>
      <c r="AHX48" s="225"/>
      <c r="AHY48" s="225"/>
      <c r="AHZ48" s="225"/>
      <c r="AIA48" s="225"/>
      <c r="AIB48" s="225"/>
      <c r="AIC48" s="225"/>
      <c r="AID48" s="225"/>
      <c r="AIE48" s="225"/>
      <c r="AIF48" s="225"/>
      <c r="AIG48" s="225"/>
      <c r="AIH48" s="225"/>
      <c r="AII48" s="225"/>
      <c r="AIJ48" s="225"/>
      <c r="AIK48" s="225"/>
      <c r="AIL48" s="225"/>
      <c r="AIM48" s="225"/>
      <c r="AIN48" s="225"/>
      <c r="AIO48" s="225"/>
      <c r="AIP48" s="225"/>
      <c r="AIQ48" s="225"/>
      <c r="AIR48" s="225"/>
      <c r="AIS48" s="225"/>
      <c r="AIT48" s="225"/>
      <c r="AIU48" s="225"/>
      <c r="AIV48" s="225"/>
      <c r="AIW48" s="225"/>
      <c r="AIX48" s="225"/>
      <c r="AIY48" s="225"/>
      <c r="AIZ48" s="225"/>
      <c r="AJA48" s="225"/>
      <c r="AJB48" s="225"/>
      <c r="AJC48" s="225"/>
      <c r="AJD48" s="225"/>
      <c r="AJE48" s="225"/>
      <c r="AJF48" s="225"/>
      <c r="AJG48" s="225"/>
      <c r="AJH48" s="225"/>
      <c r="AJI48" s="225"/>
      <c r="AJJ48" s="225"/>
      <c r="AJK48" s="225"/>
      <c r="AJL48" s="225"/>
      <c r="AJM48" s="225"/>
      <c r="AJN48" s="225"/>
      <c r="AJO48" s="225"/>
      <c r="AJP48" s="225"/>
      <c r="AJQ48" s="225"/>
      <c r="AJR48" s="225"/>
      <c r="AJS48" s="225"/>
      <c r="AJT48" s="225"/>
      <c r="AJU48" s="225"/>
      <c r="AJV48" s="225"/>
      <c r="AJW48" s="225"/>
      <c r="AJX48" s="225"/>
      <c r="AJY48" s="225"/>
      <c r="AJZ48" s="225"/>
      <c r="AKA48" s="225"/>
      <c r="AKB48" s="225"/>
      <c r="AKC48" s="225"/>
      <c r="AKD48" s="225"/>
      <c r="AKE48" s="225"/>
      <c r="AKF48" s="225"/>
      <c r="AKG48" s="225"/>
      <c r="AKH48" s="225"/>
      <c r="AKI48" s="225"/>
      <c r="AKJ48" s="225"/>
      <c r="AKK48" s="225"/>
      <c r="AKL48" s="225"/>
      <c r="AKM48" s="225"/>
      <c r="AKN48" s="225"/>
      <c r="AKO48" s="225"/>
      <c r="AKP48" s="225"/>
      <c r="AKQ48" s="225"/>
      <c r="AKR48" s="225"/>
      <c r="AKS48" s="225"/>
      <c r="AKT48" s="225"/>
      <c r="AKU48" s="225"/>
      <c r="AKV48" s="225"/>
      <c r="AKW48" s="225"/>
      <c r="AKX48" s="225"/>
      <c r="AKY48" s="225"/>
      <c r="AKZ48" s="225"/>
      <c r="ALA48" s="225"/>
      <c r="ALB48" s="225"/>
      <c r="ALC48" s="225"/>
      <c r="ALD48" s="225"/>
      <c r="ALE48" s="225"/>
      <c r="ALF48" s="225"/>
      <c r="ALG48" s="225"/>
      <c r="ALH48" s="225"/>
      <c r="ALI48" s="225"/>
      <c r="ALJ48" s="225"/>
      <c r="ALK48" s="225"/>
      <c r="ALL48" s="225"/>
      <c r="ALM48" s="225"/>
      <c r="ALN48" s="225"/>
      <c r="ALO48" s="225"/>
      <c r="ALP48" s="225"/>
      <c r="ALQ48" s="225"/>
      <c r="ALR48" s="225"/>
      <c r="ALS48" s="225"/>
      <c r="ALT48" s="225"/>
      <c r="ALU48" s="225"/>
      <c r="ALV48" s="225"/>
      <c r="ALW48" s="225"/>
      <c r="ALX48" s="225"/>
      <c r="ALY48" s="225"/>
      <c r="ALZ48" s="225"/>
      <c r="AMA48" s="225"/>
      <c r="AMB48" s="225"/>
      <c r="AMC48" s="225"/>
      <c r="AMD48" s="225"/>
      <c r="AME48" s="225"/>
      <c r="AMF48" s="225"/>
      <c r="AMG48" s="225"/>
      <c r="AMH48" s="225"/>
      <c r="AMI48" s="225"/>
      <c r="AMJ48" s="225"/>
      <c r="AMK48" s="225"/>
      <c r="AML48" s="225"/>
      <c r="AMM48" s="225"/>
      <c r="AMN48" s="225"/>
      <c r="AMO48" s="225"/>
      <c r="AMP48" s="225"/>
      <c r="AMQ48" s="225"/>
      <c r="AMR48" s="225"/>
      <c r="AMS48" s="225"/>
      <c r="AMT48" s="225"/>
      <c r="AMU48" s="225"/>
      <c r="AMV48" s="225"/>
      <c r="AMW48" s="225"/>
      <c r="AMX48" s="225"/>
      <c r="AMY48" s="225"/>
      <c r="AMZ48" s="225"/>
      <c r="ANA48" s="225"/>
      <c r="ANB48" s="225"/>
      <c r="ANC48" s="225"/>
      <c r="AND48" s="225"/>
      <c r="ANE48" s="225"/>
      <c r="ANF48" s="225"/>
      <c r="ANG48" s="225"/>
      <c r="ANH48" s="225"/>
      <c r="ANI48" s="225"/>
      <c r="ANJ48" s="225"/>
      <c r="ANK48" s="225"/>
      <c r="ANL48" s="225"/>
      <c r="ANM48" s="225"/>
      <c r="ANN48" s="225"/>
      <c r="ANO48" s="225"/>
      <c r="ANP48" s="225"/>
      <c r="ANQ48" s="225"/>
      <c r="ANR48" s="225"/>
      <c r="ANS48" s="225"/>
      <c r="ANT48" s="225"/>
      <c r="ANU48" s="225"/>
      <c r="ANV48" s="225"/>
      <c r="ANW48" s="225"/>
      <c r="ANX48" s="225"/>
      <c r="ANY48" s="225"/>
      <c r="ANZ48" s="225"/>
      <c r="AOA48" s="225"/>
      <c r="AOB48" s="225"/>
      <c r="AOC48" s="225"/>
      <c r="AOD48" s="225"/>
      <c r="AOE48" s="225"/>
      <c r="AOF48" s="225"/>
      <c r="AOG48" s="225"/>
      <c r="AOH48" s="225"/>
      <c r="AOI48" s="225"/>
      <c r="AOJ48" s="225"/>
      <c r="AOK48" s="225"/>
      <c r="AOL48" s="225"/>
      <c r="AOM48" s="225"/>
      <c r="AON48" s="225"/>
      <c r="AOO48" s="225"/>
      <c r="AOP48" s="225"/>
      <c r="AOQ48" s="225"/>
      <c r="AOR48" s="225"/>
      <c r="AOS48" s="225"/>
      <c r="AOT48" s="225"/>
      <c r="AOU48" s="225"/>
      <c r="AOV48" s="225"/>
      <c r="AOW48" s="225"/>
      <c r="AOX48" s="225"/>
      <c r="AOY48" s="225"/>
      <c r="AOZ48" s="225"/>
      <c r="APA48" s="225"/>
      <c r="APB48" s="225"/>
      <c r="APC48" s="225"/>
      <c r="APD48" s="225"/>
      <c r="APE48" s="225"/>
      <c r="APF48" s="225"/>
      <c r="APG48" s="225"/>
      <c r="APH48" s="225"/>
      <c r="API48" s="225"/>
      <c r="APJ48" s="225"/>
      <c r="APK48" s="225"/>
      <c r="APL48" s="225"/>
      <c r="APM48" s="225"/>
      <c r="APN48" s="225"/>
      <c r="APO48" s="225"/>
      <c r="APP48" s="225"/>
      <c r="APQ48" s="225"/>
      <c r="APR48" s="225"/>
      <c r="APS48" s="225"/>
      <c r="APT48" s="225"/>
      <c r="APU48" s="225"/>
      <c r="APV48" s="225"/>
      <c r="APW48" s="225"/>
      <c r="APX48" s="225"/>
      <c r="APY48" s="225"/>
      <c r="APZ48" s="225"/>
      <c r="AQA48" s="225"/>
      <c r="AQB48" s="225"/>
      <c r="AQC48" s="225"/>
      <c r="AQD48" s="225"/>
      <c r="AQE48" s="225"/>
      <c r="AQF48" s="225"/>
      <c r="AQG48" s="225"/>
      <c r="AQH48" s="225"/>
      <c r="AQI48" s="225"/>
      <c r="AQJ48" s="225"/>
      <c r="AQK48" s="225"/>
      <c r="AQL48" s="225"/>
      <c r="AQM48" s="225"/>
      <c r="AQN48" s="225"/>
      <c r="AQO48" s="225"/>
      <c r="AQP48" s="225"/>
      <c r="AQQ48" s="225"/>
      <c r="AQR48" s="225"/>
      <c r="AQS48" s="225"/>
      <c r="AQT48" s="225"/>
      <c r="AQU48" s="225"/>
      <c r="AQV48" s="225"/>
      <c r="AQW48" s="225"/>
      <c r="AQX48" s="225"/>
      <c r="AQY48" s="225"/>
      <c r="AQZ48" s="225"/>
      <c r="ARA48" s="225"/>
      <c r="ARB48" s="225"/>
      <c r="ARC48" s="225"/>
      <c r="ARD48" s="225"/>
      <c r="ARE48" s="225"/>
      <c r="ARF48" s="225"/>
      <c r="ARG48" s="225"/>
      <c r="ARH48" s="225"/>
      <c r="ARI48" s="225"/>
      <c r="ARJ48" s="225"/>
      <c r="ARK48" s="225"/>
      <c r="ARL48" s="225"/>
      <c r="ARM48" s="225"/>
      <c r="ARN48" s="225"/>
      <c r="ARO48" s="225"/>
      <c r="ARP48" s="225"/>
      <c r="ARQ48" s="225"/>
      <c r="ARR48" s="225"/>
      <c r="ARS48" s="225"/>
      <c r="ART48" s="225"/>
      <c r="ARU48" s="225"/>
      <c r="ARV48" s="225"/>
      <c r="ARW48" s="225"/>
      <c r="ARX48" s="225"/>
      <c r="ARY48" s="225"/>
      <c r="ARZ48" s="225"/>
      <c r="ASA48" s="225"/>
      <c r="ASB48" s="225"/>
      <c r="ASC48" s="225"/>
      <c r="ASD48" s="225"/>
      <c r="ASE48" s="225"/>
      <c r="ASF48" s="225"/>
      <c r="ASG48" s="225"/>
      <c r="ASH48" s="225"/>
      <c r="ASI48" s="225"/>
      <c r="ASJ48" s="225"/>
      <c r="ASK48" s="225"/>
      <c r="ASL48" s="225"/>
      <c r="ASM48" s="225"/>
      <c r="ASN48" s="225"/>
      <c r="ASO48" s="225"/>
      <c r="ASP48" s="225"/>
      <c r="ASQ48" s="225"/>
      <c r="ASR48" s="225"/>
      <c r="ASS48" s="225"/>
      <c r="AST48" s="225"/>
      <c r="ASU48" s="225"/>
      <c r="ASV48" s="225"/>
      <c r="ASW48" s="225"/>
      <c r="ASX48" s="225"/>
      <c r="ASY48" s="225"/>
      <c r="ASZ48" s="225"/>
      <c r="ATA48" s="225"/>
      <c r="ATB48" s="225"/>
      <c r="ATC48" s="225"/>
      <c r="ATD48" s="225"/>
      <c r="ATE48" s="225"/>
      <c r="ATF48" s="225"/>
      <c r="ATG48" s="225"/>
      <c r="ATH48" s="225"/>
      <c r="ATI48" s="225"/>
      <c r="ATJ48" s="225"/>
      <c r="ATK48" s="225"/>
      <c r="ATL48" s="225"/>
      <c r="ATM48" s="225"/>
      <c r="ATN48" s="225"/>
      <c r="ATO48" s="225"/>
      <c r="ATP48" s="225"/>
      <c r="ATQ48" s="225"/>
      <c r="ATR48" s="225"/>
      <c r="ATS48" s="225"/>
      <c r="ATT48" s="225"/>
      <c r="ATU48" s="225"/>
      <c r="ATV48" s="225"/>
      <c r="ATW48" s="225"/>
      <c r="ATX48" s="225"/>
      <c r="ATY48" s="225"/>
      <c r="ATZ48" s="225"/>
      <c r="AUA48" s="225"/>
      <c r="AUB48" s="225"/>
      <c r="AUC48" s="225"/>
      <c r="AUD48" s="225"/>
      <c r="AUE48" s="225"/>
      <c r="AUF48" s="225"/>
      <c r="AUG48" s="225"/>
      <c r="AUH48" s="225"/>
      <c r="AUI48" s="225"/>
      <c r="AUJ48" s="225"/>
      <c r="AUK48" s="225"/>
      <c r="AUL48" s="225"/>
      <c r="AUM48" s="225"/>
      <c r="AUN48" s="225"/>
      <c r="AUO48" s="225"/>
      <c r="AUP48" s="225"/>
      <c r="AUQ48" s="225"/>
      <c r="AUR48" s="225"/>
      <c r="AUS48" s="225"/>
      <c r="AUT48" s="225"/>
      <c r="AUU48" s="225"/>
      <c r="AUV48" s="225"/>
      <c r="AUW48" s="225"/>
      <c r="AUX48" s="225"/>
      <c r="AUY48" s="225"/>
      <c r="AUZ48" s="225"/>
      <c r="AVA48" s="225"/>
      <c r="AVB48" s="225"/>
      <c r="AVC48" s="225"/>
      <c r="AVD48" s="225"/>
      <c r="AVE48" s="225"/>
      <c r="AVF48" s="225"/>
      <c r="AVG48" s="225"/>
      <c r="AVH48" s="225"/>
      <c r="AVI48" s="225"/>
      <c r="AVJ48" s="225"/>
      <c r="AVK48" s="225"/>
      <c r="AVL48" s="225"/>
      <c r="AVM48" s="225"/>
      <c r="AVN48" s="225"/>
      <c r="AVO48" s="225"/>
      <c r="AVP48" s="225"/>
      <c r="AVQ48" s="225"/>
      <c r="AVR48" s="225"/>
      <c r="AVS48" s="225"/>
      <c r="AVT48" s="225"/>
      <c r="AVU48" s="225"/>
      <c r="AVV48" s="225"/>
      <c r="AVW48" s="225"/>
      <c r="AVX48" s="225"/>
      <c r="AVY48" s="225"/>
      <c r="AVZ48" s="225"/>
      <c r="AWA48" s="225"/>
      <c r="AWB48" s="225"/>
      <c r="AWC48" s="225"/>
      <c r="AWD48" s="225"/>
      <c r="AWE48" s="225"/>
      <c r="AWF48" s="225"/>
      <c r="AWG48" s="225"/>
      <c r="AWH48" s="225"/>
      <c r="AWI48" s="225"/>
      <c r="AWJ48" s="225"/>
      <c r="AWK48" s="225"/>
      <c r="AWL48" s="225"/>
      <c r="AWM48" s="225"/>
      <c r="AWN48" s="225"/>
      <c r="AWO48" s="225"/>
      <c r="AWP48" s="225"/>
      <c r="AWQ48" s="225"/>
      <c r="AWR48" s="225"/>
      <c r="AWS48" s="225"/>
      <c r="AWT48" s="225"/>
      <c r="AWU48" s="225"/>
      <c r="AWV48" s="225"/>
      <c r="AWW48" s="225"/>
      <c r="AWX48" s="225"/>
      <c r="AWY48" s="225"/>
      <c r="AWZ48" s="225"/>
      <c r="AXA48" s="225"/>
      <c r="AXB48" s="225"/>
      <c r="AXC48" s="225"/>
      <c r="AXD48" s="225"/>
      <c r="AXE48" s="225"/>
      <c r="AXF48" s="225"/>
      <c r="AXG48" s="225"/>
      <c r="AXH48" s="225"/>
      <c r="AXI48" s="225"/>
      <c r="AXJ48" s="225"/>
      <c r="AXK48" s="225"/>
      <c r="AXL48" s="225"/>
      <c r="AXM48" s="225"/>
      <c r="AXN48" s="225"/>
      <c r="AXO48" s="225"/>
      <c r="AXP48" s="225"/>
      <c r="AXQ48" s="225"/>
      <c r="AXR48" s="225"/>
      <c r="AXS48" s="225"/>
      <c r="AXT48" s="225"/>
      <c r="AXU48" s="225"/>
      <c r="AXV48" s="225"/>
      <c r="AXW48" s="225"/>
      <c r="AXX48" s="225"/>
      <c r="AXY48" s="225"/>
      <c r="AXZ48" s="225"/>
      <c r="AYA48" s="225"/>
      <c r="AYB48" s="225"/>
      <c r="AYC48" s="225"/>
      <c r="AYD48" s="225"/>
      <c r="AYE48" s="225"/>
      <c r="AYF48" s="225"/>
      <c r="AYG48" s="225"/>
      <c r="AYH48" s="225"/>
      <c r="AYI48" s="225"/>
      <c r="AYJ48" s="225"/>
      <c r="AYK48" s="225"/>
      <c r="AYL48" s="225"/>
      <c r="AYM48" s="225"/>
      <c r="AYN48" s="225"/>
      <c r="AYO48" s="225"/>
      <c r="AYP48" s="225"/>
      <c r="AYQ48" s="225"/>
      <c r="AYR48" s="225"/>
      <c r="AYS48" s="225"/>
      <c r="AYT48" s="225"/>
      <c r="AYU48" s="225"/>
      <c r="AYV48" s="225"/>
      <c r="AYW48" s="225"/>
      <c r="AYX48" s="225"/>
      <c r="AYY48" s="225"/>
      <c r="AYZ48" s="225"/>
      <c r="AZA48" s="225"/>
      <c r="AZB48" s="225"/>
      <c r="AZC48" s="225"/>
      <c r="AZD48" s="225"/>
      <c r="AZE48" s="225"/>
      <c r="AZF48" s="225"/>
      <c r="AZG48" s="225"/>
      <c r="AZH48" s="225"/>
      <c r="AZI48" s="225"/>
      <c r="AZJ48" s="225"/>
      <c r="AZK48" s="225"/>
      <c r="AZL48" s="225"/>
      <c r="AZM48" s="225"/>
      <c r="AZN48" s="225"/>
      <c r="AZO48" s="225"/>
      <c r="AZP48" s="225"/>
      <c r="AZQ48" s="225"/>
      <c r="AZR48" s="225"/>
      <c r="AZS48" s="225"/>
      <c r="AZT48" s="225"/>
      <c r="AZU48" s="225"/>
      <c r="AZV48" s="225"/>
      <c r="AZW48" s="225"/>
      <c r="AZX48" s="225"/>
      <c r="AZY48" s="225"/>
      <c r="AZZ48" s="225"/>
      <c r="BAA48" s="225"/>
      <c r="BAB48" s="225"/>
      <c r="BAC48" s="225"/>
      <c r="BAD48" s="225"/>
      <c r="BAE48" s="225"/>
      <c r="BAF48" s="225"/>
      <c r="BAG48" s="225"/>
      <c r="BAH48" s="225"/>
      <c r="BAI48" s="225"/>
      <c r="BAJ48" s="225"/>
      <c r="BAK48" s="225"/>
      <c r="BAL48" s="225"/>
      <c r="BAM48" s="225"/>
      <c r="BAN48" s="225"/>
      <c r="BAO48" s="225"/>
      <c r="BAP48" s="225"/>
      <c r="BAQ48" s="225"/>
      <c r="BAR48" s="225"/>
      <c r="BAS48" s="225"/>
      <c r="BAT48" s="225"/>
      <c r="BAU48" s="225"/>
      <c r="BAV48" s="225"/>
      <c r="BAW48" s="225"/>
      <c r="BAX48" s="225"/>
      <c r="BAY48" s="225"/>
      <c r="BAZ48" s="225"/>
      <c r="BBA48" s="225"/>
      <c r="BBB48" s="225"/>
      <c r="BBC48" s="225"/>
      <c r="BBD48" s="225"/>
      <c r="BBE48" s="225"/>
      <c r="BBF48" s="225"/>
      <c r="BBG48" s="225"/>
      <c r="BBH48" s="225"/>
      <c r="BBI48" s="225"/>
      <c r="BBJ48" s="225"/>
      <c r="BBK48" s="225"/>
      <c r="BBL48" s="225"/>
      <c r="BBM48" s="225"/>
      <c r="BBN48" s="225"/>
      <c r="BBO48" s="225"/>
      <c r="BBP48" s="225"/>
      <c r="BBQ48" s="225"/>
      <c r="BBR48" s="225"/>
      <c r="BBS48" s="225"/>
      <c r="BBT48" s="225"/>
      <c r="BBU48" s="225"/>
      <c r="BBV48" s="225"/>
      <c r="BBW48" s="225"/>
      <c r="BBX48" s="225"/>
      <c r="BBY48" s="225"/>
      <c r="BBZ48" s="225"/>
      <c r="BCA48" s="225"/>
      <c r="BCB48" s="225"/>
      <c r="BCC48" s="225"/>
      <c r="BCD48" s="225"/>
      <c r="BCE48" s="225"/>
      <c r="BCF48" s="225"/>
      <c r="BCG48" s="225"/>
      <c r="BCH48" s="225"/>
      <c r="BCI48" s="225"/>
      <c r="BCJ48" s="225"/>
      <c r="BCK48" s="225"/>
      <c r="BCL48" s="225"/>
      <c r="BCM48" s="225"/>
      <c r="BCN48" s="225"/>
      <c r="BCO48" s="225"/>
      <c r="BCP48" s="225"/>
      <c r="BCQ48" s="225"/>
      <c r="BCR48" s="225"/>
      <c r="BCS48" s="225"/>
      <c r="BCT48" s="225"/>
      <c r="BCU48" s="225"/>
      <c r="BCV48" s="225"/>
      <c r="BCW48" s="225"/>
      <c r="BCX48" s="225"/>
      <c r="BCY48" s="225"/>
      <c r="BCZ48" s="225"/>
      <c r="BDA48" s="225"/>
      <c r="BDB48" s="225"/>
      <c r="BDC48" s="225"/>
      <c r="BDD48" s="225"/>
      <c r="BDE48" s="225"/>
      <c r="BDF48" s="225"/>
      <c r="BDG48" s="225"/>
      <c r="BDH48" s="225"/>
      <c r="BDI48" s="225"/>
      <c r="BDJ48" s="225"/>
      <c r="BDK48" s="225"/>
      <c r="BDL48" s="225"/>
      <c r="BDM48" s="225"/>
      <c r="BDN48" s="225"/>
      <c r="BDO48" s="225"/>
      <c r="BDP48" s="225"/>
      <c r="BDQ48" s="225"/>
      <c r="BDR48" s="225"/>
      <c r="BDS48" s="225"/>
      <c r="BDT48" s="225"/>
      <c r="BDU48" s="225"/>
      <c r="BDV48" s="225"/>
      <c r="BDW48" s="225"/>
      <c r="BDX48" s="225"/>
      <c r="BDY48" s="225"/>
      <c r="BDZ48" s="225"/>
      <c r="BEA48" s="225"/>
      <c r="BEB48" s="225"/>
      <c r="BEC48" s="225"/>
      <c r="BED48" s="225"/>
      <c r="BEE48" s="225"/>
      <c r="BEF48" s="225"/>
      <c r="BEG48" s="225"/>
      <c r="BEH48" s="225"/>
      <c r="BEI48" s="225"/>
      <c r="BEJ48" s="225"/>
      <c r="BEK48" s="225"/>
      <c r="BEL48" s="225"/>
      <c r="BEM48" s="225"/>
      <c r="BEN48" s="225"/>
      <c r="BEO48" s="225"/>
      <c r="BEP48" s="225"/>
      <c r="BEQ48" s="225"/>
      <c r="BER48" s="225"/>
      <c r="BES48" s="225"/>
      <c r="BET48" s="225"/>
      <c r="BEU48" s="225"/>
      <c r="BEV48" s="225"/>
      <c r="BEW48" s="225"/>
      <c r="BEX48" s="225"/>
      <c r="BEY48" s="225"/>
      <c r="BEZ48" s="225"/>
      <c r="BFA48" s="225"/>
      <c r="BFB48" s="225"/>
      <c r="BFC48" s="225"/>
      <c r="BFD48" s="225"/>
      <c r="BFE48" s="225"/>
      <c r="BFF48" s="225"/>
      <c r="BFG48" s="225"/>
      <c r="BFH48" s="225"/>
      <c r="BFI48" s="225"/>
      <c r="BFJ48" s="225"/>
      <c r="BFK48" s="225"/>
      <c r="BFL48" s="225"/>
      <c r="BFM48" s="225"/>
      <c r="BFN48" s="225"/>
      <c r="BFO48" s="225"/>
      <c r="BFP48" s="225"/>
      <c r="BFQ48" s="225"/>
      <c r="BFR48" s="225"/>
      <c r="BFS48" s="225"/>
      <c r="BFT48" s="225"/>
      <c r="BFU48" s="225"/>
      <c r="BFV48" s="225"/>
      <c r="BFW48" s="225"/>
      <c r="BFX48" s="225"/>
      <c r="BFY48" s="225"/>
      <c r="BFZ48" s="225"/>
      <c r="BGA48" s="225"/>
      <c r="BGB48" s="225"/>
      <c r="BGC48" s="225"/>
      <c r="BGD48" s="225"/>
      <c r="BGE48" s="225"/>
      <c r="BGF48" s="225"/>
      <c r="BGG48" s="225"/>
      <c r="BGH48" s="225"/>
      <c r="BGI48" s="225"/>
      <c r="BGJ48" s="225"/>
      <c r="BGK48" s="225"/>
      <c r="BGL48" s="225"/>
      <c r="BGM48" s="225"/>
      <c r="BGN48" s="225"/>
      <c r="BGO48" s="225"/>
      <c r="BGP48" s="225"/>
      <c r="BGQ48" s="225"/>
      <c r="BGR48" s="225"/>
      <c r="BGS48" s="225"/>
      <c r="BGT48" s="225"/>
      <c r="BGU48" s="225"/>
      <c r="BGV48" s="225"/>
      <c r="BGW48" s="225"/>
      <c r="BGX48" s="225"/>
      <c r="BGY48" s="225"/>
      <c r="BGZ48" s="225"/>
      <c r="BHA48" s="225"/>
      <c r="BHB48" s="225"/>
      <c r="BHC48" s="225"/>
      <c r="BHD48" s="225"/>
      <c r="BHE48" s="225"/>
      <c r="BHF48" s="225"/>
      <c r="BHG48" s="225"/>
      <c r="BHH48" s="225"/>
      <c r="BHI48" s="225"/>
      <c r="BHJ48" s="225"/>
      <c r="BHK48" s="225"/>
      <c r="BHL48" s="225"/>
      <c r="BHM48" s="225"/>
      <c r="BHN48" s="225"/>
      <c r="BHO48" s="225"/>
      <c r="BHP48" s="225"/>
      <c r="BHQ48" s="225"/>
      <c r="BHR48" s="225"/>
      <c r="BHS48" s="225"/>
      <c r="BHT48" s="225"/>
      <c r="BHU48" s="225"/>
      <c r="BHV48" s="225"/>
      <c r="BHW48" s="225"/>
      <c r="BHX48" s="225"/>
      <c r="BHY48" s="225"/>
      <c r="BHZ48" s="225"/>
      <c r="BIA48" s="225"/>
      <c r="BIB48" s="225"/>
      <c r="BIC48" s="225"/>
      <c r="BID48" s="225"/>
      <c r="BIE48" s="225"/>
      <c r="BIF48" s="225"/>
      <c r="BIG48" s="225"/>
      <c r="BIH48" s="225"/>
      <c r="BII48" s="225"/>
      <c r="BIJ48" s="225"/>
      <c r="BIK48" s="225"/>
      <c r="BIL48" s="225"/>
      <c r="BIM48" s="225"/>
      <c r="BIN48" s="225"/>
      <c r="BIO48" s="225"/>
      <c r="BIP48" s="225"/>
      <c r="BIQ48" s="225"/>
      <c r="BIR48" s="225"/>
      <c r="BIS48" s="225"/>
      <c r="BIT48" s="225"/>
      <c r="BIU48" s="225"/>
      <c r="BIV48" s="225"/>
      <c r="BIW48" s="225"/>
      <c r="BIX48" s="225"/>
      <c r="BIY48" s="225"/>
      <c r="BIZ48" s="225"/>
      <c r="BJA48" s="225"/>
      <c r="BJB48" s="225"/>
      <c r="BJC48" s="225"/>
      <c r="BJD48" s="225"/>
      <c r="BJE48" s="225"/>
      <c r="BJF48" s="225"/>
      <c r="BJG48" s="225"/>
      <c r="BJH48" s="225"/>
      <c r="BJI48" s="225"/>
      <c r="BJJ48" s="225"/>
      <c r="BJK48" s="225"/>
      <c r="BJL48" s="225"/>
      <c r="BJM48" s="225"/>
      <c r="BJN48" s="225"/>
      <c r="BJO48" s="225"/>
      <c r="BJP48" s="225"/>
      <c r="BJQ48" s="225"/>
      <c r="BJR48" s="225"/>
      <c r="BJS48" s="225"/>
      <c r="BJT48" s="225"/>
      <c r="BJU48" s="225"/>
      <c r="BJV48" s="225"/>
      <c r="BJW48" s="225"/>
      <c r="BJX48" s="225"/>
      <c r="BJY48" s="225"/>
      <c r="BJZ48" s="225"/>
      <c r="BKA48" s="225"/>
      <c r="BKB48" s="225"/>
      <c r="BKC48" s="225"/>
      <c r="BKD48" s="225"/>
      <c r="BKE48" s="225"/>
      <c r="BKF48" s="225"/>
      <c r="BKG48" s="225"/>
      <c r="BKH48" s="225"/>
      <c r="BKI48" s="225"/>
      <c r="BKJ48" s="225"/>
      <c r="BKK48" s="225"/>
      <c r="BKL48" s="225"/>
      <c r="BKM48" s="225"/>
      <c r="BKN48" s="225"/>
      <c r="BKO48" s="225"/>
      <c r="BKP48" s="225"/>
      <c r="BKQ48" s="225"/>
      <c r="BKR48" s="225"/>
      <c r="BKS48" s="225"/>
      <c r="BKT48" s="225"/>
      <c r="BKU48" s="225"/>
      <c r="BKV48" s="225"/>
      <c r="BKW48" s="225"/>
      <c r="BKX48" s="225"/>
      <c r="BKY48" s="225"/>
      <c r="BKZ48" s="225"/>
      <c r="BLA48" s="225"/>
      <c r="BLB48" s="225"/>
      <c r="BLC48" s="225"/>
      <c r="BLD48" s="225"/>
      <c r="BLE48" s="225"/>
      <c r="BLF48" s="225"/>
      <c r="BLG48" s="225"/>
      <c r="BLH48" s="225"/>
      <c r="BLI48" s="225"/>
      <c r="BLJ48" s="225"/>
      <c r="BLK48" s="225"/>
      <c r="BLL48" s="225"/>
      <c r="BLM48" s="225"/>
      <c r="BLN48" s="225"/>
      <c r="BLO48" s="225"/>
      <c r="BLP48" s="225"/>
      <c r="BLQ48" s="225"/>
      <c r="BLR48" s="225"/>
      <c r="BLS48" s="225"/>
      <c r="BLT48" s="225"/>
      <c r="BLU48" s="225"/>
      <c r="BLV48" s="225"/>
      <c r="BLW48" s="225"/>
      <c r="BLX48" s="225"/>
      <c r="BLY48" s="225"/>
      <c r="BLZ48" s="225"/>
      <c r="BMA48" s="225"/>
      <c r="BMB48" s="225"/>
      <c r="BMC48" s="225"/>
      <c r="BMD48" s="225"/>
      <c r="BME48" s="225"/>
      <c r="BMF48" s="225"/>
      <c r="BMG48" s="225"/>
      <c r="BMH48" s="225"/>
      <c r="BMI48" s="225"/>
      <c r="BMJ48" s="225"/>
      <c r="BMK48" s="225"/>
      <c r="BML48" s="225"/>
      <c r="BMM48" s="225"/>
      <c r="BMN48" s="225"/>
      <c r="BMO48" s="225"/>
      <c r="BMP48" s="225"/>
      <c r="BMQ48" s="225"/>
      <c r="BMR48" s="225"/>
      <c r="BMS48" s="225"/>
      <c r="BMT48" s="225"/>
      <c r="BMU48" s="225"/>
      <c r="BMV48" s="225"/>
      <c r="BMW48" s="225"/>
      <c r="BMX48" s="225"/>
      <c r="BMY48" s="225"/>
      <c r="BMZ48" s="225"/>
      <c r="BNA48" s="225"/>
      <c r="BNB48" s="225"/>
      <c r="BNC48" s="225"/>
      <c r="BND48" s="225"/>
      <c r="BNE48" s="225"/>
      <c r="BNF48" s="225"/>
      <c r="BNG48" s="225"/>
      <c r="BNH48" s="225"/>
      <c r="BNI48" s="225"/>
      <c r="BNJ48" s="225"/>
      <c r="BNK48" s="225"/>
      <c r="BNL48" s="225"/>
      <c r="BNM48" s="225"/>
      <c r="BNN48" s="225"/>
      <c r="BNO48" s="225"/>
      <c r="BNP48" s="225"/>
      <c r="BNQ48" s="225"/>
      <c r="BNR48" s="225"/>
      <c r="BNS48" s="225"/>
      <c r="BNT48" s="225"/>
      <c r="BNU48" s="225"/>
      <c r="BNV48" s="225"/>
      <c r="BNW48" s="225"/>
      <c r="BNX48" s="225"/>
      <c r="BNY48" s="225"/>
      <c r="BNZ48" s="225"/>
      <c r="BOA48" s="225"/>
      <c r="BOB48" s="225"/>
      <c r="BOC48" s="225"/>
      <c r="BOD48" s="225"/>
      <c r="BOE48" s="225"/>
      <c r="BOF48" s="225"/>
      <c r="BOG48" s="225"/>
      <c r="BOH48" s="225"/>
      <c r="BOI48" s="225"/>
      <c r="BOJ48" s="225"/>
      <c r="BOK48" s="225"/>
      <c r="BOL48" s="225"/>
      <c r="BOM48" s="225"/>
      <c r="BON48" s="225"/>
      <c r="BOO48" s="225"/>
      <c r="BOP48" s="225"/>
      <c r="BOQ48" s="225"/>
      <c r="BOR48" s="225"/>
      <c r="BOS48" s="225"/>
      <c r="BOT48" s="225"/>
      <c r="BOU48" s="225"/>
      <c r="BOV48" s="225"/>
      <c r="BOW48" s="225"/>
      <c r="BOX48" s="225"/>
      <c r="BOY48" s="225"/>
      <c r="BOZ48" s="225"/>
      <c r="BPA48" s="225"/>
      <c r="BPB48" s="225"/>
      <c r="BPC48" s="225"/>
      <c r="BPD48" s="225"/>
      <c r="BPE48" s="225"/>
      <c r="BPF48" s="225"/>
      <c r="BPG48" s="225"/>
      <c r="BPH48" s="225"/>
      <c r="BPI48" s="225"/>
      <c r="BPJ48" s="225"/>
      <c r="BPK48" s="225"/>
      <c r="BPL48" s="225"/>
      <c r="BPM48" s="225"/>
      <c r="BPN48" s="225"/>
      <c r="BPO48" s="225"/>
      <c r="BPP48" s="225"/>
      <c r="BPQ48" s="225"/>
      <c r="BPR48" s="225"/>
      <c r="BPS48" s="225"/>
      <c r="BPT48" s="225"/>
      <c r="BPU48" s="225"/>
      <c r="BPV48" s="225"/>
      <c r="BPW48" s="225"/>
      <c r="BPX48" s="225"/>
      <c r="BPY48" s="225"/>
      <c r="BPZ48" s="225"/>
      <c r="BQA48" s="225"/>
      <c r="BQB48" s="225"/>
      <c r="BQC48" s="225"/>
      <c r="BQD48" s="225"/>
      <c r="BQE48" s="225"/>
      <c r="BQF48" s="225"/>
      <c r="BQG48" s="225"/>
      <c r="BQH48" s="225"/>
      <c r="BQI48" s="225"/>
      <c r="BQJ48" s="225"/>
      <c r="BQK48" s="225"/>
      <c r="BQL48" s="225"/>
      <c r="BQM48" s="225"/>
      <c r="BQN48" s="225"/>
      <c r="BQO48" s="225"/>
      <c r="BQP48" s="225"/>
      <c r="BQQ48" s="225"/>
      <c r="BQR48" s="225"/>
      <c r="BQS48" s="225"/>
      <c r="BQT48" s="225"/>
      <c r="BQU48" s="225"/>
      <c r="BQV48" s="225"/>
      <c r="BQW48" s="225"/>
      <c r="BQX48" s="225"/>
      <c r="BQY48" s="225"/>
      <c r="BQZ48" s="225"/>
      <c r="BRA48" s="225"/>
      <c r="BRB48" s="225"/>
      <c r="BRC48" s="225"/>
      <c r="BRD48" s="225"/>
      <c r="BRE48" s="225"/>
      <c r="BRF48" s="225"/>
      <c r="BRG48" s="225"/>
      <c r="BRH48" s="225"/>
      <c r="BRI48" s="225"/>
      <c r="BRJ48" s="225"/>
      <c r="BRK48" s="225"/>
      <c r="BRL48" s="225"/>
      <c r="BRM48" s="225"/>
      <c r="BRN48" s="225"/>
      <c r="BRO48" s="225"/>
      <c r="BRP48" s="225"/>
      <c r="BRQ48" s="225"/>
      <c r="BRR48" s="225"/>
      <c r="BRS48" s="225"/>
      <c r="BRT48" s="225"/>
      <c r="BRU48" s="225"/>
      <c r="BRV48" s="225"/>
      <c r="BRW48" s="225"/>
      <c r="BRX48" s="225"/>
      <c r="BRY48" s="225"/>
      <c r="BRZ48" s="225"/>
      <c r="BSA48" s="225"/>
      <c r="BSB48" s="225"/>
      <c r="BSC48" s="225"/>
      <c r="BSD48" s="225"/>
      <c r="BSE48" s="225"/>
      <c r="BSF48" s="225"/>
      <c r="BSG48" s="225"/>
      <c r="BSH48" s="225"/>
      <c r="BSI48" s="225"/>
      <c r="BSJ48" s="225"/>
      <c r="BSK48" s="225"/>
      <c r="BSL48" s="225"/>
      <c r="BSM48" s="225"/>
      <c r="BSN48" s="225"/>
      <c r="BSO48" s="225"/>
      <c r="BSP48" s="225"/>
      <c r="BSQ48" s="225"/>
      <c r="BSR48" s="225"/>
      <c r="BSS48" s="225"/>
      <c r="BST48" s="225"/>
      <c r="BSU48" s="225"/>
      <c r="BSV48" s="225"/>
      <c r="BSW48" s="225"/>
      <c r="BSX48" s="225"/>
      <c r="BSY48" s="225"/>
      <c r="BSZ48" s="225"/>
      <c r="BTA48" s="225"/>
      <c r="BTB48" s="225"/>
      <c r="BTC48" s="225"/>
      <c r="BTD48" s="225"/>
      <c r="BTE48" s="225"/>
      <c r="BTF48" s="225"/>
      <c r="BTG48" s="225"/>
      <c r="BTH48" s="225"/>
      <c r="BTI48" s="225"/>
      <c r="BTJ48" s="225"/>
      <c r="BTK48" s="225"/>
      <c r="BTL48" s="225"/>
      <c r="BTM48" s="225"/>
      <c r="BTN48" s="225"/>
      <c r="BTO48" s="225"/>
      <c r="BTP48" s="225"/>
      <c r="BTQ48" s="225"/>
      <c r="BTR48" s="225"/>
      <c r="BTS48" s="225"/>
      <c r="BTT48" s="225"/>
      <c r="BTU48" s="225"/>
      <c r="BTV48" s="225"/>
      <c r="BTW48" s="225"/>
      <c r="BTX48" s="225"/>
      <c r="BTY48" s="225"/>
      <c r="BTZ48" s="225"/>
      <c r="BUA48" s="225"/>
      <c r="BUB48" s="225"/>
      <c r="BUC48" s="225"/>
      <c r="BUD48" s="225"/>
      <c r="BUE48" s="225"/>
      <c r="BUF48" s="225"/>
      <c r="BUG48" s="225"/>
      <c r="BUH48" s="225"/>
      <c r="BUI48" s="225"/>
      <c r="BUJ48" s="225"/>
      <c r="BUK48" s="225"/>
      <c r="BUL48" s="225"/>
      <c r="BUM48" s="225"/>
      <c r="BUN48" s="225"/>
      <c r="BUO48" s="225"/>
      <c r="BUP48" s="225"/>
      <c r="BUQ48" s="225"/>
      <c r="BUR48" s="225"/>
      <c r="BUS48" s="225"/>
      <c r="BUT48" s="225"/>
      <c r="BUU48" s="225"/>
      <c r="BUV48" s="225"/>
      <c r="BUW48" s="225"/>
      <c r="BUX48" s="225"/>
      <c r="BUY48" s="225"/>
      <c r="BUZ48" s="225"/>
      <c r="BVA48" s="225"/>
      <c r="BVB48" s="225"/>
      <c r="BVC48" s="225"/>
      <c r="BVD48" s="225"/>
      <c r="BVE48" s="225"/>
      <c r="BVF48" s="225"/>
      <c r="BVG48" s="225"/>
      <c r="BVH48" s="225"/>
      <c r="BVI48" s="225"/>
      <c r="BVJ48" s="225"/>
      <c r="BVK48" s="225"/>
      <c r="BVL48" s="225"/>
      <c r="BVM48" s="225"/>
      <c r="BVN48" s="225"/>
      <c r="BVO48" s="225"/>
      <c r="BVP48" s="225"/>
      <c r="BVQ48" s="225"/>
      <c r="BVR48" s="225"/>
      <c r="BVS48" s="225"/>
      <c r="BVT48" s="225"/>
      <c r="BVU48" s="225"/>
      <c r="BVV48" s="225"/>
      <c r="BVW48" s="225"/>
      <c r="BVX48" s="225"/>
      <c r="BVY48" s="225"/>
      <c r="BVZ48" s="225"/>
      <c r="BWA48" s="225"/>
      <c r="BWB48" s="225"/>
      <c r="BWC48" s="225"/>
      <c r="BWD48" s="225"/>
      <c r="BWE48" s="225"/>
      <c r="BWF48" s="225"/>
      <c r="BWG48" s="225"/>
      <c r="BWH48" s="225"/>
      <c r="BWI48" s="225"/>
      <c r="BWJ48" s="225"/>
      <c r="BWK48" s="225"/>
      <c r="BWL48" s="225"/>
      <c r="BWM48" s="225"/>
      <c r="BWN48" s="225"/>
      <c r="BWO48" s="225"/>
      <c r="BWP48" s="225"/>
      <c r="BWQ48" s="225"/>
      <c r="BWR48" s="225"/>
      <c r="BWS48" s="225"/>
      <c r="BWT48" s="225"/>
      <c r="BWU48" s="225"/>
      <c r="BWV48" s="225"/>
      <c r="BWW48" s="225"/>
      <c r="BWX48" s="225"/>
      <c r="BWY48" s="225"/>
      <c r="BWZ48" s="225"/>
      <c r="BXA48" s="225"/>
      <c r="BXB48" s="225"/>
      <c r="BXC48" s="225"/>
      <c r="BXD48" s="225"/>
      <c r="BXE48" s="225"/>
      <c r="BXF48" s="225"/>
      <c r="BXG48" s="225"/>
      <c r="BXH48" s="225"/>
      <c r="BXI48" s="225"/>
      <c r="BXJ48" s="225"/>
      <c r="BXK48" s="225"/>
      <c r="BXL48" s="225"/>
      <c r="BXM48" s="225"/>
      <c r="BXN48" s="225"/>
      <c r="BXO48" s="225"/>
      <c r="BXP48" s="225"/>
      <c r="BXQ48" s="225"/>
      <c r="BXR48" s="225"/>
      <c r="BXS48" s="225"/>
      <c r="BXT48" s="225"/>
      <c r="BXU48" s="225"/>
      <c r="BXV48" s="225"/>
      <c r="BXW48" s="225"/>
      <c r="BXX48" s="225"/>
      <c r="BXY48" s="225"/>
      <c r="BXZ48" s="225"/>
      <c r="BYA48" s="225"/>
      <c r="BYB48" s="225"/>
      <c r="BYC48" s="225"/>
      <c r="BYD48" s="225"/>
      <c r="BYE48" s="225"/>
      <c r="BYF48" s="225"/>
      <c r="BYG48" s="225"/>
      <c r="BYH48" s="225"/>
      <c r="BYI48" s="225"/>
      <c r="BYJ48" s="225"/>
      <c r="BYK48" s="225"/>
      <c r="BYL48" s="225"/>
      <c r="BYM48" s="225"/>
      <c r="BYN48" s="225"/>
      <c r="BYO48" s="225"/>
      <c r="BYP48" s="225"/>
      <c r="BYQ48" s="225"/>
      <c r="BYR48" s="225"/>
      <c r="BYS48" s="225"/>
      <c r="BYT48" s="225"/>
      <c r="BYU48" s="225"/>
      <c r="BYV48" s="225"/>
      <c r="BYW48" s="225"/>
      <c r="BYX48" s="225"/>
      <c r="BYY48" s="225"/>
      <c r="BYZ48" s="225"/>
      <c r="BZA48" s="225"/>
      <c r="BZB48" s="225"/>
      <c r="BZC48" s="225"/>
      <c r="BZD48" s="225"/>
      <c r="BZE48" s="225"/>
      <c r="BZF48" s="225"/>
      <c r="BZG48" s="225"/>
      <c r="BZH48" s="225"/>
      <c r="BZI48" s="225"/>
      <c r="BZJ48" s="225"/>
      <c r="BZK48" s="225"/>
      <c r="BZL48" s="225"/>
      <c r="BZM48" s="225"/>
      <c r="BZN48" s="225"/>
      <c r="BZO48" s="225"/>
      <c r="BZP48" s="225"/>
      <c r="BZQ48" s="225"/>
      <c r="BZR48" s="225"/>
      <c r="BZS48" s="225"/>
      <c r="BZT48" s="225"/>
      <c r="BZU48" s="225"/>
      <c r="BZV48" s="225"/>
      <c r="BZW48" s="225"/>
      <c r="BZX48" s="225"/>
      <c r="BZY48" s="225"/>
      <c r="BZZ48" s="225"/>
      <c r="CAA48" s="225"/>
      <c r="CAB48" s="225"/>
      <c r="CAC48" s="225"/>
      <c r="CAD48" s="225"/>
      <c r="CAE48" s="225"/>
      <c r="CAF48" s="225"/>
      <c r="CAG48" s="225"/>
      <c r="CAH48" s="225"/>
      <c r="CAI48" s="225"/>
      <c r="CAJ48" s="225"/>
      <c r="CAK48" s="225"/>
      <c r="CAL48" s="225"/>
      <c r="CAM48" s="225"/>
      <c r="CAN48" s="225"/>
      <c r="CAO48" s="225"/>
      <c r="CAP48" s="225"/>
      <c r="CAQ48" s="225"/>
      <c r="CAR48" s="225"/>
      <c r="CAS48" s="225"/>
      <c r="CAT48" s="225"/>
      <c r="CAU48" s="225"/>
      <c r="CAV48" s="225"/>
      <c r="CAW48" s="225"/>
      <c r="CAX48" s="225"/>
      <c r="CAY48" s="225"/>
      <c r="CAZ48" s="225"/>
      <c r="CBA48" s="225"/>
      <c r="CBB48" s="225"/>
      <c r="CBC48" s="225"/>
      <c r="CBD48" s="225"/>
      <c r="CBE48" s="225"/>
      <c r="CBF48" s="225"/>
      <c r="CBG48" s="225"/>
      <c r="CBH48" s="225"/>
      <c r="CBI48" s="225"/>
      <c r="CBJ48" s="225"/>
      <c r="CBK48" s="225"/>
      <c r="CBL48" s="225"/>
      <c r="CBM48" s="225"/>
      <c r="CBN48" s="225"/>
      <c r="CBO48" s="225"/>
      <c r="CBP48" s="225"/>
      <c r="CBQ48" s="225"/>
      <c r="CBR48" s="225"/>
      <c r="CBS48" s="225"/>
      <c r="CBT48" s="225"/>
      <c r="CBU48" s="225"/>
      <c r="CBV48" s="225"/>
      <c r="CBW48" s="225"/>
      <c r="CBX48" s="225"/>
      <c r="CBY48" s="225"/>
      <c r="CBZ48" s="225"/>
      <c r="CCA48" s="225"/>
      <c r="CCB48" s="225"/>
      <c r="CCC48" s="225"/>
      <c r="CCD48" s="225"/>
      <c r="CCE48" s="225"/>
      <c r="CCF48" s="225"/>
      <c r="CCG48" s="225"/>
      <c r="CCH48" s="225"/>
      <c r="CCI48" s="225"/>
      <c r="CCJ48" s="225"/>
      <c r="CCK48" s="225"/>
      <c r="CCL48" s="225"/>
      <c r="CCM48" s="225"/>
      <c r="CCN48" s="225"/>
      <c r="CCO48" s="225"/>
      <c r="CCP48" s="225"/>
      <c r="CCQ48" s="225"/>
      <c r="CCR48" s="225"/>
      <c r="CCS48" s="225"/>
      <c r="CCT48" s="225"/>
      <c r="CCU48" s="225"/>
      <c r="CCV48" s="225"/>
      <c r="CCW48" s="225"/>
      <c r="CCX48" s="225"/>
      <c r="CCY48" s="225"/>
      <c r="CCZ48" s="225"/>
      <c r="CDA48" s="225"/>
      <c r="CDB48" s="225"/>
      <c r="CDC48" s="225"/>
      <c r="CDD48" s="225"/>
      <c r="CDE48" s="225"/>
      <c r="CDF48" s="225"/>
      <c r="CDG48" s="225"/>
      <c r="CDH48" s="225"/>
      <c r="CDI48" s="225"/>
      <c r="CDJ48" s="225"/>
      <c r="CDK48" s="225"/>
      <c r="CDL48" s="225"/>
      <c r="CDM48" s="225"/>
      <c r="CDN48" s="225"/>
      <c r="CDO48" s="225"/>
      <c r="CDP48" s="225"/>
      <c r="CDQ48" s="225"/>
      <c r="CDR48" s="225"/>
      <c r="CDS48" s="225"/>
      <c r="CDT48" s="225"/>
      <c r="CDU48" s="225"/>
      <c r="CDV48" s="225"/>
      <c r="CDW48" s="225"/>
      <c r="CDX48" s="225"/>
      <c r="CDY48" s="225"/>
      <c r="CDZ48" s="225"/>
      <c r="CEA48" s="225"/>
      <c r="CEB48" s="225"/>
      <c r="CEC48" s="225"/>
      <c r="CED48" s="225"/>
      <c r="CEE48" s="225"/>
      <c r="CEF48" s="225"/>
      <c r="CEG48" s="225"/>
      <c r="CEH48" s="225"/>
      <c r="CEI48" s="225"/>
      <c r="CEJ48" s="225"/>
      <c r="CEK48" s="225"/>
      <c r="CEL48" s="225"/>
      <c r="CEM48" s="225"/>
      <c r="CEN48" s="225"/>
      <c r="CEO48" s="225"/>
      <c r="CEP48" s="225"/>
      <c r="CEQ48" s="225"/>
      <c r="CER48" s="225"/>
      <c r="CES48" s="225"/>
      <c r="CET48" s="225"/>
      <c r="CEU48" s="225"/>
      <c r="CEV48" s="225"/>
      <c r="CEW48" s="225"/>
      <c r="CEX48" s="225"/>
      <c r="CEY48" s="225"/>
      <c r="CEZ48" s="225"/>
      <c r="CFA48" s="225"/>
      <c r="CFB48" s="225"/>
      <c r="CFC48" s="225"/>
      <c r="CFD48" s="225"/>
      <c r="CFE48" s="225"/>
      <c r="CFF48" s="225"/>
      <c r="CFG48" s="225"/>
      <c r="CFH48" s="225"/>
      <c r="CFI48" s="225"/>
      <c r="CFJ48" s="225"/>
      <c r="CFK48" s="225"/>
      <c r="CFL48" s="225"/>
      <c r="CFM48" s="225"/>
      <c r="CFN48" s="225"/>
      <c r="CFO48" s="225"/>
      <c r="CFP48" s="225"/>
      <c r="CFQ48" s="225"/>
      <c r="CFR48" s="225"/>
      <c r="CFS48" s="225"/>
      <c r="CFT48" s="225"/>
      <c r="CFU48" s="225"/>
      <c r="CFV48" s="225"/>
      <c r="CFW48" s="225"/>
      <c r="CFX48" s="225"/>
      <c r="CFY48" s="225"/>
      <c r="CFZ48" s="225"/>
      <c r="CGA48" s="225"/>
      <c r="CGB48" s="225"/>
      <c r="CGC48" s="225"/>
      <c r="CGD48" s="225"/>
      <c r="CGE48" s="225"/>
      <c r="CGF48" s="225"/>
      <c r="CGG48" s="225"/>
      <c r="CGH48" s="225"/>
      <c r="CGI48" s="225"/>
      <c r="CGJ48" s="225"/>
      <c r="CGK48" s="225"/>
      <c r="CGL48" s="225"/>
      <c r="CGM48" s="225"/>
      <c r="CGN48" s="225"/>
      <c r="CGO48" s="225"/>
      <c r="CGP48" s="225"/>
      <c r="CGQ48" s="225"/>
      <c r="CGR48" s="225"/>
      <c r="CGS48" s="225"/>
      <c r="CGT48" s="225"/>
      <c r="CGU48" s="225"/>
      <c r="CGV48" s="225"/>
      <c r="CGW48" s="225"/>
      <c r="CGX48" s="225"/>
      <c r="CGY48" s="225"/>
      <c r="CGZ48" s="225"/>
      <c r="CHA48" s="225"/>
      <c r="CHB48" s="225"/>
      <c r="CHC48" s="225"/>
      <c r="CHD48" s="225"/>
      <c r="CHE48" s="225"/>
      <c r="CHF48" s="225"/>
      <c r="CHG48" s="225"/>
      <c r="CHH48" s="225"/>
      <c r="CHI48" s="225"/>
      <c r="CHJ48" s="225"/>
      <c r="CHK48" s="225"/>
      <c r="CHL48" s="225"/>
      <c r="CHM48" s="225"/>
      <c r="CHN48" s="225"/>
      <c r="CHO48" s="225"/>
      <c r="CHP48" s="225"/>
      <c r="CHQ48" s="225"/>
      <c r="CHR48" s="225"/>
      <c r="CHS48" s="225"/>
      <c r="CHT48" s="225"/>
      <c r="CHU48" s="225"/>
      <c r="CHV48" s="225"/>
      <c r="CHW48" s="225"/>
      <c r="CHX48" s="225"/>
      <c r="CHY48" s="225"/>
      <c r="CHZ48" s="225"/>
      <c r="CIA48" s="225"/>
      <c r="CIB48" s="225"/>
      <c r="CIC48" s="225"/>
      <c r="CID48" s="225"/>
      <c r="CIE48" s="225"/>
      <c r="CIF48" s="225"/>
      <c r="CIG48" s="225"/>
      <c r="CIH48" s="225"/>
      <c r="CII48" s="225"/>
      <c r="CIJ48" s="225"/>
      <c r="CIK48" s="225"/>
      <c r="CIL48" s="225"/>
      <c r="CIM48" s="225"/>
      <c r="CIN48" s="225"/>
      <c r="CIO48" s="225"/>
      <c r="CIP48" s="225"/>
      <c r="CIQ48" s="225"/>
      <c r="CIR48" s="225"/>
      <c r="CIS48" s="225"/>
      <c r="CIT48" s="225"/>
      <c r="CIU48" s="225"/>
      <c r="CIV48" s="225"/>
      <c r="CIW48" s="225"/>
      <c r="CIX48" s="225"/>
      <c r="CIY48" s="225"/>
      <c r="CIZ48" s="225"/>
      <c r="CJA48" s="225"/>
      <c r="CJB48" s="225"/>
      <c r="CJC48" s="225"/>
      <c r="CJD48" s="225"/>
      <c r="CJE48" s="225"/>
      <c r="CJF48" s="225"/>
      <c r="CJG48" s="225"/>
      <c r="CJH48" s="225"/>
      <c r="CJI48" s="225"/>
      <c r="CJJ48" s="225"/>
      <c r="CJK48" s="225"/>
      <c r="CJL48" s="225"/>
      <c r="CJM48" s="225"/>
      <c r="CJN48" s="225"/>
      <c r="CJO48" s="225"/>
      <c r="CJP48" s="225"/>
      <c r="CJQ48" s="225"/>
      <c r="CJR48" s="225"/>
      <c r="CJS48" s="225"/>
      <c r="CJT48" s="225"/>
      <c r="CJU48" s="225"/>
      <c r="CJV48" s="225"/>
      <c r="CJW48" s="225"/>
      <c r="CJX48" s="225"/>
      <c r="CJY48" s="225"/>
      <c r="CJZ48" s="225"/>
      <c r="CKA48" s="225"/>
      <c r="CKB48" s="225"/>
      <c r="CKC48" s="225"/>
      <c r="CKD48" s="225"/>
      <c r="CKE48" s="225"/>
      <c r="CKF48" s="225"/>
      <c r="CKG48" s="225"/>
      <c r="CKH48" s="225"/>
      <c r="CKI48" s="225"/>
      <c r="CKJ48" s="225"/>
      <c r="CKK48" s="225"/>
      <c r="CKL48" s="225"/>
      <c r="CKM48" s="225"/>
      <c r="CKN48" s="225"/>
      <c r="CKO48" s="225"/>
      <c r="CKP48" s="225"/>
      <c r="CKQ48" s="225"/>
      <c r="CKR48" s="225"/>
      <c r="CKS48" s="225"/>
      <c r="CKT48" s="225"/>
      <c r="CKU48" s="225"/>
      <c r="CKV48" s="225"/>
      <c r="CKW48" s="225"/>
      <c r="CKX48" s="225"/>
      <c r="CKY48" s="225"/>
      <c r="CKZ48" s="225"/>
      <c r="CLA48" s="225"/>
      <c r="CLB48" s="225"/>
      <c r="CLC48" s="225"/>
      <c r="CLD48" s="225"/>
      <c r="CLE48" s="225"/>
      <c r="CLF48" s="225"/>
      <c r="CLG48" s="225"/>
      <c r="CLH48" s="225"/>
      <c r="CLI48" s="225"/>
      <c r="CLJ48" s="225"/>
      <c r="CLK48" s="225"/>
      <c r="CLL48" s="225"/>
      <c r="CLM48" s="225"/>
      <c r="CLN48" s="225"/>
      <c r="CLO48" s="225"/>
      <c r="CLP48" s="225"/>
      <c r="CLQ48" s="225"/>
      <c r="CLR48" s="225"/>
      <c r="CLS48" s="225"/>
      <c r="CLT48" s="225"/>
      <c r="CLU48" s="225"/>
      <c r="CLV48" s="225"/>
      <c r="CLW48" s="225"/>
      <c r="CLX48" s="225"/>
      <c r="CLY48" s="225"/>
      <c r="CLZ48" s="225"/>
      <c r="CMA48" s="225"/>
      <c r="CMB48" s="225"/>
      <c r="CMC48" s="225"/>
      <c r="CMD48" s="225"/>
      <c r="CME48" s="225"/>
      <c r="CMF48" s="225"/>
      <c r="CMG48" s="225"/>
      <c r="CMH48" s="225"/>
      <c r="CMI48" s="225"/>
      <c r="CMJ48" s="225"/>
      <c r="CMK48" s="225"/>
      <c r="CML48" s="225"/>
      <c r="CMM48" s="225"/>
      <c r="CMN48" s="225"/>
      <c r="CMO48" s="225"/>
      <c r="CMP48" s="225"/>
      <c r="CMQ48" s="225"/>
      <c r="CMR48" s="225"/>
      <c r="CMS48" s="225"/>
      <c r="CMT48" s="225"/>
      <c r="CMU48" s="225"/>
      <c r="CMV48" s="225"/>
      <c r="CMW48" s="225"/>
      <c r="CMX48" s="225"/>
      <c r="CMY48" s="225"/>
      <c r="CMZ48" s="225"/>
      <c r="CNA48" s="225"/>
      <c r="CNB48" s="225"/>
      <c r="CNC48" s="225"/>
      <c r="CND48" s="225"/>
      <c r="CNE48" s="225"/>
      <c r="CNF48" s="225"/>
      <c r="CNG48" s="225"/>
      <c r="CNH48" s="225"/>
      <c r="CNI48" s="225"/>
      <c r="CNJ48" s="225"/>
      <c r="CNK48" s="225"/>
      <c r="CNL48" s="225"/>
      <c r="CNM48" s="225"/>
      <c r="CNN48" s="225"/>
      <c r="CNO48" s="225"/>
      <c r="CNP48" s="225"/>
      <c r="CNQ48" s="225"/>
      <c r="CNR48" s="225"/>
      <c r="CNS48" s="225"/>
      <c r="CNT48" s="225"/>
      <c r="CNU48" s="225"/>
      <c r="CNV48" s="225"/>
      <c r="CNW48" s="225"/>
      <c r="CNX48" s="225"/>
      <c r="CNY48" s="225"/>
      <c r="CNZ48" s="225"/>
      <c r="COA48" s="225"/>
      <c r="COB48" s="225"/>
      <c r="COC48" s="225"/>
      <c r="COD48" s="225"/>
      <c r="COE48" s="225"/>
      <c r="COF48" s="225"/>
      <c r="COG48" s="225"/>
      <c r="COH48" s="225"/>
      <c r="COI48" s="225"/>
      <c r="COJ48" s="225"/>
      <c r="COK48" s="225"/>
      <c r="COL48" s="225"/>
      <c r="COM48" s="225"/>
      <c r="CON48" s="225"/>
      <c r="COO48" s="225"/>
      <c r="COP48" s="225"/>
      <c r="COQ48" s="225"/>
      <c r="COR48" s="225"/>
      <c r="COS48" s="225"/>
      <c r="COT48" s="225"/>
      <c r="COU48" s="225"/>
      <c r="COV48" s="225"/>
      <c r="COW48" s="225"/>
      <c r="COX48" s="225"/>
      <c r="COY48" s="225"/>
      <c r="COZ48" s="225"/>
      <c r="CPA48" s="225"/>
      <c r="CPB48" s="225"/>
      <c r="CPC48" s="225"/>
      <c r="CPD48" s="225"/>
      <c r="CPE48" s="225"/>
      <c r="CPF48" s="225"/>
      <c r="CPG48" s="225"/>
      <c r="CPH48" s="225"/>
      <c r="CPI48" s="225"/>
      <c r="CPJ48" s="225"/>
      <c r="CPK48" s="225"/>
      <c r="CPL48" s="225"/>
      <c r="CPM48" s="225"/>
      <c r="CPN48" s="225"/>
      <c r="CPO48" s="225"/>
      <c r="CPP48" s="225"/>
      <c r="CPQ48" s="225"/>
      <c r="CPR48" s="225"/>
      <c r="CPS48" s="225"/>
      <c r="CPT48" s="225"/>
      <c r="CPU48" s="225"/>
      <c r="CPV48" s="225"/>
      <c r="CPW48" s="225"/>
      <c r="CPX48" s="225"/>
      <c r="CPY48" s="225"/>
      <c r="CPZ48" s="225"/>
      <c r="CQA48" s="225"/>
      <c r="CQB48" s="225"/>
      <c r="CQC48" s="225"/>
      <c r="CQD48" s="225"/>
      <c r="CQE48" s="225"/>
      <c r="CQF48" s="225"/>
      <c r="CQG48" s="225"/>
      <c r="CQH48" s="225"/>
      <c r="CQI48" s="225"/>
      <c r="CQJ48" s="225"/>
      <c r="CQK48" s="225"/>
      <c r="CQL48" s="225"/>
      <c r="CQM48" s="225"/>
      <c r="CQN48" s="225"/>
      <c r="CQO48" s="225"/>
      <c r="CQP48" s="225"/>
      <c r="CQQ48" s="225"/>
      <c r="CQR48" s="225"/>
      <c r="CQS48" s="225"/>
      <c r="CQT48" s="225"/>
      <c r="CQU48" s="225"/>
      <c r="CQV48" s="225"/>
      <c r="CQW48" s="225"/>
      <c r="CQX48" s="225"/>
      <c r="CQY48" s="225"/>
      <c r="CQZ48" s="225"/>
      <c r="CRA48" s="225"/>
      <c r="CRB48" s="225"/>
      <c r="CRC48" s="225"/>
      <c r="CRD48" s="225"/>
      <c r="CRE48" s="225"/>
      <c r="CRF48" s="225"/>
      <c r="CRG48" s="225"/>
      <c r="CRH48" s="225"/>
      <c r="CRI48" s="225"/>
      <c r="CRJ48" s="225"/>
      <c r="CRK48" s="225"/>
      <c r="CRL48" s="225"/>
      <c r="CRM48" s="225"/>
      <c r="CRN48" s="225"/>
      <c r="CRO48" s="225"/>
      <c r="CRP48" s="225"/>
      <c r="CRQ48" s="225"/>
      <c r="CRR48" s="225"/>
      <c r="CRS48" s="225"/>
      <c r="CRT48" s="225"/>
      <c r="CRU48" s="225"/>
      <c r="CRV48" s="225"/>
      <c r="CRW48" s="225"/>
      <c r="CRX48" s="225"/>
      <c r="CRY48" s="225"/>
      <c r="CRZ48" s="225"/>
      <c r="CSA48" s="225"/>
      <c r="CSB48" s="225"/>
      <c r="CSC48" s="225"/>
      <c r="CSD48" s="225"/>
      <c r="CSE48" s="225"/>
      <c r="CSF48" s="225"/>
      <c r="CSG48" s="225"/>
      <c r="CSH48" s="225"/>
      <c r="CSI48" s="225"/>
      <c r="CSJ48" s="225"/>
      <c r="CSK48" s="225"/>
      <c r="CSL48" s="225"/>
      <c r="CSM48" s="225"/>
      <c r="CSN48" s="225"/>
      <c r="CSO48" s="225"/>
      <c r="CSP48" s="225"/>
      <c r="CSQ48" s="225"/>
      <c r="CSR48" s="225"/>
      <c r="CSS48" s="225"/>
      <c r="CST48" s="225"/>
      <c r="CSU48" s="225"/>
      <c r="CSV48" s="225"/>
      <c r="CSW48" s="225"/>
      <c r="CSX48" s="225"/>
      <c r="CSY48" s="225"/>
      <c r="CSZ48" s="225"/>
      <c r="CTA48" s="225"/>
      <c r="CTB48" s="225"/>
      <c r="CTC48" s="225"/>
      <c r="CTD48" s="225"/>
      <c r="CTE48" s="225"/>
      <c r="CTF48" s="225"/>
      <c r="CTG48" s="225"/>
      <c r="CTH48" s="225"/>
      <c r="CTI48" s="225"/>
      <c r="CTJ48" s="225"/>
      <c r="CTK48" s="225"/>
      <c r="CTL48" s="225"/>
      <c r="CTM48" s="225"/>
      <c r="CTN48" s="225"/>
      <c r="CTO48" s="225"/>
      <c r="CTP48" s="225"/>
      <c r="CTQ48" s="225"/>
      <c r="CTR48" s="225"/>
      <c r="CTS48" s="225"/>
      <c r="CTT48" s="225"/>
      <c r="CTU48" s="225"/>
      <c r="CTV48" s="225"/>
      <c r="CTW48" s="225"/>
      <c r="CTX48" s="225"/>
      <c r="CTY48" s="225"/>
      <c r="CTZ48" s="225"/>
      <c r="CUA48" s="225"/>
      <c r="CUB48" s="225"/>
      <c r="CUC48" s="225"/>
      <c r="CUD48" s="225"/>
      <c r="CUE48" s="225"/>
      <c r="CUF48" s="225"/>
      <c r="CUG48" s="225"/>
      <c r="CUH48" s="225"/>
      <c r="CUI48" s="225"/>
      <c r="CUJ48" s="225"/>
      <c r="CUK48" s="225"/>
      <c r="CUL48" s="225"/>
      <c r="CUM48" s="225"/>
      <c r="CUN48" s="225"/>
      <c r="CUO48" s="225"/>
      <c r="CUP48" s="225"/>
      <c r="CUQ48" s="225"/>
      <c r="CUR48" s="225"/>
      <c r="CUS48" s="225"/>
      <c r="CUT48" s="225"/>
      <c r="CUU48" s="225"/>
      <c r="CUV48" s="225"/>
      <c r="CUW48" s="225"/>
      <c r="CUX48" s="225"/>
      <c r="CUY48" s="225"/>
      <c r="CUZ48" s="225"/>
      <c r="CVA48" s="225"/>
      <c r="CVB48" s="225"/>
      <c r="CVC48" s="225"/>
      <c r="CVD48" s="225"/>
      <c r="CVE48" s="225"/>
      <c r="CVF48" s="225"/>
      <c r="CVG48" s="225"/>
      <c r="CVH48" s="225"/>
      <c r="CVI48" s="225"/>
      <c r="CVJ48" s="225"/>
      <c r="CVK48" s="225"/>
      <c r="CVL48" s="225"/>
      <c r="CVM48" s="225"/>
      <c r="CVN48" s="225"/>
      <c r="CVO48" s="225"/>
      <c r="CVP48" s="225"/>
      <c r="CVQ48" s="225"/>
      <c r="CVR48" s="225"/>
      <c r="CVS48" s="225"/>
      <c r="CVT48" s="225"/>
      <c r="CVU48" s="225"/>
      <c r="CVV48" s="225"/>
      <c r="CVW48" s="225"/>
      <c r="CVX48" s="225"/>
      <c r="CVY48" s="225"/>
      <c r="CVZ48" s="225"/>
      <c r="CWA48" s="225"/>
      <c r="CWB48" s="225"/>
      <c r="CWC48" s="225"/>
      <c r="CWD48" s="225"/>
      <c r="CWE48" s="225"/>
      <c r="CWF48" s="225"/>
      <c r="CWG48" s="225"/>
      <c r="CWH48" s="225"/>
      <c r="CWI48" s="225"/>
      <c r="CWJ48" s="225"/>
      <c r="CWK48" s="225"/>
      <c r="CWL48" s="225"/>
      <c r="CWM48" s="225"/>
      <c r="CWN48" s="225"/>
      <c r="CWO48" s="225"/>
      <c r="CWP48" s="225"/>
      <c r="CWQ48" s="225"/>
      <c r="CWR48" s="225"/>
      <c r="CWS48" s="225"/>
      <c r="CWT48" s="225"/>
      <c r="CWU48" s="225"/>
      <c r="CWV48" s="225"/>
      <c r="CWW48" s="225"/>
      <c r="CWX48" s="225"/>
      <c r="CWY48" s="225"/>
      <c r="CWZ48" s="225"/>
      <c r="CXA48" s="225"/>
      <c r="CXB48" s="225"/>
      <c r="CXC48" s="225"/>
      <c r="CXD48" s="225"/>
      <c r="CXE48" s="225"/>
      <c r="CXF48" s="225"/>
      <c r="CXG48" s="225"/>
      <c r="CXH48" s="225"/>
      <c r="CXI48" s="225"/>
      <c r="CXJ48" s="225"/>
      <c r="CXK48" s="225"/>
      <c r="CXL48" s="225"/>
      <c r="CXM48" s="225"/>
      <c r="CXN48" s="225"/>
      <c r="CXO48" s="225"/>
      <c r="CXP48" s="225"/>
      <c r="CXQ48" s="225"/>
      <c r="CXR48" s="225"/>
      <c r="CXS48" s="225"/>
      <c r="CXT48" s="225"/>
      <c r="CXU48" s="225"/>
      <c r="CXV48" s="225"/>
      <c r="CXW48" s="225"/>
      <c r="CXX48" s="225"/>
      <c r="CXY48" s="225"/>
      <c r="CXZ48" s="225"/>
      <c r="CYA48" s="225"/>
      <c r="CYB48" s="225"/>
      <c r="CYC48" s="225"/>
      <c r="CYD48" s="225"/>
      <c r="CYE48" s="225"/>
      <c r="CYF48" s="225"/>
      <c r="CYG48" s="225"/>
      <c r="CYH48" s="225"/>
      <c r="CYI48" s="225"/>
      <c r="CYJ48" s="225"/>
      <c r="CYK48" s="225"/>
      <c r="CYL48" s="225"/>
      <c r="CYM48" s="225"/>
      <c r="CYN48" s="225"/>
      <c r="CYO48" s="225"/>
      <c r="CYP48" s="225"/>
      <c r="CYQ48" s="225"/>
      <c r="CYR48" s="225"/>
      <c r="CYS48" s="225"/>
      <c r="CYT48" s="225"/>
      <c r="CYU48" s="225"/>
      <c r="CYV48" s="225"/>
      <c r="CYW48" s="225"/>
      <c r="CYX48" s="225"/>
      <c r="CYY48" s="225"/>
      <c r="CYZ48" s="225"/>
      <c r="CZA48" s="225"/>
      <c r="CZB48" s="225"/>
      <c r="CZC48" s="225"/>
      <c r="CZD48" s="225"/>
      <c r="CZE48" s="225"/>
      <c r="CZF48" s="225"/>
      <c r="CZG48" s="225"/>
      <c r="CZH48" s="225"/>
      <c r="CZI48" s="225"/>
      <c r="CZJ48" s="225"/>
      <c r="CZK48" s="225"/>
      <c r="CZL48" s="225"/>
      <c r="CZM48" s="225"/>
      <c r="CZN48" s="225"/>
      <c r="CZO48" s="225"/>
      <c r="CZP48" s="225"/>
      <c r="CZQ48" s="225"/>
      <c r="CZR48" s="225"/>
      <c r="CZS48" s="225"/>
      <c r="CZT48" s="225"/>
      <c r="CZU48" s="225"/>
      <c r="CZV48" s="225"/>
      <c r="CZW48" s="225"/>
      <c r="CZX48" s="225"/>
      <c r="CZY48" s="225"/>
      <c r="CZZ48" s="225"/>
      <c r="DAA48" s="225"/>
      <c r="DAB48" s="225"/>
      <c r="DAC48" s="225"/>
      <c r="DAD48" s="225"/>
      <c r="DAE48" s="225"/>
      <c r="DAF48" s="225"/>
      <c r="DAG48" s="225"/>
      <c r="DAH48" s="225"/>
      <c r="DAI48" s="225"/>
      <c r="DAJ48" s="225"/>
      <c r="DAK48" s="225"/>
      <c r="DAL48" s="225"/>
      <c r="DAM48" s="225"/>
      <c r="DAN48" s="225"/>
      <c r="DAO48" s="225"/>
      <c r="DAP48" s="225"/>
      <c r="DAQ48" s="225"/>
      <c r="DAR48" s="225"/>
      <c r="DAS48" s="225"/>
      <c r="DAT48" s="225"/>
      <c r="DAU48" s="225"/>
      <c r="DAV48" s="225"/>
      <c r="DAW48" s="225"/>
      <c r="DAX48" s="225"/>
      <c r="DAY48" s="225"/>
      <c r="DAZ48" s="225"/>
      <c r="DBA48" s="225"/>
      <c r="DBB48" s="225"/>
      <c r="DBC48" s="225"/>
      <c r="DBD48" s="225"/>
      <c r="DBE48" s="225"/>
      <c r="DBF48" s="225"/>
      <c r="DBG48" s="225"/>
      <c r="DBH48" s="225"/>
      <c r="DBI48" s="225"/>
      <c r="DBJ48" s="225"/>
      <c r="DBK48" s="225"/>
      <c r="DBL48" s="225"/>
      <c r="DBM48" s="225"/>
      <c r="DBN48" s="225"/>
      <c r="DBO48" s="225"/>
      <c r="DBP48" s="225"/>
      <c r="DBQ48" s="225"/>
      <c r="DBR48" s="225"/>
      <c r="DBS48" s="225"/>
      <c r="DBT48" s="225"/>
      <c r="DBU48" s="225"/>
      <c r="DBV48" s="225"/>
      <c r="DBW48" s="225"/>
      <c r="DBX48" s="225"/>
      <c r="DBY48" s="225"/>
      <c r="DBZ48" s="225"/>
      <c r="DCA48" s="225"/>
      <c r="DCB48" s="225"/>
      <c r="DCC48" s="225"/>
      <c r="DCD48" s="225"/>
      <c r="DCE48" s="225"/>
      <c r="DCF48" s="225"/>
      <c r="DCG48" s="225"/>
      <c r="DCH48" s="225"/>
      <c r="DCI48" s="225"/>
      <c r="DCJ48" s="225"/>
      <c r="DCK48" s="225"/>
      <c r="DCL48" s="225"/>
      <c r="DCM48" s="225"/>
      <c r="DCN48" s="225"/>
      <c r="DCO48" s="225"/>
      <c r="DCP48" s="225"/>
      <c r="DCQ48" s="225"/>
      <c r="DCR48" s="225"/>
      <c r="DCS48" s="225"/>
      <c r="DCT48" s="225"/>
      <c r="DCU48" s="225"/>
      <c r="DCV48" s="225"/>
      <c r="DCW48" s="225"/>
      <c r="DCX48" s="225"/>
      <c r="DCY48" s="225"/>
      <c r="DCZ48" s="225"/>
      <c r="DDA48" s="225"/>
      <c r="DDB48" s="225"/>
      <c r="DDC48" s="225"/>
      <c r="DDD48" s="225"/>
      <c r="DDE48" s="225"/>
      <c r="DDF48" s="225"/>
      <c r="DDG48" s="225"/>
      <c r="DDH48" s="225"/>
      <c r="DDI48" s="225"/>
      <c r="DDJ48" s="225"/>
      <c r="DDK48" s="225"/>
      <c r="DDL48" s="225"/>
      <c r="DDM48" s="225"/>
      <c r="DDN48" s="225"/>
      <c r="DDO48" s="225"/>
      <c r="DDP48" s="225"/>
      <c r="DDQ48" s="225"/>
      <c r="DDR48" s="225"/>
      <c r="DDS48" s="225"/>
      <c r="DDT48" s="225"/>
      <c r="DDU48" s="225"/>
      <c r="DDV48" s="225"/>
      <c r="DDW48" s="225"/>
      <c r="DDX48" s="225"/>
      <c r="DDY48" s="225"/>
      <c r="DDZ48" s="225"/>
      <c r="DEA48" s="225"/>
      <c r="DEB48" s="225"/>
      <c r="DEC48" s="225"/>
      <c r="DED48" s="225"/>
      <c r="DEE48" s="225"/>
      <c r="DEF48" s="225"/>
      <c r="DEG48" s="225"/>
      <c r="DEH48" s="225"/>
      <c r="DEI48" s="225"/>
      <c r="DEJ48" s="225"/>
      <c r="DEK48" s="225"/>
      <c r="DEL48" s="225"/>
      <c r="DEM48" s="225"/>
      <c r="DEN48" s="225"/>
      <c r="DEO48" s="225"/>
      <c r="DEP48" s="225"/>
      <c r="DEQ48" s="225"/>
      <c r="DER48" s="225"/>
      <c r="DES48" s="225"/>
      <c r="DET48" s="225"/>
      <c r="DEU48" s="225"/>
      <c r="DEV48" s="225"/>
      <c r="DEW48" s="225"/>
      <c r="DEX48" s="225"/>
      <c r="DEY48" s="225"/>
      <c r="DEZ48" s="225"/>
      <c r="DFA48" s="225"/>
      <c r="DFB48" s="225"/>
      <c r="DFC48" s="225"/>
      <c r="DFD48" s="225"/>
      <c r="DFE48" s="225"/>
      <c r="DFF48" s="225"/>
      <c r="DFG48" s="225"/>
      <c r="DFH48" s="225"/>
      <c r="DFI48" s="225"/>
      <c r="DFJ48" s="225"/>
      <c r="DFK48" s="225"/>
      <c r="DFL48" s="225"/>
      <c r="DFM48" s="225"/>
      <c r="DFN48" s="225"/>
      <c r="DFO48" s="225"/>
      <c r="DFP48" s="225"/>
      <c r="DFQ48" s="225"/>
      <c r="DFR48" s="225"/>
      <c r="DFS48" s="225"/>
      <c r="DFT48" s="225"/>
      <c r="DFU48" s="225"/>
      <c r="DFV48" s="225"/>
      <c r="DFW48" s="225"/>
      <c r="DFX48" s="225"/>
      <c r="DFY48" s="225"/>
      <c r="DFZ48" s="225"/>
      <c r="DGA48" s="225"/>
      <c r="DGB48" s="225"/>
      <c r="DGC48" s="225"/>
      <c r="DGD48" s="225"/>
      <c r="DGE48" s="225"/>
      <c r="DGF48" s="225"/>
      <c r="DGG48" s="225"/>
      <c r="DGH48" s="225"/>
      <c r="DGI48" s="225"/>
      <c r="DGJ48" s="225"/>
      <c r="DGK48" s="225"/>
      <c r="DGL48" s="225"/>
      <c r="DGM48" s="225"/>
      <c r="DGN48" s="225"/>
      <c r="DGO48" s="225"/>
      <c r="DGP48" s="225"/>
      <c r="DGQ48" s="225"/>
      <c r="DGR48" s="225"/>
      <c r="DGS48" s="225"/>
      <c r="DGT48" s="225"/>
      <c r="DGU48" s="225"/>
      <c r="DGV48" s="225"/>
      <c r="DGW48" s="225"/>
      <c r="DGX48" s="225"/>
      <c r="DGY48" s="225"/>
      <c r="DGZ48" s="225"/>
      <c r="DHA48" s="225"/>
      <c r="DHB48" s="225"/>
      <c r="DHC48" s="225"/>
      <c r="DHD48" s="225"/>
      <c r="DHE48" s="225"/>
      <c r="DHF48" s="225"/>
      <c r="DHG48" s="225"/>
      <c r="DHH48" s="225"/>
      <c r="DHI48" s="225"/>
      <c r="DHJ48" s="225"/>
      <c r="DHK48" s="225"/>
      <c r="DHL48" s="225"/>
      <c r="DHM48" s="225"/>
      <c r="DHN48" s="225"/>
      <c r="DHO48" s="225"/>
      <c r="DHP48" s="225"/>
      <c r="DHQ48" s="225"/>
      <c r="DHR48" s="225"/>
      <c r="DHS48" s="225"/>
      <c r="DHT48" s="225"/>
      <c r="DHU48" s="225"/>
      <c r="DHV48" s="225"/>
      <c r="DHW48" s="225"/>
      <c r="DHX48" s="225"/>
      <c r="DHY48" s="225"/>
      <c r="DHZ48" s="225"/>
      <c r="DIA48" s="225"/>
      <c r="DIB48" s="225"/>
      <c r="DIC48" s="225"/>
      <c r="DID48" s="225"/>
      <c r="DIE48" s="225"/>
      <c r="DIF48" s="225"/>
      <c r="DIG48" s="225"/>
      <c r="DIH48" s="225"/>
      <c r="DII48" s="225"/>
      <c r="DIJ48" s="225"/>
      <c r="DIK48" s="225"/>
      <c r="DIL48" s="225"/>
      <c r="DIM48" s="225"/>
      <c r="DIN48" s="225"/>
      <c r="DIO48" s="225"/>
      <c r="DIP48" s="225"/>
      <c r="DIQ48" s="225"/>
      <c r="DIR48" s="225"/>
      <c r="DIS48" s="225"/>
      <c r="DIT48" s="225"/>
      <c r="DIU48" s="225"/>
      <c r="DIV48" s="225"/>
      <c r="DIW48" s="225"/>
      <c r="DIX48" s="225"/>
      <c r="DIY48" s="225"/>
      <c r="DIZ48" s="225"/>
      <c r="DJA48" s="225"/>
      <c r="DJB48" s="225"/>
      <c r="DJC48" s="225"/>
      <c r="DJD48" s="225"/>
      <c r="DJE48" s="225"/>
      <c r="DJF48" s="225"/>
      <c r="DJG48" s="225"/>
      <c r="DJH48" s="225"/>
      <c r="DJI48" s="225"/>
      <c r="DJJ48" s="225"/>
      <c r="DJK48" s="225"/>
      <c r="DJL48" s="225"/>
      <c r="DJM48" s="225"/>
      <c r="DJN48" s="225"/>
      <c r="DJO48" s="225"/>
      <c r="DJP48" s="225"/>
      <c r="DJQ48" s="225"/>
      <c r="DJR48" s="225"/>
      <c r="DJS48" s="225"/>
      <c r="DJT48" s="225"/>
      <c r="DJU48" s="225"/>
      <c r="DJV48" s="225"/>
      <c r="DJW48" s="225"/>
      <c r="DJX48" s="225"/>
      <c r="DJY48" s="225"/>
      <c r="DJZ48" s="225"/>
      <c r="DKA48" s="225"/>
      <c r="DKB48" s="225"/>
      <c r="DKC48" s="225"/>
      <c r="DKD48" s="225"/>
      <c r="DKE48" s="225"/>
      <c r="DKF48" s="225"/>
      <c r="DKG48" s="225"/>
      <c r="DKH48" s="225"/>
      <c r="DKI48" s="225"/>
      <c r="DKJ48" s="225"/>
      <c r="DKK48" s="225"/>
      <c r="DKL48" s="225"/>
      <c r="DKM48" s="225"/>
      <c r="DKN48" s="225"/>
      <c r="DKO48" s="225"/>
      <c r="DKP48" s="225"/>
      <c r="DKQ48" s="225"/>
      <c r="DKR48" s="225"/>
      <c r="DKS48" s="225"/>
      <c r="DKT48" s="225"/>
      <c r="DKU48" s="225"/>
      <c r="DKV48" s="225"/>
      <c r="DKW48" s="225"/>
      <c r="DKX48" s="225"/>
      <c r="DKY48" s="225"/>
      <c r="DKZ48" s="225"/>
      <c r="DLA48" s="225"/>
      <c r="DLB48" s="225"/>
      <c r="DLC48" s="225"/>
      <c r="DLD48" s="225"/>
      <c r="DLE48" s="225"/>
      <c r="DLF48" s="225"/>
      <c r="DLG48" s="225"/>
      <c r="DLH48" s="225"/>
      <c r="DLI48" s="225"/>
      <c r="DLJ48" s="225"/>
      <c r="DLK48" s="225"/>
      <c r="DLL48" s="225"/>
      <c r="DLM48" s="225"/>
      <c r="DLN48" s="225"/>
      <c r="DLO48" s="225"/>
      <c r="DLP48" s="225"/>
      <c r="DLQ48" s="225"/>
      <c r="DLR48" s="225"/>
      <c r="DLS48" s="225"/>
      <c r="DLT48" s="225"/>
      <c r="DLU48" s="225"/>
      <c r="DLV48" s="225"/>
      <c r="DLW48" s="225"/>
      <c r="DLX48" s="225"/>
      <c r="DLY48" s="225"/>
      <c r="DLZ48" s="225"/>
      <c r="DMA48" s="225"/>
      <c r="DMB48" s="225"/>
      <c r="DMC48" s="225"/>
      <c r="DMD48" s="225"/>
      <c r="DME48" s="225"/>
      <c r="DMF48" s="225"/>
      <c r="DMG48" s="225"/>
      <c r="DMH48" s="225"/>
      <c r="DMI48" s="225"/>
      <c r="DMJ48" s="225"/>
      <c r="DMK48" s="225"/>
      <c r="DML48" s="225"/>
      <c r="DMM48" s="225"/>
      <c r="DMN48" s="225"/>
      <c r="DMO48" s="225"/>
      <c r="DMP48" s="225"/>
      <c r="DMQ48" s="225"/>
      <c r="DMR48" s="225"/>
      <c r="DMS48" s="225"/>
      <c r="DMT48" s="225"/>
      <c r="DMU48" s="225"/>
      <c r="DMV48" s="225"/>
      <c r="DMW48" s="225"/>
      <c r="DMX48" s="225"/>
      <c r="DMY48" s="225"/>
      <c r="DMZ48" s="225"/>
      <c r="DNA48" s="225"/>
      <c r="DNB48" s="225"/>
      <c r="DNC48" s="225"/>
      <c r="DND48" s="225"/>
      <c r="DNE48" s="225"/>
      <c r="DNF48" s="225"/>
      <c r="DNG48" s="225"/>
      <c r="DNH48" s="225"/>
      <c r="DNI48" s="225"/>
      <c r="DNJ48" s="225"/>
      <c r="DNK48" s="225"/>
      <c r="DNL48" s="225"/>
      <c r="DNM48" s="225"/>
      <c r="DNN48" s="225"/>
      <c r="DNO48" s="225"/>
      <c r="DNP48" s="225"/>
      <c r="DNQ48" s="225"/>
      <c r="DNR48" s="225"/>
      <c r="DNS48" s="225"/>
      <c r="DNT48" s="225"/>
      <c r="DNU48" s="225"/>
      <c r="DNV48" s="225"/>
      <c r="DNW48" s="225"/>
      <c r="DNX48" s="225"/>
      <c r="DNY48" s="225"/>
      <c r="DNZ48" s="225"/>
      <c r="DOA48" s="225"/>
      <c r="DOB48" s="225"/>
      <c r="DOC48" s="225"/>
      <c r="DOD48" s="225"/>
      <c r="DOE48" s="225"/>
      <c r="DOF48" s="225"/>
      <c r="DOG48" s="225"/>
      <c r="DOH48" s="225"/>
      <c r="DOI48" s="225"/>
      <c r="DOJ48" s="225"/>
      <c r="DOK48" s="225"/>
      <c r="DOL48" s="225"/>
      <c r="DOM48" s="225"/>
      <c r="DON48" s="225"/>
      <c r="DOO48" s="225"/>
      <c r="DOP48" s="225"/>
      <c r="DOQ48" s="225"/>
      <c r="DOR48" s="225"/>
      <c r="DOS48" s="225"/>
      <c r="DOT48" s="225"/>
      <c r="DOU48" s="225"/>
      <c r="DOV48" s="225"/>
      <c r="DOW48" s="225"/>
      <c r="DOX48" s="225"/>
      <c r="DOY48" s="225"/>
      <c r="DOZ48" s="225"/>
      <c r="DPA48" s="225"/>
      <c r="DPB48" s="225"/>
      <c r="DPC48" s="225"/>
      <c r="DPD48" s="225"/>
      <c r="DPE48" s="225"/>
      <c r="DPF48" s="225"/>
      <c r="DPG48" s="225"/>
      <c r="DPH48" s="225"/>
      <c r="DPI48" s="225"/>
      <c r="DPJ48" s="225"/>
      <c r="DPK48" s="225"/>
      <c r="DPL48" s="225"/>
      <c r="DPM48" s="225"/>
      <c r="DPN48" s="225"/>
      <c r="DPO48" s="225"/>
      <c r="DPP48" s="225"/>
      <c r="DPQ48" s="225"/>
      <c r="DPR48" s="225"/>
      <c r="DPS48" s="225"/>
      <c r="DPT48" s="225"/>
      <c r="DPU48" s="225"/>
      <c r="DPV48" s="225"/>
      <c r="DPW48" s="225"/>
      <c r="DPX48" s="225"/>
      <c r="DPY48" s="225"/>
      <c r="DPZ48" s="225"/>
      <c r="DQA48" s="225"/>
      <c r="DQB48" s="225"/>
      <c r="DQC48" s="225"/>
      <c r="DQD48" s="225"/>
      <c r="DQE48" s="225"/>
      <c r="DQF48" s="225"/>
      <c r="DQG48" s="225"/>
      <c r="DQH48" s="225"/>
      <c r="DQI48" s="225"/>
      <c r="DQJ48" s="225"/>
      <c r="DQK48" s="225"/>
      <c r="DQL48" s="225"/>
      <c r="DQM48" s="225"/>
      <c r="DQN48" s="225"/>
      <c r="DQO48" s="225"/>
      <c r="DQP48" s="225"/>
      <c r="DQQ48" s="225"/>
      <c r="DQR48" s="225"/>
      <c r="DQS48" s="225"/>
      <c r="DQT48" s="225"/>
      <c r="DQU48" s="225"/>
      <c r="DQV48" s="225"/>
      <c r="DQW48" s="225"/>
      <c r="DQX48" s="225"/>
      <c r="DQY48" s="225"/>
      <c r="DQZ48" s="225"/>
      <c r="DRA48" s="225"/>
      <c r="DRB48" s="225"/>
      <c r="DRC48" s="225"/>
      <c r="DRD48" s="225"/>
      <c r="DRE48" s="225"/>
      <c r="DRF48" s="225"/>
      <c r="DRG48" s="225"/>
      <c r="DRH48" s="225"/>
      <c r="DRI48" s="225"/>
      <c r="DRJ48" s="225"/>
      <c r="DRK48" s="225"/>
      <c r="DRL48" s="225"/>
      <c r="DRM48" s="225"/>
      <c r="DRN48" s="225"/>
      <c r="DRO48" s="225"/>
      <c r="DRP48" s="225"/>
      <c r="DRQ48" s="225"/>
      <c r="DRR48" s="225"/>
      <c r="DRS48" s="225"/>
      <c r="DRT48" s="225"/>
      <c r="DRU48" s="225"/>
      <c r="DRV48" s="225"/>
      <c r="DRW48" s="225"/>
      <c r="DRX48" s="225"/>
      <c r="DRY48" s="225"/>
      <c r="DRZ48" s="225"/>
      <c r="DSA48" s="225"/>
      <c r="DSB48" s="225"/>
      <c r="DSC48" s="225"/>
      <c r="DSD48" s="225"/>
      <c r="DSE48" s="225"/>
      <c r="DSF48" s="225"/>
      <c r="DSG48" s="225"/>
      <c r="DSH48" s="225"/>
      <c r="DSI48" s="225"/>
      <c r="DSJ48" s="225"/>
      <c r="DSK48" s="225"/>
      <c r="DSL48" s="225"/>
      <c r="DSM48" s="225"/>
      <c r="DSN48" s="225"/>
      <c r="DSO48" s="225"/>
      <c r="DSP48" s="225"/>
      <c r="DSQ48" s="225"/>
      <c r="DSR48" s="225"/>
      <c r="DSS48" s="225"/>
      <c r="DST48" s="225"/>
      <c r="DSU48" s="225"/>
      <c r="DSV48" s="225"/>
      <c r="DSW48" s="225"/>
      <c r="DSX48" s="225"/>
      <c r="DSY48" s="225"/>
      <c r="DSZ48" s="225"/>
      <c r="DTA48" s="225"/>
      <c r="DTB48" s="225"/>
      <c r="DTC48" s="225"/>
      <c r="DTD48" s="225"/>
      <c r="DTE48" s="225"/>
      <c r="DTF48" s="225"/>
      <c r="DTG48" s="225"/>
      <c r="DTH48" s="225"/>
      <c r="DTI48" s="225"/>
      <c r="DTJ48" s="225"/>
      <c r="DTK48" s="225"/>
      <c r="DTL48" s="225"/>
      <c r="DTM48" s="225"/>
      <c r="DTN48" s="225"/>
      <c r="DTO48" s="225"/>
      <c r="DTP48" s="225"/>
      <c r="DTQ48" s="225"/>
      <c r="DTR48" s="225"/>
      <c r="DTS48" s="225"/>
      <c r="DTT48" s="225"/>
      <c r="DTU48" s="225"/>
      <c r="DTV48" s="225"/>
      <c r="DTW48" s="225"/>
      <c r="DTX48" s="225"/>
      <c r="DTY48" s="225"/>
      <c r="DTZ48" s="225"/>
      <c r="DUA48" s="225"/>
      <c r="DUB48" s="225"/>
      <c r="DUC48" s="225"/>
      <c r="DUD48" s="225"/>
      <c r="DUE48" s="225"/>
      <c r="DUF48" s="225"/>
      <c r="DUG48" s="225"/>
      <c r="DUH48" s="225"/>
      <c r="DUI48" s="225"/>
      <c r="DUJ48" s="225"/>
      <c r="DUK48" s="225"/>
      <c r="DUL48" s="225"/>
      <c r="DUM48" s="225"/>
      <c r="DUN48" s="225"/>
      <c r="DUO48" s="225"/>
      <c r="DUP48" s="225"/>
      <c r="DUQ48" s="225"/>
      <c r="DUR48" s="225"/>
      <c r="DUS48" s="225"/>
      <c r="DUT48" s="225"/>
      <c r="DUU48" s="225"/>
      <c r="DUV48" s="225"/>
      <c r="DUW48" s="225"/>
      <c r="DUX48" s="225"/>
      <c r="DUY48" s="225"/>
      <c r="DUZ48" s="225"/>
      <c r="DVA48" s="225"/>
      <c r="DVB48" s="225"/>
      <c r="DVC48" s="225"/>
      <c r="DVD48" s="225"/>
      <c r="DVE48" s="225"/>
      <c r="DVF48" s="225"/>
      <c r="DVG48" s="225"/>
      <c r="DVH48" s="225"/>
      <c r="DVI48" s="225"/>
      <c r="DVJ48" s="225"/>
      <c r="DVK48" s="225"/>
      <c r="DVL48" s="225"/>
      <c r="DVM48" s="225"/>
      <c r="DVN48" s="225"/>
      <c r="DVO48" s="225"/>
      <c r="DVP48" s="225"/>
      <c r="DVQ48" s="225"/>
      <c r="DVR48" s="225"/>
      <c r="DVS48" s="225"/>
      <c r="DVT48" s="225"/>
      <c r="DVU48" s="225"/>
      <c r="DVV48" s="225"/>
      <c r="DVW48" s="225"/>
      <c r="DVX48" s="225"/>
      <c r="DVY48" s="225"/>
      <c r="DVZ48" s="225"/>
      <c r="DWA48" s="225"/>
      <c r="DWB48" s="225"/>
      <c r="DWC48" s="225"/>
      <c r="DWD48" s="225"/>
      <c r="DWE48" s="225"/>
      <c r="DWF48" s="225"/>
      <c r="DWG48" s="225"/>
      <c r="DWH48" s="225"/>
      <c r="DWI48" s="225"/>
      <c r="DWJ48" s="225"/>
      <c r="DWK48" s="225"/>
      <c r="DWL48" s="225"/>
      <c r="DWM48" s="225"/>
      <c r="DWN48" s="225"/>
      <c r="DWO48" s="225"/>
      <c r="DWP48" s="225"/>
      <c r="DWQ48" s="225"/>
      <c r="DWR48" s="225"/>
      <c r="DWS48" s="225"/>
      <c r="DWT48" s="225"/>
      <c r="DWU48" s="225"/>
      <c r="DWV48" s="225"/>
      <c r="DWW48" s="225"/>
      <c r="DWX48" s="225"/>
      <c r="DWY48" s="225"/>
      <c r="DWZ48" s="225"/>
      <c r="DXA48" s="225"/>
      <c r="DXB48" s="225"/>
      <c r="DXC48" s="225"/>
      <c r="DXD48" s="225"/>
      <c r="DXE48" s="225"/>
      <c r="DXF48" s="225"/>
      <c r="DXG48" s="225"/>
      <c r="DXH48" s="225"/>
      <c r="DXI48" s="225"/>
      <c r="DXJ48" s="225"/>
      <c r="DXK48" s="225"/>
      <c r="DXL48" s="225"/>
      <c r="DXM48" s="225"/>
      <c r="DXN48" s="225"/>
      <c r="DXO48" s="225"/>
      <c r="DXP48" s="225"/>
      <c r="DXQ48" s="225"/>
      <c r="DXR48" s="225"/>
      <c r="DXS48" s="225"/>
      <c r="DXT48" s="225"/>
      <c r="DXU48" s="225"/>
      <c r="DXV48" s="225"/>
      <c r="DXW48" s="225"/>
      <c r="DXX48" s="225"/>
      <c r="DXY48" s="225"/>
      <c r="DXZ48" s="225"/>
      <c r="DYA48" s="225"/>
      <c r="DYB48" s="225"/>
      <c r="DYC48" s="225"/>
      <c r="DYD48" s="225"/>
      <c r="DYE48" s="225"/>
      <c r="DYF48" s="225"/>
      <c r="DYG48" s="225"/>
      <c r="DYH48" s="225"/>
      <c r="DYI48" s="225"/>
      <c r="DYJ48" s="225"/>
      <c r="DYK48" s="225"/>
      <c r="DYL48" s="225"/>
      <c r="DYM48" s="225"/>
      <c r="DYN48" s="225"/>
      <c r="DYO48" s="225"/>
      <c r="DYP48" s="225"/>
      <c r="DYQ48" s="225"/>
      <c r="DYR48" s="225"/>
      <c r="DYS48" s="225"/>
      <c r="DYT48" s="225"/>
      <c r="DYU48" s="225"/>
      <c r="DYV48" s="225"/>
      <c r="DYW48" s="225"/>
      <c r="DYX48" s="225"/>
      <c r="DYY48" s="225"/>
      <c r="DYZ48" s="225"/>
      <c r="DZA48" s="225"/>
      <c r="DZB48" s="225"/>
      <c r="DZC48" s="225"/>
      <c r="DZD48" s="225"/>
      <c r="DZE48" s="225"/>
      <c r="DZF48" s="225"/>
      <c r="DZG48" s="225"/>
      <c r="DZH48" s="225"/>
      <c r="DZI48" s="225"/>
      <c r="DZJ48" s="225"/>
      <c r="DZK48" s="225"/>
      <c r="DZL48" s="225"/>
      <c r="DZM48" s="225"/>
      <c r="DZN48" s="225"/>
      <c r="DZO48" s="225"/>
      <c r="DZP48" s="225"/>
      <c r="DZQ48" s="225"/>
      <c r="DZR48" s="225"/>
      <c r="DZS48" s="225"/>
      <c r="DZT48" s="225"/>
      <c r="DZU48" s="225"/>
      <c r="DZV48" s="225"/>
      <c r="DZW48" s="225"/>
      <c r="DZX48" s="225"/>
      <c r="DZY48" s="225"/>
      <c r="DZZ48" s="225"/>
      <c r="EAA48" s="225"/>
      <c r="EAB48" s="225"/>
      <c r="EAC48" s="225"/>
      <c r="EAD48" s="225"/>
      <c r="EAE48" s="225"/>
      <c r="EAF48" s="225"/>
      <c r="EAG48" s="225"/>
      <c r="EAH48" s="225"/>
      <c r="EAI48" s="225"/>
      <c r="EAJ48" s="225"/>
      <c r="EAK48" s="225"/>
      <c r="EAL48" s="225"/>
      <c r="EAM48" s="225"/>
      <c r="EAN48" s="225"/>
      <c r="EAO48" s="225"/>
      <c r="EAP48" s="225"/>
      <c r="EAQ48" s="225"/>
      <c r="EAR48" s="225"/>
      <c r="EAS48" s="225"/>
      <c r="EAT48" s="225"/>
      <c r="EAU48" s="225"/>
      <c r="EAV48" s="225"/>
      <c r="EAW48" s="225"/>
      <c r="EAX48" s="225"/>
      <c r="EAY48" s="225"/>
      <c r="EAZ48" s="225"/>
      <c r="EBA48" s="225"/>
      <c r="EBB48" s="225"/>
      <c r="EBC48" s="225"/>
      <c r="EBD48" s="225"/>
      <c r="EBE48" s="225"/>
      <c r="EBF48" s="225"/>
      <c r="EBG48" s="225"/>
      <c r="EBH48" s="225"/>
      <c r="EBI48" s="225"/>
      <c r="EBJ48" s="225"/>
      <c r="EBK48" s="225"/>
      <c r="EBL48" s="225"/>
      <c r="EBM48" s="225"/>
      <c r="EBN48" s="225"/>
      <c r="EBO48" s="225"/>
      <c r="EBP48" s="225"/>
      <c r="EBQ48" s="225"/>
      <c r="EBR48" s="225"/>
      <c r="EBS48" s="225"/>
      <c r="EBT48" s="225"/>
      <c r="EBU48" s="225"/>
      <c r="EBV48" s="225"/>
      <c r="EBW48" s="225"/>
      <c r="EBX48" s="225"/>
      <c r="EBY48" s="225"/>
      <c r="EBZ48" s="225"/>
      <c r="ECA48" s="225"/>
      <c r="ECB48" s="225"/>
      <c r="ECC48" s="225"/>
      <c r="ECD48" s="225"/>
      <c r="ECE48" s="225"/>
      <c r="ECF48" s="225"/>
      <c r="ECG48" s="225"/>
      <c r="ECH48" s="225"/>
      <c r="ECI48" s="225"/>
      <c r="ECJ48" s="225"/>
      <c r="ECK48" s="225"/>
      <c r="ECL48" s="225"/>
      <c r="ECM48" s="225"/>
      <c r="ECN48" s="225"/>
      <c r="ECO48" s="225"/>
      <c r="ECP48" s="225"/>
      <c r="ECQ48" s="225"/>
      <c r="ECR48" s="225"/>
      <c r="ECS48" s="225"/>
      <c r="ECT48" s="225"/>
      <c r="ECU48" s="225"/>
      <c r="ECV48" s="225"/>
      <c r="ECW48" s="225"/>
      <c r="ECX48" s="225"/>
      <c r="ECY48" s="225"/>
      <c r="ECZ48" s="225"/>
      <c r="EDA48" s="225"/>
      <c r="EDB48" s="225"/>
      <c r="EDC48" s="225"/>
      <c r="EDD48" s="225"/>
      <c r="EDE48" s="225"/>
      <c r="EDF48" s="225"/>
      <c r="EDG48" s="225"/>
      <c r="EDH48" s="225"/>
      <c r="EDI48" s="225"/>
      <c r="EDJ48" s="225"/>
      <c r="EDK48" s="225"/>
      <c r="EDL48" s="225"/>
      <c r="EDM48" s="225"/>
      <c r="EDN48" s="225"/>
      <c r="EDO48" s="225"/>
      <c r="EDP48" s="225"/>
      <c r="EDQ48" s="225"/>
      <c r="EDR48" s="225"/>
      <c r="EDS48" s="225"/>
      <c r="EDT48" s="225"/>
      <c r="EDU48" s="225"/>
      <c r="EDV48" s="225"/>
      <c r="EDW48" s="225"/>
      <c r="EDX48" s="225"/>
      <c r="EDY48" s="225"/>
      <c r="EDZ48" s="225"/>
      <c r="EEA48" s="225"/>
      <c r="EEB48" s="225"/>
      <c r="EEC48" s="225"/>
      <c r="EED48" s="225"/>
      <c r="EEE48" s="225"/>
      <c r="EEF48" s="225"/>
      <c r="EEG48" s="225"/>
      <c r="EEH48" s="225"/>
      <c r="EEI48" s="225"/>
      <c r="EEJ48" s="225"/>
      <c r="EEK48" s="225"/>
      <c r="EEL48" s="225"/>
      <c r="EEM48" s="225"/>
      <c r="EEN48" s="225"/>
      <c r="EEO48" s="225"/>
      <c r="EEP48" s="225"/>
      <c r="EEQ48" s="225"/>
      <c r="EER48" s="225"/>
      <c r="EES48" s="225"/>
      <c r="EET48" s="225"/>
      <c r="EEU48" s="225"/>
      <c r="EEV48" s="225"/>
      <c r="EEW48" s="225"/>
      <c r="EEX48" s="225"/>
      <c r="EEY48" s="225"/>
      <c r="EEZ48" s="225"/>
      <c r="EFA48" s="225"/>
      <c r="EFB48" s="225"/>
      <c r="EFC48" s="225"/>
      <c r="EFD48" s="225"/>
      <c r="EFE48" s="225"/>
      <c r="EFF48" s="225"/>
      <c r="EFG48" s="225"/>
      <c r="EFH48" s="225"/>
      <c r="EFI48" s="225"/>
      <c r="EFJ48" s="225"/>
      <c r="EFK48" s="225"/>
      <c r="EFL48" s="225"/>
      <c r="EFM48" s="225"/>
      <c r="EFN48" s="225"/>
      <c r="EFO48" s="225"/>
      <c r="EFP48" s="225"/>
      <c r="EFQ48" s="225"/>
      <c r="EFR48" s="225"/>
      <c r="EFS48" s="225"/>
      <c r="EFT48" s="225"/>
      <c r="EFU48" s="225"/>
      <c r="EFV48" s="225"/>
      <c r="EFW48" s="225"/>
      <c r="EFX48" s="225"/>
      <c r="EFY48" s="225"/>
      <c r="EFZ48" s="225"/>
      <c r="EGA48" s="225"/>
      <c r="EGB48" s="225"/>
      <c r="EGC48" s="225"/>
      <c r="EGD48" s="225"/>
      <c r="EGE48" s="225"/>
      <c r="EGF48" s="225"/>
      <c r="EGG48" s="225"/>
      <c r="EGH48" s="225"/>
      <c r="EGI48" s="225"/>
      <c r="EGJ48" s="225"/>
      <c r="EGK48" s="225"/>
      <c r="EGL48" s="225"/>
      <c r="EGM48" s="225"/>
      <c r="EGN48" s="225"/>
      <c r="EGO48" s="225"/>
      <c r="EGP48" s="225"/>
      <c r="EGQ48" s="225"/>
      <c r="EGR48" s="225"/>
      <c r="EGS48" s="225"/>
      <c r="EGT48" s="225"/>
      <c r="EGU48" s="225"/>
      <c r="EGV48" s="225"/>
      <c r="EGW48" s="225"/>
      <c r="EGX48" s="225"/>
      <c r="EGY48" s="225"/>
      <c r="EGZ48" s="225"/>
      <c r="EHA48" s="225"/>
      <c r="EHB48" s="225"/>
      <c r="EHC48" s="225"/>
      <c r="EHD48" s="225"/>
      <c r="EHE48" s="225"/>
      <c r="EHF48" s="225"/>
      <c r="EHG48" s="225"/>
      <c r="EHH48" s="225"/>
      <c r="EHI48" s="225"/>
      <c r="EHJ48" s="225"/>
      <c r="EHK48" s="225"/>
      <c r="EHL48" s="225"/>
      <c r="EHM48" s="225"/>
      <c r="EHN48" s="225"/>
      <c r="EHO48" s="225"/>
      <c r="EHP48" s="225"/>
      <c r="EHQ48" s="225"/>
      <c r="EHR48" s="225"/>
      <c r="EHS48" s="225"/>
      <c r="EHT48" s="225"/>
      <c r="EHU48" s="225"/>
      <c r="EHV48" s="225"/>
      <c r="EHW48" s="225"/>
      <c r="EHX48" s="225"/>
      <c r="EHY48" s="225"/>
      <c r="EHZ48" s="225"/>
      <c r="EIA48" s="225"/>
      <c r="EIB48" s="225"/>
      <c r="EIC48" s="225"/>
      <c r="EID48" s="225"/>
      <c r="EIE48" s="225"/>
      <c r="EIF48" s="225"/>
      <c r="EIG48" s="225"/>
      <c r="EIH48" s="225"/>
      <c r="EII48" s="225"/>
      <c r="EIJ48" s="225"/>
      <c r="EIK48" s="225"/>
      <c r="EIL48" s="225"/>
      <c r="EIM48" s="225"/>
      <c r="EIN48" s="225"/>
      <c r="EIO48" s="225"/>
      <c r="EIP48" s="225"/>
      <c r="EIQ48" s="225"/>
      <c r="EIR48" s="225"/>
      <c r="EIS48" s="225"/>
      <c r="EIT48" s="225"/>
      <c r="EIU48" s="225"/>
      <c r="EIV48" s="225"/>
      <c r="EIW48" s="225"/>
      <c r="EIX48" s="225"/>
      <c r="EIY48" s="225"/>
      <c r="EIZ48" s="225"/>
      <c r="EJA48" s="225"/>
      <c r="EJB48" s="225"/>
      <c r="EJC48" s="225"/>
      <c r="EJD48" s="225"/>
      <c r="EJE48" s="225"/>
      <c r="EJF48" s="225"/>
      <c r="EJG48" s="225"/>
      <c r="EJH48" s="225"/>
      <c r="EJI48" s="225"/>
      <c r="EJJ48" s="225"/>
      <c r="EJK48" s="225"/>
      <c r="EJL48" s="225"/>
      <c r="EJM48" s="225"/>
      <c r="EJN48" s="225"/>
      <c r="EJO48" s="225"/>
      <c r="EJP48" s="225"/>
      <c r="EJQ48" s="225"/>
      <c r="EJR48" s="225"/>
      <c r="EJS48" s="225"/>
      <c r="EJT48" s="225"/>
      <c r="EJU48" s="225"/>
      <c r="EJV48" s="225"/>
      <c r="EJW48" s="225"/>
      <c r="EJX48" s="225"/>
      <c r="EJY48" s="225"/>
      <c r="EJZ48" s="225"/>
      <c r="EKA48" s="225"/>
      <c r="EKB48" s="225"/>
      <c r="EKC48" s="225"/>
      <c r="EKD48" s="225"/>
      <c r="EKE48" s="225"/>
      <c r="EKF48" s="225"/>
      <c r="EKG48" s="225"/>
      <c r="EKH48" s="225"/>
      <c r="EKI48" s="225"/>
      <c r="EKJ48" s="225"/>
      <c r="EKK48" s="225"/>
      <c r="EKL48" s="225"/>
      <c r="EKM48" s="225"/>
      <c r="EKN48" s="225"/>
      <c r="EKO48" s="225"/>
      <c r="EKP48" s="225"/>
      <c r="EKQ48" s="225"/>
      <c r="EKR48" s="225"/>
      <c r="EKS48" s="225"/>
      <c r="EKT48" s="225"/>
      <c r="EKU48" s="225"/>
      <c r="EKV48" s="225"/>
      <c r="EKW48" s="225"/>
      <c r="EKX48" s="225"/>
      <c r="EKY48" s="225"/>
      <c r="EKZ48" s="225"/>
      <c r="ELA48" s="225"/>
      <c r="ELB48" s="225"/>
      <c r="ELC48" s="225"/>
      <c r="ELD48" s="225"/>
      <c r="ELE48" s="225"/>
      <c r="ELF48" s="225"/>
      <c r="ELG48" s="225"/>
      <c r="ELH48" s="225"/>
      <c r="ELI48" s="225"/>
      <c r="ELJ48" s="225"/>
      <c r="ELK48" s="225"/>
      <c r="ELL48" s="225"/>
      <c r="ELM48" s="225"/>
      <c r="ELN48" s="225"/>
      <c r="ELO48" s="225"/>
      <c r="ELP48" s="225"/>
      <c r="ELQ48" s="225"/>
      <c r="ELR48" s="225"/>
      <c r="ELS48" s="225"/>
      <c r="ELT48" s="225"/>
      <c r="ELU48" s="225"/>
      <c r="ELV48" s="225"/>
      <c r="ELW48" s="225"/>
      <c r="ELX48" s="225"/>
      <c r="ELY48" s="225"/>
      <c r="ELZ48" s="225"/>
      <c r="EMA48" s="225"/>
      <c r="EMB48" s="225"/>
      <c r="EMC48" s="225"/>
      <c r="EMD48" s="225"/>
      <c r="EME48" s="225"/>
      <c r="EMF48" s="225"/>
      <c r="EMG48" s="225"/>
      <c r="EMH48" s="225"/>
      <c r="EMI48" s="225"/>
      <c r="EMJ48" s="225"/>
      <c r="EMK48" s="225"/>
      <c r="EML48" s="225"/>
      <c r="EMM48" s="225"/>
      <c r="EMN48" s="225"/>
      <c r="EMO48" s="225"/>
      <c r="EMP48" s="225"/>
      <c r="EMQ48" s="225"/>
      <c r="EMR48" s="225"/>
      <c r="EMS48" s="225"/>
      <c r="EMT48" s="225"/>
      <c r="EMU48" s="225"/>
      <c r="EMV48" s="225"/>
      <c r="EMW48" s="225"/>
      <c r="EMX48" s="225"/>
      <c r="EMY48" s="225"/>
      <c r="EMZ48" s="225"/>
      <c r="ENA48" s="225"/>
      <c r="ENB48" s="225"/>
      <c r="ENC48" s="225"/>
      <c r="END48" s="225"/>
      <c r="ENE48" s="225"/>
      <c r="ENF48" s="225"/>
      <c r="ENG48" s="225"/>
      <c r="ENH48" s="225"/>
      <c r="ENI48" s="225"/>
      <c r="ENJ48" s="225"/>
      <c r="ENK48" s="225"/>
      <c r="ENL48" s="225"/>
      <c r="ENM48" s="225"/>
      <c r="ENN48" s="225"/>
      <c r="ENO48" s="225"/>
      <c r="ENP48" s="225"/>
      <c r="ENQ48" s="225"/>
      <c r="ENR48" s="225"/>
      <c r="ENS48" s="225"/>
      <c r="ENT48" s="225"/>
      <c r="ENU48" s="225"/>
      <c r="ENV48" s="225"/>
      <c r="ENW48" s="225"/>
      <c r="ENX48" s="225"/>
      <c r="ENY48" s="225"/>
      <c r="ENZ48" s="225"/>
      <c r="EOA48" s="225"/>
      <c r="EOB48" s="225"/>
      <c r="EOC48" s="225"/>
      <c r="EOD48" s="225"/>
      <c r="EOE48" s="225"/>
      <c r="EOF48" s="225"/>
      <c r="EOG48" s="225"/>
      <c r="EOH48" s="225"/>
      <c r="EOI48" s="225"/>
      <c r="EOJ48" s="225"/>
      <c r="EOK48" s="225"/>
      <c r="EOL48" s="225"/>
      <c r="EOM48" s="225"/>
      <c r="EON48" s="225"/>
      <c r="EOO48" s="225"/>
      <c r="EOP48" s="225"/>
      <c r="EOQ48" s="225"/>
      <c r="EOR48" s="225"/>
      <c r="EOS48" s="225"/>
      <c r="EOT48" s="225"/>
      <c r="EOU48" s="225"/>
      <c r="EOV48" s="225"/>
      <c r="EOW48" s="225"/>
      <c r="EOX48" s="225"/>
      <c r="EOY48" s="225"/>
      <c r="EOZ48" s="225"/>
      <c r="EPA48" s="225"/>
      <c r="EPB48" s="225"/>
      <c r="EPC48" s="225"/>
      <c r="EPD48" s="225"/>
      <c r="EPE48" s="225"/>
      <c r="EPF48" s="225"/>
      <c r="EPG48" s="225"/>
      <c r="EPH48" s="225"/>
      <c r="EPI48" s="225"/>
      <c r="EPJ48" s="225"/>
      <c r="EPK48" s="225"/>
      <c r="EPL48" s="225"/>
      <c r="EPM48" s="225"/>
      <c r="EPN48" s="225"/>
      <c r="EPO48" s="225"/>
      <c r="EPP48" s="225"/>
      <c r="EPQ48" s="225"/>
      <c r="EPR48" s="225"/>
      <c r="EPS48" s="225"/>
      <c r="EPT48" s="225"/>
      <c r="EPU48" s="225"/>
      <c r="EPV48" s="225"/>
      <c r="EPW48" s="225"/>
      <c r="EPX48" s="225"/>
      <c r="EPY48" s="225"/>
      <c r="EPZ48" s="225"/>
      <c r="EQA48" s="225"/>
      <c r="EQB48" s="225"/>
      <c r="EQC48" s="225"/>
      <c r="EQD48" s="225"/>
      <c r="EQE48" s="225"/>
      <c r="EQF48" s="225"/>
      <c r="EQG48" s="225"/>
      <c r="EQH48" s="225"/>
      <c r="EQI48" s="225"/>
      <c r="EQJ48" s="225"/>
      <c r="EQK48" s="225"/>
      <c r="EQL48" s="225"/>
      <c r="EQM48" s="225"/>
      <c r="EQN48" s="225"/>
      <c r="EQO48" s="225"/>
      <c r="EQP48" s="225"/>
      <c r="EQQ48" s="225"/>
      <c r="EQR48" s="225"/>
      <c r="EQS48" s="225"/>
      <c r="EQT48" s="225"/>
      <c r="EQU48" s="225"/>
      <c r="EQV48" s="225"/>
      <c r="EQW48" s="225"/>
      <c r="EQX48" s="225"/>
      <c r="EQY48" s="225"/>
      <c r="EQZ48" s="225"/>
      <c r="ERA48" s="225"/>
      <c r="ERB48" s="225"/>
      <c r="ERC48" s="225"/>
      <c r="ERD48" s="225"/>
      <c r="ERE48" s="225"/>
      <c r="ERF48" s="225"/>
      <c r="ERG48" s="225"/>
      <c r="ERH48" s="225"/>
      <c r="ERI48" s="225"/>
      <c r="ERJ48" s="225"/>
      <c r="ERK48" s="225"/>
      <c r="ERL48" s="225"/>
      <c r="ERM48" s="225"/>
      <c r="ERN48" s="225"/>
      <c r="ERO48" s="225"/>
      <c r="ERP48" s="225"/>
      <c r="ERQ48" s="225"/>
      <c r="ERR48" s="225"/>
      <c r="ERS48" s="225"/>
      <c r="ERT48" s="225"/>
      <c r="ERU48" s="225"/>
      <c r="ERV48" s="225"/>
      <c r="ERW48" s="225"/>
      <c r="ERX48" s="225"/>
      <c r="ERY48" s="225"/>
      <c r="ERZ48" s="225"/>
      <c r="ESA48" s="225"/>
      <c r="ESB48" s="225"/>
      <c r="ESC48" s="225"/>
      <c r="ESD48" s="225"/>
      <c r="ESE48" s="225"/>
      <c r="ESF48" s="225"/>
      <c r="ESG48" s="225"/>
      <c r="ESH48" s="225"/>
      <c r="ESI48" s="225"/>
      <c r="ESJ48" s="225"/>
      <c r="ESK48" s="225"/>
      <c r="ESL48" s="225"/>
      <c r="ESM48" s="225"/>
      <c r="ESN48" s="225"/>
      <c r="ESO48" s="225"/>
      <c r="ESP48" s="225"/>
      <c r="ESQ48" s="225"/>
      <c r="ESR48" s="225"/>
      <c r="ESS48" s="225"/>
      <c r="EST48" s="225"/>
      <c r="ESU48" s="225"/>
      <c r="ESV48" s="225"/>
      <c r="ESW48" s="225"/>
      <c r="ESX48" s="225"/>
      <c r="ESY48" s="225"/>
      <c r="ESZ48" s="225"/>
      <c r="ETA48" s="225"/>
      <c r="ETB48" s="225"/>
      <c r="ETC48" s="225"/>
      <c r="ETD48" s="225"/>
      <c r="ETE48" s="225"/>
      <c r="ETF48" s="225"/>
      <c r="ETG48" s="225"/>
      <c r="ETH48" s="225"/>
      <c r="ETI48" s="225"/>
      <c r="ETJ48" s="225"/>
      <c r="ETK48" s="225"/>
      <c r="ETL48" s="225"/>
      <c r="ETM48" s="225"/>
      <c r="ETN48" s="225"/>
      <c r="ETO48" s="225"/>
      <c r="ETP48" s="225"/>
      <c r="ETQ48" s="225"/>
      <c r="ETR48" s="225"/>
      <c r="ETS48" s="225"/>
      <c r="ETT48" s="225"/>
      <c r="ETU48" s="225"/>
      <c r="ETV48" s="225"/>
      <c r="ETW48" s="225"/>
      <c r="ETX48" s="225"/>
      <c r="ETY48" s="225"/>
      <c r="ETZ48" s="225"/>
      <c r="EUA48" s="225"/>
      <c r="EUB48" s="225"/>
      <c r="EUC48" s="225"/>
      <c r="EUD48" s="225"/>
      <c r="EUE48" s="225"/>
      <c r="EUF48" s="225"/>
      <c r="EUG48" s="225"/>
      <c r="EUH48" s="225"/>
      <c r="EUI48" s="225"/>
      <c r="EUJ48" s="225"/>
      <c r="EUK48" s="225"/>
      <c r="EUL48" s="225"/>
      <c r="EUM48" s="225"/>
      <c r="EUN48" s="225"/>
      <c r="EUO48" s="225"/>
      <c r="EUP48" s="225"/>
      <c r="EUQ48" s="225"/>
      <c r="EUR48" s="225"/>
      <c r="EUS48" s="225"/>
      <c r="EUT48" s="225"/>
      <c r="EUU48" s="225"/>
      <c r="EUV48" s="225"/>
      <c r="EUW48" s="225"/>
      <c r="EUX48" s="225"/>
      <c r="EUY48" s="225"/>
      <c r="EUZ48" s="225"/>
      <c r="EVA48" s="225"/>
      <c r="EVB48" s="225"/>
      <c r="EVC48" s="225"/>
      <c r="EVD48" s="225"/>
      <c r="EVE48" s="225"/>
      <c r="EVF48" s="225"/>
      <c r="EVG48" s="225"/>
      <c r="EVH48" s="225"/>
      <c r="EVI48" s="225"/>
      <c r="EVJ48" s="225"/>
      <c r="EVK48" s="225"/>
      <c r="EVL48" s="225"/>
      <c r="EVM48" s="225"/>
      <c r="EVN48" s="225"/>
      <c r="EVO48" s="225"/>
      <c r="EVP48" s="225"/>
      <c r="EVQ48" s="225"/>
      <c r="EVR48" s="225"/>
      <c r="EVS48" s="225"/>
      <c r="EVT48" s="225"/>
      <c r="EVU48" s="225"/>
      <c r="EVV48" s="225"/>
      <c r="EVW48" s="225"/>
      <c r="EVX48" s="225"/>
      <c r="EVY48" s="225"/>
      <c r="EVZ48" s="225"/>
      <c r="EWA48" s="225"/>
      <c r="EWB48" s="225"/>
      <c r="EWC48" s="225"/>
      <c r="EWD48" s="225"/>
      <c r="EWE48" s="225"/>
      <c r="EWF48" s="225"/>
      <c r="EWG48" s="225"/>
      <c r="EWH48" s="225"/>
      <c r="EWI48" s="225"/>
      <c r="EWJ48" s="225"/>
      <c r="EWK48" s="225"/>
      <c r="EWL48" s="225"/>
      <c r="EWM48" s="225"/>
      <c r="EWN48" s="225"/>
      <c r="EWO48" s="225"/>
      <c r="EWP48" s="225"/>
      <c r="EWQ48" s="225"/>
      <c r="EWR48" s="225"/>
      <c r="EWS48" s="225"/>
      <c r="EWT48" s="225"/>
      <c r="EWU48" s="225"/>
      <c r="EWV48" s="225"/>
      <c r="EWW48" s="225"/>
      <c r="EWX48" s="225"/>
      <c r="EWY48" s="225"/>
      <c r="EWZ48" s="225"/>
      <c r="EXA48" s="225"/>
      <c r="EXB48" s="225"/>
      <c r="EXC48" s="225"/>
      <c r="EXD48" s="225"/>
      <c r="EXE48" s="225"/>
      <c r="EXF48" s="225"/>
      <c r="EXG48" s="225"/>
      <c r="EXH48" s="225"/>
      <c r="EXI48" s="225"/>
      <c r="EXJ48" s="225"/>
      <c r="EXK48" s="225"/>
      <c r="EXL48" s="225"/>
      <c r="EXM48" s="225"/>
      <c r="EXN48" s="225"/>
      <c r="EXO48" s="225"/>
      <c r="EXP48" s="225"/>
      <c r="EXQ48" s="225"/>
      <c r="EXR48" s="225"/>
      <c r="EXS48" s="225"/>
      <c r="EXT48" s="225"/>
      <c r="EXU48" s="225"/>
      <c r="EXV48" s="225"/>
      <c r="EXW48" s="225"/>
      <c r="EXX48" s="225"/>
      <c r="EXY48" s="225"/>
      <c r="EXZ48" s="225"/>
      <c r="EYA48" s="225"/>
      <c r="EYB48" s="225"/>
      <c r="EYC48" s="225"/>
      <c r="EYD48" s="225"/>
      <c r="EYE48" s="225"/>
      <c r="EYF48" s="225"/>
      <c r="EYG48" s="225"/>
      <c r="EYH48" s="225"/>
      <c r="EYI48" s="225"/>
      <c r="EYJ48" s="225"/>
      <c r="EYK48" s="225"/>
      <c r="EYL48" s="225"/>
      <c r="EYM48" s="225"/>
      <c r="EYN48" s="225"/>
      <c r="EYO48" s="225"/>
      <c r="EYP48" s="225"/>
      <c r="EYQ48" s="225"/>
      <c r="EYR48" s="225"/>
      <c r="EYS48" s="225"/>
      <c r="EYT48" s="225"/>
      <c r="EYU48" s="225"/>
      <c r="EYV48" s="225"/>
      <c r="EYW48" s="225"/>
      <c r="EYX48" s="225"/>
      <c r="EYY48" s="225"/>
      <c r="EYZ48" s="225"/>
      <c r="EZA48" s="225"/>
      <c r="EZB48" s="225"/>
      <c r="EZC48" s="225"/>
      <c r="EZD48" s="225"/>
      <c r="EZE48" s="225"/>
      <c r="EZF48" s="225"/>
      <c r="EZG48" s="225"/>
      <c r="EZH48" s="225"/>
      <c r="EZI48" s="225"/>
      <c r="EZJ48" s="225"/>
      <c r="EZK48" s="225"/>
      <c r="EZL48" s="225"/>
      <c r="EZM48" s="225"/>
      <c r="EZN48" s="225"/>
      <c r="EZO48" s="225"/>
      <c r="EZP48" s="225"/>
      <c r="EZQ48" s="225"/>
      <c r="EZR48" s="225"/>
      <c r="EZS48" s="225"/>
      <c r="EZT48" s="225"/>
      <c r="EZU48" s="225"/>
      <c r="EZV48" s="225"/>
      <c r="EZW48" s="225"/>
      <c r="EZX48" s="225"/>
      <c r="EZY48" s="225"/>
      <c r="EZZ48" s="225"/>
      <c r="FAA48" s="225"/>
      <c r="FAB48" s="225"/>
      <c r="FAC48" s="225"/>
      <c r="FAD48" s="225"/>
      <c r="FAE48" s="225"/>
      <c r="FAF48" s="225"/>
      <c r="FAG48" s="225"/>
      <c r="FAH48" s="225"/>
      <c r="FAI48" s="225"/>
      <c r="FAJ48" s="225"/>
      <c r="FAK48" s="225"/>
      <c r="FAL48" s="225"/>
      <c r="FAM48" s="225"/>
      <c r="FAN48" s="225"/>
      <c r="FAO48" s="225"/>
      <c r="FAP48" s="225"/>
      <c r="FAQ48" s="225"/>
      <c r="FAR48" s="225"/>
      <c r="FAS48" s="225"/>
      <c r="FAT48" s="225"/>
      <c r="FAU48" s="225"/>
      <c r="FAV48" s="225"/>
      <c r="FAW48" s="225"/>
      <c r="FAX48" s="225"/>
      <c r="FAY48" s="225"/>
      <c r="FAZ48" s="225"/>
      <c r="FBA48" s="225"/>
      <c r="FBB48" s="225"/>
      <c r="FBC48" s="225"/>
      <c r="FBD48" s="225"/>
      <c r="FBE48" s="225"/>
      <c r="FBF48" s="225"/>
      <c r="FBG48" s="225"/>
      <c r="FBH48" s="225"/>
      <c r="FBI48" s="225"/>
      <c r="FBJ48" s="225"/>
      <c r="FBK48" s="225"/>
      <c r="FBL48" s="225"/>
      <c r="FBM48" s="225"/>
      <c r="FBN48" s="225"/>
      <c r="FBO48" s="225"/>
      <c r="FBP48" s="225"/>
      <c r="FBQ48" s="225"/>
      <c r="FBR48" s="225"/>
      <c r="FBS48" s="225"/>
      <c r="FBT48" s="225"/>
      <c r="FBU48" s="225"/>
      <c r="FBV48" s="225"/>
      <c r="FBW48" s="225"/>
      <c r="FBX48" s="225"/>
      <c r="FBY48" s="225"/>
      <c r="FBZ48" s="225"/>
      <c r="FCA48" s="225"/>
      <c r="FCB48" s="225"/>
      <c r="FCC48" s="225"/>
      <c r="FCD48" s="225"/>
      <c r="FCE48" s="225"/>
      <c r="FCF48" s="225"/>
      <c r="FCG48" s="225"/>
      <c r="FCH48" s="225"/>
      <c r="FCI48" s="225"/>
      <c r="FCJ48" s="225"/>
      <c r="FCK48" s="225"/>
      <c r="FCL48" s="225"/>
      <c r="FCM48" s="225"/>
      <c r="FCN48" s="225"/>
      <c r="FCO48" s="225"/>
      <c r="FCP48" s="225"/>
      <c r="FCQ48" s="225"/>
      <c r="FCR48" s="225"/>
      <c r="FCS48" s="225"/>
      <c r="FCT48" s="225"/>
      <c r="FCU48" s="225"/>
      <c r="FCV48" s="225"/>
      <c r="FCW48" s="225"/>
      <c r="FCX48" s="225"/>
      <c r="FCY48" s="225"/>
      <c r="FCZ48" s="225"/>
      <c r="FDA48" s="225"/>
      <c r="FDB48" s="225"/>
      <c r="FDC48" s="225"/>
      <c r="FDD48" s="225"/>
      <c r="FDE48" s="225"/>
      <c r="FDF48" s="225"/>
      <c r="FDG48" s="225"/>
      <c r="FDH48" s="225"/>
      <c r="FDI48" s="225"/>
      <c r="FDJ48" s="225"/>
      <c r="FDK48" s="225"/>
      <c r="FDL48" s="225"/>
      <c r="FDM48" s="225"/>
      <c r="FDN48" s="225"/>
      <c r="FDO48" s="225"/>
      <c r="FDP48" s="225"/>
      <c r="FDQ48" s="225"/>
      <c r="FDR48" s="225"/>
      <c r="FDS48" s="225"/>
      <c r="FDT48" s="225"/>
      <c r="FDU48" s="225"/>
      <c r="FDV48" s="225"/>
      <c r="FDW48" s="225"/>
      <c r="FDX48" s="225"/>
      <c r="FDY48" s="225"/>
      <c r="FDZ48" s="225"/>
      <c r="FEA48" s="225"/>
      <c r="FEB48" s="225"/>
      <c r="FEC48" s="225"/>
      <c r="FED48" s="225"/>
      <c r="FEE48" s="225"/>
      <c r="FEF48" s="225"/>
      <c r="FEG48" s="225"/>
      <c r="FEH48" s="225"/>
      <c r="FEI48" s="225"/>
      <c r="FEJ48" s="225"/>
      <c r="FEK48" s="225"/>
      <c r="FEL48" s="225"/>
      <c r="FEM48" s="225"/>
      <c r="FEN48" s="225"/>
      <c r="FEO48" s="225"/>
      <c r="FEP48" s="225"/>
      <c r="FEQ48" s="225"/>
      <c r="FER48" s="225"/>
      <c r="FES48" s="225"/>
      <c r="FET48" s="225"/>
      <c r="FEU48" s="225"/>
      <c r="FEV48" s="225"/>
      <c r="FEW48" s="225"/>
      <c r="FEX48" s="225"/>
      <c r="FEY48" s="225"/>
      <c r="FEZ48" s="225"/>
      <c r="FFA48" s="225"/>
      <c r="FFB48" s="225"/>
      <c r="FFC48" s="225"/>
      <c r="FFD48" s="225"/>
      <c r="FFE48" s="225"/>
      <c r="FFF48" s="225"/>
      <c r="FFG48" s="225"/>
      <c r="FFH48" s="225"/>
      <c r="FFI48" s="225"/>
      <c r="FFJ48" s="225"/>
      <c r="FFK48" s="225"/>
      <c r="FFL48" s="225"/>
      <c r="FFM48" s="225"/>
      <c r="FFN48" s="225"/>
      <c r="FFO48" s="225"/>
      <c r="FFP48" s="225"/>
      <c r="FFQ48" s="225"/>
      <c r="FFR48" s="225"/>
      <c r="FFS48" s="225"/>
      <c r="FFT48" s="225"/>
      <c r="FFU48" s="225"/>
      <c r="FFV48" s="225"/>
      <c r="FFW48" s="225"/>
      <c r="FFX48" s="225"/>
      <c r="FFY48" s="225"/>
      <c r="FFZ48" s="225"/>
      <c r="FGA48" s="225"/>
      <c r="FGB48" s="225"/>
      <c r="FGC48" s="225"/>
      <c r="FGD48" s="225"/>
      <c r="FGE48" s="225"/>
      <c r="FGF48" s="225"/>
      <c r="FGG48" s="225"/>
      <c r="FGH48" s="225"/>
      <c r="FGI48" s="225"/>
      <c r="FGJ48" s="225"/>
      <c r="FGK48" s="225"/>
      <c r="FGL48" s="225"/>
      <c r="FGM48" s="225"/>
      <c r="FGN48" s="225"/>
      <c r="FGO48" s="225"/>
      <c r="FGP48" s="225"/>
      <c r="FGQ48" s="225"/>
      <c r="FGR48" s="225"/>
      <c r="FGS48" s="225"/>
      <c r="FGT48" s="225"/>
      <c r="FGU48" s="225"/>
      <c r="FGV48" s="225"/>
      <c r="FGW48" s="225"/>
      <c r="FGX48" s="225"/>
      <c r="FGY48" s="225"/>
      <c r="FGZ48" s="225"/>
      <c r="FHA48" s="225"/>
      <c r="FHB48" s="225"/>
      <c r="FHC48" s="225"/>
      <c r="FHD48" s="225"/>
      <c r="FHE48" s="225"/>
      <c r="FHF48" s="225"/>
      <c r="FHG48" s="225"/>
      <c r="FHH48" s="225"/>
      <c r="FHI48" s="225"/>
      <c r="FHJ48" s="225"/>
      <c r="FHK48" s="225"/>
      <c r="FHL48" s="225"/>
      <c r="FHM48" s="225"/>
      <c r="FHN48" s="225"/>
      <c r="FHO48" s="225"/>
      <c r="FHP48" s="225"/>
      <c r="FHQ48" s="225"/>
      <c r="FHR48" s="225"/>
      <c r="FHS48" s="225"/>
      <c r="FHT48" s="225"/>
      <c r="FHU48" s="225"/>
      <c r="FHV48" s="225"/>
      <c r="FHW48" s="225"/>
      <c r="FHX48" s="225"/>
      <c r="FHY48" s="225"/>
      <c r="FHZ48" s="225"/>
      <c r="FIA48" s="225"/>
      <c r="FIB48" s="225"/>
      <c r="FIC48" s="225"/>
      <c r="FID48" s="225"/>
      <c r="FIE48" s="225"/>
      <c r="FIF48" s="225"/>
      <c r="FIG48" s="225"/>
      <c r="FIH48" s="225"/>
      <c r="FII48" s="225"/>
      <c r="FIJ48" s="225"/>
      <c r="FIK48" s="225"/>
      <c r="FIL48" s="225"/>
      <c r="FIM48" s="225"/>
      <c r="FIN48" s="225"/>
      <c r="FIO48" s="225"/>
      <c r="FIP48" s="225"/>
      <c r="FIQ48" s="225"/>
      <c r="FIR48" s="225"/>
      <c r="FIS48" s="225"/>
      <c r="FIT48" s="225"/>
      <c r="FIU48" s="225"/>
      <c r="FIV48" s="225"/>
      <c r="FIW48" s="225"/>
      <c r="FIX48" s="225"/>
      <c r="FIY48" s="225"/>
      <c r="FIZ48" s="225"/>
      <c r="FJA48" s="225"/>
      <c r="FJB48" s="225"/>
      <c r="FJC48" s="225"/>
      <c r="FJD48" s="225"/>
      <c r="FJE48" s="225"/>
      <c r="FJF48" s="225"/>
      <c r="FJG48" s="225"/>
      <c r="FJH48" s="225"/>
      <c r="FJI48" s="225"/>
      <c r="FJJ48" s="225"/>
      <c r="FJK48" s="225"/>
      <c r="FJL48" s="225"/>
      <c r="FJM48" s="225"/>
      <c r="FJN48" s="225"/>
      <c r="FJO48" s="225"/>
      <c r="FJP48" s="225"/>
      <c r="FJQ48" s="225"/>
      <c r="FJR48" s="225"/>
      <c r="FJS48" s="225"/>
      <c r="FJT48" s="225"/>
      <c r="FJU48" s="225"/>
      <c r="FJV48" s="225"/>
      <c r="FJW48" s="225"/>
      <c r="FJX48" s="225"/>
      <c r="FJY48" s="225"/>
      <c r="FJZ48" s="225"/>
      <c r="FKA48" s="225"/>
      <c r="FKB48" s="225"/>
      <c r="FKC48" s="225"/>
      <c r="FKD48" s="225"/>
      <c r="FKE48" s="225"/>
      <c r="FKF48" s="225"/>
      <c r="FKG48" s="225"/>
      <c r="FKH48" s="225"/>
      <c r="FKI48" s="225"/>
      <c r="FKJ48" s="225"/>
      <c r="FKK48" s="225"/>
      <c r="FKL48" s="225"/>
      <c r="FKM48" s="225"/>
      <c r="FKN48" s="225"/>
      <c r="FKO48" s="225"/>
      <c r="FKP48" s="225"/>
      <c r="FKQ48" s="225"/>
      <c r="FKR48" s="225"/>
      <c r="FKS48" s="225"/>
      <c r="FKT48" s="225"/>
      <c r="FKU48" s="225"/>
      <c r="FKV48" s="225"/>
      <c r="FKW48" s="225"/>
      <c r="FKX48" s="225"/>
      <c r="FKY48" s="225"/>
      <c r="FKZ48" s="225"/>
      <c r="FLA48" s="225"/>
      <c r="FLB48" s="225"/>
      <c r="FLC48" s="225"/>
      <c r="FLD48" s="225"/>
      <c r="FLE48" s="225"/>
      <c r="FLF48" s="225"/>
      <c r="FLG48" s="225"/>
      <c r="FLH48" s="225"/>
      <c r="FLI48" s="225"/>
      <c r="FLJ48" s="225"/>
      <c r="FLK48" s="225"/>
      <c r="FLL48" s="225"/>
      <c r="FLM48" s="225"/>
      <c r="FLN48" s="225"/>
      <c r="FLO48" s="225"/>
      <c r="FLP48" s="225"/>
      <c r="FLQ48" s="225"/>
      <c r="FLR48" s="225"/>
      <c r="FLS48" s="225"/>
      <c r="FLT48" s="225"/>
      <c r="FLU48" s="225"/>
      <c r="FLV48" s="225"/>
      <c r="FLW48" s="225"/>
      <c r="FLX48" s="225"/>
      <c r="FLY48" s="225"/>
      <c r="FLZ48" s="225"/>
      <c r="FMA48" s="225"/>
      <c r="FMB48" s="225"/>
      <c r="FMC48" s="225"/>
      <c r="FMD48" s="225"/>
      <c r="FME48" s="225"/>
      <c r="FMF48" s="225"/>
      <c r="FMG48" s="225"/>
      <c r="FMH48" s="225"/>
      <c r="FMI48" s="225"/>
      <c r="FMJ48" s="225"/>
      <c r="FMK48" s="225"/>
      <c r="FML48" s="225"/>
      <c r="FMM48" s="225"/>
      <c r="FMN48" s="225"/>
      <c r="FMO48" s="225"/>
      <c r="FMP48" s="225"/>
      <c r="FMQ48" s="225"/>
      <c r="FMR48" s="225"/>
      <c r="FMS48" s="225"/>
      <c r="FMT48" s="225"/>
      <c r="FMU48" s="225"/>
      <c r="FMV48" s="225"/>
      <c r="FMW48" s="225"/>
      <c r="FMX48" s="225"/>
      <c r="FMY48" s="225"/>
      <c r="FMZ48" s="225"/>
      <c r="FNA48" s="225"/>
      <c r="FNB48" s="225"/>
      <c r="FNC48" s="225"/>
      <c r="FND48" s="225"/>
      <c r="FNE48" s="225"/>
      <c r="FNF48" s="225"/>
      <c r="FNG48" s="225"/>
      <c r="FNH48" s="225"/>
      <c r="FNI48" s="225"/>
      <c r="FNJ48" s="225"/>
      <c r="FNK48" s="225"/>
      <c r="FNL48" s="225"/>
      <c r="FNM48" s="225"/>
      <c r="FNN48" s="225"/>
      <c r="FNO48" s="225"/>
      <c r="FNP48" s="225"/>
      <c r="FNQ48" s="225"/>
      <c r="FNR48" s="225"/>
      <c r="FNS48" s="225"/>
      <c r="FNT48" s="225"/>
      <c r="FNU48" s="225"/>
      <c r="FNV48" s="225"/>
      <c r="FNW48" s="225"/>
      <c r="FNX48" s="225"/>
      <c r="FNY48" s="225"/>
      <c r="FNZ48" s="225"/>
      <c r="FOA48" s="225"/>
      <c r="FOB48" s="225"/>
      <c r="FOC48" s="225"/>
      <c r="FOD48" s="225"/>
      <c r="FOE48" s="225"/>
      <c r="FOF48" s="225"/>
      <c r="FOG48" s="225"/>
      <c r="FOH48" s="225"/>
      <c r="FOI48" s="225"/>
      <c r="FOJ48" s="225"/>
      <c r="FOK48" s="225"/>
      <c r="FOL48" s="225"/>
      <c r="FOM48" s="225"/>
      <c r="FON48" s="225"/>
      <c r="FOO48" s="225"/>
      <c r="FOP48" s="225"/>
      <c r="FOQ48" s="225"/>
      <c r="FOR48" s="225"/>
      <c r="FOS48" s="225"/>
      <c r="FOT48" s="225"/>
      <c r="FOU48" s="225"/>
      <c r="FOV48" s="225"/>
      <c r="FOW48" s="225"/>
      <c r="FOX48" s="225"/>
      <c r="FOY48" s="225"/>
      <c r="FOZ48" s="225"/>
      <c r="FPA48" s="225"/>
      <c r="FPB48" s="225"/>
      <c r="FPC48" s="225"/>
      <c r="FPD48" s="225"/>
      <c r="FPE48" s="225"/>
      <c r="FPF48" s="225"/>
      <c r="FPG48" s="225"/>
      <c r="FPH48" s="225"/>
      <c r="FPI48" s="225"/>
      <c r="FPJ48" s="225"/>
      <c r="FPK48" s="225"/>
      <c r="FPL48" s="225"/>
      <c r="FPM48" s="225"/>
      <c r="FPN48" s="225"/>
      <c r="FPO48" s="225"/>
      <c r="FPP48" s="225"/>
      <c r="FPQ48" s="225"/>
      <c r="FPR48" s="225"/>
      <c r="FPS48" s="225"/>
      <c r="FPT48" s="225"/>
      <c r="FPU48" s="225"/>
      <c r="FPV48" s="225"/>
      <c r="FPW48" s="225"/>
      <c r="FPX48" s="225"/>
      <c r="FPY48" s="225"/>
      <c r="FPZ48" s="225"/>
      <c r="FQA48" s="225"/>
      <c r="FQB48" s="225"/>
      <c r="FQC48" s="225"/>
      <c r="FQD48" s="225"/>
      <c r="FQE48" s="225"/>
      <c r="FQF48" s="225"/>
      <c r="FQG48" s="225"/>
      <c r="FQH48" s="225"/>
      <c r="FQI48" s="225"/>
      <c r="FQJ48" s="225"/>
      <c r="FQK48" s="225"/>
      <c r="FQL48" s="225"/>
      <c r="FQM48" s="225"/>
      <c r="FQN48" s="225"/>
      <c r="FQO48" s="225"/>
      <c r="FQP48" s="225"/>
      <c r="FQQ48" s="225"/>
      <c r="FQR48" s="225"/>
      <c r="FQS48" s="225"/>
      <c r="FQT48" s="225"/>
      <c r="FQU48" s="225"/>
      <c r="FQV48" s="225"/>
      <c r="FQW48" s="225"/>
      <c r="FQX48" s="225"/>
      <c r="FQY48" s="225"/>
      <c r="FQZ48" s="225"/>
      <c r="FRA48" s="225"/>
      <c r="FRB48" s="225"/>
      <c r="FRC48" s="225"/>
      <c r="FRD48" s="225"/>
      <c r="FRE48" s="225"/>
      <c r="FRF48" s="225"/>
      <c r="FRG48" s="225"/>
      <c r="FRH48" s="225"/>
      <c r="FRI48" s="225"/>
      <c r="FRJ48" s="225"/>
      <c r="FRK48" s="225"/>
      <c r="FRL48" s="225"/>
      <c r="FRM48" s="225"/>
      <c r="FRN48" s="225"/>
      <c r="FRO48" s="225"/>
      <c r="FRP48" s="225"/>
      <c r="FRQ48" s="225"/>
      <c r="FRR48" s="225"/>
      <c r="FRS48" s="225"/>
      <c r="FRT48" s="225"/>
      <c r="FRU48" s="225"/>
      <c r="FRV48" s="225"/>
      <c r="FRW48" s="225"/>
      <c r="FRX48" s="225"/>
      <c r="FRY48" s="225"/>
      <c r="FRZ48" s="225"/>
      <c r="FSA48" s="225"/>
      <c r="FSB48" s="225"/>
      <c r="FSC48" s="225"/>
      <c r="FSD48" s="225"/>
      <c r="FSE48" s="225"/>
      <c r="FSF48" s="225"/>
      <c r="FSG48" s="225"/>
      <c r="FSH48" s="225"/>
      <c r="FSI48" s="225"/>
      <c r="FSJ48" s="225"/>
      <c r="FSK48" s="225"/>
      <c r="FSL48" s="225"/>
      <c r="FSM48" s="225"/>
      <c r="FSN48" s="225"/>
      <c r="FSO48" s="225"/>
      <c r="FSP48" s="225"/>
      <c r="FSQ48" s="225"/>
      <c r="FSR48" s="225"/>
      <c r="FSS48" s="225"/>
      <c r="FST48" s="225"/>
      <c r="FSU48" s="225"/>
      <c r="FSV48" s="225"/>
      <c r="FSW48" s="225"/>
      <c r="FSX48" s="225"/>
      <c r="FSY48" s="225"/>
      <c r="FSZ48" s="225"/>
      <c r="FTA48" s="225"/>
      <c r="FTB48" s="225"/>
      <c r="FTC48" s="225"/>
      <c r="FTD48" s="225"/>
      <c r="FTE48" s="225"/>
      <c r="FTF48" s="225"/>
      <c r="FTG48" s="225"/>
      <c r="FTH48" s="225"/>
      <c r="FTI48" s="225"/>
      <c r="FTJ48" s="225"/>
      <c r="FTK48" s="225"/>
      <c r="FTL48" s="225"/>
      <c r="FTM48" s="225"/>
      <c r="FTN48" s="225"/>
      <c r="FTO48" s="225"/>
      <c r="FTP48" s="225"/>
      <c r="FTQ48" s="225"/>
      <c r="FTR48" s="225"/>
      <c r="FTS48" s="225"/>
      <c r="FTT48" s="225"/>
      <c r="FTU48" s="225"/>
      <c r="FTV48" s="225"/>
      <c r="FTW48" s="225"/>
      <c r="FTX48" s="225"/>
      <c r="FTY48" s="225"/>
      <c r="FTZ48" s="225"/>
      <c r="FUA48" s="225"/>
      <c r="FUB48" s="225"/>
      <c r="FUC48" s="225"/>
      <c r="FUD48" s="225"/>
      <c r="FUE48" s="225"/>
      <c r="FUF48" s="225"/>
      <c r="FUG48" s="225"/>
      <c r="FUH48" s="225"/>
      <c r="FUI48" s="225"/>
      <c r="FUJ48" s="225"/>
      <c r="FUK48" s="225"/>
      <c r="FUL48" s="225"/>
      <c r="FUM48" s="225"/>
      <c r="FUN48" s="225"/>
      <c r="FUO48" s="225"/>
      <c r="FUP48" s="225"/>
      <c r="FUQ48" s="225"/>
      <c r="FUR48" s="225"/>
      <c r="FUS48" s="225"/>
      <c r="FUT48" s="225"/>
      <c r="FUU48" s="225"/>
      <c r="FUV48" s="225"/>
      <c r="FUW48" s="225"/>
      <c r="FUX48" s="225"/>
      <c r="FUY48" s="225"/>
      <c r="FUZ48" s="225"/>
      <c r="FVA48" s="225"/>
      <c r="FVB48" s="225"/>
      <c r="FVC48" s="225"/>
      <c r="FVD48" s="225"/>
      <c r="FVE48" s="225"/>
      <c r="FVF48" s="225"/>
      <c r="FVG48" s="225"/>
      <c r="FVH48" s="225"/>
      <c r="FVI48" s="225"/>
      <c r="FVJ48" s="225"/>
      <c r="FVK48" s="225"/>
      <c r="FVL48" s="225"/>
      <c r="FVM48" s="225"/>
      <c r="FVN48" s="225"/>
      <c r="FVO48" s="225"/>
      <c r="FVP48" s="225"/>
      <c r="FVQ48" s="225"/>
      <c r="FVR48" s="225"/>
      <c r="FVS48" s="225"/>
      <c r="FVT48" s="225"/>
      <c r="FVU48" s="225"/>
      <c r="FVV48" s="225"/>
      <c r="FVW48" s="225"/>
      <c r="FVX48" s="225"/>
      <c r="FVY48" s="225"/>
      <c r="FVZ48" s="225"/>
      <c r="FWA48" s="225"/>
      <c r="FWB48" s="225"/>
      <c r="FWC48" s="225"/>
      <c r="FWD48" s="225"/>
      <c r="FWE48" s="225"/>
      <c r="FWF48" s="225"/>
      <c r="FWG48" s="225"/>
      <c r="FWH48" s="225"/>
      <c r="FWI48" s="225"/>
      <c r="FWJ48" s="225"/>
      <c r="FWK48" s="225"/>
      <c r="FWL48" s="225"/>
      <c r="FWM48" s="225"/>
      <c r="FWN48" s="225"/>
      <c r="FWO48" s="225"/>
      <c r="FWP48" s="225"/>
      <c r="FWQ48" s="225"/>
      <c r="FWR48" s="225"/>
      <c r="FWS48" s="225"/>
      <c r="FWT48" s="225"/>
      <c r="FWU48" s="225"/>
      <c r="FWV48" s="225"/>
      <c r="FWW48" s="225"/>
      <c r="FWX48" s="225"/>
      <c r="FWY48" s="225"/>
      <c r="FWZ48" s="225"/>
      <c r="FXA48" s="225"/>
      <c r="FXB48" s="225"/>
      <c r="FXC48" s="225"/>
      <c r="FXD48" s="225"/>
      <c r="FXE48" s="225"/>
      <c r="FXF48" s="225"/>
      <c r="FXG48" s="225"/>
      <c r="FXH48" s="225"/>
      <c r="FXI48" s="225"/>
      <c r="FXJ48" s="225"/>
      <c r="FXK48" s="225"/>
      <c r="FXL48" s="225"/>
      <c r="FXM48" s="225"/>
      <c r="FXN48" s="225"/>
      <c r="FXO48" s="225"/>
      <c r="FXP48" s="225"/>
      <c r="FXQ48" s="225"/>
      <c r="FXR48" s="225"/>
      <c r="FXS48" s="225"/>
      <c r="FXT48" s="225"/>
      <c r="FXU48" s="225"/>
      <c r="FXV48" s="225"/>
      <c r="FXW48" s="225"/>
      <c r="FXX48" s="225"/>
      <c r="FXY48" s="225"/>
      <c r="FXZ48" s="225"/>
      <c r="FYA48" s="225"/>
      <c r="FYB48" s="225"/>
      <c r="FYC48" s="225"/>
      <c r="FYD48" s="225"/>
      <c r="FYE48" s="225"/>
      <c r="FYF48" s="225"/>
      <c r="FYG48" s="225"/>
      <c r="FYH48" s="225"/>
      <c r="FYI48" s="225"/>
      <c r="FYJ48" s="225"/>
      <c r="FYK48" s="225"/>
      <c r="FYL48" s="225"/>
      <c r="FYM48" s="225"/>
      <c r="FYN48" s="225"/>
      <c r="FYO48" s="225"/>
      <c r="FYP48" s="225"/>
      <c r="FYQ48" s="225"/>
      <c r="FYR48" s="225"/>
      <c r="FYS48" s="225"/>
      <c r="FYT48" s="225"/>
      <c r="FYU48" s="225"/>
      <c r="FYV48" s="225"/>
      <c r="FYW48" s="225"/>
      <c r="FYX48" s="225"/>
      <c r="FYY48" s="225"/>
      <c r="FYZ48" s="225"/>
      <c r="FZA48" s="225"/>
      <c r="FZB48" s="225"/>
      <c r="FZC48" s="225"/>
      <c r="FZD48" s="225"/>
      <c r="FZE48" s="225"/>
      <c r="FZF48" s="225"/>
      <c r="FZG48" s="225"/>
      <c r="FZH48" s="225"/>
      <c r="FZI48" s="225"/>
      <c r="FZJ48" s="225"/>
      <c r="FZK48" s="225"/>
      <c r="FZL48" s="225"/>
      <c r="FZM48" s="225"/>
      <c r="FZN48" s="225"/>
      <c r="FZO48" s="225"/>
      <c r="FZP48" s="225"/>
      <c r="FZQ48" s="225"/>
      <c r="FZR48" s="225"/>
      <c r="FZS48" s="225"/>
      <c r="FZT48" s="225"/>
      <c r="FZU48" s="225"/>
      <c r="FZV48" s="225"/>
      <c r="FZW48" s="225"/>
      <c r="FZX48" s="225"/>
      <c r="FZY48" s="225"/>
      <c r="FZZ48" s="225"/>
      <c r="GAA48" s="225"/>
      <c r="GAB48" s="225"/>
      <c r="GAC48" s="225"/>
      <c r="GAD48" s="225"/>
      <c r="GAE48" s="225"/>
      <c r="GAF48" s="225"/>
      <c r="GAG48" s="225"/>
      <c r="GAH48" s="225"/>
      <c r="GAI48" s="225"/>
      <c r="GAJ48" s="225"/>
      <c r="GAK48" s="225"/>
      <c r="GAL48" s="225"/>
      <c r="GAM48" s="225"/>
      <c r="GAN48" s="225"/>
      <c r="GAO48" s="225"/>
      <c r="GAP48" s="225"/>
      <c r="GAQ48" s="225"/>
      <c r="GAR48" s="225"/>
      <c r="GAS48" s="225"/>
      <c r="GAT48" s="225"/>
      <c r="GAU48" s="225"/>
      <c r="GAV48" s="225"/>
      <c r="GAW48" s="225"/>
      <c r="GAX48" s="225"/>
      <c r="GAY48" s="225"/>
      <c r="GAZ48" s="225"/>
      <c r="GBA48" s="225"/>
      <c r="GBB48" s="225"/>
      <c r="GBC48" s="225"/>
      <c r="GBD48" s="225"/>
      <c r="GBE48" s="225"/>
      <c r="GBF48" s="225"/>
      <c r="GBG48" s="225"/>
      <c r="GBH48" s="225"/>
      <c r="GBI48" s="225"/>
      <c r="GBJ48" s="225"/>
      <c r="GBK48" s="225"/>
      <c r="GBL48" s="225"/>
      <c r="GBM48" s="225"/>
      <c r="GBN48" s="225"/>
      <c r="GBO48" s="225"/>
      <c r="GBP48" s="225"/>
      <c r="GBQ48" s="225"/>
      <c r="GBR48" s="225"/>
      <c r="GBS48" s="225"/>
      <c r="GBT48" s="225"/>
      <c r="GBU48" s="225"/>
      <c r="GBV48" s="225"/>
      <c r="GBW48" s="225"/>
      <c r="GBX48" s="225"/>
      <c r="GBY48" s="225"/>
      <c r="GBZ48" s="225"/>
      <c r="GCA48" s="225"/>
      <c r="GCB48" s="225"/>
      <c r="GCC48" s="225"/>
      <c r="GCD48" s="225"/>
      <c r="GCE48" s="225"/>
      <c r="GCF48" s="225"/>
      <c r="GCG48" s="225"/>
      <c r="GCH48" s="225"/>
      <c r="GCI48" s="225"/>
      <c r="GCJ48" s="225"/>
      <c r="GCK48" s="225"/>
      <c r="GCL48" s="225"/>
      <c r="GCM48" s="225"/>
      <c r="GCN48" s="225"/>
      <c r="GCO48" s="225"/>
      <c r="GCP48" s="225"/>
      <c r="GCQ48" s="225"/>
      <c r="GCR48" s="225"/>
      <c r="GCS48" s="225"/>
      <c r="GCT48" s="225"/>
      <c r="GCU48" s="225"/>
      <c r="GCV48" s="225"/>
      <c r="GCW48" s="225"/>
      <c r="GCX48" s="225"/>
      <c r="GCY48" s="225"/>
      <c r="GCZ48" s="225"/>
      <c r="GDA48" s="225"/>
      <c r="GDB48" s="225"/>
      <c r="GDC48" s="225"/>
      <c r="GDD48" s="225"/>
      <c r="GDE48" s="225"/>
      <c r="GDF48" s="225"/>
      <c r="GDG48" s="225"/>
      <c r="GDH48" s="225"/>
      <c r="GDI48" s="225"/>
      <c r="GDJ48" s="225"/>
      <c r="GDK48" s="225"/>
      <c r="GDL48" s="225"/>
      <c r="GDM48" s="225"/>
      <c r="GDN48" s="225"/>
      <c r="GDO48" s="225"/>
      <c r="GDP48" s="225"/>
      <c r="GDQ48" s="225"/>
      <c r="GDR48" s="225"/>
      <c r="GDS48" s="225"/>
      <c r="GDT48" s="225"/>
      <c r="GDU48" s="225"/>
      <c r="GDV48" s="225"/>
      <c r="GDW48" s="225"/>
      <c r="GDX48" s="225"/>
      <c r="GDY48" s="225"/>
      <c r="GDZ48" s="225"/>
      <c r="GEA48" s="225"/>
      <c r="GEB48" s="225"/>
      <c r="GEC48" s="225"/>
      <c r="GED48" s="225"/>
      <c r="GEE48" s="225"/>
      <c r="GEF48" s="225"/>
      <c r="GEG48" s="225"/>
      <c r="GEH48" s="225"/>
      <c r="GEI48" s="225"/>
      <c r="GEJ48" s="225"/>
      <c r="GEK48" s="225"/>
      <c r="GEL48" s="225"/>
      <c r="GEM48" s="225"/>
      <c r="GEN48" s="225"/>
      <c r="GEO48" s="225"/>
      <c r="GEP48" s="225"/>
      <c r="GEQ48" s="225"/>
      <c r="GER48" s="225"/>
      <c r="GES48" s="225"/>
      <c r="GET48" s="225"/>
      <c r="GEU48" s="225"/>
      <c r="GEV48" s="225"/>
      <c r="GEW48" s="225"/>
      <c r="GEX48" s="225"/>
      <c r="GEY48" s="225"/>
      <c r="GEZ48" s="225"/>
      <c r="GFA48" s="225"/>
      <c r="GFB48" s="225"/>
      <c r="GFC48" s="225"/>
      <c r="GFD48" s="225"/>
      <c r="GFE48" s="225"/>
      <c r="GFF48" s="225"/>
      <c r="GFG48" s="225"/>
      <c r="GFH48" s="225"/>
      <c r="GFI48" s="225"/>
      <c r="GFJ48" s="225"/>
      <c r="GFK48" s="225"/>
      <c r="GFL48" s="225"/>
      <c r="GFM48" s="225"/>
      <c r="GFN48" s="225"/>
      <c r="GFO48" s="225"/>
      <c r="GFP48" s="225"/>
      <c r="GFQ48" s="225"/>
      <c r="GFR48" s="225"/>
      <c r="GFS48" s="225"/>
      <c r="GFT48" s="225"/>
      <c r="GFU48" s="225"/>
      <c r="GFV48" s="225"/>
      <c r="GFW48" s="225"/>
      <c r="GFX48" s="225"/>
      <c r="GFY48" s="225"/>
      <c r="GFZ48" s="225"/>
      <c r="GGA48" s="225"/>
      <c r="GGB48" s="225"/>
      <c r="GGC48" s="225"/>
      <c r="GGD48" s="225"/>
      <c r="GGE48" s="225"/>
      <c r="GGF48" s="225"/>
      <c r="GGG48" s="225"/>
      <c r="GGH48" s="225"/>
      <c r="GGI48" s="225"/>
      <c r="GGJ48" s="225"/>
      <c r="GGK48" s="225"/>
      <c r="GGL48" s="225"/>
      <c r="GGM48" s="225"/>
      <c r="GGN48" s="225"/>
      <c r="GGO48" s="225"/>
      <c r="GGP48" s="225"/>
      <c r="GGQ48" s="225"/>
      <c r="GGR48" s="225"/>
      <c r="GGS48" s="225"/>
      <c r="GGT48" s="225"/>
      <c r="GGU48" s="225"/>
      <c r="GGV48" s="225"/>
      <c r="GGW48" s="225"/>
      <c r="GGX48" s="225"/>
      <c r="GGY48" s="225"/>
      <c r="GGZ48" s="225"/>
      <c r="GHA48" s="225"/>
      <c r="GHB48" s="225"/>
      <c r="GHC48" s="225"/>
      <c r="GHD48" s="225"/>
      <c r="GHE48" s="225"/>
      <c r="GHF48" s="225"/>
      <c r="GHG48" s="225"/>
      <c r="GHH48" s="225"/>
      <c r="GHI48" s="225"/>
      <c r="GHJ48" s="225"/>
      <c r="GHK48" s="225"/>
      <c r="GHL48" s="225"/>
      <c r="GHM48" s="225"/>
      <c r="GHN48" s="225"/>
      <c r="GHO48" s="225"/>
      <c r="GHP48" s="225"/>
      <c r="GHQ48" s="225"/>
      <c r="GHR48" s="225"/>
      <c r="GHS48" s="225"/>
      <c r="GHT48" s="225"/>
      <c r="GHU48" s="225"/>
      <c r="GHV48" s="225"/>
      <c r="GHW48" s="225"/>
      <c r="GHX48" s="225"/>
      <c r="GHY48" s="225"/>
      <c r="GHZ48" s="225"/>
      <c r="GIA48" s="225"/>
      <c r="GIB48" s="225"/>
      <c r="GIC48" s="225"/>
      <c r="GID48" s="225"/>
      <c r="GIE48" s="225"/>
      <c r="GIF48" s="225"/>
      <c r="GIG48" s="225"/>
      <c r="GIH48" s="225"/>
      <c r="GII48" s="225"/>
      <c r="GIJ48" s="225"/>
      <c r="GIK48" s="225"/>
      <c r="GIL48" s="225"/>
      <c r="GIM48" s="225"/>
      <c r="GIN48" s="225"/>
      <c r="GIO48" s="225"/>
      <c r="GIP48" s="225"/>
      <c r="GIQ48" s="225"/>
      <c r="GIR48" s="225"/>
      <c r="GIS48" s="225"/>
      <c r="GIT48" s="225"/>
      <c r="GIU48" s="225"/>
      <c r="GIV48" s="225"/>
      <c r="GIW48" s="225"/>
      <c r="GIX48" s="225"/>
      <c r="GIY48" s="225"/>
      <c r="GIZ48" s="225"/>
      <c r="GJA48" s="225"/>
      <c r="GJB48" s="225"/>
      <c r="GJC48" s="225"/>
      <c r="GJD48" s="225"/>
      <c r="GJE48" s="225"/>
      <c r="GJF48" s="225"/>
      <c r="GJG48" s="225"/>
      <c r="GJH48" s="225"/>
      <c r="GJI48" s="225"/>
      <c r="GJJ48" s="225"/>
      <c r="GJK48" s="225"/>
      <c r="GJL48" s="225"/>
      <c r="GJM48" s="225"/>
      <c r="GJN48" s="225"/>
      <c r="GJO48" s="225"/>
      <c r="GJP48" s="225"/>
      <c r="GJQ48" s="225"/>
      <c r="GJR48" s="225"/>
      <c r="GJS48" s="225"/>
      <c r="GJT48" s="225"/>
      <c r="GJU48" s="225"/>
      <c r="GJV48" s="225"/>
      <c r="GJW48" s="225"/>
      <c r="GJX48" s="225"/>
      <c r="GJY48" s="225"/>
      <c r="GJZ48" s="225"/>
      <c r="GKA48" s="225"/>
      <c r="GKB48" s="225"/>
      <c r="GKC48" s="225"/>
      <c r="GKD48" s="225"/>
      <c r="GKE48" s="225"/>
      <c r="GKF48" s="225"/>
      <c r="GKG48" s="225"/>
      <c r="GKH48" s="225"/>
      <c r="GKI48" s="225"/>
      <c r="GKJ48" s="225"/>
      <c r="GKK48" s="225"/>
      <c r="GKL48" s="225"/>
      <c r="GKM48" s="225"/>
      <c r="GKN48" s="225"/>
      <c r="GKO48" s="225"/>
      <c r="GKP48" s="225"/>
      <c r="GKQ48" s="225"/>
      <c r="GKR48" s="225"/>
      <c r="GKS48" s="225"/>
      <c r="GKT48" s="225"/>
      <c r="GKU48" s="225"/>
      <c r="GKV48" s="225"/>
      <c r="GKW48" s="225"/>
      <c r="GKX48" s="225"/>
      <c r="GKY48" s="225"/>
      <c r="GKZ48" s="225"/>
      <c r="GLA48" s="225"/>
      <c r="GLB48" s="225"/>
      <c r="GLC48" s="225"/>
      <c r="GLD48" s="225"/>
      <c r="GLE48" s="225"/>
      <c r="GLF48" s="225"/>
      <c r="GLG48" s="225"/>
      <c r="GLH48" s="225"/>
      <c r="GLI48" s="225"/>
      <c r="GLJ48" s="225"/>
      <c r="GLK48" s="225"/>
      <c r="GLL48" s="225"/>
      <c r="GLM48" s="225"/>
      <c r="GLN48" s="225"/>
      <c r="GLO48" s="225"/>
      <c r="GLP48" s="225"/>
      <c r="GLQ48" s="225"/>
      <c r="GLR48" s="225"/>
      <c r="GLS48" s="225"/>
      <c r="GLT48" s="225"/>
      <c r="GLU48" s="225"/>
      <c r="GLV48" s="225"/>
      <c r="GLW48" s="225"/>
      <c r="GLX48" s="225"/>
      <c r="GLY48" s="225"/>
      <c r="GLZ48" s="225"/>
      <c r="GMA48" s="225"/>
      <c r="GMB48" s="225"/>
      <c r="GMC48" s="225"/>
      <c r="GMD48" s="225"/>
      <c r="GME48" s="225"/>
      <c r="GMF48" s="225"/>
      <c r="GMG48" s="225"/>
      <c r="GMH48" s="225"/>
      <c r="GMI48" s="225"/>
      <c r="GMJ48" s="225"/>
      <c r="GMK48" s="225"/>
      <c r="GML48" s="225"/>
      <c r="GMM48" s="225"/>
      <c r="GMN48" s="225"/>
      <c r="GMO48" s="225"/>
      <c r="GMP48" s="225"/>
      <c r="GMQ48" s="225"/>
      <c r="GMR48" s="225"/>
      <c r="GMS48" s="225"/>
      <c r="GMT48" s="225"/>
      <c r="GMU48" s="225"/>
      <c r="GMV48" s="225"/>
      <c r="GMW48" s="225"/>
      <c r="GMX48" s="225"/>
      <c r="GMY48" s="225"/>
      <c r="GMZ48" s="225"/>
      <c r="GNA48" s="225"/>
      <c r="GNB48" s="225"/>
      <c r="GNC48" s="225"/>
      <c r="GND48" s="225"/>
      <c r="GNE48" s="225"/>
      <c r="GNF48" s="225"/>
      <c r="GNG48" s="225"/>
      <c r="GNH48" s="225"/>
      <c r="GNI48" s="225"/>
      <c r="GNJ48" s="225"/>
      <c r="GNK48" s="225"/>
      <c r="GNL48" s="225"/>
      <c r="GNM48" s="225"/>
      <c r="GNN48" s="225"/>
      <c r="GNO48" s="225"/>
      <c r="GNP48" s="225"/>
      <c r="GNQ48" s="225"/>
      <c r="GNR48" s="225"/>
      <c r="GNS48" s="225"/>
      <c r="GNT48" s="225"/>
      <c r="GNU48" s="225"/>
      <c r="GNV48" s="225"/>
      <c r="GNW48" s="225"/>
      <c r="GNX48" s="225"/>
      <c r="GNY48" s="225"/>
      <c r="GNZ48" s="225"/>
      <c r="GOA48" s="225"/>
      <c r="GOB48" s="225"/>
      <c r="GOC48" s="225"/>
      <c r="GOD48" s="225"/>
      <c r="GOE48" s="225"/>
      <c r="GOF48" s="225"/>
      <c r="GOG48" s="225"/>
      <c r="GOH48" s="225"/>
      <c r="GOI48" s="225"/>
      <c r="GOJ48" s="225"/>
      <c r="GOK48" s="225"/>
      <c r="GOL48" s="225"/>
      <c r="GOM48" s="225"/>
      <c r="GON48" s="225"/>
      <c r="GOO48" s="225"/>
      <c r="GOP48" s="225"/>
      <c r="GOQ48" s="225"/>
      <c r="GOR48" s="225"/>
      <c r="GOS48" s="225"/>
      <c r="GOT48" s="225"/>
      <c r="GOU48" s="225"/>
      <c r="GOV48" s="225"/>
      <c r="GOW48" s="225"/>
      <c r="GOX48" s="225"/>
      <c r="GOY48" s="225"/>
      <c r="GOZ48" s="225"/>
      <c r="GPA48" s="225"/>
      <c r="GPB48" s="225"/>
      <c r="GPC48" s="225"/>
      <c r="GPD48" s="225"/>
      <c r="GPE48" s="225"/>
      <c r="GPF48" s="225"/>
      <c r="GPG48" s="225"/>
      <c r="GPH48" s="225"/>
      <c r="GPI48" s="225"/>
      <c r="GPJ48" s="225"/>
      <c r="GPK48" s="225"/>
      <c r="GPL48" s="225"/>
      <c r="GPM48" s="225"/>
      <c r="GPN48" s="225"/>
      <c r="GPO48" s="225"/>
      <c r="GPP48" s="225"/>
      <c r="GPQ48" s="225"/>
      <c r="GPR48" s="225"/>
      <c r="GPS48" s="225"/>
      <c r="GPT48" s="225"/>
      <c r="GPU48" s="225"/>
      <c r="GPV48" s="225"/>
      <c r="GPW48" s="225"/>
      <c r="GPX48" s="225"/>
      <c r="GPY48" s="225"/>
      <c r="GPZ48" s="225"/>
      <c r="GQA48" s="225"/>
      <c r="GQB48" s="225"/>
      <c r="GQC48" s="225"/>
      <c r="GQD48" s="225"/>
      <c r="GQE48" s="225"/>
      <c r="GQF48" s="225"/>
      <c r="GQG48" s="225"/>
      <c r="GQH48" s="225"/>
      <c r="GQI48" s="225"/>
      <c r="GQJ48" s="225"/>
      <c r="GQK48" s="225"/>
      <c r="GQL48" s="225"/>
      <c r="GQM48" s="225"/>
      <c r="GQN48" s="225"/>
      <c r="GQO48" s="225"/>
      <c r="GQP48" s="225"/>
      <c r="GQQ48" s="225"/>
      <c r="GQR48" s="225"/>
      <c r="GQS48" s="225"/>
      <c r="GQT48" s="225"/>
      <c r="GQU48" s="225"/>
      <c r="GQV48" s="225"/>
      <c r="GQW48" s="225"/>
      <c r="GQX48" s="225"/>
      <c r="GQY48" s="225"/>
      <c r="GQZ48" s="225"/>
      <c r="GRA48" s="225"/>
      <c r="GRB48" s="225"/>
      <c r="GRC48" s="225"/>
      <c r="GRD48" s="225"/>
      <c r="GRE48" s="225"/>
      <c r="GRF48" s="225"/>
      <c r="GRG48" s="225"/>
      <c r="GRH48" s="225"/>
      <c r="GRI48" s="225"/>
      <c r="GRJ48" s="225"/>
      <c r="GRK48" s="225"/>
      <c r="GRL48" s="225"/>
      <c r="GRM48" s="225"/>
      <c r="GRN48" s="225"/>
      <c r="GRO48" s="225"/>
      <c r="GRP48" s="225"/>
      <c r="GRQ48" s="225"/>
      <c r="GRR48" s="225"/>
      <c r="GRS48" s="225"/>
      <c r="GRT48" s="225"/>
      <c r="GRU48" s="225"/>
      <c r="GRV48" s="225"/>
      <c r="GRW48" s="225"/>
      <c r="GRX48" s="225"/>
      <c r="GRY48" s="225"/>
      <c r="GRZ48" s="225"/>
      <c r="GSA48" s="225"/>
      <c r="GSB48" s="225"/>
      <c r="GSC48" s="225"/>
      <c r="GSD48" s="225"/>
      <c r="GSE48" s="225"/>
      <c r="GSF48" s="225"/>
      <c r="GSG48" s="225"/>
      <c r="GSH48" s="225"/>
      <c r="GSI48" s="225"/>
      <c r="GSJ48" s="225"/>
      <c r="GSK48" s="225"/>
      <c r="GSL48" s="225"/>
      <c r="GSM48" s="225"/>
      <c r="GSN48" s="225"/>
      <c r="GSO48" s="225"/>
      <c r="GSP48" s="225"/>
      <c r="GSQ48" s="225"/>
      <c r="GSR48" s="225"/>
      <c r="GSS48" s="225"/>
      <c r="GST48" s="225"/>
      <c r="GSU48" s="225"/>
      <c r="GSV48" s="225"/>
      <c r="GSW48" s="225"/>
      <c r="GSX48" s="225"/>
      <c r="GSY48" s="225"/>
      <c r="GSZ48" s="225"/>
      <c r="GTA48" s="225"/>
      <c r="GTB48" s="225"/>
      <c r="GTC48" s="225"/>
      <c r="GTD48" s="225"/>
      <c r="GTE48" s="225"/>
      <c r="GTF48" s="225"/>
      <c r="GTG48" s="225"/>
      <c r="GTH48" s="225"/>
      <c r="GTI48" s="225"/>
      <c r="GTJ48" s="225"/>
      <c r="GTK48" s="225"/>
      <c r="GTL48" s="225"/>
      <c r="GTM48" s="225"/>
      <c r="GTN48" s="225"/>
      <c r="GTO48" s="225"/>
      <c r="GTP48" s="225"/>
      <c r="GTQ48" s="225"/>
      <c r="GTR48" s="225"/>
      <c r="GTS48" s="225"/>
      <c r="GTT48" s="225"/>
      <c r="GTU48" s="225"/>
      <c r="GTV48" s="225"/>
      <c r="GTW48" s="225"/>
      <c r="GTX48" s="225"/>
      <c r="GTY48" s="225"/>
      <c r="GTZ48" s="225"/>
      <c r="GUA48" s="225"/>
      <c r="GUB48" s="225"/>
      <c r="GUC48" s="225"/>
      <c r="GUD48" s="225"/>
      <c r="GUE48" s="225"/>
      <c r="GUF48" s="225"/>
      <c r="GUG48" s="225"/>
      <c r="GUH48" s="225"/>
      <c r="GUI48" s="225"/>
      <c r="GUJ48" s="225"/>
      <c r="GUK48" s="225"/>
      <c r="GUL48" s="225"/>
      <c r="GUM48" s="225"/>
      <c r="GUN48" s="225"/>
      <c r="GUO48" s="225"/>
      <c r="GUP48" s="225"/>
      <c r="GUQ48" s="225"/>
      <c r="GUR48" s="225"/>
      <c r="GUS48" s="225"/>
      <c r="GUT48" s="225"/>
      <c r="GUU48" s="225"/>
      <c r="GUV48" s="225"/>
      <c r="GUW48" s="225"/>
      <c r="GUX48" s="225"/>
      <c r="GUY48" s="225"/>
      <c r="GUZ48" s="225"/>
      <c r="GVA48" s="225"/>
      <c r="GVB48" s="225"/>
      <c r="GVC48" s="225"/>
      <c r="GVD48" s="225"/>
      <c r="GVE48" s="225"/>
      <c r="GVF48" s="225"/>
      <c r="GVG48" s="225"/>
      <c r="GVH48" s="225"/>
      <c r="GVI48" s="225"/>
      <c r="GVJ48" s="225"/>
      <c r="GVK48" s="225"/>
      <c r="GVL48" s="225"/>
      <c r="GVM48" s="225"/>
      <c r="GVN48" s="225"/>
      <c r="GVO48" s="225"/>
      <c r="GVP48" s="225"/>
      <c r="GVQ48" s="225"/>
      <c r="GVR48" s="225"/>
      <c r="GVS48" s="225"/>
      <c r="GVT48" s="225"/>
      <c r="GVU48" s="225"/>
      <c r="GVV48" s="225"/>
      <c r="GVW48" s="225"/>
      <c r="GVX48" s="225"/>
      <c r="GVY48" s="225"/>
      <c r="GVZ48" s="225"/>
      <c r="GWA48" s="225"/>
      <c r="GWB48" s="225"/>
      <c r="GWC48" s="225"/>
      <c r="GWD48" s="225"/>
      <c r="GWE48" s="225"/>
      <c r="GWF48" s="225"/>
      <c r="GWG48" s="225"/>
      <c r="GWH48" s="225"/>
      <c r="GWI48" s="225"/>
      <c r="GWJ48" s="225"/>
      <c r="GWK48" s="225"/>
      <c r="GWL48" s="225"/>
      <c r="GWM48" s="225"/>
      <c r="GWN48" s="225"/>
      <c r="GWO48" s="225"/>
      <c r="GWP48" s="225"/>
      <c r="GWQ48" s="225"/>
      <c r="GWR48" s="225"/>
      <c r="GWS48" s="225"/>
      <c r="GWT48" s="225"/>
      <c r="GWU48" s="225"/>
      <c r="GWV48" s="225"/>
      <c r="GWW48" s="225"/>
      <c r="GWX48" s="225"/>
      <c r="GWY48" s="225"/>
      <c r="GWZ48" s="225"/>
      <c r="GXA48" s="225"/>
      <c r="GXB48" s="225"/>
      <c r="GXC48" s="225"/>
      <c r="GXD48" s="225"/>
      <c r="GXE48" s="225"/>
      <c r="GXF48" s="225"/>
      <c r="GXG48" s="225"/>
      <c r="GXH48" s="225"/>
      <c r="GXI48" s="225"/>
      <c r="GXJ48" s="225"/>
      <c r="GXK48" s="225"/>
      <c r="GXL48" s="225"/>
      <c r="GXM48" s="225"/>
      <c r="GXN48" s="225"/>
      <c r="GXO48" s="225"/>
      <c r="GXP48" s="225"/>
      <c r="GXQ48" s="225"/>
      <c r="GXR48" s="225"/>
      <c r="GXS48" s="225"/>
      <c r="GXT48" s="225"/>
      <c r="GXU48" s="225"/>
      <c r="GXV48" s="225"/>
      <c r="GXW48" s="225"/>
      <c r="GXX48" s="225"/>
      <c r="GXY48" s="225"/>
      <c r="GXZ48" s="225"/>
      <c r="GYA48" s="225"/>
      <c r="GYB48" s="225"/>
      <c r="GYC48" s="225"/>
      <c r="GYD48" s="225"/>
      <c r="GYE48" s="225"/>
      <c r="GYF48" s="225"/>
      <c r="GYG48" s="225"/>
      <c r="GYH48" s="225"/>
      <c r="GYI48" s="225"/>
      <c r="GYJ48" s="225"/>
      <c r="GYK48" s="225"/>
      <c r="GYL48" s="225"/>
      <c r="GYM48" s="225"/>
      <c r="GYN48" s="225"/>
      <c r="GYO48" s="225"/>
      <c r="GYP48" s="225"/>
      <c r="GYQ48" s="225"/>
      <c r="GYR48" s="225"/>
      <c r="GYS48" s="225"/>
      <c r="GYT48" s="225"/>
      <c r="GYU48" s="225"/>
      <c r="GYV48" s="225"/>
      <c r="GYW48" s="225"/>
      <c r="GYX48" s="225"/>
      <c r="GYY48" s="225"/>
      <c r="GYZ48" s="225"/>
      <c r="GZA48" s="225"/>
      <c r="GZB48" s="225"/>
      <c r="GZC48" s="225"/>
      <c r="GZD48" s="225"/>
      <c r="GZE48" s="225"/>
      <c r="GZF48" s="225"/>
      <c r="GZG48" s="225"/>
      <c r="GZH48" s="225"/>
      <c r="GZI48" s="225"/>
      <c r="GZJ48" s="225"/>
      <c r="GZK48" s="225"/>
      <c r="GZL48" s="225"/>
      <c r="GZM48" s="225"/>
      <c r="GZN48" s="225"/>
      <c r="GZO48" s="225"/>
      <c r="GZP48" s="225"/>
      <c r="GZQ48" s="225"/>
      <c r="GZR48" s="225"/>
      <c r="GZS48" s="225"/>
      <c r="GZT48" s="225"/>
      <c r="GZU48" s="225"/>
      <c r="GZV48" s="225"/>
      <c r="GZW48" s="225"/>
      <c r="GZX48" s="225"/>
      <c r="GZY48" s="225"/>
      <c r="GZZ48" s="225"/>
      <c r="HAA48" s="225"/>
      <c r="HAB48" s="225"/>
      <c r="HAC48" s="225"/>
      <c r="HAD48" s="225"/>
      <c r="HAE48" s="225"/>
      <c r="HAF48" s="225"/>
      <c r="HAG48" s="225"/>
      <c r="HAH48" s="225"/>
      <c r="HAI48" s="225"/>
      <c r="HAJ48" s="225"/>
      <c r="HAK48" s="225"/>
      <c r="HAL48" s="225"/>
      <c r="HAM48" s="225"/>
      <c r="HAN48" s="225"/>
      <c r="HAO48" s="225"/>
      <c r="HAP48" s="225"/>
      <c r="HAQ48" s="225"/>
      <c r="HAR48" s="225"/>
      <c r="HAS48" s="225"/>
      <c r="HAT48" s="225"/>
      <c r="HAU48" s="225"/>
      <c r="HAV48" s="225"/>
      <c r="HAW48" s="225"/>
      <c r="HAX48" s="225"/>
      <c r="HAY48" s="225"/>
      <c r="HAZ48" s="225"/>
      <c r="HBA48" s="225"/>
      <c r="HBB48" s="225"/>
      <c r="HBC48" s="225"/>
      <c r="HBD48" s="225"/>
      <c r="HBE48" s="225"/>
      <c r="HBF48" s="225"/>
      <c r="HBG48" s="225"/>
      <c r="HBH48" s="225"/>
      <c r="HBI48" s="225"/>
      <c r="HBJ48" s="225"/>
      <c r="HBK48" s="225"/>
      <c r="HBL48" s="225"/>
      <c r="HBM48" s="225"/>
      <c r="HBN48" s="225"/>
      <c r="HBO48" s="225"/>
      <c r="HBP48" s="225"/>
      <c r="HBQ48" s="225"/>
      <c r="HBR48" s="225"/>
      <c r="HBS48" s="225"/>
      <c r="HBT48" s="225"/>
      <c r="HBU48" s="225"/>
      <c r="HBV48" s="225"/>
      <c r="HBW48" s="225"/>
      <c r="HBX48" s="225"/>
      <c r="HBY48" s="225"/>
      <c r="HBZ48" s="225"/>
      <c r="HCA48" s="225"/>
      <c r="HCB48" s="225"/>
      <c r="HCC48" s="225"/>
      <c r="HCD48" s="225"/>
      <c r="HCE48" s="225"/>
      <c r="HCF48" s="225"/>
      <c r="HCG48" s="225"/>
      <c r="HCH48" s="225"/>
      <c r="HCI48" s="225"/>
      <c r="HCJ48" s="225"/>
      <c r="HCK48" s="225"/>
      <c r="HCL48" s="225"/>
      <c r="HCM48" s="225"/>
      <c r="HCN48" s="225"/>
      <c r="HCO48" s="225"/>
      <c r="HCP48" s="225"/>
      <c r="HCQ48" s="225"/>
      <c r="HCR48" s="225"/>
      <c r="HCS48" s="225"/>
      <c r="HCT48" s="225"/>
      <c r="HCU48" s="225"/>
      <c r="HCV48" s="225"/>
      <c r="HCW48" s="225"/>
      <c r="HCX48" s="225"/>
      <c r="HCY48" s="225"/>
      <c r="HCZ48" s="225"/>
      <c r="HDA48" s="225"/>
      <c r="HDB48" s="225"/>
      <c r="HDC48" s="225"/>
      <c r="HDD48" s="225"/>
      <c r="HDE48" s="225"/>
      <c r="HDF48" s="225"/>
      <c r="HDG48" s="225"/>
      <c r="HDH48" s="225"/>
      <c r="HDI48" s="225"/>
      <c r="HDJ48" s="225"/>
      <c r="HDK48" s="225"/>
      <c r="HDL48" s="225"/>
      <c r="HDM48" s="225"/>
      <c r="HDN48" s="225"/>
      <c r="HDO48" s="225"/>
      <c r="HDP48" s="225"/>
      <c r="HDQ48" s="225"/>
      <c r="HDR48" s="225"/>
      <c r="HDS48" s="225"/>
      <c r="HDT48" s="225"/>
      <c r="HDU48" s="225"/>
      <c r="HDV48" s="225"/>
      <c r="HDW48" s="225"/>
      <c r="HDX48" s="225"/>
      <c r="HDY48" s="225"/>
      <c r="HDZ48" s="225"/>
      <c r="HEA48" s="225"/>
      <c r="HEB48" s="225"/>
      <c r="HEC48" s="225"/>
      <c r="HED48" s="225"/>
      <c r="HEE48" s="225"/>
      <c r="HEF48" s="225"/>
      <c r="HEG48" s="225"/>
      <c r="HEH48" s="225"/>
      <c r="HEI48" s="225"/>
      <c r="HEJ48" s="225"/>
      <c r="HEK48" s="225"/>
      <c r="HEL48" s="225"/>
      <c r="HEM48" s="225"/>
      <c r="HEN48" s="225"/>
      <c r="HEO48" s="225"/>
      <c r="HEP48" s="225"/>
      <c r="HEQ48" s="225"/>
      <c r="HER48" s="225"/>
      <c r="HES48" s="225"/>
      <c r="HET48" s="225"/>
      <c r="HEU48" s="225"/>
      <c r="HEV48" s="225"/>
      <c r="HEW48" s="225"/>
      <c r="HEX48" s="225"/>
      <c r="HEY48" s="225"/>
      <c r="HEZ48" s="225"/>
      <c r="HFA48" s="225"/>
      <c r="HFB48" s="225"/>
      <c r="HFC48" s="225"/>
      <c r="HFD48" s="225"/>
      <c r="HFE48" s="225"/>
      <c r="HFF48" s="225"/>
      <c r="HFG48" s="225"/>
      <c r="HFH48" s="225"/>
      <c r="HFI48" s="225"/>
      <c r="HFJ48" s="225"/>
      <c r="HFK48" s="225"/>
      <c r="HFL48" s="225"/>
      <c r="HFM48" s="225"/>
      <c r="HFN48" s="225"/>
      <c r="HFO48" s="225"/>
      <c r="HFP48" s="225"/>
      <c r="HFQ48" s="225"/>
      <c r="HFR48" s="225"/>
      <c r="HFS48" s="225"/>
      <c r="HFT48" s="225"/>
      <c r="HFU48" s="225"/>
      <c r="HFV48" s="225"/>
      <c r="HFW48" s="225"/>
      <c r="HFX48" s="225"/>
      <c r="HFY48" s="225"/>
      <c r="HFZ48" s="225"/>
      <c r="HGA48" s="225"/>
      <c r="HGB48" s="225"/>
      <c r="HGC48" s="225"/>
      <c r="HGD48" s="225"/>
      <c r="HGE48" s="225"/>
      <c r="HGF48" s="225"/>
      <c r="HGG48" s="225"/>
      <c r="HGH48" s="225"/>
      <c r="HGI48" s="225"/>
      <c r="HGJ48" s="225"/>
      <c r="HGK48" s="225"/>
      <c r="HGL48" s="225"/>
      <c r="HGM48" s="225"/>
      <c r="HGN48" s="225"/>
      <c r="HGO48" s="225"/>
      <c r="HGP48" s="225"/>
      <c r="HGQ48" s="225"/>
      <c r="HGR48" s="225"/>
      <c r="HGS48" s="225"/>
      <c r="HGT48" s="225"/>
      <c r="HGU48" s="225"/>
      <c r="HGV48" s="225"/>
      <c r="HGW48" s="225"/>
      <c r="HGX48" s="225"/>
      <c r="HGY48" s="225"/>
      <c r="HGZ48" s="225"/>
      <c r="HHA48" s="225"/>
      <c r="HHB48" s="225"/>
      <c r="HHC48" s="225"/>
      <c r="HHD48" s="225"/>
      <c r="HHE48" s="225"/>
      <c r="HHF48" s="225"/>
      <c r="HHG48" s="225"/>
      <c r="HHH48" s="225"/>
      <c r="HHI48" s="225"/>
      <c r="HHJ48" s="225"/>
      <c r="HHK48" s="225"/>
      <c r="HHL48" s="225"/>
      <c r="HHM48" s="225"/>
      <c r="HHN48" s="225"/>
      <c r="HHO48" s="225"/>
      <c r="HHP48" s="225"/>
      <c r="HHQ48" s="225"/>
      <c r="HHR48" s="225"/>
      <c r="HHS48" s="225"/>
      <c r="HHT48" s="225"/>
      <c r="HHU48" s="225"/>
      <c r="HHV48" s="225"/>
      <c r="HHW48" s="225"/>
      <c r="HHX48" s="225"/>
      <c r="HHY48" s="225"/>
      <c r="HHZ48" s="225"/>
      <c r="HIA48" s="225"/>
      <c r="HIB48" s="225"/>
      <c r="HIC48" s="225"/>
      <c r="HID48" s="225"/>
      <c r="HIE48" s="225"/>
      <c r="HIF48" s="225"/>
      <c r="HIG48" s="225"/>
      <c r="HIH48" s="225"/>
      <c r="HII48" s="225"/>
      <c r="HIJ48" s="225"/>
      <c r="HIK48" s="225"/>
      <c r="HIL48" s="225"/>
      <c r="HIM48" s="225"/>
      <c r="HIN48" s="225"/>
      <c r="HIO48" s="225"/>
      <c r="HIP48" s="225"/>
      <c r="HIQ48" s="225"/>
      <c r="HIR48" s="225"/>
      <c r="HIS48" s="225"/>
      <c r="HIT48" s="225"/>
      <c r="HIU48" s="225"/>
      <c r="HIV48" s="225"/>
      <c r="HIW48" s="225"/>
      <c r="HIX48" s="225"/>
      <c r="HIY48" s="225"/>
      <c r="HIZ48" s="225"/>
      <c r="HJA48" s="225"/>
      <c r="HJB48" s="225"/>
      <c r="HJC48" s="225"/>
      <c r="HJD48" s="225"/>
      <c r="HJE48" s="225"/>
      <c r="HJF48" s="225"/>
      <c r="HJG48" s="225"/>
      <c r="HJH48" s="225"/>
      <c r="HJI48" s="225"/>
      <c r="HJJ48" s="225"/>
      <c r="HJK48" s="225"/>
      <c r="HJL48" s="225"/>
      <c r="HJM48" s="225"/>
      <c r="HJN48" s="225"/>
      <c r="HJO48" s="225"/>
      <c r="HJP48" s="225"/>
      <c r="HJQ48" s="225"/>
      <c r="HJR48" s="225"/>
      <c r="HJS48" s="225"/>
      <c r="HJT48" s="225"/>
      <c r="HJU48" s="225"/>
      <c r="HJV48" s="225"/>
      <c r="HJW48" s="225"/>
      <c r="HJX48" s="225"/>
      <c r="HJY48" s="225"/>
      <c r="HJZ48" s="225"/>
      <c r="HKA48" s="225"/>
      <c r="HKB48" s="225"/>
      <c r="HKC48" s="225"/>
      <c r="HKD48" s="225"/>
      <c r="HKE48" s="225"/>
      <c r="HKF48" s="225"/>
      <c r="HKG48" s="225"/>
      <c r="HKH48" s="225"/>
      <c r="HKI48" s="225"/>
      <c r="HKJ48" s="225"/>
      <c r="HKK48" s="225"/>
      <c r="HKL48" s="225"/>
      <c r="HKM48" s="225"/>
      <c r="HKN48" s="225"/>
      <c r="HKO48" s="225"/>
      <c r="HKP48" s="225"/>
      <c r="HKQ48" s="225"/>
      <c r="HKR48" s="225"/>
      <c r="HKS48" s="225"/>
      <c r="HKT48" s="225"/>
      <c r="HKU48" s="225"/>
      <c r="HKV48" s="225"/>
      <c r="HKW48" s="225"/>
      <c r="HKX48" s="225"/>
      <c r="HKY48" s="225"/>
      <c r="HKZ48" s="225"/>
      <c r="HLA48" s="225"/>
      <c r="HLB48" s="225"/>
      <c r="HLC48" s="225"/>
      <c r="HLD48" s="225"/>
      <c r="HLE48" s="225"/>
      <c r="HLF48" s="225"/>
      <c r="HLG48" s="225"/>
      <c r="HLH48" s="225"/>
      <c r="HLI48" s="225"/>
      <c r="HLJ48" s="225"/>
      <c r="HLK48" s="225"/>
      <c r="HLL48" s="225"/>
      <c r="HLM48" s="225"/>
      <c r="HLN48" s="225"/>
      <c r="HLO48" s="225"/>
      <c r="HLP48" s="225"/>
      <c r="HLQ48" s="225"/>
      <c r="HLR48" s="225"/>
      <c r="HLS48" s="225"/>
      <c r="HLT48" s="225"/>
      <c r="HLU48" s="225"/>
      <c r="HLV48" s="225"/>
      <c r="HLW48" s="225"/>
      <c r="HLX48" s="225"/>
      <c r="HLY48" s="225"/>
      <c r="HLZ48" s="225"/>
      <c r="HMA48" s="225"/>
      <c r="HMB48" s="225"/>
      <c r="HMC48" s="225"/>
      <c r="HMD48" s="225"/>
      <c r="HME48" s="225"/>
      <c r="HMF48" s="225"/>
      <c r="HMG48" s="225"/>
      <c r="HMH48" s="225"/>
      <c r="HMI48" s="225"/>
      <c r="HMJ48" s="225"/>
      <c r="HMK48" s="225"/>
      <c r="HML48" s="225"/>
      <c r="HMM48" s="225"/>
      <c r="HMN48" s="225"/>
      <c r="HMO48" s="225"/>
      <c r="HMP48" s="225"/>
      <c r="HMQ48" s="225"/>
      <c r="HMR48" s="225"/>
      <c r="HMS48" s="225"/>
      <c r="HMT48" s="225"/>
      <c r="HMU48" s="225"/>
      <c r="HMV48" s="225"/>
      <c r="HMW48" s="225"/>
      <c r="HMX48" s="225"/>
      <c r="HMY48" s="225"/>
      <c r="HMZ48" s="225"/>
      <c r="HNA48" s="225"/>
      <c r="HNB48" s="225"/>
      <c r="HNC48" s="225"/>
      <c r="HND48" s="225"/>
      <c r="HNE48" s="225"/>
      <c r="HNF48" s="225"/>
      <c r="HNG48" s="225"/>
      <c r="HNH48" s="225"/>
      <c r="HNI48" s="225"/>
      <c r="HNJ48" s="225"/>
      <c r="HNK48" s="225"/>
      <c r="HNL48" s="225"/>
      <c r="HNM48" s="225"/>
      <c r="HNN48" s="225"/>
      <c r="HNO48" s="225"/>
      <c r="HNP48" s="225"/>
      <c r="HNQ48" s="225"/>
      <c r="HNR48" s="225"/>
      <c r="HNS48" s="225"/>
      <c r="HNT48" s="225"/>
      <c r="HNU48" s="225"/>
      <c r="HNV48" s="225"/>
      <c r="HNW48" s="225"/>
      <c r="HNX48" s="225"/>
      <c r="HNY48" s="225"/>
      <c r="HNZ48" s="225"/>
      <c r="HOA48" s="225"/>
      <c r="HOB48" s="225"/>
      <c r="HOC48" s="225"/>
      <c r="HOD48" s="225"/>
      <c r="HOE48" s="225"/>
      <c r="HOF48" s="225"/>
      <c r="HOG48" s="225"/>
      <c r="HOH48" s="225"/>
      <c r="HOI48" s="225"/>
      <c r="HOJ48" s="225"/>
      <c r="HOK48" s="225"/>
      <c r="HOL48" s="225"/>
      <c r="HOM48" s="225"/>
      <c r="HON48" s="225"/>
      <c r="HOO48" s="225"/>
      <c r="HOP48" s="225"/>
      <c r="HOQ48" s="225"/>
      <c r="HOR48" s="225"/>
      <c r="HOS48" s="225"/>
      <c r="HOT48" s="225"/>
      <c r="HOU48" s="225"/>
      <c r="HOV48" s="225"/>
      <c r="HOW48" s="225"/>
      <c r="HOX48" s="225"/>
      <c r="HOY48" s="225"/>
      <c r="HOZ48" s="225"/>
      <c r="HPA48" s="225"/>
      <c r="HPB48" s="225"/>
      <c r="HPC48" s="225"/>
      <c r="HPD48" s="225"/>
      <c r="HPE48" s="225"/>
      <c r="HPF48" s="225"/>
      <c r="HPG48" s="225"/>
      <c r="HPH48" s="225"/>
      <c r="HPI48" s="225"/>
      <c r="HPJ48" s="225"/>
      <c r="HPK48" s="225"/>
      <c r="HPL48" s="225"/>
      <c r="HPM48" s="225"/>
      <c r="HPN48" s="225"/>
      <c r="HPO48" s="225"/>
      <c r="HPP48" s="225"/>
      <c r="HPQ48" s="225"/>
      <c r="HPR48" s="225"/>
      <c r="HPS48" s="225"/>
      <c r="HPT48" s="225"/>
      <c r="HPU48" s="225"/>
      <c r="HPV48" s="225"/>
      <c r="HPW48" s="225"/>
      <c r="HPX48" s="225"/>
      <c r="HPY48" s="225"/>
      <c r="HPZ48" s="225"/>
      <c r="HQA48" s="225"/>
      <c r="HQB48" s="225"/>
      <c r="HQC48" s="225"/>
      <c r="HQD48" s="225"/>
      <c r="HQE48" s="225"/>
      <c r="HQF48" s="225"/>
      <c r="HQG48" s="225"/>
      <c r="HQH48" s="225"/>
      <c r="HQI48" s="225"/>
      <c r="HQJ48" s="225"/>
      <c r="HQK48" s="225"/>
      <c r="HQL48" s="225"/>
      <c r="HQM48" s="225"/>
      <c r="HQN48" s="225"/>
      <c r="HQO48" s="225"/>
      <c r="HQP48" s="225"/>
      <c r="HQQ48" s="225"/>
      <c r="HQR48" s="225"/>
      <c r="HQS48" s="225"/>
      <c r="HQT48" s="225"/>
      <c r="HQU48" s="225"/>
      <c r="HQV48" s="225"/>
      <c r="HQW48" s="225"/>
      <c r="HQX48" s="225"/>
      <c r="HQY48" s="225"/>
      <c r="HQZ48" s="225"/>
      <c r="HRA48" s="225"/>
      <c r="HRB48" s="225"/>
      <c r="HRC48" s="225"/>
      <c r="HRD48" s="225"/>
      <c r="HRE48" s="225"/>
      <c r="HRF48" s="225"/>
      <c r="HRG48" s="225"/>
      <c r="HRH48" s="225"/>
      <c r="HRI48" s="225"/>
      <c r="HRJ48" s="225"/>
      <c r="HRK48" s="225"/>
      <c r="HRL48" s="225"/>
      <c r="HRM48" s="225"/>
      <c r="HRN48" s="225"/>
      <c r="HRO48" s="225"/>
      <c r="HRP48" s="225"/>
      <c r="HRQ48" s="225"/>
      <c r="HRR48" s="225"/>
      <c r="HRS48" s="225"/>
      <c r="HRT48" s="225"/>
      <c r="HRU48" s="225"/>
      <c r="HRV48" s="225"/>
      <c r="HRW48" s="225"/>
      <c r="HRX48" s="225"/>
      <c r="HRY48" s="225"/>
      <c r="HRZ48" s="225"/>
      <c r="HSA48" s="225"/>
      <c r="HSB48" s="225"/>
      <c r="HSC48" s="225"/>
      <c r="HSD48" s="225"/>
      <c r="HSE48" s="225"/>
      <c r="HSF48" s="225"/>
      <c r="HSG48" s="225"/>
      <c r="HSH48" s="225"/>
      <c r="HSI48" s="225"/>
      <c r="HSJ48" s="225"/>
      <c r="HSK48" s="225"/>
      <c r="HSL48" s="225"/>
      <c r="HSM48" s="225"/>
      <c r="HSN48" s="225"/>
      <c r="HSO48" s="225"/>
      <c r="HSP48" s="225"/>
      <c r="HSQ48" s="225"/>
      <c r="HSR48" s="225"/>
      <c r="HSS48" s="225"/>
      <c r="HST48" s="225"/>
      <c r="HSU48" s="225"/>
      <c r="HSV48" s="225"/>
      <c r="HSW48" s="225"/>
      <c r="HSX48" s="225"/>
      <c r="HSY48" s="225"/>
      <c r="HSZ48" s="225"/>
      <c r="HTA48" s="225"/>
      <c r="HTB48" s="225"/>
      <c r="HTC48" s="225"/>
      <c r="HTD48" s="225"/>
      <c r="HTE48" s="225"/>
      <c r="HTF48" s="225"/>
      <c r="HTG48" s="225"/>
      <c r="HTH48" s="225"/>
      <c r="HTI48" s="225"/>
      <c r="HTJ48" s="225"/>
      <c r="HTK48" s="225"/>
      <c r="HTL48" s="225"/>
      <c r="HTM48" s="225"/>
      <c r="HTN48" s="225"/>
      <c r="HTO48" s="225"/>
      <c r="HTP48" s="225"/>
      <c r="HTQ48" s="225"/>
      <c r="HTR48" s="225"/>
      <c r="HTS48" s="225"/>
      <c r="HTT48" s="225"/>
      <c r="HTU48" s="225"/>
      <c r="HTV48" s="225"/>
      <c r="HTW48" s="225"/>
      <c r="HTX48" s="225"/>
      <c r="HTY48" s="225"/>
      <c r="HTZ48" s="225"/>
      <c r="HUA48" s="225"/>
      <c r="HUB48" s="225"/>
      <c r="HUC48" s="225"/>
      <c r="HUD48" s="225"/>
      <c r="HUE48" s="225"/>
      <c r="HUF48" s="225"/>
      <c r="HUG48" s="225"/>
      <c r="HUH48" s="225"/>
      <c r="HUI48" s="225"/>
      <c r="HUJ48" s="225"/>
      <c r="HUK48" s="225"/>
      <c r="HUL48" s="225"/>
      <c r="HUM48" s="225"/>
      <c r="HUN48" s="225"/>
      <c r="HUO48" s="225"/>
      <c r="HUP48" s="225"/>
      <c r="HUQ48" s="225"/>
      <c r="HUR48" s="225"/>
      <c r="HUS48" s="225"/>
      <c r="HUT48" s="225"/>
      <c r="HUU48" s="225"/>
      <c r="HUV48" s="225"/>
      <c r="HUW48" s="225"/>
      <c r="HUX48" s="225"/>
      <c r="HUY48" s="225"/>
      <c r="HUZ48" s="225"/>
      <c r="HVA48" s="225"/>
      <c r="HVB48" s="225"/>
      <c r="HVC48" s="225"/>
      <c r="HVD48" s="225"/>
      <c r="HVE48" s="225"/>
      <c r="HVF48" s="225"/>
      <c r="HVG48" s="225"/>
      <c r="HVH48" s="225"/>
      <c r="HVI48" s="225"/>
      <c r="HVJ48" s="225"/>
      <c r="HVK48" s="225"/>
      <c r="HVL48" s="225"/>
      <c r="HVM48" s="225"/>
      <c r="HVN48" s="225"/>
      <c r="HVO48" s="225"/>
      <c r="HVP48" s="225"/>
      <c r="HVQ48" s="225"/>
      <c r="HVR48" s="225"/>
      <c r="HVS48" s="225"/>
      <c r="HVT48" s="225"/>
      <c r="HVU48" s="225"/>
      <c r="HVV48" s="225"/>
      <c r="HVW48" s="225"/>
      <c r="HVX48" s="225"/>
      <c r="HVY48" s="225"/>
      <c r="HVZ48" s="225"/>
      <c r="HWA48" s="225"/>
      <c r="HWB48" s="225"/>
      <c r="HWC48" s="225"/>
      <c r="HWD48" s="225"/>
      <c r="HWE48" s="225"/>
      <c r="HWF48" s="225"/>
      <c r="HWG48" s="225"/>
      <c r="HWH48" s="225"/>
      <c r="HWI48" s="225"/>
      <c r="HWJ48" s="225"/>
      <c r="HWK48" s="225"/>
      <c r="HWL48" s="225"/>
      <c r="HWM48" s="225"/>
      <c r="HWN48" s="225"/>
      <c r="HWO48" s="225"/>
      <c r="HWP48" s="225"/>
      <c r="HWQ48" s="225"/>
      <c r="HWR48" s="225"/>
      <c r="HWS48" s="225"/>
      <c r="HWT48" s="225"/>
      <c r="HWU48" s="225"/>
      <c r="HWV48" s="225"/>
      <c r="HWW48" s="225"/>
      <c r="HWX48" s="225"/>
      <c r="HWY48" s="225"/>
      <c r="HWZ48" s="225"/>
      <c r="HXA48" s="225"/>
      <c r="HXB48" s="225"/>
      <c r="HXC48" s="225"/>
      <c r="HXD48" s="225"/>
      <c r="HXE48" s="225"/>
      <c r="HXF48" s="225"/>
      <c r="HXG48" s="225"/>
      <c r="HXH48" s="225"/>
      <c r="HXI48" s="225"/>
      <c r="HXJ48" s="225"/>
      <c r="HXK48" s="225"/>
      <c r="HXL48" s="225"/>
      <c r="HXM48" s="225"/>
      <c r="HXN48" s="225"/>
      <c r="HXO48" s="225"/>
      <c r="HXP48" s="225"/>
      <c r="HXQ48" s="225"/>
      <c r="HXR48" s="225"/>
      <c r="HXS48" s="225"/>
      <c r="HXT48" s="225"/>
      <c r="HXU48" s="225"/>
      <c r="HXV48" s="225"/>
      <c r="HXW48" s="225"/>
      <c r="HXX48" s="225"/>
      <c r="HXY48" s="225"/>
      <c r="HXZ48" s="225"/>
      <c r="HYA48" s="225"/>
      <c r="HYB48" s="225"/>
      <c r="HYC48" s="225"/>
      <c r="HYD48" s="225"/>
      <c r="HYE48" s="225"/>
      <c r="HYF48" s="225"/>
      <c r="HYG48" s="225"/>
      <c r="HYH48" s="225"/>
      <c r="HYI48" s="225"/>
      <c r="HYJ48" s="225"/>
      <c r="HYK48" s="225"/>
      <c r="HYL48" s="225"/>
      <c r="HYM48" s="225"/>
      <c r="HYN48" s="225"/>
      <c r="HYO48" s="225"/>
      <c r="HYP48" s="225"/>
      <c r="HYQ48" s="225"/>
      <c r="HYR48" s="225"/>
      <c r="HYS48" s="225"/>
      <c r="HYT48" s="225"/>
      <c r="HYU48" s="225"/>
      <c r="HYV48" s="225"/>
      <c r="HYW48" s="225"/>
      <c r="HYX48" s="225"/>
      <c r="HYY48" s="225"/>
      <c r="HYZ48" s="225"/>
      <c r="HZA48" s="225"/>
      <c r="HZB48" s="225"/>
      <c r="HZC48" s="225"/>
      <c r="HZD48" s="225"/>
      <c r="HZE48" s="225"/>
      <c r="HZF48" s="225"/>
      <c r="HZG48" s="225"/>
      <c r="HZH48" s="225"/>
      <c r="HZI48" s="225"/>
      <c r="HZJ48" s="225"/>
      <c r="HZK48" s="225"/>
      <c r="HZL48" s="225"/>
      <c r="HZM48" s="225"/>
      <c r="HZN48" s="225"/>
      <c r="HZO48" s="225"/>
      <c r="HZP48" s="225"/>
      <c r="HZQ48" s="225"/>
      <c r="HZR48" s="225"/>
      <c r="HZS48" s="225"/>
      <c r="HZT48" s="225"/>
      <c r="HZU48" s="225"/>
      <c r="HZV48" s="225"/>
      <c r="HZW48" s="225"/>
      <c r="HZX48" s="225"/>
      <c r="HZY48" s="225"/>
      <c r="HZZ48" s="225"/>
      <c r="IAA48" s="225"/>
      <c r="IAB48" s="225"/>
      <c r="IAC48" s="225"/>
      <c r="IAD48" s="225"/>
      <c r="IAE48" s="225"/>
      <c r="IAF48" s="225"/>
      <c r="IAG48" s="225"/>
      <c r="IAH48" s="225"/>
      <c r="IAI48" s="225"/>
      <c r="IAJ48" s="225"/>
      <c r="IAK48" s="225"/>
      <c r="IAL48" s="225"/>
      <c r="IAM48" s="225"/>
      <c r="IAN48" s="225"/>
      <c r="IAO48" s="225"/>
      <c r="IAP48" s="225"/>
      <c r="IAQ48" s="225"/>
      <c r="IAR48" s="225"/>
      <c r="IAS48" s="225"/>
      <c r="IAT48" s="225"/>
      <c r="IAU48" s="225"/>
      <c r="IAV48" s="225"/>
      <c r="IAW48" s="225"/>
      <c r="IAX48" s="225"/>
      <c r="IAY48" s="225"/>
      <c r="IAZ48" s="225"/>
      <c r="IBA48" s="225"/>
      <c r="IBB48" s="225"/>
      <c r="IBC48" s="225"/>
      <c r="IBD48" s="225"/>
      <c r="IBE48" s="225"/>
      <c r="IBF48" s="225"/>
      <c r="IBG48" s="225"/>
      <c r="IBH48" s="225"/>
      <c r="IBI48" s="225"/>
      <c r="IBJ48" s="225"/>
      <c r="IBK48" s="225"/>
      <c r="IBL48" s="225"/>
      <c r="IBM48" s="225"/>
      <c r="IBN48" s="225"/>
      <c r="IBO48" s="225"/>
      <c r="IBP48" s="225"/>
      <c r="IBQ48" s="225"/>
      <c r="IBR48" s="225"/>
      <c r="IBS48" s="225"/>
      <c r="IBT48" s="225"/>
      <c r="IBU48" s="225"/>
      <c r="IBV48" s="225"/>
      <c r="IBW48" s="225"/>
      <c r="IBX48" s="225"/>
      <c r="IBY48" s="225"/>
      <c r="IBZ48" s="225"/>
      <c r="ICA48" s="225"/>
      <c r="ICB48" s="225"/>
      <c r="ICC48" s="225"/>
      <c r="ICD48" s="225"/>
      <c r="ICE48" s="225"/>
      <c r="ICF48" s="225"/>
      <c r="ICG48" s="225"/>
      <c r="ICH48" s="225"/>
      <c r="ICI48" s="225"/>
      <c r="ICJ48" s="225"/>
      <c r="ICK48" s="225"/>
      <c r="ICL48" s="225"/>
      <c r="ICM48" s="225"/>
      <c r="ICN48" s="225"/>
      <c r="ICO48" s="225"/>
      <c r="ICP48" s="225"/>
      <c r="ICQ48" s="225"/>
      <c r="ICR48" s="225"/>
      <c r="ICS48" s="225"/>
      <c r="ICT48" s="225"/>
      <c r="ICU48" s="225"/>
      <c r="ICV48" s="225"/>
      <c r="ICW48" s="225"/>
      <c r="ICX48" s="225"/>
      <c r="ICY48" s="225"/>
      <c r="ICZ48" s="225"/>
      <c r="IDA48" s="225"/>
      <c r="IDB48" s="225"/>
      <c r="IDC48" s="225"/>
      <c r="IDD48" s="225"/>
      <c r="IDE48" s="225"/>
      <c r="IDF48" s="225"/>
      <c r="IDG48" s="225"/>
      <c r="IDH48" s="225"/>
      <c r="IDI48" s="225"/>
      <c r="IDJ48" s="225"/>
      <c r="IDK48" s="225"/>
      <c r="IDL48" s="225"/>
      <c r="IDM48" s="225"/>
      <c r="IDN48" s="225"/>
      <c r="IDO48" s="225"/>
      <c r="IDP48" s="225"/>
      <c r="IDQ48" s="225"/>
      <c r="IDR48" s="225"/>
      <c r="IDS48" s="225"/>
      <c r="IDT48" s="225"/>
      <c r="IDU48" s="225"/>
      <c r="IDV48" s="225"/>
      <c r="IDW48" s="225"/>
      <c r="IDX48" s="225"/>
      <c r="IDY48" s="225"/>
      <c r="IDZ48" s="225"/>
      <c r="IEA48" s="225"/>
      <c r="IEB48" s="225"/>
      <c r="IEC48" s="225"/>
      <c r="IED48" s="225"/>
      <c r="IEE48" s="225"/>
      <c r="IEF48" s="225"/>
      <c r="IEG48" s="225"/>
      <c r="IEH48" s="225"/>
      <c r="IEI48" s="225"/>
      <c r="IEJ48" s="225"/>
      <c r="IEK48" s="225"/>
      <c r="IEL48" s="225"/>
      <c r="IEM48" s="225"/>
      <c r="IEN48" s="225"/>
      <c r="IEO48" s="225"/>
      <c r="IEP48" s="225"/>
      <c r="IEQ48" s="225"/>
      <c r="IER48" s="225"/>
      <c r="IES48" s="225"/>
      <c r="IET48" s="225"/>
      <c r="IEU48" s="225"/>
      <c r="IEV48" s="225"/>
      <c r="IEW48" s="225"/>
      <c r="IEX48" s="225"/>
      <c r="IEY48" s="225"/>
      <c r="IEZ48" s="225"/>
      <c r="IFA48" s="225"/>
      <c r="IFB48" s="225"/>
      <c r="IFC48" s="225"/>
      <c r="IFD48" s="225"/>
      <c r="IFE48" s="225"/>
      <c r="IFF48" s="225"/>
      <c r="IFG48" s="225"/>
      <c r="IFH48" s="225"/>
      <c r="IFI48" s="225"/>
      <c r="IFJ48" s="225"/>
      <c r="IFK48" s="225"/>
      <c r="IFL48" s="225"/>
      <c r="IFM48" s="225"/>
      <c r="IFN48" s="225"/>
      <c r="IFO48" s="225"/>
      <c r="IFP48" s="225"/>
      <c r="IFQ48" s="225"/>
      <c r="IFR48" s="225"/>
      <c r="IFS48" s="225"/>
      <c r="IFT48" s="225"/>
      <c r="IFU48" s="225"/>
      <c r="IFV48" s="225"/>
      <c r="IFW48" s="225"/>
      <c r="IFX48" s="225"/>
      <c r="IFY48" s="225"/>
      <c r="IFZ48" s="225"/>
      <c r="IGA48" s="225"/>
      <c r="IGB48" s="225"/>
      <c r="IGC48" s="225"/>
      <c r="IGD48" s="225"/>
      <c r="IGE48" s="225"/>
      <c r="IGF48" s="225"/>
      <c r="IGG48" s="225"/>
      <c r="IGH48" s="225"/>
      <c r="IGI48" s="225"/>
      <c r="IGJ48" s="225"/>
      <c r="IGK48" s="225"/>
      <c r="IGL48" s="225"/>
      <c r="IGM48" s="225"/>
      <c r="IGN48" s="225"/>
      <c r="IGO48" s="225"/>
      <c r="IGP48" s="225"/>
      <c r="IGQ48" s="225"/>
      <c r="IGR48" s="225"/>
      <c r="IGS48" s="225"/>
      <c r="IGT48" s="225"/>
      <c r="IGU48" s="225"/>
      <c r="IGV48" s="225"/>
      <c r="IGW48" s="225"/>
      <c r="IGX48" s="225"/>
      <c r="IGY48" s="225"/>
      <c r="IGZ48" s="225"/>
      <c r="IHA48" s="225"/>
      <c r="IHB48" s="225"/>
      <c r="IHC48" s="225"/>
      <c r="IHD48" s="225"/>
      <c r="IHE48" s="225"/>
      <c r="IHF48" s="225"/>
      <c r="IHG48" s="225"/>
      <c r="IHH48" s="225"/>
      <c r="IHI48" s="225"/>
      <c r="IHJ48" s="225"/>
      <c r="IHK48" s="225"/>
      <c r="IHL48" s="225"/>
      <c r="IHM48" s="225"/>
      <c r="IHN48" s="225"/>
      <c r="IHO48" s="225"/>
      <c r="IHP48" s="225"/>
      <c r="IHQ48" s="225"/>
      <c r="IHR48" s="225"/>
      <c r="IHS48" s="225"/>
      <c r="IHT48" s="225"/>
      <c r="IHU48" s="225"/>
      <c r="IHV48" s="225"/>
      <c r="IHW48" s="225"/>
      <c r="IHX48" s="225"/>
      <c r="IHY48" s="225"/>
      <c r="IHZ48" s="225"/>
      <c r="IIA48" s="225"/>
      <c r="IIB48" s="225"/>
      <c r="IIC48" s="225"/>
      <c r="IID48" s="225"/>
      <c r="IIE48" s="225"/>
      <c r="IIF48" s="225"/>
      <c r="IIG48" s="225"/>
      <c r="IIH48" s="225"/>
      <c r="III48" s="225"/>
      <c r="IIJ48" s="225"/>
      <c r="IIK48" s="225"/>
      <c r="IIL48" s="225"/>
      <c r="IIM48" s="225"/>
      <c r="IIN48" s="225"/>
      <c r="IIO48" s="225"/>
      <c r="IIP48" s="225"/>
      <c r="IIQ48" s="225"/>
      <c r="IIR48" s="225"/>
      <c r="IIS48" s="225"/>
      <c r="IIT48" s="225"/>
      <c r="IIU48" s="225"/>
      <c r="IIV48" s="225"/>
      <c r="IIW48" s="225"/>
      <c r="IIX48" s="225"/>
      <c r="IIY48" s="225"/>
      <c r="IIZ48" s="225"/>
      <c r="IJA48" s="225"/>
      <c r="IJB48" s="225"/>
      <c r="IJC48" s="225"/>
      <c r="IJD48" s="225"/>
      <c r="IJE48" s="225"/>
      <c r="IJF48" s="225"/>
      <c r="IJG48" s="225"/>
      <c r="IJH48" s="225"/>
      <c r="IJI48" s="225"/>
      <c r="IJJ48" s="225"/>
      <c r="IJK48" s="225"/>
      <c r="IJL48" s="225"/>
      <c r="IJM48" s="225"/>
      <c r="IJN48" s="225"/>
      <c r="IJO48" s="225"/>
      <c r="IJP48" s="225"/>
      <c r="IJQ48" s="225"/>
      <c r="IJR48" s="225"/>
      <c r="IJS48" s="225"/>
      <c r="IJT48" s="225"/>
      <c r="IJU48" s="225"/>
      <c r="IJV48" s="225"/>
      <c r="IJW48" s="225"/>
      <c r="IJX48" s="225"/>
      <c r="IJY48" s="225"/>
      <c r="IJZ48" s="225"/>
      <c r="IKA48" s="225"/>
      <c r="IKB48" s="225"/>
      <c r="IKC48" s="225"/>
      <c r="IKD48" s="225"/>
      <c r="IKE48" s="225"/>
      <c r="IKF48" s="225"/>
      <c r="IKG48" s="225"/>
      <c r="IKH48" s="225"/>
      <c r="IKI48" s="225"/>
      <c r="IKJ48" s="225"/>
      <c r="IKK48" s="225"/>
      <c r="IKL48" s="225"/>
      <c r="IKM48" s="225"/>
      <c r="IKN48" s="225"/>
      <c r="IKO48" s="225"/>
      <c r="IKP48" s="225"/>
      <c r="IKQ48" s="225"/>
      <c r="IKR48" s="225"/>
      <c r="IKS48" s="225"/>
      <c r="IKT48" s="225"/>
      <c r="IKU48" s="225"/>
      <c r="IKV48" s="225"/>
      <c r="IKW48" s="225"/>
      <c r="IKX48" s="225"/>
      <c r="IKY48" s="225"/>
      <c r="IKZ48" s="225"/>
      <c r="ILA48" s="225"/>
      <c r="ILB48" s="225"/>
      <c r="ILC48" s="225"/>
      <c r="ILD48" s="225"/>
      <c r="ILE48" s="225"/>
      <c r="ILF48" s="225"/>
      <c r="ILG48" s="225"/>
      <c r="ILH48" s="225"/>
      <c r="ILI48" s="225"/>
      <c r="ILJ48" s="225"/>
      <c r="ILK48" s="225"/>
      <c r="ILL48" s="225"/>
      <c r="ILM48" s="225"/>
      <c r="ILN48" s="225"/>
      <c r="ILO48" s="225"/>
      <c r="ILP48" s="225"/>
      <c r="ILQ48" s="225"/>
      <c r="ILR48" s="225"/>
      <c r="ILS48" s="225"/>
      <c r="ILT48" s="225"/>
      <c r="ILU48" s="225"/>
      <c r="ILV48" s="225"/>
      <c r="ILW48" s="225"/>
      <c r="ILX48" s="225"/>
      <c r="ILY48" s="225"/>
      <c r="ILZ48" s="225"/>
      <c r="IMA48" s="225"/>
      <c r="IMB48" s="225"/>
      <c r="IMC48" s="225"/>
      <c r="IMD48" s="225"/>
      <c r="IME48" s="225"/>
      <c r="IMF48" s="225"/>
      <c r="IMG48" s="225"/>
      <c r="IMH48" s="225"/>
      <c r="IMI48" s="225"/>
      <c r="IMJ48" s="225"/>
      <c r="IMK48" s="225"/>
      <c r="IML48" s="225"/>
      <c r="IMM48" s="225"/>
      <c r="IMN48" s="225"/>
      <c r="IMO48" s="225"/>
      <c r="IMP48" s="225"/>
      <c r="IMQ48" s="225"/>
      <c r="IMR48" s="225"/>
      <c r="IMS48" s="225"/>
      <c r="IMT48" s="225"/>
      <c r="IMU48" s="225"/>
      <c r="IMV48" s="225"/>
      <c r="IMW48" s="225"/>
      <c r="IMX48" s="225"/>
      <c r="IMY48" s="225"/>
      <c r="IMZ48" s="225"/>
      <c r="INA48" s="225"/>
      <c r="INB48" s="225"/>
      <c r="INC48" s="225"/>
      <c r="IND48" s="225"/>
      <c r="INE48" s="225"/>
      <c r="INF48" s="225"/>
      <c r="ING48" s="225"/>
      <c r="INH48" s="225"/>
      <c r="INI48" s="225"/>
      <c r="INJ48" s="225"/>
      <c r="INK48" s="225"/>
      <c r="INL48" s="225"/>
      <c r="INM48" s="225"/>
      <c r="INN48" s="225"/>
      <c r="INO48" s="225"/>
      <c r="INP48" s="225"/>
      <c r="INQ48" s="225"/>
      <c r="INR48" s="225"/>
      <c r="INS48" s="225"/>
      <c r="INT48" s="225"/>
      <c r="INU48" s="225"/>
      <c r="INV48" s="225"/>
      <c r="INW48" s="225"/>
      <c r="INX48" s="225"/>
      <c r="INY48" s="225"/>
      <c r="INZ48" s="225"/>
      <c r="IOA48" s="225"/>
      <c r="IOB48" s="225"/>
      <c r="IOC48" s="225"/>
      <c r="IOD48" s="225"/>
      <c r="IOE48" s="225"/>
      <c r="IOF48" s="225"/>
      <c r="IOG48" s="225"/>
      <c r="IOH48" s="225"/>
      <c r="IOI48" s="225"/>
      <c r="IOJ48" s="225"/>
      <c r="IOK48" s="225"/>
      <c r="IOL48" s="225"/>
      <c r="IOM48" s="225"/>
      <c r="ION48" s="225"/>
      <c r="IOO48" s="225"/>
      <c r="IOP48" s="225"/>
      <c r="IOQ48" s="225"/>
      <c r="IOR48" s="225"/>
      <c r="IOS48" s="225"/>
      <c r="IOT48" s="225"/>
      <c r="IOU48" s="225"/>
      <c r="IOV48" s="225"/>
      <c r="IOW48" s="225"/>
      <c r="IOX48" s="225"/>
      <c r="IOY48" s="225"/>
      <c r="IOZ48" s="225"/>
      <c r="IPA48" s="225"/>
      <c r="IPB48" s="225"/>
      <c r="IPC48" s="225"/>
      <c r="IPD48" s="225"/>
      <c r="IPE48" s="225"/>
      <c r="IPF48" s="225"/>
      <c r="IPG48" s="225"/>
      <c r="IPH48" s="225"/>
      <c r="IPI48" s="225"/>
      <c r="IPJ48" s="225"/>
      <c r="IPK48" s="225"/>
      <c r="IPL48" s="225"/>
      <c r="IPM48" s="225"/>
      <c r="IPN48" s="225"/>
      <c r="IPO48" s="225"/>
      <c r="IPP48" s="225"/>
      <c r="IPQ48" s="225"/>
      <c r="IPR48" s="225"/>
      <c r="IPS48" s="225"/>
      <c r="IPT48" s="225"/>
      <c r="IPU48" s="225"/>
      <c r="IPV48" s="225"/>
      <c r="IPW48" s="225"/>
      <c r="IPX48" s="225"/>
      <c r="IPY48" s="225"/>
      <c r="IPZ48" s="225"/>
      <c r="IQA48" s="225"/>
      <c r="IQB48" s="225"/>
      <c r="IQC48" s="225"/>
      <c r="IQD48" s="225"/>
      <c r="IQE48" s="225"/>
      <c r="IQF48" s="225"/>
      <c r="IQG48" s="225"/>
      <c r="IQH48" s="225"/>
      <c r="IQI48" s="225"/>
      <c r="IQJ48" s="225"/>
      <c r="IQK48" s="225"/>
      <c r="IQL48" s="225"/>
      <c r="IQM48" s="225"/>
      <c r="IQN48" s="225"/>
      <c r="IQO48" s="225"/>
      <c r="IQP48" s="225"/>
      <c r="IQQ48" s="225"/>
      <c r="IQR48" s="225"/>
      <c r="IQS48" s="225"/>
      <c r="IQT48" s="225"/>
      <c r="IQU48" s="225"/>
      <c r="IQV48" s="225"/>
      <c r="IQW48" s="225"/>
      <c r="IQX48" s="225"/>
      <c r="IQY48" s="225"/>
      <c r="IQZ48" s="225"/>
      <c r="IRA48" s="225"/>
      <c r="IRB48" s="225"/>
      <c r="IRC48" s="225"/>
      <c r="IRD48" s="225"/>
      <c r="IRE48" s="225"/>
      <c r="IRF48" s="225"/>
      <c r="IRG48" s="225"/>
      <c r="IRH48" s="225"/>
      <c r="IRI48" s="225"/>
      <c r="IRJ48" s="225"/>
      <c r="IRK48" s="225"/>
      <c r="IRL48" s="225"/>
      <c r="IRM48" s="225"/>
      <c r="IRN48" s="225"/>
      <c r="IRO48" s="225"/>
      <c r="IRP48" s="225"/>
      <c r="IRQ48" s="225"/>
      <c r="IRR48" s="225"/>
      <c r="IRS48" s="225"/>
      <c r="IRT48" s="225"/>
      <c r="IRU48" s="225"/>
      <c r="IRV48" s="225"/>
      <c r="IRW48" s="225"/>
      <c r="IRX48" s="225"/>
      <c r="IRY48" s="225"/>
      <c r="IRZ48" s="225"/>
      <c r="ISA48" s="225"/>
      <c r="ISB48" s="225"/>
      <c r="ISC48" s="225"/>
      <c r="ISD48" s="225"/>
      <c r="ISE48" s="225"/>
      <c r="ISF48" s="225"/>
      <c r="ISG48" s="225"/>
      <c r="ISH48" s="225"/>
      <c r="ISI48" s="225"/>
      <c r="ISJ48" s="225"/>
      <c r="ISK48" s="225"/>
      <c r="ISL48" s="225"/>
      <c r="ISM48" s="225"/>
      <c r="ISN48" s="225"/>
      <c r="ISO48" s="225"/>
      <c r="ISP48" s="225"/>
      <c r="ISQ48" s="225"/>
      <c r="ISR48" s="225"/>
      <c r="ISS48" s="225"/>
      <c r="IST48" s="225"/>
      <c r="ISU48" s="225"/>
      <c r="ISV48" s="225"/>
      <c r="ISW48" s="225"/>
      <c r="ISX48" s="225"/>
      <c r="ISY48" s="225"/>
      <c r="ISZ48" s="225"/>
      <c r="ITA48" s="225"/>
      <c r="ITB48" s="225"/>
      <c r="ITC48" s="225"/>
      <c r="ITD48" s="225"/>
      <c r="ITE48" s="225"/>
      <c r="ITF48" s="225"/>
      <c r="ITG48" s="225"/>
      <c r="ITH48" s="225"/>
      <c r="ITI48" s="225"/>
      <c r="ITJ48" s="225"/>
      <c r="ITK48" s="225"/>
      <c r="ITL48" s="225"/>
      <c r="ITM48" s="225"/>
      <c r="ITN48" s="225"/>
      <c r="ITO48" s="225"/>
      <c r="ITP48" s="225"/>
      <c r="ITQ48" s="225"/>
      <c r="ITR48" s="225"/>
      <c r="ITS48" s="225"/>
      <c r="ITT48" s="225"/>
      <c r="ITU48" s="225"/>
      <c r="ITV48" s="225"/>
      <c r="ITW48" s="225"/>
      <c r="ITX48" s="225"/>
      <c r="ITY48" s="225"/>
      <c r="ITZ48" s="225"/>
      <c r="IUA48" s="225"/>
      <c r="IUB48" s="225"/>
      <c r="IUC48" s="225"/>
      <c r="IUD48" s="225"/>
      <c r="IUE48" s="225"/>
      <c r="IUF48" s="225"/>
      <c r="IUG48" s="225"/>
      <c r="IUH48" s="225"/>
      <c r="IUI48" s="225"/>
      <c r="IUJ48" s="225"/>
      <c r="IUK48" s="225"/>
      <c r="IUL48" s="225"/>
      <c r="IUM48" s="225"/>
      <c r="IUN48" s="225"/>
      <c r="IUO48" s="225"/>
      <c r="IUP48" s="225"/>
      <c r="IUQ48" s="225"/>
      <c r="IUR48" s="225"/>
      <c r="IUS48" s="225"/>
      <c r="IUT48" s="225"/>
      <c r="IUU48" s="225"/>
      <c r="IUV48" s="225"/>
      <c r="IUW48" s="225"/>
      <c r="IUX48" s="225"/>
      <c r="IUY48" s="225"/>
      <c r="IUZ48" s="225"/>
      <c r="IVA48" s="225"/>
      <c r="IVB48" s="225"/>
      <c r="IVC48" s="225"/>
      <c r="IVD48" s="225"/>
      <c r="IVE48" s="225"/>
      <c r="IVF48" s="225"/>
      <c r="IVG48" s="225"/>
      <c r="IVH48" s="225"/>
      <c r="IVI48" s="225"/>
      <c r="IVJ48" s="225"/>
      <c r="IVK48" s="225"/>
      <c r="IVL48" s="225"/>
      <c r="IVM48" s="225"/>
      <c r="IVN48" s="225"/>
      <c r="IVO48" s="225"/>
      <c r="IVP48" s="225"/>
      <c r="IVQ48" s="225"/>
      <c r="IVR48" s="225"/>
      <c r="IVS48" s="225"/>
      <c r="IVT48" s="225"/>
      <c r="IVU48" s="225"/>
      <c r="IVV48" s="225"/>
      <c r="IVW48" s="225"/>
      <c r="IVX48" s="225"/>
      <c r="IVY48" s="225"/>
      <c r="IVZ48" s="225"/>
      <c r="IWA48" s="225"/>
      <c r="IWB48" s="225"/>
      <c r="IWC48" s="225"/>
      <c r="IWD48" s="225"/>
      <c r="IWE48" s="225"/>
      <c r="IWF48" s="225"/>
      <c r="IWG48" s="225"/>
      <c r="IWH48" s="225"/>
      <c r="IWI48" s="225"/>
      <c r="IWJ48" s="225"/>
      <c r="IWK48" s="225"/>
      <c r="IWL48" s="225"/>
      <c r="IWM48" s="225"/>
      <c r="IWN48" s="225"/>
      <c r="IWO48" s="225"/>
      <c r="IWP48" s="225"/>
      <c r="IWQ48" s="225"/>
      <c r="IWR48" s="225"/>
      <c r="IWS48" s="225"/>
      <c r="IWT48" s="225"/>
      <c r="IWU48" s="225"/>
      <c r="IWV48" s="225"/>
      <c r="IWW48" s="225"/>
      <c r="IWX48" s="225"/>
      <c r="IWY48" s="225"/>
      <c r="IWZ48" s="225"/>
      <c r="IXA48" s="225"/>
      <c r="IXB48" s="225"/>
      <c r="IXC48" s="225"/>
      <c r="IXD48" s="225"/>
      <c r="IXE48" s="225"/>
      <c r="IXF48" s="225"/>
      <c r="IXG48" s="225"/>
      <c r="IXH48" s="225"/>
      <c r="IXI48" s="225"/>
      <c r="IXJ48" s="225"/>
      <c r="IXK48" s="225"/>
      <c r="IXL48" s="225"/>
      <c r="IXM48" s="225"/>
      <c r="IXN48" s="225"/>
      <c r="IXO48" s="225"/>
      <c r="IXP48" s="225"/>
      <c r="IXQ48" s="225"/>
      <c r="IXR48" s="225"/>
      <c r="IXS48" s="225"/>
      <c r="IXT48" s="225"/>
      <c r="IXU48" s="225"/>
      <c r="IXV48" s="225"/>
      <c r="IXW48" s="225"/>
      <c r="IXX48" s="225"/>
      <c r="IXY48" s="225"/>
      <c r="IXZ48" s="225"/>
      <c r="IYA48" s="225"/>
      <c r="IYB48" s="225"/>
      <c r="IYC48" s="225"/>
      <c r="IYD48" s="225"/>
      <c r="IYE48" s="225"/>
      <c r="IYF48" s="225"/>
      <c r="IYG48" s="225"/>
      <c r="IYH48" s="225"/>
      <c r="IYI48" s="225"/>
      <c r="IYJ48" s="225"/>
      <c r="IYK48" s="225"/>
      <c r="IYL48" s="225"/>
      <c r="IYM48" s="225"/>
      <c r="IYN48" s="225"/>
      <c r="IYO48" s="225"/>
      <c r="IYP48" s="225"/>
      <c r="IYQ48" s="225"/>
      <c r="IYR48" s="225"/>
      <c r="IYS48" s="225"/>
      <c r="IYT48" s="225"/>
      <c r="IYU48" s="225"/>
      <c r="IYV48" s="225"/>
      <c r="IYW48" s="225"/>
      <c r="IYX48" s="225"/>
      <c r="IYY48" s="225"/>
      <c r="IYZ48" s="225"/>
      <c r="IZA48" s="225"/>
      <c r="IZB48" s="225"/>
      <c r="IZC48" s="225"/>
      <c r="IZD48" s="225"/>
      <c r="IZE48" s="225"/>
      <c r="IZF48" s="225"/>
      <c r="IZG48" s="225"/>
      <c r="IZH48" s="225"/>
      <c r="IZI48" s="225"/>
      <c r="IZJ48" s="225"/>
      <c r="IZK48" s="225"/>
      <c r="IZL48" s="225"/>
      <c r="IZM48" s="225"/>
      <c r="IZN48" s="225"/>
      <c r="IZO48" s="225"/>
      <c r="IZP48" s="225"/>
      <c r="IZQ48" s="225"/>
      <c r="IZR48" s="225"/>
      <c r="IZS48" s="225"/>
      <c r="IZT48" s="225"/>
      <c r="IZU48" s="225"/>
      <c r="IZV48" s="225"/>
      <c r="IZW48" s="225"/>
      <c r="IZX48" s="225"/>
      <c r="IZY48" s="225"/>
      <c r="IZZ48" s="225"/>
      <c r="JAA48" s="225"/>
      <c r="JAB48" s="225"/>
      <c r="JAC48" s="225"/>
      <c r="JAD48" s="225"/>
      <c r="JAE48" s="225"/>
      <c r="JAF48" s="225"/>
      <c r="JAG48" s="225"/>
      <c r="JAH48" s="225"/>
      <c r="JAI48" s="225"/>
      <c r="JAJ48" s="225"/>
      <c r="JAK48" s="225"/>
      <c r="JAL48" s="225"/>
      <c r="JAM48" s="225"/>
      <c r="JAN48" s="225"/>
      <c r="JAO48" s="225"/>
      <c r="JAP48" s="225"/>
      <c r="JAQ48" s="225"/>
      <c r="JAR48" s="225"/>
      <c r="JAS48" s="225"/>
      <c r="JAT48" s="225"/>
      <c r="JAU48" s="225"/>
      <c r="JAV48" s="225"/>
      <c r="JAW48" s="225"/>
      <c r="JAX48" s="225"/>
      <c r="JAY48" s="225"/>
      <c r="JAZ48" s="225"/>
      <c r="JBA48" s="225"/>
      <c r="JBB48" s="225"/>
      <c r="JBC48" s="225"/>
      <c r="JBD48" s="225"/>
      <c r="JBE48" s="225"/>
      <c r="JBF48" s="225"/>
      <c r="JBG48" s="225"/>
      <c r="JBH48" s="225"/>
      <c r="JBI48" s="225"/>
      <c r="JBJ48" s="225"/>
      <c r="JBK48" s="225"/>
      <c r="JBL48" s="225"/>
      <c r="JBM48" s="225"/>
      <c r="JBN48" s="225"/>
      <c r="JBO48" s="225"/>
      <c r="JBP48" s="225"/>
      <c r="JBQ48" s="225"/>
      <c r="JBR48" s="225"/>
      <c r="JBS48" s="225"/>
      <c r="JBT48" s="225"/>
      <c r="JBU48" s="225"/>
      <c r="JBV48" s="225"/>
      <c r="JBW48" s="225"/>
      <c r="JBX48" s="225"/>
      <c r="JBY48" s="225"/>
      <c r="JBZ48" s="225"/>
      <c r="JCA48" s="225"/>
      <c r="JCB48" s="225"/>
      <c r="JCC48" s="225"/>
      <c r="JCD48" s="225"/>
      <c r="JCE48" s="225"/>
      <c r="JCF48" s="225"/>
      <c r="JCG48" s="225"/>
      <c r="JCH48" s="225"/>
      <c r="JCI48" s="225"/>
      <c r="JCJ48" s="225"/>
      <c r="JCK48" s="225"/>
      <c r="JCL48" s="225"/>
      <c r="JCM48" s="225"/>
      <c r="JCN48" s="225"/>
      <c r="JCO48" s="225"/>
      <c r="JCP48" s="225"/>
      <c r="JCQ48" s="225"/>
      <c r="JCR48" s="225"/>
      <c r="JCS48" s="225"/>
      <c r="JCT48" s="225"/>
      <c r="JCU48" s="225"/>
      <c r="JCV48" s="225"/>
      <c r="JCW48" s="225"/>
      <c r="JCX48" s="225"/>
      <c r="JCY48" s="225"/>
      <c r="JCZ48" s="225"/>
      <c r="JDA48" s="225"/>
      <c r="JDB48" s="225"/>
      <c r="JDC48" s="225"/>
      <c r="JDD48" s="225"/>
      <c r="JDE48" s="225"/>
      <c r="JDF48" s="225"/>
      <c r="JDG48" s="225"/>
      <c r="JDH48" s="225"/>
      <c r="JDI48" s="225"/>
      <c r="JDJ48" s="225"/>
      <c r="JDK48" s="225"/>
      <c r="JDL48" s="225"/>
      <c r="JDM48" s="225"/>
      <c r="JDN48" s="225"/>
      <c r="JDO48" s="225"/>
      <c r="JDP48" s="225"/>
      <c r="JDQ48" s="225"/>
      <c r="JDR48" s="225"/>
      <c r="JDS48" s="225"/>
      <c r="JDT48" s="225"/>
      <c r="JDU48" s="225"/>
      <c r="JDV48" s="225"/>
      <c r="JDW48" s="225"/>
      <c r="JDX48" s="225"/>
      <c r="JDY48" s="225"/>
      <c r="JDZ48" s="225"/>
      <c r="JEA48" s="225"/>
      <c r="JEB48" s="225"/>
      <c r="JEC48" s="225"/>
      <c r="JED48" s="225"/>
      <c r="JEE48" s="225"/>
      <c r="JEF48" s="225"/>
      <c r="JEG48" s="225"/>
      <c r="JEH48" s="225"/>
      <c r="JEI48" s="225"/>
      <c r="JEJ48" s="225"/>
      <c r="JEK48" s="225"/>
      <c r="JEL48" s="225"/>
      <c r="JEM48" s="225"/>
      <c r="JEN48" s="225"/>
      <c r="JEO48" s="225"/>
      <c r="JEP48" s="225"/>
      <c r="JEQ48" s="225"/>
      <c r="JER48" s="225"/>
      <c r="JES48" s="225"/>
      <c r="JET48" s="225"/>
      <c r="JEU48" s="225"/>
      <c r="JEV48" s="225"/>
      <c r="JEW48" s="225"/>
      <c r="JEX48" s="225"/>
      <c r="JEY48" s="225"/>
      <c r="JEZ48" s="225"/>
      <c r="JFA48" s="225"/>
      <c r="JFB48" s="225"/>
      <c r="JFC48" s="225"/>
      <c r="JFD48" s="225"/>
      <c r="JFE48" s="225"/>
      <c r="JFF48" s="225"/>
      <c r="JFG48" s="225"/>
      <c r="JFH48" s="225"/>
      <c r="JFI48" s="225"/>
      <c r="JFJ48" s="225"/>
      <c r="JFK48" s="225"/>
      <c r="JFL48" s="225"/>
      <c r="JFM48" s="225"/>
      <c r="JFN48" s="225"/>
      <c r="JFO48" s="225"/>
      <c r="JFP48" s="225"/>
      <c r="JFQ48" s="225"/>
      <c r="JFR48" s="225"/>
      <c r="JFS48" s="225"/>
      <c r="JFT48" s="225"/>
      <c r="JFU48" s="225"/>
      <c r="JFV48" s="225"/>
      <c r="JFW48" s="225"/>
      <c r="JFX48" s="225"/>
      <c r="JFY48" s="225"/>
      <c r="JFZ48" s="225"/>
      <c r="JGA48" s="225"/>
      <c r="JGB48" s="225"/>
      <c r="JGC48" s="225"/>
      <c r="JGD48" s="225"/>
      <c r="JGE48" s="225"/>
      <c r="JGF48" s="225"/>
      <c r="JGG48" s="225"/>
      <c r="JGH48" s="225"/>
      <c r="JGI48" s="225"/>
      <c r="JGJ48" s="225"/>
      <c r="JGK48" s="225"/>
      <c r="JGL48" s="225"/>
      <c r="JGM48" s="225"/>
      <c r="JGN48" s="225"/>
      <c r="JGO48" s="225"/>
      <c r="JGP48" s="225"/>
      <c r="JGQ48" s="225"/>
      <c r="JGR48" s="225"/>
      <c r="JGS48" s="225"/>
      <c r="JGT48" s="225"/>
      <c r="JGU48" s="225"/>
      <c r="JGV48" s="225"/>
      <c r="JGW48" s="225"/>
      <c r="JGX48" s="225"/>
      <c r="JGY48" s="225"/>
      <c r="JGZ48" s="225"/>
      <c r="JHA48" s="225"/>
      <c r="JHB48" s="225"/>
      <c r="JHC48" s="225"/>
      <c r="JHD48" s="225"/>
      <c r="JHE48" s="225"/>
      <c r="JHF48" s="225"/>
      <c r="JHG48" s="225"/>
      <c r="JHH48" s="225"/>
      <c r="JHI48" s="225"/>
      <c r="JHJ48" s="225"/>
      <c r="JHK48" s="225"/>
      <c r="JHL48" s="225"/>
      <c r="JHM48" s="225"/>
      <c r="JHN48" s="225"/>
      <c r="JHO48" s="225"/>
      <c r="JHP48" s="225"/>
      <c r="JHQ48" s="225"/>
      <c r="JHR48" s="225"/>
      <c r="JHS48" s="225"/>
      <c r="JHT48" s="225"/>
      <c r="JHU48" s="225"/>
      <c r="JHV48" s="225"/>
      <c r="JHW48" s="225"/>
      <c r="JHX48" s="225"/>
      <c r="JHY48" s="225"/>
      <c r="JHZ48" s="225"/>
      <c r="JIA48" s="225"/>
      <c r="JIB48" s="225"/>
      <c r="JIC48" s="225"/>
      <c r="JID48" s="225"/>
      <c r="JIE48" s="225"/>
      <c r="JIF48" s="225"/>
      <c r="JIG48" s="225"/>
      <c r="JIH48" s="225"/>
      <c r="JII48" s="225"/>
      <c r="JIJ48" s="225"/>
      <c r="JIK48" s="225"/>
      <c r="JIL48" s="225"/>
      <c r="JIM48" s="225"/>
      <c r="JIN48" s="225"/>
      <c r="JIO48" s="225"/>
      <c r="JIP48" s="225"/>
      <c r="JIQ48" s="225"/>
      <c r="JIR48" s="225"/>
      <c r="JIS48" s="225"/>
      <c r="JIT48" s="225"/>
      <c r="JIU48" s="225"/>
      <c r="JIV48" s="225"/>
      <c r="JIW48" s="225"/>
      <c r="JIX48" s="225"/>
      <c r="JIY48" s="225"/>
      <c r="JIZ48" s="225"/>
      <c r="JJA48" s="225"/>
      <c r="JJB48" s="225"/>
      <c r="JJC48" s="225"/>
      <c r="JJD48" s="225"/>
      <c r="JJE48" s="225"/>
      <c r="JJF48" s="225"/>
      <c r="JJG48" s="225"/>
      <c r="JJH48" s="225"/>
      <c r="JJI48" s="225"/>
      <c r="JJJ48" s="225"/>
      <c r="JJK48" s="225"/>
      <c r="JJL48" s="225"/>
      <c r="JJM48" s="225"/>
      <c r="JJN48" s="225"/>
      <c r="JJO48" s="225"/>
      <c r="JJP48" s="225"/>
      <c r="JJQ48" s="225"/>
      <c r="JJR48" s="225"/>
      <c r="JJS48" s="225"/>
      <c r="JJT48" s="225"/>
      <c r="JJU48" s="225"/>
      <c r="JJV48" s="225"/>
      <c r="JJW48" s="225"/>
      <c r="JJX48" s="225"/>
      <c r="JJY48" s="225"/>
      <c r="JJZ48" s="225"/>
      <c r="JKA48" s="225"/>
      <c r="JKB48" s="225"/>
      <c r="JKC48" s="225"/>
      <c r="JKD48" s="225"/>
      <c r="JKE48" s="225"/>
      <c r="JKF48" s="225"/>
      <c r="JKG48" s="225"/>
      <c r="JKH48" s="225"/>
      <c r="JKI48" s="225"/>
      <c r="JKJ48" s="225"/>
      <c r="JKK48" s="225"/>
      <c r="JKL48" s="225"/>
      <c r="JKM48" s="225"/>
      <c r="JKN48" s="225"/>
      <c r="JKO48" s="225"/>
      <c r="JKP48" s="225"/>
      <c r="JKQ48" s="225"/>
      <c r="JKR48" s="225"/>
      <c r="JKS48" s="225"/>
      <c r="JKT48" s="225"/>
      <c r="JKU48" s="225"/>
      <c r="JKV48" s="225"/>
      <c r="JKW48" s="225"/>
      <c r="JKX48" s="225"/>
      <c r="JKY48" s="225"/>
      <c r="JKZ48" s="225"/>
      <c r="JLA48" s="225"/>
      <c r="JLB48" s="225"/>
      <c r="JLC48" s="225"/>
      <c r="JLD48" s="225"/>
      <c r="JLE48" s="225"/>
      <c r="JLF48" s="225"/>
      <c r="JLG48" s="225"/>
      <c r="JLH48" s="225"/>
      <c r="JLI48" s="225"/>
      <c r="JLJ48" s="225"/>
      <c r="JLK48" s="225"/>
      <c r="JLL48" s="225"/>
      <c r="JLM48" s="225"/>
      <c r="JLN48" s="225"/>
      <c r="JLO48" s="225"/>
      <c r="JLP48" s="225"/>
      <c r="JLQ48" s="225"/>
      <c r="JLR48" s="225"/>
      <c r="JLS48" s="225"/>
      <c r="JLT48" s="225"/>
      <c r="JLU48" s="225"/>
      <c r="JLV48" s="225"/>
      <c r="JLW48" s="225"/>
      <c r="JLX48" s="225"/>
      <c r="JLY48" s="225"/>
      <c r="JLZ48" s="225"/>
      <c r="JMA48" s="225"/>
      <c r="JMB48" s="225"/>
      <c r="JMC48" s="225"/>
      <c r="JMD48" s="225"/>
      <c r="JME48" s="225"/>
      <c r="JMF48" s="225"/>
      <c r="JMG48" s="225"/>
      <c r="JMH48" s="225"/>
      <c r="JMI48" s="225"/>
      <c r="JMJ48" s="225"/>
      <c r="JMK48" s="225"/>
      <c r="JML48" s="225"/>
      <c r="JMM48" s="225"/>
      <c r="JMN48" s="225"/>
      <c r="JMO48" s="225"/>
      <c r="JMP48" s="225"/>
      <c r="JMQ48" s="225"/>
      <c r="JMR48" s="225"/>
      <c r="JMS48" s="225"/>
      <c r="JMT48" s="225"/>
      <c r="JMU48" s="225"/>
      <c r="JMV48" s="225"/>
      <c r="JMW48" s="225"/>
      <c r="JMX48" s="225"/>
      <c r="JMY48" s="225"/>
      <c r="JMZ48" s="225"/>
      <c r="JNA48" s="225"/>
      <c r="JNB48" s="225"/>
      <c r="JNC48" s="225"/>
      <c r="JND48" s="225"/>
      <c r="JNE48" s="225"/>
      <c r="JNF48" s="225"/>
      <c r="JNG48" s="225"/>
      <c r="JNH48" s="225"/>
      <c r="JNI48" s="225"/>
      <c r="JNJ48" s="225"/>
      <c r="JNK48" s="225"/>
      <c r="JNL48" s="225"/>
      <c r="JNM48" s="225"/>
      <c r="JNN48" s="225"/>
      <c r="JNO48" s="225"/>
      <c r="JNP48" s="225"/>
      <c r="JNQ48" s="225"/>
      <c r="JNR48" s="225"/>
      <c r="JNS48" s="225"/>
      <c r="JNT48" s="225"/>
      <c r="JNU48" s="225"/>
      <c r="JNV48" s="225"/>
      <c r="JNW48" s="225"/>
      <c r="JNX48" s="225"/>
      <c r="JNY48" s="225"/>
      <c r="JNZ48" s="225"/>
      <c r="JOA48" s="225"/>
      <c r="JOB48" s="225"/>
      <c r="JOC48" s="225"/>
      <c r="JOD48" s="225"/>
      <c r="JOE48" s="225"/>
      <c r="JOF48" s="225"/>
      <c r="JOG48" s="225"/>
      <c r="JOH48" s="225"/>
      <c r="JOI48" s="225"/>
      <c r="JOJ48" s="225"/>
      <c r="JOK48" s="225"/>
      <c r="JOL48" s="225"/>
      <c r="JOM48" s="225"/>
      <c r="JON48" s="225"/>
      <c r="JOO48" s="225"/>
      <c r="JOP48" s="225"/>
      <c r="JOQ48" s="225"/>
      <c r="JOR48" s="225"/>
      <c r="JOS48" s="225"/>
      <c r="JOT48" s="225"/>
      <c r="JOU48" s="225"/>
      <c r="JOV48" s="225"/>
      <c r="JOW48" s="225"/>
      <c r="JOX48" s="225"/>
      <c r="JOY48" s="225"/>
      <c r="JOZ48" s="225"/>
      <c r="JPA48" s="225"/>
      <c r="JPB48" s="225"/>
      <c r="JPC48" s="225"/>
      <c r="JPD48" s="225"/>
      <c r="JPE48" s="225"/>
      <c r="JPF48" s="225"/>
      <c r="JPG48" s="225"/>
      <c r="JPH48" s="225"/>
      <c r="JPI48" s="225"/>
      <c r="JPJ48" s="225"/>
      <c r="JPK48" s="225"/>
      <c r="JPL48" s="225"/>
      <c r="JPM48" s="225"/>
      <c r="JPN48" s="225"/>
      <c r="JPO48" s="225"/>
      <c r="JPP48" s="225"/>
      <c r="JPQ48" s="225"/>
      <c r="JPR48" s="225"/>
      <c r="JPS48" s="225"/>
      <c r="JPT48" s="225"/>
      <c r="JPU48" s="225"/>
      <c r="JPV48" s="225"/>
      <c r="JPW48" s="225"/>
      <c r="JPX48" s="225"/>
      <c r="JPY48" s="225"/>
      <c r="JPZ48" s="225"/>
      <c r="JQA48" s="225"/>
      <c r="JQB48" s="225"/>
      <c r="JQC48" s="225"/>
      <c r="JQD48" s="225"/>
      <c r="JQE48" s="225"/>
      <c r="JQF48" s="225"/>
      <c r="JQG48" s="225"/>
      <c r="JQH48" s="225"/>
      <c r="JQI48" s="225"/>
      <c r="JQJ48" s="225"/>
      <c r="JQK48" s="225"/>
      <c r="JQL48" s="225"/>
      <c r="JQM48" s="225"/>
      <c r="JQN48" s="225"/>
      <c r="JQO48" s="225"/>
      <c r="JQP48" s="225"/>
      <c r="JQQ48" s="225"/>
      <c r="JQR48" s="225"/>
      <c r="JQS48" s="225"/>
      <c r="JQT48" s="225"/>
      <c r="JQU48" s="225"/>
      <c r="JQV48" s="225"/>
      <c r="JQW48" s="225"/>
      <c r="JQX48" s="225"/>
      <c r="JQY48" s="225"/>
      <c r="JQZ48" s="225"/>
      <c r="JRA48" s="225"/>
      <c r="JRB48" s="225"/>
      <c r="JRC48" s="225"/>
      <c r="JRD48" s="225"/>
      <c r="JRE48" s="225"/>
      <c r="JRF48" s="225"/>
      <c r="JRG48" s="225"/>
      <c r="JRH48" s="225"/>
      <c r="JRI48" s="225"/>
      <c r="JRJ48" s="225"/>
      <c r="JRK48" s="225"/>
      <c r="JRL48" s="225"/>
      <c r="JRM48" s="225"/>
      <c r="JRN48" s="225"/>
      <c r="JRO48" s="225"/>
      <c r="JRP48" s="225"/>
      <c r="JRQ48" s="225"/>
      <c r="JRR48" s="225"/>
      <c r="JRS48" s="225"/>
      <c r="JRT48" s="225"/>
      <c r="JRU48" s="225"/>
      <c r="JRV48" s="225"/>
      <c r="JRW48" s="225"/>
      <c r="JRX48" s="225"/>
      <c r="JRY48" s="225"/>
      <c r="JRZ48" s="225"/>
      <c r="JSA48" s="225"/>
      <c r="JSB48" s="225"/>
      <c r="JSC48" s="225"/>
      <c r="JSD48" s="225"/>
      <c r="JSE48" s="225"/>
      <c r="JSF48" s="225"/>
      <c r="JSG48" s="225"/>
      <c r="JSH48" s="225"/>
      <c r="JSI48" s="225"/>
      <c r="JSJ48" s="225"/>
      <c r="JSK48" s="225"/>
      <c r="JSL48" s="225"/>
      <c r="JSM48" s="225"/>
      <c r="JSN48" s="225"/>
      <c r="JSO48" s="225"/>
      <c r="JSP48" s="225"/>
      <c r="JSQ48" s="225"/>
      <c r="JSR48" s="225"/>
      <c r="JSS48" s="225"/>
      <c r="JST48" s="225"/>
      <c r="JSU48" s="225"/>
      <c r="JSV48" s="225"/>
      <c r="JSW48" s="225"/>
      <c r="JSX48" s="225"/>
      <c r="JSY48" s="225"/>
      <c r="JSZ48" s="225"/>
      <c r="JTA48" s="225"/>
      <c r="JTB48" s="225"/>
      <c r="JTC48" s="225"/>
      <c r="JTD48" s="225"/>
      <c r="JTE48" s="225"/>
      <c r="JTF48" s="225"/>
      <c r="JTG48" s="225"/>
      <c r="JTH48" s="225"/>
      <c r="JTI48" s="225"/>
      <c r="JTJ48" s="225"/>
      <c r="JTK48" s="225"/>
      <c r="JTL48" s="225"/>
      <c r="JTM48" s="225"/>
      <c r="JTN48" s="225"/>
      <c r="JTO48" s="225"/>
      <c r="JTP48" s="225"/>
      <c r="JTQ48" s="225"/>
      <c r="JTR48" s="225"/>
      <c r="JTS48" s="225"/>
      <c r="JTT48" s="225"/>
      <c r="JTU48" s="225"/>
      <c r="JTV48" s="225"/>
      <c r="JTW48" s="225"/>
      <c r="JTX48" s="225"/>
      <c r="JTY48" s="225"/>
      <c r="JTZ48" s="225"/>
      <c r="JUA48" s="225"/>
      <c r="JUB48" s="225"/>
      <c r="JUC48" s="225"/>
      <c r="JUD48" s="225"/>
      <c r="JUE48" s="225"/>
      <c r="JUF48" s="225"/>
      <c r="JUG48" s="225"/>
      <c r="JUH48" s="225"/>
      <c r="JUI48" s="225"/>
      <c r="JUJ48" s="225"/>
      <c r="JUK48" s="225"/>
      <c r="JUL48" s="225"/>
      <c r="JUM48" s="225"/>
      <c r="JUN48" s="225"/>
      <c r="JUO48" s="225"/>
      <c r="JUP48" s="225"/>
      <c r="JUQ48" s="225"/>
      <c r="JUR48" s="225"/>
      <c r="JUS48" s="225"/>
      <c r="JUT48" s="225"/>
      <c r="JUU48" s="225"/>
      <c r="JUV48" s="225"/>
      <c r="JUW48" s="225"/>
      <c r="JUX48" s="225"/>
      <c r="JUY48" s="225"/>
      <c r="JUZ48" s="225"/>
      <c r="JVA48" s="225"/>
      <c r="JVB48" s="225"/>
      <c r="JVC48" s="225"/>
      <c r="JVD48" s="225"/>
      <c r="JVE48" s="225"/>
      <c r="JVF48" s="225"/>
      <c r="JVG48" s="225"/>
      <c r="JVH48" s="225"/>
      <c r="JVI48" s="225"/>
      <c r="JVJ48" s="225"/>
      <c r="JVK48" s="225"/>
      <c r="JVL48" s="225"/>
      <c r="JVM48" s="225"/>
      <c r="JVN48" s="225"/>
      <c r="JVO48" s="225"/>
      <c r="JVP48" s="225"/>
      <c r="JVQ48" s="225"/>
      <c r="JVR48" s="225"/>
      <c r="JVS48" s="225"/>
      <c r="JVT48" s="225"/>
      <c r="JVU48" s="225"/>
      <c r="JVV48" s="225"/>
      <c r="JVW48" s="225"/>
      <c r="JVX48" s="225"/>
      <c r="JVY48" s="225"/>
      <c r="JVZ48" s="225"/>
      <c r="JWA48" s="225"/>
      <c r="JWB48" s="225"/>
      <c r="JWC48" s="225"/>
      <c r="JWD48" s="225"/>
      <c r="JWE48" s="225"/>
      <c r="JWF48" s="225"/>
      <c r="JWG48" s="225"/>
      <c r="JWH48" s="225"/>
      <c r="JWI48" s="225"/>
      <c r="JWJ48" s="225"/>
      <c r="JWK48" s="225"/>
      <c r="JWL48" s="225"/>
      <c r="JWM48" s="225"/>
      <c r="JWN48" s="225"/>
      <c r="JWO48" s="225"/>
      <c r="JWP48" s="225"/>
      <c r="JWQ48" s="225"/>
      <c r="JWR48" s="225"/>
      <c r="JWS48" s="225"/>
      <c r="JWT48" s="225"/>
      <c r="JWU48" s="225"/>
      <c r="JWV48" s="225"/>
      <c r="JWW48" s="225"/>
      <c r="JWX48" s="225"/>
      <c r="JWY48" s="225"/>
      <c r="JWZ48" s="225"/>
      <c r="JXA48" s="225"/>
      <c r="JXB48" s="225"/>
      <c r="JXC48" s="225"/>
      <c r="JXD48" s="225"/>
      <c r="JXE48" s="225"/>
      <c r="JXF48" s="225"/>
      <c r="JXG48" s="225"/>
      <c r="JXH48" s="225"/>
      <c r="JXI48" s="225"/>
      <c r="JXJ48" s="225"/>
      <c r="JXK48" s="225"/>
      <c r="JXL48" s="225"/>
      <c r="JXM48" s="225"/>
      <c r="JXN48" s="225"/>
      <c r="JXO48" s="225"/>
      <c r="JXP48" s="225"/>
      <c r="JXQ48" s="225"/>
      <c r="JXR48" s="225"/>
      <c r="JXS48" s="225"/>
      <c r="JXT48" s="225"/>
      <c r="JXU48" s="225"/>
      <c r="JXV48" s="225"/>
      <c r="JXW48" s="225"/>
      <c r="JXX48" s="225"/>
      <c r="JXY48" s="225"/>
      <c r="JXZ48" s="225"/>
      <c r="JYA48" s="225"/>
      <c r="JYB48" s="225"/>
      <c r="JYC48" s="225"/>
      <c r="JYD48" s="225"/>
      <c r="JYE48" s="225"/>
      <c r="JYF48" s="225"/>
      <c r="JYG48" s="225"/>
      <c r="JYH48" s="225"/>
      <c r="JYI48" s="225"/>
      <c r="JYJ48" s="225"/>
      <c r="JYK48" s="225"/>
      <c r="JYL48" s="225"/>
      <c r="JYM48" s="225"/>
      <c r="JYN48" s="225"/>
      <c r="JYO48" s="225"/>
      <c r="JYP48" s="225"/>
      <c r="JYQ48" s="225"/>
      <c r="JYR48" s="225"/>
      <c r="JYS48" s="225"/>
      <c r="JYT48" s="225"/>
      <c r="JYU48" s="225"/>
      <c r="JYV48" s="225"/>
      <c r="JYW48" s="225"/>
      <c r="JYX48" s="225"/>
      <c r="JYY48" s="225"/>
      <c r="JYZ48" s="225"/>
      <c r="JZA48" s="225"/>
      <c r="JZB48" s="225"/>
      <c r="JZC48" s="225"/>
      <c r="JZD48" s="225"/>
      <c r="JZE48" s="225"/>
      <c r="JZF48" s="225"/>
      <c r="JZG48" s="225"/>
      <c r="JZH48" s="225"/>
      <c r="JZI48" s="225"/>
      <c r="JZJ48" s="225"/>
      <c r="JZK48" s="225"/>
      <c r="JZL48" s="225"/>
      <c r="JZM48" s="225"/>
      <c r="JZN48" s="225"/>
      <c r="JZO48" s="225"/>
      <c r="JZP48" s="225"/>
      <c r="JZQ48" s="225"/>
      <c r="JZR48" s="225"/>
      <c r="JZS48" s="225"/>
      <c r="JZT48" s="225"/>
      <c r="JZU48" s="225"/>
      <c r="JZV48" s="225"/>
      <c r="JZW48" s="225"/>
      <c r="JZX48" s="225"/>
      <c r="JZY48" s="225"/>
      <c r="JZZ48" s="225"/>
      <c r="KAA48" s="225"/>
      <c r="KAB48" s="225"/>
      <c r="KAC48" s="225"/>
      <c r="KAD48" s="225"/>
      <c r="KAE48" s="225"/>
      <c r="KAF48" s="225"/>
      <c r="KAG48" s="225"/>
      <c r="KAH48" s="225"/>
      <c r="KAI48" s="225"/>
      <c r="KAJ48" s="225"/>
      <c r="KAK48" s="225"/>
      <c r="KAL48" s="225"/>
      <c r="KAM48" s="225"/>
      <c r="KAN48" s="225"/>
      <c r="KAO48" s="225"/>
      <c r="KAP48" s="225"/>
      <c r="KAQ48" s="225"/>
      <c r="KAR48" s="225"/>
      <c r="KAS48" s="225"/>
      <c r="KAT48" s="225"/>
      <c r="KAU48" s="225"/>
      <c r="KAV48" s="225"/>
      <c r="KAW48" s="225"/>
      <c r="KAX48" s="225"/>
      <c r="KAY48" s="225"/>
      <c r="KAZ48" s="225"/>
      <c r="KBA48" s="225"/>
      <c r="KBB48" s="225"/>
      <c r="KBC48" s="225"/>
      <c r="KBD48" s="225"/>
      <c r="KBE48" s="225"/>
      <c r="KBF48" s="225"/>
      <c r="KBG48" s="225"/>
      <c r="KBH48" s="225"/>
      <c r="KBI48" s="225"/>
      <c r="KBJ48" s="225"/>
      <c r="KBK48" s="225"/>
      <c r="KBL48" s="225"/>
      <c r="KBM48" s="225"/>
      <c r="KBN48" s="225"/>
      <c r="KBO48" s="225"/>
      <c r="KBP48" s="225"/>
      <c r="KBQ48" s="225"/>
      <c r="KBR48" s="225"/>
      <c r="KBS48" s="225"/>
      <c r="KBT48" s="225"/>
      <c r="KBU48" s="225"/>
      <c r="KBV48" s="225"/>
      <c r="KBW48" s="225"/>
      <c r="KBX48" s="225"/>
      <c r="KBY48" s="225"/>
      <c r="KBZ48" s="225"/>
      <c r="KCA48" s="225"/>
      <c r="KCB48" s="225"/>
      <c r="KCC48" s="225"/>
      <c r="KCD48" s="225"/>
      <c r="KCE48" s="225"/>
      <c r="KCF48" s="225"/>
      <c r="KCG48" s="225"/>
      <c r="KCH48" s="225"/>
      <c r="KCI48" s="225"/>
      <c r="KCJ48" s="225"/>
      <c r="KCK48" s="225"/>
      <c r="KCL48" s="225"/>
      <c r="KCM48" s="225"/>
      <c r="KCN48" s="225"/>
      <c r="KCO48" s="225"/>
      <c r="KCP48" s="225"/>
      <c r="KCQ48" s="225"/>
      <c r="KCR48" s="225"/>
      <c r="KCS48" s="225"/>
      <c r="KCT48" s="225"/>
      <c r="KCU48" s="225"/>
      <c r="KCV48" s="225"/>
      <c r="KCW48" s="225"/>
      <c r="KCX48" s="225"/>
      <c r="KCY48" s="225"/>
      <c r="KCZ48" s="225"/>
      <c r="KDA48" s="225"/>
      <c r="KDB48" s="225"/>
      <c r="KDC48" s="225"/>
      <c r="KDD48" s="225"/>
      <c r="KDE48" s="225"/>
      <c r="KDF48" s="225"/>
      <c r="KDG48" s="225"/>
      <c r="KDH48" s="225"/>
      <c r="KDI48" s="225"/>
      <c r="KDJ48" s="225"/>
      <c r="KDK48" s="225"/>
      <c r="KDL48" s="225"/>
      <c r="KDM48" s="225"/>
      <c r="KDN48" s="225"/>
      <c r="KDO48" s="225"/>
      <c r="KDP48" s="225"/>
      <c r="KDQ48" s="225"/>
      <c r="KDR48" s="225"/>
      <c r="KDS48" s="225"/>
      <c r="KDT48" s="225"/>
      <c r="KDU48" s="225"/>
      <c r="KDV48" s="225"/>
      <c r="KDW48" s="225"/>
      <c r="KDX48" s="225"/>
      <c r="KDY48" s="225"/>
      <c r="KDZ48" s="225"/>
      <c r="KEA48" s="225"/>
      <c r="KEB48" s="225"/>
      <c r="KEC48" s="225"/>
      <c r="KED48" s="225"/>
      <c r="KEE48" s="225"/>
      <c r="KEF48" s="225"/>
      <c r="KEG48" s="225"/>
      <c r="KEH48" s="225"/>
      <c r="KEI48" s="225"/>
      <c r="KEJ48" s="225"/>
      <c r="KEK48" s="225"/>
      <c r="KEL48" s="225"/>
      <c r="KEM48" s="225"/>
      <c r="KEN48" s="225"/>
      <c r="KEO48" s="225"/>
      <c r="KEP48" s="225"/>
      <c r="KEQ48" s="225"/>
      <c r="KER48" s="225"/>
      <c r="KES48" s="225"/>
      <c r="KET48" s="225"/>
      <c r="KEU48" s="225"/>
      <c r="KEV48" s="225"/>
      <c r="KEW48" s="225"/>
      <c r="KEX48" s="225"/>
      <c r="KEY48" s="225"/>
      <c r="KEZ48" s="225"/>
      <c r="KFA48" s="225"/>
      <c r="KFB48" s="225"/>
      <c r="KFC48" s="225"/>
      <c r="KFD48" s="225"/>
      <c r="KFE48" s="225"/>
      <c r="KFF48" s="225"/>
      <c r="KFG48" s="225"/>
      <c r="KFH48" s="225"/>
      <c r="KFI48" s="225"/>
      <c r="KFJ48" s="225"/>
      <c r="KFK48" s="225"/>
      <c r="KFL48" s="225"/>
      <c r="KFM48" s="225"/>
      <c r="KFN48" s="225"/>
      <c r="KFO48" s="225"/>
      <c r="KFP48" s="225"/>
      <c r="KFQ48" s="225"/>
      <c r="KFR48" s="225"/>
      <c r="KFS48" s="225"/>
      <c r="KFT48" s="225"/>
      <c r="KFU48" s="225"/>
      <c r="KFV48" s="225"/>
      <c r="KFW48" s="225"/>
      <c r="KFX48" s="225"/>
      <c r="KFY48" s="225"/>
      <c r="KFZ48" s="225"/>
      <c r="KGA48" s="225"/>
      <c r="KGB48" s="225"/>
      <c r="KGC48" s="225"/>
      <c r="KGD48" s="225"/>
      <c r="KGE48" s="225"/>
      <c r="KGF48" s="225"/>
      <c r="KGG48" s="225"/>
      <c r="KGH48" s="225"/>
      <c r="KGI48" s="225"/>
      <c r="KGJ48" s="225"/>
      <c r="KGK48" s="225"/>
      <c r="KGL48" s="225"/>
      <c r="KGM48" s="225"/>
      <c r="KGN48" s="225"/>
      <c r="KGO48" s="225"/>
      <c r="KGP48" s="225"/>
      <c r="KGQ48" s="225"/>
      <c r="KGR48" s="225"/>
      <c r="KGS48" s="225"/>
      <c r="KGT48" s="225"/>
      <c r="KGU48" s="225"/>
      <c r="KGV48" s="225"/>
      <c r="KGW48" s="225"/>
      <c r="KGX48" s="225"/>
      <c r="KGY48" s="225"/>
      <c r="KGZ48" s="225"/>
      <c r="KHA48" s="225"/>
      <c r="KHB48" s="225"/>
      <c r="KHC48" s="225"/>
      <c r="KHD48" s="225"/>
      <c r="KHE48" s="225"/>
      <c r="KHF48" s="225"/>
      <c r="KHG48" s="225"/>
      <c r="KHH48" s="225"/>
      <c r="KHI48" s="225"/>
      <c r="KHJ48" s="225"/>
      <c r="KHK48" s="225"/>
      <c r="KHL48" s="225"/>
      <c r="KHM48" s="225"/>
      <c r="KHN48" s="225"/>
      <c r="KHO48" s="225"/>
      <c r="KHP48" s="225"/>
      <c r="KHQ48" s="225"/>
      <c r="KHR48" s="225"/>
      <c r="KHS48" s="225"/>
      <c r="KHT48" s="225"/>
      <c r="KHU48" s="225"/>
      <c r="KHV48" s="225"/>
      <c r="KHW48" s="225"/>
      <c r="KHX48" s="225"/>
      <c r="KHY48" s="225"/>
      <c r="KHZ48" s="225"/>
      <c r="KIA48" s="225"/>
      <c r="KIB48" s="225"/>
      <c r="KIC48" s="225"/>
      <c r="KID48" s="225"/>
      <c r="KIE48" s="225"/>
      <c r="KIF48" s="225"/>
      <c r="KIG48" s="225"/>
      <c r="KIH48" s="225"/>
      <c r="KII48" s="225"/>
      <c r="KIJ48" s="225"/>
      <c r="KIK48" s="225"/>
      <c r="KIL48" s="225"/>
      <c r="KIM48" s="225"/>
      <c r="KIN48" s="225"/>
      <c r="KIO48" s="225"/>
      <c r="KIP48" s="225"/>
      <c r="KIQ48" s="225"/>
      <c r="KIR48" s="225"/>
      <c r="KIS48" s="225"/>
      <c r="KIT48" s="225"/>
      <c r="KIU48" s="225"/>
      <c r="KIV48" s="225"/>
      <c r="KIW48" s="225"/>
      <c r="KIX48" s="225"/>
      <c r="KIY48" s="225"/>
      <c r="KIZ48" s="225"/>
      <c r="KJA48" s="225"/>
      <c r="KJB48" s="225"/>
      <c r="KJC48" s="225"/>
      <c r="KJD48" s="225"/>
      <c r="KJE48" s="225"/>
      <c r="KJF48" s="225"/>
      <c r="KJG48" s="225"/>
      <c r="KJH48" s="225"/>
      <c r="KJI48" s="225"/>
      <c r="KJJ48" s="225"/>
      <c r="KJK48" s="225"/>
      <c r="KJL48" s="225"/>
      <c r="KJM48" s="225"/>
      <c r="KJN48" s="225"/>
      <c r="KJO48" s="225"/>
      <c r="KJP48" s="225"/>
      <c r="KJQ48" s="225"/>
      <c r="KJR48" s="225"/>
      <c r="KJS48" s="225"/>
      <c r="KJT48" s="225"/>
      <c r="KJU48" s="225"/>
      <c r="KJV48" s="225"/>
      <c r="KJW48" s="225"/>
      <c r="KJX48" s="225"/>
      <c r="KJY48" s="225"/>
      <c r="KJZ48" s="225"/>
      <c r="KKA48" s="225"/>
      <c r="KKB48" s="225"/>
      <c r="KKC48" s="225"/>
      <c r="KKD48" s="225"/>
      <c r="KKE48" s="225"/>
      <c r="KKF48" s="225"/>
      <c r="KKG48" s="225"/>
      <c r="KKH48" s="225"/>
      <c r="KKI48" s="225"/>
      <c r="KKJ48" s="225"/>
      <c r="KKK48" s="225"/>
      <c r="KKL48" s="225"/>
      <c r="KKM48" s="225"/>
      <c r="KKN48" s="225"/>
      <c r="KKO48" s="225"/>
      <c r="KKP48" s="225"/>
      <c r="KKQ48" s="225"/>
      <c r="KKR48" s="225"/>
      <c r="KKS48" s="225"/>
      <c r="KKT48" s="225"/>
      <c r="KKU48" s="225"/>
      <c r="KKV48" s="225"/>
      <c r="KKW48" s="225"/>
      <c r="KKX48" s="225"/>
      <c r="KKY48" s="225"/>
      <c r="KKZ48" s="225"/>
      <c r="KLA48" s="225"/>
      <c r="KLB48" s="225"/>
      <c r="KLC48" s="225"/>
      <c r="KLD48" s="225"/>
      <c r="KLE48" s="225"/>
      <c r="KLF48" s="225"/>
      <c r="KLG48" s="225"/>
      <c r="KLH48" s="225"/>
      <c r="KLI48" s="225"/>
      <c r="KLJ48" s="225"/>
      <c r="KLK48" s="225"/>
      <c r="KLL48" s="225"/>
      <c r="KLM48" s="225"/>
      <c r="KLN48" s="225"/>
      <c r="KLO48" s="225"/>
      <c r="KLP48" s="225"/>
      <c r="KLQ48" s="225"/>
      <c r="KLR48" s="225"/>
      <c r="KLS48" s="225"/>
      <c r="KLT48" s="225"/>
      <c r="KLU48" s="225"/>
      <c r="KLV48" s="225"/>
      <c r="KLW48" s="225"/>
      <c r="KLX48" s="225"/>
      <c r="KLY48" s="225"/>
      <c r="KLZ48" s="225"/>
      <c r="KMA48" s="225"/>
      <c r="KMB48" s="225"/>
      <c r="KMC48" s="225"/>
      <c r="KMD48" s="225"/>
      <c r="KME48" s="225"/>
      <c r="KMF48" s="225"/>
      <c r="KMG48" s="225"/>
      <c r="KMH48" s="225"/>
      <c r="KMI48" s="225"/>
      <c r="KMJ48" s="225"/>
      <c r="KMK48" s="225"/>
      <c r="KML48" s="225"/>
      <c r="KMM48" s="225"/>
      <c r="KMN48" s="225"/>
      <c r="KMO48" s="225"/>
      <c r="KMP48" s="225"/>
      <c r="KMQ48" s="225"/>
      <c r="KMR48" s="225"/>
      <c r="KMS48" s="225"/>
      <c r="KMT48" s="225"/>
      <c r="KMU48" s="225"/>
      <c r="KMV48" s="225"/>
      <c r="KMW48" s="225"/>
      <c r="KMX48" s="225"/>
      <c r="KMY48" s="225"/>
      <c r="KMZ48" s="225"/>
      <c r="KNA48" s="225"/>
      <c r="KNB48" s="225"/>
      <c r="KNC48" s="225"/>
      <c r="KND48" s="225"/>
      <c r="KNE48" s="225"/>
      <c r="KNF48" s="225"/>
      <c r="KNG48" s="225"/>
      <c r="KNH48" s="225"/>
      <c r="KNI48" s="225"/>
      <c r="KNJ48" s="225"/>
      <c r="KNK48" s="225"/>
      <c r="KNL48" s="225"/>
      <c r="KNM48" s="225"/>
      <c r="KNN48" s="225"/>
      <c r="KNO48" s="225"/>
      <c r="KNP48" s="225"/>
      <c r="KNQ48" s="225"/>
      <c r="KNR48" s="225"/>
      <c r="KNS48" s="225"/>
      <c r="KNT48" s="225"/>
      <c r="KNU48" s="225"/>
      <c r="KNV48" s="225"/>
      <c r="KNW48" s="225"/>
      <c r="KNX48" s="225"/>
      <c r="KNY48" s="225"/>
      <c r="KNZ48" s="225"/>
      <c r="KOA48" s="225"/>
      <c r="KOB48" s="225"/>
      <c r="KOC48" s="225"/>
      <c r="KOD48" s="225"/>
      <c r="KOE48" s="225"/>
      <c r="KOF48" s="225"/>
      <c r="KOG48" s="225"/>
      <c r="KOH48" s="225"/>
      <c r="KOI48" s="225"/>
      <c r="KOJ48" s="225"/>
      <c r="KOK48" s="225"/>
      <c r="KOL48" s="225"/>
      <c r="KOM48" s="225"/>
      <c r="KON48" s="225"/>
      <c r="KOO48" s="225"/>
      <c r="KOP48" s="225"/>
      <c r="KOQ48" s="225"/>
      <c r="KOR48" s="225"/>
      <c r="KOS48" s="225"/>
      <c r="KOT48" s="225"/>
      <c r="KOU48" s="225"/>
      <c r="KOV48" s="225"/>
      <c r="KOW48" s="225"/>
      <c r="KOX48" s="225"/>
      <c r="KOY48" s="225"/>
      <c r="KOZ48" s="225"/>
      <c r="KPA48" s="225"/>
      <c r="KPB48" s="225"/>
      <c r="KPC48" s="225"/>
      <c r="KPD48" s="225"/>
      <c r="KPE48" s="225"/>
      <c r="KPF48" s="225"/>
      <c r="KPG48" s="225"/>
      <c r="KPH48" s="225"/>
      <c r="KPI48" s="225"/>
      <c r="KPJ48" s="225"/>
      <c r="KPK48" s="225"/>
      <c r="KPL48" s="225"/>
      <c r="KPM48" s="225"/>
      <c r="KPN48" s="225"/>
      <c r="KPO48" s="225"/>
      <c r="KPP48" s="225"/>
      <c r="KPQ48" s="225"/>
      <c r="KPR48" s="225"/>
      <c r="KPS48" s="225"/>
      <c r="KPT48" s="225"/>
      <c r="KPU48" s="225"/>
      <c r="KPV48" s="225"/>
      <c r="KPW48" s="225"/>
      <c r="KPX48" s="225"/>
      <c r="KPY48" s="225"/>
      <c r="KPZ48" s="225"/>
      <c r="KQA48" s="225"/>
      <c r="KQB48" s="225"/>
      <c r="KQC48" s="225"/>
      <c r="KQD48" s="225"/>
      <c r="KQE48" s="225"/>
      <c r="KQF48" s="225"/>
      <c r="KQG48" s="225"/>
      <c r="KQH48" s="225"/>
      <c r="KQI48" s="225"/>
      <c r="KQJ48" s="225"/>
      <c r="KQK48" s="225"/>
      <c r="KQL48" s="225"/>
      <c r="KQM48" s="225"/>
      <c r="KQN48" s="225"/>
      <c r="KQO48" s="225"/>
      <c r="KQP48" s="225"/>
      <c r="KQQ48" s="225"/>
      <c r="KQR48" s="225"/>
      <c r="KQS48" s="225"/>
      <c r="KQT48" s="225"/>
      <c r="KQU48" s="225"/>
      <c r="KQV48" s="225"/>
      <c r="KQW48" s="225"/>
      <c r="KQX48" s="225"/>
      <c r="KQY48" s="225"/>
      <c r="KQZ48" s="225"/>
      <c r="KRA48" s="225"/>
      <c r="KRB48" s="225"/>
      <c r="KRC48" s="225"/>
      <c r="KRD48" s="225"/>
      <c r="KRE48" s="225"/>
      <c r="KRF48" s="225"/>
      <c r="KRG48" s="225"/>
      <c r="KRH48" s="225"/>
      <c r="KRI48" s="225"/>
      <c r="KRJ48" s="225"/>
      <c r="KRK48" s="225"/>
      <c r="KRL48" s="225"/>
      <c r="KRM48" s="225"/>
      <c r="KRN48" s="225"/>
      <c r="KRO48" s="225"/>
      <c r="KRP48" s="225"/>
      <c r="KRQ48" s="225"/>
      <c r="KRR48" s="225"/>
      <c r="KRS48" s="225"/>
      <c r="KRT48" s="225"/>
      <c r="KRU48" s="225"/>
      <c r="KRV48" s="225"/>
      <c r="KRW48" s="225"/>
      <c r="KRX48" s="225"/>
      <c r="KRY48" s="225"/>
      <c r="KRZ48" s="225"/>
      <c r="KSA48" s="225"/>
      <c r="KSB48" s="225"/>
      <c r="KSC48" s="225"/>
      <c r="KSD48" s="225"/>
      <c r="KSE48" s="225"/>
      <c r="KSF48" s="225"/>
      <c r="KSG48" s="225"/>
      <c r="KSH48" s="225"/>
      <c r="KSI48" s="225"/>
      <c r="KSJ48" s="225"/>
      <c r="KSK48" s="225"/>
      <c r="KSL48" s="225"/>
      <c r="KSM48" s="225"/>
      <c r="KSN48" s="225"/>
      <c r="KSO48" s="225"/>
      <c r="KSP48" s="225"/>
      <c r="KSQ48" s="225"/>
      <c r="KSR48" s="225"/>
      <c r="KSS48" s="225"/>
      <c r="KST48" s="225"/>
      <c r="KSU48" s="225"/>
      <c r="KSV48" s="225"/>
      <c r="KSW48" s="225"/>
      <c r="KSX48" s="225"/>
      <c r="KSY48" s="225"/>
      <c r="KSZ48" s="225"/>
      <c r="KTA48" s="225"/>
      <c r="KTB48" s="225"/>
      <c r="KTC48" s="225"/>
      <c r="KTD48" s="225"/>
      <c r="KTE48" s="225"/>
      <c r="KTF48" s="225"/>
      <c r="KTG48" s="225"/>
      <c r="KTH48" s="225"/>
      <c r="KTI48" s="225"/>
      <c r="KTJ48" s="225"/>
      <c r="KTK48" s="225"/>
      <c r="KTL48" s="225"/>
      <c r="KTM48" s="225"/>
      <c r="KTN48" s="225"/>
      <c r="KTO48" s="225"/>
      <c r="KTP48" s="225"/>
      <c r="KTQ48" s="225"/>
      <c r="KTR48" s="225"/>
      <c r="KTS48" s="225"/>
      <c r="KTT48" s="225"/>
      <c r="KTU48" s="225"/>
      <c r="KTV48" s="225"/>
      <c r="KTW48" s="225"/>
      <c r="KTX48" s="225"/>
      <c r="KTY48" s="225"/>
      <c r="KTZ48" s="225"/>
      <c r="KUA48" s="225"/>
      <c r="KUB48" s="225"/>
      <c r="KUC48" s="225"/>
      <c r="KUD48" s="225"/>
      <c r="KUE48" s="225"/>
      <c r="KUF48" s="225"/>
      <c r="KUG48" s="225"/>
      <c r="KUH48" s="225"/>
      <c r="KUI48" s="225"/>
      <c r="KUJ48" s="225"/>
      <c r="KUK48" s="225"/>
      <c r="KUL48" s="225"/>
      <c r="KUM48" s="225"/>
      <c r="KUN48" s="225"/>
      <c r="KUO48" s="225"/>
      <c r="KUP48" s="225"/>
      <c r="KUQ48" s="225"/>
      <c r="KUR48" s="225"/>
      <c r="KUS48" s="225"/>
      <c r="KUT48" s="225"/>
      <c r="KUU48" s="225"/>
      <c r="KUV48" s="225"/>
      <c r="KUW48" s="225"/>
      <c r="KUX48" s="225"/>
      <c r="KUY48" s="225"/>
      <c r="KUZ48" s="225"/>
      <c r="KVA48" s="225"/>
      <c r="KVB48" s="225"/>
      <c r="KVC48" s="225"/>
      <c r="KVD48" s="225"/>
      <c r="KVE48" s="225"/>
      <c r="KVF48" s="225"/>
      <c r="KVG48" s="225"/>
      <c r="KVH48" s="225"/>
      <c r="KVI48" s="225"/>
      <c r="KVJ48" s="225"/>
      <c r="KVK48" s="225"/>
      <c r="KVL48" s="225"/>
      <c r="KVM48" s="225"/>
      <c r="KVN48" s="225"/>
      <c r="KVO48" s="225"/>
      <c r="KVP48" s="225"/>
      <c r="KVQ48" s="225"/>
      <c r="KVR48" s="225"/>
      <c r="KVS48" s="225"/>
      <c r="KVT48" s="225"/>
      <c r="KVU48" s="225"/>
      <c r="KVV48" s="225"/>
      <c r="KVW48" s="225"/>
      <c r="KVX48" s="225"/>
      <c r="KVY48" s="225"/>
      <c r="KVZ48" s="225"/>
      <c r="KWA48" s="225"/>
      <c r="KWB48" s="225"/>
      <c r="KWC48" s="225"/>
      <c r="KWD48" s="225"/>
      <c r="KWE48" s="225"/>
      <c r="KWF48" s="225"/>
      <c r="KWG48" s="225"/>
      <c r="KWH48" s="225"/>
      <c r="KWI48" s="225"/>
      <c r="KWJ48" s="225"/>
      <c r="KWK48" s="225"/>
      <c r="KWL48" s="225"/>
      <c r="KWM48" s="225"/>
      <c r="KWN48" s="225"/>
      <c r="KWO48" s="225"/>
      <c r="KWP48" s="225"/>
      <c r="KWQ48" s="225"/>
      <c r="KWR48" s="225"/>
      <c r="KWS48" s="225"/>
      <c r="KWT48" s="225"/>
      <c r="KWU48" s="225"/>
      <c r="KWV48" s="225"/>
      <c r="KWW48" s="225"/>
      <c r="KWX48" s="225"/>
      <c r="KWY48" s="225"/>
      <c r="KWZ48" s="225"/>
      <c r="KXA48" s="225"/>
      <c r="KXB48" s="225"/>
      <c r="KXC48" s="225"/>
      <c r="KXD48" s="225"/>
      <c r="KXE48" s="225"/>
      <c r="KXF48" s="225"/>
      <c r="KXG48" s="225"/>
      <c r="KXH48" s="225"/>
      <c r="KXI48" s="225"/>
      <c r="KXJ48" s="225"/>
      <c r="KXK48" s="225"/>
      <c r="KXL48" s="225"/>
      <c r="KXM48" s="225"/>
      <c r="KXN48" s="225"/>
      <c r="KXO48" s="225"/>
      <c r="KXP48" s="225"/>
      <c r="KXQ48" s="225"/>
      <c r="KXR48" s="225"/>
      <c r="KXS48" s="225"/>
      <c r="KXT48" s="225"/>
      <c r="KXU48" s="225"/>
      <c r="KXV48" s="225"/>
      <c r="KXW48" s="225"/>
      <c r="KXX48" s="225"/>
      <c r="KXY48" s="225"/>
      <c r="KXZ48" s="225"/>
      <c r="KYA48" s="225"/>
      <c r="KYB48" s="225"/>
      <c r="KYC48" s="225"/>
      <c r="KYD48" s="225"/>
      <c r="KYE48" s="225"/>
      <c r="KYF48" s="225"/>
      <c r="KYG48" s="225"/>
      <c r="KYH48" s="225"/>
      <c r="KYI48" s="225"/>
      <c r="KYJ48" s="225"/>
      <c r="KYK48" s="225"/>
      <c r="KYL48" s="225"/>
      <c r="KYM48" s="225"/>
      <c r="KYN48" s="225"/>
      <c r="KYO48" s="225"/>
      <c r="KYP48" s="225"/>
      <c r="KYQ48" s="225"/>
      <c r="KYR48" s="225"/>
      <c r="KYS48" s="225"/>
      <c r="KYT48" s="225"/>
      <c r="KYU48" s="225"/>
      <c r="KYV48" s="225"/>
      <c r="KYW48" s="225"/>
      <c r="KYX48" s="225"/>
      <c r="KYY48" s="225"/>
      <c r="KYZ48" s="225"/>
      <c r="KZA48" s="225"/>
      <c r="KZB48" s="225"/>
      <c r="KZC48" s="225"/>
      <c r="KZD48" s="225"/>
      <c r="KZE48" s="225"/>
      <c r="KZF48" s="225"/>
      <c r="KZG48" s="225"/>
      <c r="KZH48" s="225"/>
      <c r="KZI48" s="225"/>
      <c r="KZJ48" s="225"/>
      <c r="KZK48" s="225"/>
      <c r="KZL48" s="225"/>
      <c r="KZM48" s="225"/>
      <c r="KZN48" s="225"/>
      <c r="KZO48" s="225"/>
      <c r="KZP48" s="225"/>
      <c r="KZQ48" s="225"/>
      <c r="KZR48" s="225"/>
      <c r="KZS48" s="225"/>
      <c r="KZT48" s="225"/>
      <c r="KZU48" s="225"/>
      <c r="KZV48" s="225"/>
      <c r="KZW48" s="225"/>
      <c r="KZX48" s="225"/>
      <c r="KZY48" s="225"/>
      <c r="KZZ48" s="225"/>
      <c r="LAA48" s="225"/>
      <c r="LAB48" s="225"/>
      <c r="LAC48" s="225"/>
      <c r="LAD48" s="225"/>
      <c r="LAE48" s="225"/>
      <c r="LAF48" s="225"/>
      <c r="LAG48" s="225"/>
      <c r="LAH48" s="225"/>
      <c r="LAI48" s="225"/>
      <c r="LAJ48" s="225"/>
      <c r="LAK48" s="225"/>
      <c r="LAL48" s="225"/>
      <c r="LAM48" s="225"/>
      <c r="LAN48" s="225"/>
      <c r="LAO48" s="225"/>
      <c r="LAP48" s="225"/>
      <c r="LAQ48" s="225"/>
      <c r="LAR48" s="225"/>
      <c r="LAS48" s="225"/>
      <c r="LAT48" s="225"/>
      <c r="LAU48" s="225"/>
      <c r="LAV48" s="225"/>
      <c r="LAW48" s="225"/>
      <c r="LAX48" s="225"/>
      <c r="LAY48" s="225"/>
      <c r="LAZ48" s="225"/>
      <c r="LBA48" s="225"/>
      <c r="LBB48" s="225"/>
      <c r="LBC48" s="225"/>
      <c r="LBD48" s="225"/>
      <c r="LBE48" s="225"/>
      <c r="LBF48" s="225"/>
      <c r="LBG48" s="225"/>
      <c r="LBH48" s="225"/>
      <c r="LBI48" s="225"/>
      <c r="LBJ48" s="225"/>
      <c r="LBK48" s="225"/>
      <c r="LBL48" s="225"/>
      <c r="LBM48" s="225"/>
      <c r="LBN48" s="225"/>
      <c r="LBO48" s="225"/>
      <c r="LBP48" s="225"/>
      <c r="LBQ48" s="225"/>
      <c r="LBR48" s="225"/>
      <c r="LBS48" s="225"/>
      <c r="LBT48" s="225"/>
      <c r="LBU48" s="225"/>
      <c r="LBV48" s="225"/>
      <c r="LBW48" s="225"/>
      <c r="LBX48" s="225"/>
      <c r="LBY48" s="225"/>
      <c r="LBZ48" s="225"/>
      <c r="LCA48" s="225"/>
      <c r="LCB48" s="225"/>
      <c r="LCC48" s="225"/>
      <c r="LCD48" s="225"/>
      <c r="LCE48" s="225"/>
      <c r="LCF48" s="225"/>
      <c r="LCG48" s="225"/>
      <c r="LCH48" s="225"/>
      <c r="LCI48" s="225"/>
      <c r="LCJ48" s="225"/>
      <c r="LCK48" s="225"/>
      <c r="LCL48" s="225"/>
      <c r="LCM48" s="225"/>
      <c r="LCN48" s="225"/>
      <c r="LCO48" s="225"/>
      <c r="LCP48" s="225"/>
      <c r="LCQ48" s="225"/>
      <c r="LCR48" s="225"/>
      <c r="LCS48" s="225"/>
      <c r="LCT48" s="225"/>
      <c r="LCU48" s="225"/>
      <c r="LCV48" s="225"/>
      <c r="LCW48" s="225"/>
      <c r="LCX48" s="225"/>
      <c r="LCY48" s="225"/>
      <c r="LCZ48" s="225"/>
      <c r="LDA48" s="225"/>
      <c r="LDB48" s="225"/>
      <c r="LDC48" s="225"/>
      <c r="LDD48" s="225"/>
      <c r="LDE48" s="225"/>
      <c r="LDF48" s="225"/>
      <c r="LDG48" s="225"/>
      <c r="LDH48" s="225"/>
      <c r="LDI48" s="225"/>
      <c r="LDJ48" s="225"/>
      <c r="LDK48" s="225"/>
      <c r="LDL48" s="225"/>
      <c r="LDM48" s="225"/>
      <c r="LDN48" s="225"/>
      <c r="LDO48" s="225"/>
      <c r="LDP48" s="225"/>
      <c r="LDQ48" s="225"/>
      <c r="LDR48" s="225"/>
      <c r="LDS48" s="225"/>
      <c r="LDT48" s="225"/>
      <c r="LDU48" s="225"/>
      <c r="LDV48" s="225"/>
      <c r="LDW48" s="225"/>
      <c r="LDX48" s="225"/>
      <c r="LDY48" s="225"/>
      <c r="LDZ48" s="225"/>
      <c r="LEA48" s="225"/>
      <c r="LEB48" s="225"/>
      <c r="LEC48" s="225"/>
      <c r="LED48" s="225"/>
      <c r="LEE48" s="225"/>
      <c r="LEF48" s="225"/>
      <c r="LEG48" s="225"/>
      <c r="LEH48" s="225"/>
      <c r="LEI48" s="225"/>
      <c r="LEJ48" s="225"/>
      <c r="LEK48" s="225"/>
      <c r="LEL48" s="225"/>
      <c r="LEM48" s="225"/>
      <c r="LEN48" s="225"/>
      <c r="LEO48" s="225"/>
      <c r="LEP48" s="225"/>
      <c r="LEQ48" s="225"/>
      <c r="LER48" s="225"/>
      <c r="LES48" s="225"/>
      <c r="LET48" s="225"/>
      <c r="LEU48" s="225"/>
      <c r="LEV48" s="225"/>
      <c r="LEW48" s="225"/>
      <c r="LEX48" s="225"/>
      <c r="LEY48" s="225"/>
      <c r="LEZ48" s="225"/>
      <c r="LFA48" s="225"/>
      <c r="LFB48" s="225"/>
      <c r="LFC48" s="225"/>
      <c r="LFD48" s="225"/>
      <c r="LFE48" s="225"/>
      <c r="LFF48" s="225"/>
      <c r="LFG48" s="225"/>
      <c r="LFH48" s="225"/>
      <c r="LFI48" s="225"/>
      <c r="LFJ48" s="225"/>
      <c r="LFK48" s="225"/>
      <c r="LFL48" s="225"/>
      <c r="LFM48" s="225"/>
      <c r="LFN48" s="225"/>
      <c r="LFO48" s="225"/>
      <c r="LFP48" s="225"/>
      <c r="LFQ48" s="225"/>
      <c r="LFR48" s="225"/>
      <c r="LFS48" s="225"/>
      <c r="LFT48" s="225"/>
      <c r="LFU48" s="225"/>
      <c r="LFV48" s="225"/>
      <c r="LFW48" s="225"/>
      <c r="LFX48" s="225"/>
      <c r="LFY48" s="225"/>
      <c r="LFZ48" s="225"/>
      <c r="LGA48" s="225"/>
      <c r="LGB48" s="225"/>
      <c r="LGC48" s="225"/>
      <c r="LGD48" s="225"/>
      <c r="LGE48" s="225"/>
      <c r="LGF48" s="225"/>
      <c r="LGG48" s="225"/>
      <c r="LGH48" s="225"/>
      <c r="LGI48" s="225"/>
      <c r="LGJ48" s="225"/>
      <c r="LGK48" s="225"/>
      <c r="LGL48" s="225"/>
      <c r="LGM48" s="225"/>
      <c r="LGN48" s="225"/>
      <c r="LGO48" s="225"/>
      <c r="LGP48" s="225"/>
      <c r="LGQ48" s="225"/>
      <c r="LGR48" s="225"/>
      <c r="LGS48" s="225"/>
      <c r="LGT48" s="225"/>
      <c r="LGU48" s="225"/>
      <c r="LGV48" s="225"/>
      <c r="LGW48" s="225"/>
      <c r="LGX48" s="225"/>
      <c r="LGY48" s="225"/>
      <c r="LGZ48" s="225"/>
      <c r="LHA48" s="225"/>
      <c r="LHB48" s="225"/>
      <c r="LHC48" s="225"/>
      <c r="LHD48" s="225"/>
      <c r="LHE48" s="225"/>
      <c r="LHF48" s="225"/>
      <c r="LHG48" s="225"/>
      <c r="LHH48" s="225"/>
      <c r="LHI48" s="225"/>
      <c r="LHJ48" s="225"/>
      <c r="LHK48" s="225"/>
      <c r="LHL48" s="225"/>
      <c r="LHM48" s="225"/>
      <c r="LHN48" s="225"/>
      <c r="LHO48" s="225"/>
      <c r="LHP48" s="225"/>
      <c r="LHQ48" s="225"/>
      <c r="LHR48" s="225"/>
      <c r="LHS48" s="225"/>
      <c r="LHT48" s="225"/>
      <c r="LHU48" s="225"/>
      <c r="LHV48" s="225"/>
      <c r="LHW48" s="225"/>
      <c r="LHX48" s="225"/>
      <c r="LHY48" s="225"/>
      <c r="LHZ48" s="225"/>
      <c r="LIA48" s="225"/>
      <c r="LIB48" s="225"/>
      <c r="LIC48" s="225"/>
      <c r="LID48" s="225"/>
      <c r="LIE48" s="225"/>
      <c r="LIF48" s="225"/>
      <c r="LIG48" s="225"/>
      <c r="LIH48" s="225"/>
      <c r="LII48" s="225"/>
      <c r="LIJ48" s="225"/>
      <c r="LIK48" s="225"/>
      <c r="LIL48" s="225"/>
      <c r="LIM48" s="225"/>
      <c r="LIN48" s="225"/>
      <c r="LIO48" s="225"/>
      <c r="LIP48" s="225"/>
      <c r="LIQ48" s="225"/>
      <c r="LIR48" s="225"/>
      <c r="LIS48" s="225"/>
      <c r="LIT48" s="225"/>
      <c r="LIU48" s="225"/>
      <c r="LIV48" s="225"/>
      <c r="LIW48" s="225"/>
      <c r="LIX48" s="225"/>
      <c r="LIY48" s="225"/>
      <c r="LIZ48" s="225"/>
      <c r="LJA48" s="225"/>
      <c r="LJB48" s="225"/>
      <c r="LJC48" s="225"/>
      <c r="LJD48" s="225"/>
      <c r="LJE48" s="225"/>
      <c r="LJF48" s="225"/>
      <c r="LJG48" s="225"/>
      <c r="LJH48" s="225"/>
      <c r="LJI48" s="225"/>
      <c r="LJJ48" s="225"/>
      <c r="LJK48" s="225"/>
      <c r="LJL48" s="225"/>
      <c r="LJM48" s="225"/>
      <c r="LJN48" s="225"/>
      <c r="LJO48" s="225"/>
      <c r="LJP48" s="225"/>
      <c r="LJQ48" s="225"/>
      <c r="LJR48" s="225"/>
      <c r="LJS48" s="225"/>
      <c r="LJT48" s="225"/>
      <c r="LJU48" s="225"/>
      <c r="LJV48" s="225"/>
      <c r="LJW48" s="225"/>
      <c r="LJX48" s="225"/>
      <c r="LJY48" s="225"/>
      <c r="LJZ48" s="225"/>
      <c r="LKA48" s="225"/>
      <c r="LKB48" s="225"/>
      <c r="LKC48" s="225"/>
      <c r="LKD48" s="225"/>
      <c r="LKE48" s="225"/>
      <c r="LKF48" s="225"/>
      <c r="LKG48" s="225"/>
      <c r="LKH48" s="225"/>
      <c r="LKI48" s="225"/>
      <c r="LKJ48" s="225"/>
      <c r="LKK48" s="225"/>
      <c r="LKL48" s="225"/>
      <c r="LKM48" s="225"/>
      <c r="LKN48" s="225"/>
      <c r="LKO48" s="225"/>
      <c r="LKP48" s="225"/>
      <c r="LKQ48" s="225"/>
      <c r="LKR48" s="225"/>
      <c r="LKS48" s="225"/>
      <c r="LKT48" s="225"/>
      <c r="LKU48" s="225"/>
      <c r="LKV48" s="225"/>
      <c r="LKW48" s="225"/>
      <c r="LKX48" s="225"/>
      <c r="LKY48" s="225"/>
      <c r="LKZ48" s="225"/>
      <c r="LLA48" s="225"/>
      <c r="LLB48" s="225"/>
      <c r="LLC48" s="225"/>
      <c r="LLD48" s="225"/>
      <c r="LLE48" s="225"/>
      <c r="LLF48" s="225"/>
      <c r="LLG48" s="225"/>
      <c r="LLH48" s="225"/>
      <c r="LLI48" s="225"/>
      <c r="LLJ48" s="225"/>
      <c r="LLK48" s="225"/>
      <c r="LLL48" s="225"/>
      <c r="LLM48" s="225"/>
      <c r="LLN48" s="225"/>
      <c r="LLO48" s="225"/>
      <c r="LLP48" s="225"/>
      <c r="LLQ48" s="225"/>
      <c r="LLR48" s="225"/>
      <c r="LLS48" s="225"/>
      <c r="LLT48" s="225"/>
      <c r="LLU48" s="225"/>
      <c r="LLV48" s="225"/>
      <c r="LLW48" s="225"/>
      <c r="LLX48" s="225"/>
      <c r="LLY48" s="225"/>
      <c r="LLZ48" s="225"/>
      <c r="LMA48" s="225"/>
      <c r="LMB48" s="225"/>
      <c r="LMC48" s="225"/>
      <c r="LMD48" s="225"/>
      <c r="LME48" s="225"/>
      <c r="LMF48" s="225"/>
      <c r="LMG48" s="225"/>
      <c r="LMH48" s="225"/>
      <c r="LMI48" s="225"/>
      <c r="LMJ48" s="225"/>
      <c r="LMK48" s="225"/>
      <c r="LML48" s="225"/>
      <c r="LMM48" s="225"/>
      <c r="LMN48" s="225"/>
      <c r="LMO48" s="225"/>
      <c r="LMP48" s="225"/>
      <c r="LMQ48" s="225"/>
      <c r="LMR48" s="225"/>
      <c r="LMS48" s="225"/>
      <c r="LMT48" s="225"/>
      <c r="LMU48" s="225"/>
      <c r="LMV48" s="225"/>
      <c r="LMW48" s="225"/>
      <c r="LMX48" s="225"/>
      <c r="LMY48" s="225"/>
      <c r="LMZ48" s="225"/>
      <c r="LNA48" s="225"/>
      <c r="LNB48" s="225"/>
      <c r="LNC48" s="225"/>
      <c r="LND48" s="225"/>
      <c r="LNE48" s="225"/>
      <c r="LNF48" s="225"/>
      <c r="LNG48" s="225"/>
      <c r="LNH48" s="225"/>
      <c r="LNI48" s="225"/>
      <c r="LNJ48" s="225"/>
      <c r="LNK48" s="225"/>
      <c r="LNL48" s="225"/>
      <c r="LNM48" s="225"/>
      <c r="LNN48" s="225"/>
      <c r="LNO48" s="225"/>
      <c r="LNP48" s="225"/>
      <c r="LNQ48" s="225"/>
      <c r="LNR48" s="225"/>
      <c r="LNS48" s="225"/>
      <c r="LNT48" s="225"/>
      <c r="LNU48" s="225"/>
      <c r="LNV48" s="225"/>
      <c r="LNW48" s="225"/>
      <c r="LNX48" s="225"/>
      <c r="LNY48" s="225"/>
      <c r="LNZ48" s="225"/>
      <c r="LOA48" s="225"/>
      <c r="LOB48" s="225"/>
      <c r="LOC48" s="225"/>
      <c r="LOD48" s="225"/>
      <c r="LOE48" s="225"/>
      <c r="LOF48" s="225"/>
      <c r="LOG48" s="225"/>
      <c r="LOH48" s="225"/>
      <c r="LOI48" s="225"/>
      <c r="LOJ48" s="225"/>
      <c r="LOK48" s="225"/>
      <c r="LOL48" s="225"/>
      <c r="LOM48" s="225"/>
      <c r="LON48" s="225"/>
      <c r="LOO48" s="225"/>
      <c r="LOP48" s="225"/>
      <c r="LOQ48" s="225"/>
      <c r="LOR48" s="225"/>
      <c r="LOS48" s="225"/>
      <c r="LOT48" s="225"/>
      <c r="LOU48" s="225"/>
      <c r="LOV48" s="225"/>
      <c r="LOW48" s="225"/>
      <c r="LOX48" s="225"/>
      <c r="LOY48" s="225"/>
      <c r="LOZ48" s="225"/>
      <c r="LPA48" s="225"/>
      <c r="LPB48" s="225"/>
      <c r="LPC48" s="225"/>
      <c r="LPD48" s="225"/>
      <c r="LPE48" s="225"/>
      <c r="LPF48" s="225"/>
      <c r="LPG48" s="225"/>
      <c r="LPH48" s="225"/>
      <c r="LPI48" s="225"/>
      <c r="LPJ48" s="225"/>
      <c r="LPK48" s="225"/>
      <c r="LPL48" s="225"/>
      <c r="LPM48" s="225"/>
      <c r="LPN48" s="225"/>
      <c r="LPO48" s="225"/>
      <c r="LPP48" s="225"/>
      <c r="LPQ48" s="225"/>
      <c r="LPR48" s="225"/>
      <c r="LPS48" s="225"/>
      <c r="LPT48" s="225"/>
      <c r="LPU48" s="225"/>
      <c r="LPV48" s="225"/>
      <c r="LPW48" s="225"/>
      <c r="LPX48" s="225"/>
      <c r="LPY48" s="225"/>
      <c r="LPZ48" s="225"/>
      <c r="LQA48" s="225"/>
      <c r="LQB48" s="225"/>
      <c r="LQC48" s="225"/>
      <c r="LQD48" s="225"/>
      <c r="LQE48" s="225"/>
      <c r="LQF48" s="225"/>
      <c r="LQG48" s="225"/>
      <c r="LQH48" s="225"/>
      <c r="LQI48" s="225"/>
      <c r="LQJ48" s="225"/>
      <c r="LQK48" s="225"/>
      <c r="LQL48" s="225"/>
      <c r="LQM48" s="225"/>
      <c r="LQN48" s="225"/>
      <c r="LQO48" s="225"/>
      <c r="LQP48" s="225"/>
      <c r="LQQ48" s="225"/>
      <c r="LQR48" s="225"/>
      <c r="LQS48" s="225"/>
      <c r="LQT48" s="225"/>
      <c r="LQU48" s="225"/>
      <c r="LQV48" s="225"/>
      <c r="LQW48" s="225"/>
      <c r="LQX48" s="225"/>
      <c r="LQY48" s="225"/>
      <c r="LQZ48" s="225"/>
      <c r="LRA48" s="225"/>
      <c r="LRB48" s="225"/>
      <c r="LRC48" s="225"/>
      <c r="LRD48" s="225"/>
      <c r="LRE48" s="225"/>
      <c r="LRF48" s="225"/>
      <c r="LRG48" s="225"/>
      <c r="LRH48" s="225"/>
      <c r="LRI48" s="225"/>
      <c r="LRJ48" s="225"/>
      <c r="LRK48" s="225"/>
      <c r="LRL48" s="225"/>
      <c r="LRM48" s="225"/>
      <c r="LRN48" s="225"/>
      <c r="LRO48" s="225"/>
      <c r="LRP48" s="225"/>
      <c r="LRQ48" s="225"/>
      <c r="LRR48" s="225"/>
      <c r="LRS48" s="225"/>
      <c r="LRT48" s="225"/>
      <c r="LRU48" s="225"/>
      <c r="LRV48" s="225"/>
      <c r="LRW48" s="225"/>
      <c r="LRX48" s="225"/>
      <c r="LRY48" s="225"/>
      <c r="LRZ48" s="225"/>
      <c r="LSA48" s="225"/>
      <c r="LSB48" s="225"/>
      <c r="LSC48" s="225"/>
      <c r="LSD48" s="225"/>
      <c r="LSE48" s="225"/>
      <c r="LSF48" s="225"/>
      <c r="LSG48" s="225"/>
      <c r="LSH48" s="225"/>
      <c r="LSI48" s="225"/>
      <c r="LSJ48" s="225"/>
      <c r="LSK48" s="225"/>
      <c r="LSL48" s="225"/>
      <c r="LSM48" s="225"/>
      <c r="LSN48" s="225"/>
      <c r="LSO48" s="225"/>
      <c r="LSP48" s="225"/>
      <c r="LSQ48" s="225"/>
      <c r="LSR48" s="225"/>
      <c r="LSS48" s="225"/>
      <c r="LST48" s="225"/>
      <c r="LSU48" s="225"/>
      <c r="LSV48" s="225"/>
      <c r="LSW48" s="225"/>
      <c r="LSX48" s="225"/>
      <c r="LSY48" s="225"/>
      <c r="LSZ48" s="225"/>
      <c r="LTA48" s="225"/>
      <c r="LTB48" s="225"/>
      <c r="LTC48" s="225"/>
      <c r="LTD48" s="225"/>
      <c r="LTE48" s="225"/>
      <c r="LTF48" s="225"/>
      <c r="LTG48" s="225"/>
      <c r="LTH48" s="225"/>
      <c r="LTI48" s="225"/>
      <c r="LTJ48" s="225"/>
      <c r="LTK48" s="225"/>
      <c r="LTL48" s="225"/>
      <c r="LTM48" s="225"/>
      <c r="LTN48" s="225"/>
      <c r="LTO48" s="225"/>
      <c r="LTP48" s="225"/>
      <c r="LTQ48" s="225"/>
      <c r="LTR48" s="225"/>
      <c r="LTS48" s="225"/>
      <c r="LTT48" s="225"/>
      <c r="LTU48" s="225"/>
      <c r="LTV48" s="225"/>
      <c r="LTW48" s="225"/>
      <c r="LTX48" s="225"/>
      <c r="LTY48" s="225"/>
      <c r="LTZ48" s="225"/>
      <c r="LUA48" s="225"/>
      <c r="LUB48" s="225"/>
      <c r="LUC48" s="225"/>
      <c r="LUD48" s="225"/>
      <c r="LUE48" s="225"/>
      <c r="LUF48" s="225"/>
      <c r="LUG48" s="225"/>
      <c r="LUH48" s="225"/>
      <c r="LUI48" s="225"/>
      <c r="LUJ48" s="225"/>
      <c r="LUK48" s="225"/>
      <c r="LUL48" s="225"/>
      <c r="LUM48" s="225"/>
      <c r="LUN48" s="225"/>
      <c r="LUO48" s="225"/>
      <c r="LUP48" s="225"/>
      <c r="LUQ48" s="225"/>
      <c r="LUR48" s="225"/>
      <c r="LUS48" s="225"/>
      <c r="LUT48" s="225"/>
      <c r="LUU48" s="225"/>
      <c r="LUV48" s="225"/>
      <c r="LUW48" s="225"/>
      <c r="LUX48" s="225"/>
      <c r="LUY48" s="225"/>
      <c r="LUZ48" s="225"/>
      <c r="LVA48" s="225"/>
      <c r="LVB48" s="225"/>
      <c r="LVC48" s="225"/>
      <c r="LVD48" s="225"/>
      <c r="LVE48" s="225"/>
      <c r="LVF48" s="225"/>
      <c r="LVG48" s="225"/>
      <c r="LVH48" s="225"/>
      <c r="LVI48" s="225"/>
      <c r="LVJ48" s="225"/>
      <c r="LVK48" s="225"/>
      <c r="LVL48" s="225"/>
      <c r="LVM48" s="225"/>
      <c r="LVN48" s="225"/>
      <c r="LVO48" s="225"/>
      <c r="LVP48" s="225"/>
      <c r="LVQ48" s="225"/>
      <c r="LVR48" s="225"/>
      <c r="LVS48" s="225"/>
      <c r="LVT48" s="225"/>
      <c r="LVU48" s="225"/>
      <c r="LVV48" s="225"/>
      <c r="LVW48" s="225"/>
      <c r="LVX48" s="225"/>
      <c r="LVY48" s="225"/>
      <c r="LVZ48" s="225"/>
      <c r="LWA48" s="225"/>
      <c r="LWB48" s="225"/>
      <c r="LWC48" s="225"/>
      <c r="LWD48" s="225"/>
      <c r="LWE48" s="225"/>
      <c r="LWF48" s="225"/>
      <c r="LWG48" s="225"/>
      <c r="LWH48" s="225"/>
      <c r="LWI48" s="225"/>
      <c r="LWJ48" s="225"/>
      <c r="LWK48" s="225"/>
      <c r="LWL48" s="225"/>
      <c r="LWM48" s="225"/>
      <c r="LWN48" s="225"/>
      <c r="LWO48" s="225"/>
      <c r="LWP48" s="225"/>
      <c r="LWQ48" s="225"/>
      <c r="LWR48" s="225"/>
      <c r="LWS48" s="225"/>
      <c r="LWT48" s="225"/>
      <c r="LWU48" s="225"/>
      <c r="LWV48" s="225"/>
      <c r="LWW48" s="225"/>
      <c r="LWX48" s="225"/>
      <c r="LWY48" s="225"/>
      <c r="LWZ48" s="225"/>
      <c r="LXA48" s="225"/>
      <c r="LXB48" s="225"/>
      <c r="LXC48" s="225"/>
      <c r="LXD48" s="225"/>
      <c r="LXE48" s="225"/>
      <c r="LXF48" s="225"/>
      <c r="LXG48" s="225"/>
      <c r="LXH48" s="225"/>
      <c r="LXI48" s="225"/>
      <c r="LXJ48" s="225"/>
      <c r="LXK48" s="225"/>
      <c r="LXL48" s="225"/>
      <c r="LXM48" s="225"/>
      <c r="LXN48" s="225"/>
      <c r="LXO48" s="225"/>
      <c r="LXP48" s="225"/>
      <c r="LXQ48" s="225"/>
      <c r="LXR48" s="225"/>
      <c r="LXS48" s="225"/>
      <c r="LXT48" s="225"/>
      <c r="LXU48" s="225"/>
      <c r="LXV48" s="225"/>
      <c r="LXW48" s="225"/>
      <c r="LXX48" s="225"/>
      <c r="LXY48" s="225"/>
      <c r="LXZ48" s="225"/>
      <c r="LYA48" s="225"/>
      <c r="LYB48" s="225"/>
      <c r="LYC48" s="225"/>
      <c r="LYD48" s="225"/>
      <c r="LYE48" s="225"/>
      <c r="LYF48" s="225"/>
      <c r="LYG48" s="225"/>
      <c r="LYH48" s="225"/>
      <c r="LYI48" s="225"/>
      <c r="LYJ48" s="225"/>
      <c r="LYK48" s="225"/>
      <c r="LYL48" s="225"/>
      <c r="LYM48" s="225"/>
      <c r="LYN48" s="225"/>
      <c r="LYO48" s="225"/>
      <c r="LYP48" s="225"/>
      <c r="LYQ48" s="225"/>
      <c r="LYR48" s="225"/>
      <c r="LYS48" s="225"/>
      <c r="LYT48" s="225"/>
      <c r="LYU48" s="225"/>
      <c r="LYV48" s="225"/>
      <c r="LYW48" s="225"/>
      <c r="LYX48" s="225"/>
      <c r="LYY48" s="225"/>
      <c r="LYZ48" s="225"/>
      <c r="LZA48" s="225"/>
      <c r="LZB48" s="225"/>
      <c r="LZC48" s="225"/>
      <c r="LZD48" s="225"/>
      <c r="LZE48" s="225"/>
      <c r="LZF48" s="225"/>
      <c r="LZG48" s="225"/>
      <c r="LZH48" s="225"/>
      <c r="LZI48" s="225"/>
      <c r="LZJ48" s="225"/>
      <c r="LZK48" s="225"/>
      <c r="LZL48" s="225"/>
      <c r="LZM48" s="225"/>
      <c r="LZN48" s="225"/>
      <c r="LZO48" s="225"/>
      <c r="LZP48" s="225"/>
      <c r="LZQ48" s="225"/>
      <c r="LZR48" s="225"/>
      <c r="LZS48" s="225"/>
      <c r="LZT48" s="225"/>
      <c r="LZU48" s="225"/>
      <c r="LZV48" s="225"/>
      <c r="LZW48" s="225"/>
      <c r="LZX48" s="225"/>
      <c r="LZY48" s="225"/>
      <c r="LZZ48" s="225"/>
      <c r="MAA48" s="225"/>
      <c r="MAB48" s="225"/>
      <c r="MAC48" s="225"/>
      <c r="MAD48" s="225"/>
      <c r="MAE48" s="225"/>
      <c r="MAF48" s="225"/>
      <c r="MAG48" s="225"/>
      <c r="MAH48" s="225"/>
      <c r="MAI48" s="225"/>
      <c r="MAJ48" s="225"/>
      <c r="MAK48" s="225"/>
      <c r="MAL48" s="225"/>
      <c r="MAM48" s="225"/>
      <c r="MAN48" s="225"/>
      <c r="MAO48" s="225"/>
      <c r="MAP48" s="225"/>
      <c r="MAQ48" s="225"/>
      <c r="MAR48" s="225"/>
      <c r="MAS48" s="225"/>
      <c r="MAT48" s="225"/>
      <c r="MAU48" s="225"/>
      <c r="MAV48" s="225"/>
      <c r="MAW48" s="225"/>
      <c r="MAX48" s="225"/>
      <c r="MAY48" s="225"/>
      <c r="MAZ48" s="225"/>
      <c r="MBA48" s="225"/>
      <c r="MBB48" s="225"/>
      <c r="MBC48" s="225"/>
      <c r="MBD48" s="225"/>
      <c r="MBE48" s="225"/>
      <c r="MBF48" s="225"/>
      <c r="MBG48" s="225"/>
      <c r="MBH48" s="225"/>
      <c r="MBI48" s="225"/>
      <c r="MBJ48" s="225"/>
      <c r="MBK48" s="225"/>
      <c r="MBL48" s="225"/>
      <c r="MBM48" s="225"/>
      <c r="MBN48" s="225"/>
      <c r="MBO48" s="225"/>
      <c r="MBP48" s="225"/>
      <c r="MBQ48" s="225"/>
      <c r="MBR48" s="225"/>
      <c r="MBS48" s="225"/>
      <c r="MBT48" s="225"/>
      <c r="MBU48" s="225"/>
      <c r="MBV48" s="225"/>
      <c r="MBW48" s="225"/>
      <c r="MBX48" s="225"/>
      <c r="MBY48" s="225"/>
      <c r="MBZ48" s="225"/>
      <c r="MCA48" s="225"/>
      <c r="MCB48" s="225"/>
      <c r="MCC48" s="225"/>
      <c r="MCD48" s="225"/>
      <c r="MCE48" s="225"/>
      <c r="MCF48" s="225"/>
      <c r="MCG48" s="225"/>
      <c r="MCH48" s="225"/>
      <c r="MCI48" s="225"/>
      <c r="MCJ48" s="225"/>
      <c r="MCK48" s="225"/>
      <c r="MCL48" s="225"/>
      <c r="MCM48" s="225"/>
      <c r="MCN48" s="225"/>
      <c r="MCO48" s="225"/>
      <c r="MCP48" s="225"/>
      <c r="MCQ48" s="225"/>
      <c r="MCR48" s="225"/>
      <c r="MCS48" s="225"/>
      <c r="MCT48" s="225"/>
      <c r="MCU48" s="225"/>
      <c r="MCV48" s="225"/>
      <c r="MCW48" s="225"/>
      <c r="MCX48" s="225"/>
      <c r="MCY48" s="225"/>
      <c r="MCZ48" s="225"/>
      <c r="MDA48" s="225"/>
      <c r="MDB48" s="225"/>
      <c r="MDC48" s="225"/>
      <c r="MDD48" s="225"/>
      <c r="MDE48" s="225"/>
      <c r="MDF48" s="225"/>
      <c r="MDG48" s="225"/>
      <c r="MDH48" s="225"/>
      <c r="MDI48" s="225"/>
      <c r="MDJ48" s="225"/>
      <c r="MDK48" s="225"/>
      <c r="MDL48" s="225"/>
      <c r="MDM48" s="225"/>
      <c r="MDN48" s="225"/>
      <c r="MDO48" s="225"/>
      <c r="MDP48" s="225"/>
      <c r="MDQ48" s="225"/>
      <c r="MDR48" s="225"/>
      <c r="MDS48" s="225"/>
      <c r="MDT48" s="225"/>
      <c r="MDU48" s="225"/>
      <c r="MDV48" s="225"/>
      <c r="MDW48" s="225"/>
      <c r="MDX48" s="225"/>
      <c r="MDY48" s="225"/>
      <c r="MDZ48" s="225"/>
      <c r="MEA48" s="225"/>
      <c r="MEB48" s="225"/>
      <c r="MEC48" s="225"/>
      <c r="MED48" s="225"/>
      <c r="MEE48" s="225"/>
      <c r="MEF48" s="225"/>
      <c r="MEG48" s="225"/>
      <c r="MEH48" s="225"/>
      <c r="MEI48" s="225"/>
      <c r="MEJ48" s="225"/>
      <c r="MEK48" s="225"/>
      <c r="MEL48" s="225"/>
      <c r="MEM48" s="225"/>
      <c r="MEN48" s="225"/>
      <c r="MEO48" s="225"/>
      <c r="MEP48" s="225"/>
      <c r="MEQ48" s="225"/>
      <c r="MER48" s="225"/>
      <c r="MES48" s="225"/>
      <c r="MET48" s="225"/>
      <c r="MEU48" s="225"/>
      <c r="MEV48" s="225"/>
      <c r="MEW48" s="225"/>
      <c r="MEX48" s="225"/>
      <c r="MEY48" s="225"/>
      <c r="MEZ48" s="225"/>
      <c r="MFA48" s="225"/>
      <c r="MFB48" s="225"/>
      <c r="MFC48" s="225"/>
      <c r="MFD48" s="225"/>
      <c r="MFE48" s="225"/>
      <c r="MFF48" s="225"/>
      <c r="MFG48" s="225"/>
      <c r="MFH48" s="225"/>
      <c r="MFI48" s="225"/>
      <c r="MFJ48" s="225"/>
      <c r="MFK48" s="225"/>
      <c r="MFL48" s="225"/>
      <c r="MFM48" s="225"/>
      <c r="MFN48" s="225"/>
      <c r="MFO48" s="225"/>
      <c r="MFP48" s="225"/>
      <c r="MFQ48" s="225"/>
      <c r="MFR48" s="225"/>
      <c r="MFS48" s="225"/>
      <c r="MFT48" s="225"/>
      <c r="MFU48" s="225"/>
      <c r="MFV48" s="225"/>
      <c r="MFW48" s="225"/>
      <c r="MFX48" s="225"/>
      <c r="MFY48" s="225"/>
      <c r="MFZ48" s="225"/>
      <c r="MGA48" s="225"/>
      <c r="MGB48" s="225"/>
      <c r="MGC48" s="225"/>
      <c r="MGD48" s="225"/>
      <c r="MGE48" s="225"/>
      <c r="MGF48" s="225"/>
      <c r="MGG48" s="225"/>
      <c r="MGH48" s="225"/>
      <c r="MGI48" s="225"/>
      <c r="MGJ48" s="225"/>
      <c r="MGK48" s="225"/>
      <c r="MGL48" s="225"/>
      <c r="MGM48" s="225"/>
      <c r="MGN48" s="225"/>
      <c r="MGO48" s="225"/>
      <c r="MGP48" s="225"/>
      <c r="MGQ48" s="225"/>
      <c r="MGR48" s="225"/>
      <c r="MGS48" s="225"/>
      <c r="MGT48" s="225"/>
      <c r="MGU48" s="225"/>
      <c r="MGV48" s="225"/>
      <c r="MGW48" s="225"/>
      <c r="MGX48" s="225"/>
      <c r="MGY48" s="225"/>
      <c r="MGZ48" s="225"/>
      <c r="MHA48" s="225"/>
      <c r="MHB48" s="225"/>
      <c r="MHC48" s="225"/>
      <c r="MHD48" s="225"/>
      <c r="MHE48" s="225"/>
      <c r="MHF48" s="225"/>
      <c r="MHG48" s="225"/>
      <c r="MHH48" s="225"/>
      <c r="MHI48" s="225"/>
      <c r="MHJ48" s="225"/>
      <c r="MHK48" s="225"/>
      <c r="MHL48" s="225"/>
      <c r="MHM48" s="225"/>
      <c r="MHN48" s="225"/>
      <c r="MHO48" s="225"/>
      <c r="MHP48" s="225"/>
      <c r="MHQ48" s="225"/>
      <c r="MHR48" s="225"/>
      <c r="MHS48" s="225"/>
      <c r="MHT48" s="225"/>
      <c r="MHU48" s="225"/>
      <c r="MHV48" s="225"/>
      <c r="MHW48" s="225"/>
      <c r="MHX48" s="225"/>
      <c r="MHY48" s="225"/>
      <c r="MHZ48" s="225"/>
      <c r="MIA48" s="225"/>
      <c r="MIB48" s="225"/>
      <c r="MIC48" s="225"/>
      <c r="MID48" s="225"/>
      <c r="MIE48" s="225"/>
      <c r="MIF48" s="225"/>
      <c r="MIG48" s="225"/>
      <c r="MIH48" s="225"/>
      <c r="MII48" s="225"/>
      <c r="MIJ48" s="225"/>
      <c r="MIK48" s="225"/>
      <c r="MIL48" s="225"/>
      <c r="MIM48" s="225"/>
      <c r="MIN48" s="225"/>
      <c r="MIO48" s="225"/>
      <c r="MIP48" s="225"/>
      <c r="MIQ48" s="225"/>
      <c r="MIR48" s="225"/>
      <c r="MIS48" s="225"/>
      <c r="MIT48" s="225"/>
      <c r="MIU48" s="225"/>
      <c r="MIV48" s="225"/>
      <c r="MIW48" s="225"/>
      <c r="MIX48" s="225"/>
      <c r="MIY48" s="225"/>
      <c r="MIZ48" s="225"/>
      <c r="MJA48" s="225"/>
      <c r="MJB48" s="225"/>
      <c r="MJC48" s="225"/>
      <c r="MJD48" s="225"/>
      <c r="MJE48" s="225"/>
      <c r="MJF48" s="225"/>
      <c r="MJG48" s="225"/>
      <c r="MJH48" s="225"/>
      <c r="MJI48" s="225"/>
      <c r="MJJ48" s="225"/>
      <c r="MJK48" s="225"/>
      <c r="MJL48" s="225"/>
      <c r="MJM48" s="225"/>
      <c r="MJN48" s="225"/>
      <c r="MJO48" s="225"/>
      <c r="MJP48" s="225"/>
      <c r="MJQ48" s="225"/>
      <c r="MJR48" s="225"/>
      <c r="MJS48" s="225"/>
      <c r="MJT48" s="225"/>
      <c r="MJU48" s="225"/>
      <c r="MJV48" s="225"/>
      <c r="MJW48" s="225"/>
      <c r="MJX48" s="225"/>
      <c r="MJY48" s="225"/>
      <c r="MJZ48" s="225"/>
      <c r="MKA48" s="225"/>
      <c r="MKB48" s="225"/>
      <c r="MKC48" s="225"/>
      <c r="MKD48" s="225"/>
      <c r="MKE48" s="225"/>
      <c r="MKF48" s="225"/>
      <c r="MKG48" s="225"/>
      <c r="MKH48" s="225"/>
      <c r="MKI48" s="225"/>
      <c r="MKJ48" s="225"/>
      <c r="MKK48" s="225"/>
      <c r="MKL48" s="225"/>
      <c r="MKM48" s="225"/>
      <c r="MKN48" s="225"/>
      <c r="MKO48" s="225"/>
      <c r="MKP48" s="225"/>
      <c r="MKQ48" s="225"/>
      <c r="MKR48" s="225"/>
      <c r="MKS48" s="225"/>
      <c r="MKT48" s="225"/>
      <c r="MKU48" s="225"/>
      <c r="MKV48" s="225"/>
      <c r="MKW48" s="225"/>
      <c r="MKX48" s="225"/>
      <c r="MKY48" s="225"/>
      <c r="MKZ48" s="225"/>
      <c r="MLA48" s="225"/>
      <c r="MLB48" s="225"/>
      <c r="MLC48" s="225"/>
      <c r="MLD48" s="225"/>
      <c r="MLE48" s="225"/>
      <c r="MLF48" s="225"/>
      <c r="MLG48" s="225"/>
      <c r="MLH48" s="225"/>
      <c r="MLI48" s="225"/>
      <c r="MLJ48" s="225"/>
      <c r="MLK48" s="225"/>
      <c r="MLL48" s="225"/>
      <c r="MLM48" s="225"/>
      <c r="MLN48" s="225"/>
      <c r="MLO48" s="225"/>
      <c r="MLP48" s="225"/>
      <c r="MLQ48" s="225"/>
      <c r="MLR48" s="225"/>
      <c r="MLS48" s="225"/>
      <c r="MLT48" s="225"/>
      <c r="MLU48" s="225"/>
      <c r="MLV48" s="225"/>
      <c r="MLW48" s="225"/>
      <c r="MLX48" s="225"/>
      <c r="MLY48" s="225"/>
      <c r="MLZ48" s="225"/>
      <c r="MMA48" s="225"/>
      <c r="MMB48" s="225"/>
      <c r="MMC48" s="225"/>
      <c r="MMD48" s="225"/>
      <c r="MME48" s="225"/>
      <c r="MMF48" s="225"/>
      <c r="MMG48" s="225"/>
      <c r="MMH48" s="225"/>
      <c r="MMI48" s="225"/>
      <c r="MMJ48" s="225"/>
      <c r="MMK48" s="225"/>
      <c r="MML48" s="225"/>
      <c r="MMM48" s="225"/>
      <c r="MMN48" s="225"/>
      <c r="MMO48" s="225"/>
      <c r="MMP48" s="225"/>
      <c r="MMQ48" s="225"/>
      <c r="MMR48" s="225"/>
      <c r="MMS48" s="225"/>
      <c r="MMT48" s="225"/>
      <c r="MMU48" s="225"/>
      <c r="MMV48" s="225"/>
      <c r="MMW48" s="225"/>
      <c r="MMX48" s="225"/>
      <c r="MMY48" s="225"/>
      <c r="MMZ48" s="225"/>
      <c r="MNA48" s="225"/>
      <c r="MNB48" s="225"/>
      <c r="MNC48" s="225"/>
      <c r="MND48" s="225"/>
      <c r="MNE48" s="225"/>
      <c r="MNF48" s="225"/>
      <c r="MNG48" s="225"/>
      <c r="MNH48" s="225"/>
      <c r="MNI48" s="225"/>
      <c r="MNJ48" s="225"/>
      <c r="MNK48" s="225"/>
      <c r="MNL48" s="225"/>
      <c r="MNM48" s="225"/>
      <c r="MNN48" s="225"/>
      <c r="MNO48" s="225"/>
      <c r="MNP48" s="225"/>
      <c r="MNQ48" s="225"/>
      <c r="MNR48" s="225"/>
      <c r="MNS48" s="225"/>
      <c r="MNT48" s="225"/>
      <c r="MNU48" s="225"/>
      <c r="MNV48" s="225"/>
      <c r="MNW48" s="225"/>
      <c r="MNX48" s="225"/>
      <c r="MNY48" s="225"/>
      <c r="MNZ48" s="225"/>
      <c r="MOA48" s="225"/>
      <c r="MOB48" s="225"/>
      <c r="MOC48" s="225"/>
      <c r="MOD48" s="225"/>
      <c r="MOE48" s="225"/>
      <c r="MOF48" s="225"/>
      <c r="MOG48" s="225"/>
      <c r="MOH48" s="225"/>
      <c r="MOI48" s="225"/>
      <c r="MOJ48" s="225"/>
      <c r="MOK48" s="225"/>
      <c r="MOL48" s="225"/>
      <c r="MOM48" s="225"/>
      <c r="MON48" s="225"/>
      <c r="MOO48" s="225"/>
      <c r="MOP48" s="225"/>
      <c r="MOQ48" s="225"/>
      <c r="MOR48" s="225"/>
      <c r="MOS48" s="225"/>
      <c r="MOT48" s="225"/>
      <c r="MOU48" s="225"/>
      <c r="MOV48" s="225"/>
      <c r="MOW48" s="225"/>
      <c r="MOX48" s="225"/>
      <c r="MOY48" s="225"/>
      <c r="MOZ48" s="225"/>
      <c r="MPA48" s="225"/>
      <c r="MPB48" s="225"/>
      <c r="MPC48" s="225"/>
      <c r="MPD48" s="225"/>
      <c r="MPE48" s="225"/>
      <c r="MPF48" s="225"/>
      <c r="MPG48" s="225"/>
      <c r="MPH48" s="225"/>
      <c r="MPI48" s="225"/>
      <c r="MPJ48" s="225"/>
      <c r="MPK48" s="225"/>
      <c r="MPL48" s="225"/>
      <c r="MPM48" s="225"/>
      <c r="MPN48" s="225"/>
      <c r="MPO48" s="225"/>
      <c r="MPP48" s="225"/>
      <c r="MPQ48" s="225"/>
      <c r="MPR48" s="225"/>
      <c r="MPS48" s="225"/>
      <c r="MPT48" s="225"/>
      <c r="MPU48" s="225"/>
      <c r="MPV48" s="225"/>
      <c r="MPW48" s="225"/>
      <c r="MPX48" s="225"/>
      <c r="MPY48" s="225"/>
      <c r="MPZ48" s="225"/>
      <c r="MQA48" s="225"/>
      <c r="MQB48" s="225"/>
      <c r="MQC48" s="225"/>
      <c r="MQD48" s="225"/>
      <c r="MQE48" s="225"/>
      <c r="MQF48" s="225"/>
      <c r="MQG48" s="225"/>
      <c r="MQH48" s="225"/>
      <c r="MQI48" s="225"/>
      <c r="MQJ48" s="225"/>
      <c r="MQK48" s="225"/>
      <c r="MQL48" s="225"/>
      <c r="MQM48" s="225"/>
      <c r="MQN48" s="225"/>
      <c r="MQO48" s="225"/>
      <c r="MQP48" s="225"/>
      <c r="MQQ48" s="225"/>
      <c r="MQR48" s="225"/>
      <c r="MQS48" s="225"/>
      <c r="MQT48" s="225"/>
      <c r="MQU48" s="225"/>
      <c r="MQV48" s="225"/>
      <c r="MQW48" s="225"/>
      <c r="MQX48" s="225"/>
      <c r="MQY48" s="225"/>
      <c r="MQZ48" s="225"/>
      <c r="MRA48" s="225"/>
      <c r="MRB48" s="225"/>
      <c r="MRC48" s="225"/>
      <c r="MRD48" s="225"/>
      <c r="MRE48" s="225"/>
      <c r="MRF48" s="225"/>
      <c r="MRG48" s="225"/>
      <c r="MRH48" s="225"/>
      <c r="MRI48" s="225"/>
      <c r="MRJ48" s="225"/>
      <c r="MRK48" s="225"/>
      <c r="MRL48" s="225"/>
      <c r="MRM48" s="225"/>
      <c r="MRN48" s="225"/>
      <c r="MRO48" s="225"/>
      <c r="MRP48" s="225"/>
      <c r="MRQ48" s="225"/>
      <c r="MRR48" s="225"/>
      <c r="MRS48" s="225"/>
      <c r="MRT48" s="225"/>
      <c r="MRU48" s="225"/>
      <c r="MRV48" s="225"/>
      <c r="MRW48" s="225"/>
      <c r="MRX48" s="225"/>
      <c r="MRY48" s="225"/>
      <c r="MRZ48" s="225"/>
      <c r="MSA48" s="225"/>
      <c r="MSB48" s="225"/>
      <c r="MSC48" s="225"/>
      <c r="MSD48" s="225"/>
      <c r="MSE48" s="225"/>
      <c r="MSF48" s="225"/>
      <c r="MSG48" s="225"/>
      <c r="MSH48" s="225"/>
      <c r="MSI48" s="225"/>
      <c r="MSJ48" s="225"/>
      <c r="MSK48" s="225"/>
      <c r="MSL48" s="225"/>
      <c r="MSM48" s="225"/>
      <c r="MSN48" s="225"/>
      <c r="MSO48" s="225"/>
      <c r="MSP48" s="225"/>
      <c r="MSQ48" s="225"/>
      <c r="MSR48" s="225"/>
      <c r="MSS48" s="225"/>
      <c r="MST48" s="225"/>
      <c r="MSU48" s="225"/>
      <c r="MSV48" s="225"/>
      <c r="MSW48" s="225"/>
      <c r="MSX48" s="225"/>
      <c r="MSY48" s="225"/>
      <c r="MSZ48" s="225"/>
      <c r="MTA48" s="225"/>
      <c r="MTB48" s="225"/>
      <c r="MTC48" s="225"/>
      <c r="MTD48" s="225"/>
      <c r="MTE48" s="225"/>
      <c r="MTF48" s="225"/>
      <c r="MTG48" s="225"/>
      <c r="MTH48" s="225"/>
      <c r="MTI48" s="225"/>
      <c r="MTJ48" s="225"/>
      <c r="MTK48" s="225"/>
      <c r="MTL48" s="225"/>
      <c r="MTM48" s="225"/>
      <c r="MTN48" s="225"/>
      <c r="MTO48" s="225"/>
      <c r="MTP48" s="225"/>
      <c r="MTQ48" s="225"/>
      <c r="MTR48" s="225"/>
      <c r="MTS48" s="225"/>
      <c r="MTT48" s="225"/>
      <c r="MTU48" s="225"/>
      <c r="MTV48" s="225"/>
      <c r="MTW48" s="225"/>
      <c r="MTX48" s="225"/>
      <c r="MTY48" s="225"/>
      <c r="MTZ48" s="225"/>
      <c r="MUA48" s="225"/>
      <c r="MUB48" s="225"/>
      <c r="MUC48" s="225"/>
      <c r="MUD48" s="225"/>
      <c r="MUE48" s="225"/>
      <c r="MUF48" s="225"/>
      <c r="MUG48" s="225"/>
      <c r="MUH48" s="225"/>
      <c r="MUI48" s="225"/>
      <c r="MUJ48" s="225"/>
      <c r="MUK48" s="225"/>
      <c r="MUL48" s="225"/>
      <c r="MUM48" s="225"/>
      <c r="MUN48" s="225"/>
      <c r="MUO48" s="225"/>
      <c r="MUP48" s="225"/>
      <c r="MUQ48" s="225"/>
      <c r="MUR48" s="225"/>
      <c r="MUS48" s="225"/>
      <c r="MUT48" s="225"/>
      <c r="MUU48" s="225"/>
      <c r="MUV48" s="225"/>
      <c r="MUW48" s="225"/>
      <c r="MUX48" s="225"/>
      <c r="MUY48" s="225"/>
      <c r="MUZ48" s="225"/>
      <c r="MVA48" s="225"/>
      <c r="MVB48" s="225"/>
      <c r="MVC48" s="225"/>
      <c r="MVD48" s="225"/>
      <c r="MVE48" s="225"/>
      <c r="MVF48" s="225"/>
      <c r="MVG48" s="225"/>
      <c r="MVH48" s="225"/>
      <c r="MVI48" s="225"/>
      <c r="MVJ48" s="225"/>
      <c r="MVK48" s="225"/>
      <c r="MVL48" s="225"/>
      <c r="MVM48" s="225"/>
      <c r="MVN48" s="225"/>
      <c r="MVO48" s="225"/>
      <c r="MVP48" s="225"/>
      <c r="MVQ48" s="225"/>
      <c r="MVR48" s="225"/>
      <c r="MVS48" s="225"/>
      <c r="MVT48" s="225"/>
      <c r="MVU48" s="225"/>
      <c r="MVV48" s="225"/>
      <c r="MVW48" s="225"/>
      <c r="MVX48" s="225"/>
      <c r="MVY48" s="225"/>
      <c r="MVZ48" s="225"/>
      <c r="MWA48" s="225"/>
      <c r="MWB48" s="225"/>
      <c r="MWC48" s="225"/>
      <c r="MWD48" s="225"/>
      <c r="MWE48" s="225"/>
      <c r="MWF48" s="225"/>
      <c r="MWG48" s="225"/>
      <c r="MWH48" s="225"/>
      <c r="MWI48" s="225"/>
      <c r="MWJ48" s="225"/>
      <c r="MWK48" s="225"/>
      <c r="MWL48" s="225"/>
      <c r="MWM48" s="225"/>
      <c r="MWN48" s="225"/>
      <c r="MWO48" s="225"/>
      <c r="MWP48" s="225"/>
      <c r="MWQ48" s="225"/>
      <c r="MWR48" s="225"/>
      <c r="MWS48" s="225"/>
      <c r="MWT48" s="225"/>
      <c r="MWU48" s="225"/>
      <c r="MWV48" s="225"/>
      <c r="MWW48" s="225"/>
      <c r="MWX48" s="225"/>
      <c r="MWY48" s="225"/>
      <c r="MWZ48" s="225"/>
      <c r="MXA48" s="225"/>
      <c r="MXB48" s="225"/>
      <c r="MXC48" s="225"/>
      <c r="MXD48" s="225"/>
      <c r="MXE48" s="225"/>
      <c r="MXF48" s="225"/>
      <c r="MXG48" s="225"/>
      <c r="MXH48" s="225"/>
      <c r="MXI48" s="225"/>
      <c r="MXJ48" s="225"/>
      <c r="MXK48" s="225"/>
      <c r="MXL48" s="225"/>
      <c r="MXM48" s="225"/>
      <c r="MXN48" s="225"/>
      <c r="MXO48" s="225"/>
      <c r="MXP48" s="225"/>
      <c r="MXQ48" s="225"/>
      <c r="MXR48" s="225"/>
      <c r="MXS48" s="225"/>
      <c r="MXT48" s="225"/>
      <c r="MXU48" s="225"/>
      <c r="MXV48" s="225"/>
      <c r="MXW48" s="225"/>
      <c r="MXX48" s="225"/>
      <c r="MXY48" s="225"/>
      <c r="MXZ48" s="225"/>
      <c r="MYA48" s="225"/>
      <c r="MYB48" s="225"/>
      <c r="MYC48" s="225"/>
      <c r="MYD48" s="225"/>
      <c r="MYE48" s="225"/>
      <c r="MYF48" s="225"/>
      <c r="MYG48" s="225"/>
      <c r="MYH48" s="225"/>
      <c r="MYI48" s="225"/>
      <c r="MYJ48" s="225"/>
      <c r="MYK48" s="225"/>
      <c r="MYL48" s="225"/>
      <c r="MYM48" s="225"/>
      <c r="MYN48" s="225"/>
      <c r="MYO48" s="225"/>
      <c r="MYP48" s="225"/>
      <c r="MYQ48" s="225"/>
      <c r="MYR48" s="225"/>
      <c r="MYS48" s="225"/>
      <c r="MYT48" s="225"/>
      <c r="MYU48" s="225"/>
      <c r="MYV48" s="225"/>
      <c r="MYW48" s="225"/>
      <c r="MYX48" s="225"/>
      <c r="MYY48" s="225"/>
      <c r="MYZ48" s="225"/>
      <c r="MZA48" s="225"/>
      <c r="MZB48" s="225"/>
      <c r="MZC48" s="225"/>
      <c r="MZD48" s="225"/>
      <c r="MZE48" s="225"/>
      <c r="MZF48" s="225"/>
      <c r="MZG48" s="225"/>
      <c r="MZH48" s="225"/>
      <c r="MZI48" s="225"/>
      <c r="MZJ48" s="225"/>
      <c r="MZK48" s="225"/>
      <c r="MZL48" s="225"/>
      <c r="MZM48" s="225"/>
      <c r="MZN48" s="225"/>
      <c r="MZO48" s="225"/>
      <c r="MZP48" s="225"/>
      <c r="MZQ48" s="225"/>
      <c r="MZR48" s="225"/>
      <c r="MZS48" s="225"/>
      <c r="MZT48" s="225"/>
      <c r="MZU48" s="225"/>
      <c r="MZV48" s="225"/>
      <c r="MZW48" s="225"/>
      <c r="MZX48" s="225"/>
      <c r="MZY48" s="225"/>
      <c r="MZZ48" s="225"/>
      <c r="NAA48" s="225"/>
      <c r="NAB48" s="225"/>
      <c r="NAC48" s="225"/>
      <c r="NAD48" s="225"/>
      <c r="NAE48" s="225"/>
      <c r="NAF48" s="225"/>
      <c r="NAG48" s="225"/>
      <c r="NAH48" s="225"/>
      <c r="NAI48" s="225"/>
      <c r="NAJ48" s="225"/>
      <c r="NAK48" s="225"/>
      <c r="NAL48" s="225"/>
      <c r="NAM48" s="225"/>
      <c r="NAN48" s="225"/>
      <c r="NAO48" s="225"/>
      <c r="NAP48" s="225"/>
      <c r="NAQ48" s="225"/>
      <c r="NAR48" s="225"/>
      <c r="NAS48" s="225"/>
      <c r="NAT48" s="225"/>
      <c r="NAU48" s="225"/>
      <c r="NAV48" s="225"/>
      <c r="NAW48" s="225"/>
      <c r="NAX48" s="225"/>
      <c r="NAY48" s="225"/>
      <c r="NAZ48" s="225"/>
      <c r="NBA48" s="225"/>
      <c r="NBB48" s="225"/>
      <c r="NBC48" s="225"/>
      <c r="NBD48" s="225"/>
      <c r="NBE48" s="225"/>
      <c r="NBF48" s="225"/>
      <c r="NBG48" s="225"/>
      <c r="NBH48" s="225"/>
      <c r="NBI48" s="225"/>
      <c r="NBJ48" s="225"/>
      <c r="NBK48" s="225"/>
      <c r="NBL48" s="225"/>
      <c r="NBM48" s="225"/>
      <c r="NBN48" s="225"/>
      <c r="NBO48" s="225"/>
      <c r="NBP48" s="225"/>
      <c r="NBQ48" s="225"/>
      <c r="NBR48" s="225"/>
      <c r="NBS48" s="225"/>
      <c r="NBT48" s="225"/>
      <c r="NBU48" s="225"/>
      <c r="NBV48" s="225"/>
      <c r="NBW48" s="225"/>
      <c r="NBX48" s="225"/>
      <c r="NBY48" s="225"/>
      <c r="NBZ48" s="225"/>
      <c r="NCA48" s="225"/>
      <c r="NCB48" s="225"/>
      <c r="NCC48" s="225"/>
      <c r="NCD48" s="225"/>
      <c r="NCE48" s="225"/>
      <c r="NCF48" s="225"/>
      <c r="NCG48" s="225"/>
      <c r="NCH48" s="225"/>
      <c r="NCI48" s="225"/>
      <c r="NCJ48" s="225"/>
      <c r="NCK48" s="225"/>
      <c r="NCL48" s="225"/>
      <c r="NCM48" s="225"/>
      <c r="NCN48" s="225"/>
      <c r="NCO48" s="225"/>
      <c r="NCP48" s="225"/>
      <c r="NCQ48" s="225"/>
      <c r="NCR48" s="225"/>
      <c r="NCS48" s="225"/>
      <c r="NCT48" s="225"/>
      <c r="NCU48" s="225"/>
      <c r="NCV48" s="225"/>
      <c r="NCW48" s="225"/>
      <c r="NCX48" s="225"/>
      <c r="NCY48" s="225"/>
      <c r="NCZ48" s="225"/>
      <c r="NDA48" s="225"/>
      <c r="NDB48" s="225"/>
      <c r="NDC48" s="225"/>
      <c r="NDD48" s="225"/>
      <c r="NDE48" s="225"/>
      <c r="NDF48" s="225"/>
      <c r="NDG48" s="225"/>
      <c r="NDH48" s="225"/>
      <c r="NDI48" s="225"/>
      <c r="NDJ48" s="225"/>
      <c r="NDK48" s="225"/>
      <c r="NDL48" s="225"/>
      <c r="NDM48" s="225"/>
      <c r="NDN48" s="225"/>
      <c r="NDO48" s="225"/>
      <c r="NDP48" s="225"/>
      <c r="NDQ48" s="225"/>
      <c r="NDR48" s="225"/>
      <c r="NDS48" s="225"/>
      <c r="NDT48" s="225"/>
      <c r="NDU48" s="225"/>
      <c r="NDV48" s="225"/>
      <c r="NDW48" s="225"/>
      <c r="NDX48" s="225"/>
      <c r="NDY48" s="225"/>
      <c r="NDZ48" s="225"/>
      <c r="NEA48" s="225"/>
      <c r="NEB48" s="225"/>
      <c r="NEC48" s="225"/>
      <c r="NED48" s="225"/>
      <c r="NEE48" s="225"/>
      <c r="NEF48" s="225"/>
      <c r="NEG48" s="225"/>
      <c r="NEH48" s="225"/>
      <c r="NEI48" s="225"/>
      <c r="NEJ48" s="225"/>
      <c r="NEK48" s="225"/>
      <c r="NEL48" s="225"/>
      <c r="NEM48" s="225"/>
      <c r="NEN48" s="225"/>
      <c r="NEO48" s="225"/>
      <c r="NEP48" s="225"/>
      <c r="NEQ48" s="225"/>
      <c r="NER48" s="225"/>
      <c r="NES48" s="225"/>
      <c r="NET48" s="225"/>
      <c r="NEU48" s="225"/>
      <c r="NEV48" s="225"/>
      <c r="NEW48" s="225"/>
      <c r="NEX48" s="225"/>
      <c r="NEY48" s="225"/>
      <c r="NEZ48" s="225"/>
      <c r="NFA48" s="225"/>
      <c r="NFB48" s="225"/>
      <c r="NFC48" s="225"/>
      <c r="NFD48" s="225"/>
      <c r="NFE48" s="225"/>
      <c r="NFF48" s="225"/>
      <c r="NFG48" s="225"/>
      <c r="NFH48" s="225"/>
      <c r="NFI48" s="225"/>
      <c r="NFJ48" s="225"/>
      <c r="NFK48" s="225"/>
      <c r="NFL48" s="225"/>
      <c r="NFM48" s="225"/>
      <c r="NFN48" s="225"/>
      <c r="NFO48" s="225"/>
      <c r="NFP48" s="225"/>
      <c r="NFQ48" s="225"/>
      <c r="NFR48" s="225"/>
      <c r="NFS48" s="225"/>
      <c r="NFT48" s="225"/>
      <c r="NFU48" s="225"/>
      <c r="NFV48" s="225"/>
      <c r="NFW48" s="225"/>
      <c r="NFX48" s="225"/>
      <c r="NFY48" s="225"/>
      <c r="NFZ48" s="225"/>
      <c r="NGA48" s="225"/>
      <c r="NGB48" s="225"/>
      <c r="NGC48" s="225"/>
      <c r="NGD48" s="225"/>
      <c r="NGE48" s="225"/>
      <c r="NGF48" s="225"/>
      <c r="NGG48" s="225"/>
      <c r="NGH48" s="225"/>
      <c r="NGI48" s="225"/>
      <c r="NGJ48" s="225"/>
      <c r="NGK48" s="225"/>
      <c r="NGL48" s="225"/>
      <c r="NGM48" s="225"/>
      <c r="NGN48" s="225"/>
      <c r="NGO48" s="225"/>
      <c r="NGP48" s="225"/>
      <c r="NGQ48" s="225"/>
      <c r="NGR48" s="225"/>
      <c r="NGS48" s="225"/>
      <c r="NGT48" s="225"/>
      <c r="NGU48" s="225"/>
      <c r="NGV48" s="225"/>
      <c r="NGW48" s="225"/>
      <c r="NGX48" s="225"/>
      <c r="NGY48" s="225"/>
      <c r="NGZ48" s="225"/>
      <c r="NHA48" s="225"/>
      <c r="NHB48" s="225"/>
      <c r="NHC48" s="225"/>
      <c r="NHD48" s="225"/>
      <c r="NHE48" s="225"/>
      <c r="NHF48" s="225"/>
      <c r="NHG48" s="225"/>
      <c r="NHH48" s="225"/>
      <c r="NHI48" s="225"/>
      <c r="NHJ48" s="225"/>
      <c r="NHK48" s="225"/>
      <c r="NHL48" s="225"/>
      <c r="NHM48" s="225"/>
      <c r="NHN48" s="225"/>
      <c r="NHO48" s="225"/>
      <c r="NHP48" s="225"/>
      <c r="NHQ48" s="225"/>
      <c r="NHR48" s="225"/>
      <c r="NHS48" s="225"/>
      <c r="NHT48" s="225"/>
      <c r="NHU48" s="225"/>
      <c r="NHV48" s="225"/>
      <c r="NHW48" s="225"/>
      <c r="NHX48" s="225"/>
      <c r="NHY48" s="225"/>
      <c r="NHZ48" s="225"/>
      <c r="NIA48" s="225"/>
      <c r="NIB48" s="225"/>
      <c r="NIC48" s="225"/>
      <c r="NID48" s="225"/>
      <c r="NIE48" s="225"/>
      <c r="NIF48" s="225"/>
      <c r="NIG48" s="225"/>
      <c r="NIH48" s="225"/>
      <c r="NII48" s="225"/>
      <c r="NIJ48" s="225"/>
      <c r="NIK48" s="225"/>
      <c r="NIL48" s="225"/>
      <c r="NIM48" s="225"/>
      <c r="NIN48" s="225"/>
      <c r="NIO48" s="225"/>
      <c r="NIP48" s="225"/>
      <c r="NIQ48" s="225"/>
      <c r="NIR48" s="225"/>
      <c r="NIS48" s="225"/>
      <c r="NIT48" s="225"/>
      <c r="NIU48" s="225"/>
      <c r="NIV48" s="225"/>
      <c r="NIW48" s="225"/>
      <c r="NIX48" s="225"/>
      <c r="NIY48" s="225"/>
      <c r="NIZ48" s="225"/>
      <c r="NJA48" s="225"/>
      <c r="NJB48" s="225"/>
      <c r="NJC48" s="225"/>
      <c r="NJD48" s="225"/>
      <c r="NJE48" s="225"/>
      <c r="NJF48" s="225"/>
      <c r="NJG48" s="225"/>
      <c r="NJH48" s="225"/>
      <c r="NJI48" s="225"/>
      <c r="NJJ48" s="225"/>
      <c r="NJK48" s="225"/>
      <c r="NJL48" s="225"/>
      <c r="NJM48" s="225"/>
      <c r="NJN48" s="225"/>
      <c r="NJO48" s="225"/>
      <c r="NJP48" s="225"/>
      <c r="NJQ48" s="225"/>
      <c r="NJR48" s="225"/>
      <c r="NJS48" s="225"/>
      <c r="NJT48" s="225"/>
      <c r="NJU48" s="225"/>
      <c r="NJV48" s="225"/>
      <c r="NJW48" s="225"/>
      <c r="NJX48" s="225"/>
      <c r="NJY48" s="225"/>
      <c r="NJZ48" s="225"/>
      <c r="NKA48" s="225"/>
      <c r="NKB48" s="225"/>
      <c r="NKC48" s="225"/>
      <c r="NKD48" s="225"/>
      <c r="NKE48" s="225"/>
      <c r="NKF48" s="225"/>
      <c r="NKG48" s="225"/>
      <c r="NKH48" s="225"/>
      <c r="NKI48" s="225"/>
      <c r="NKJ48" s="225"/>
      <c r="NKK48" s="225"/>
      <c r="NKL48" s="225"/>
      <c r="NKM48" s="225"/>
      <c r="NKN48" s="225"/>
      <c r="NKO48" s="225"/>
      <c r="NKP48" s="225"/>
      <c r="NKQ48" s="225"/>
      <c r="NKR48" s="225"/>
      <c r="NKS48" s="225"/>
      <c r="NKT48" s="225"/>
      <c r="NKU48" s="225"/>
      <c r="NKV48" s="225"/>
      <c r="NKW48" s="225"/>
      <c r="NKX48" s="225"/>
      <c r="NKY48" s="225"/>
      <c r="NKZ48" s="225"/>
      <c r="NLA48" s="225"/>
      <c r="NLB48" s="225"/>
      <c r="NLC48" s="225"/>
      <c r="NLD48" s="225"/>
      <c r="NLE48" s="225"/>
      <c r="NLF48" s="225"/>
      <c r="NLG48" s="225"/>
      <c r="NLH48" s="225"/>
      <c r="NLI48" s="225"/>
      <c r="NLJ48" s="225"/>
      <c r="NLK48" s="225"/>
      <c r="NLL48" s="225"/>
      <c r="NLM48" s="225"/>
      <c r="NLN48" s="225"/>
      <c r="NLO48" s="225"/>
      <c r="NLP48" s="225"/>
      <c r="NLQ48" s="225"/>
      <c r="NLR48" s="225"/>
      <c r="NLS48" s="225"/>
      <c r="NLT48" s="225"/>
      <c r="NLU48" s="225"/>
      <c r="NLV48" s="225"/>
      <c r="NLW48" s="225"/>
      <c r="NLX48" s="225"/>
      <c r="NLY48" s="225"/>
      <c r="NLZ48" s="225"/>
      <c r="NMA48" s="225"/>
      <c r="NMB48" s="225"/>
      <c r="NMC48" s="225"/>
      <c r="NMD48" s="225"/>
      <c r="NME48" s="225"/>
      <c r="NMF48" s="225"/>
      <c r="NMG48" s="225"/>
      <c r="NMH48" s="225"/>
      <c r="NMI48" s="225"/>
      <c r="NMJ48" s="225"/>
      <c r="NMK48" s="225"/>
      <c r="NML48" s="225"/>
      <c r="NMM48" s="225"/>
      <c r="NMN48" s="225"/>
      <c r="NMO48" s="225"/>
      <c r="NMP48" s="225"/>
      <c r="NMQ48" s="225"/>
      <c r="NMR48" s="225"/>
      <c r="NMS48" s="225"/>
      <c r="NMT48" s="225"/>
      <c r="NMU48" s="225"/>
      <c r="NMV48" s="225"/>
      <c r="NMW48" s="225"/>
      <c r="NMX48" s="225"/>
      <c r="NMY48" s="225"/>
      <c r="NMZ48" s="225"/>
      <c r="NNA48" s="225"/>
      <c r="NNB48" s="225"/>
      <c r="NNC48" s="225"/>
      <c r="NND48" s="225"/>
      <c r="NNE48" s="225"/>
      <c r="NNF48" s="225"/>
      <c r="NNG48" s="225"/>
      <c r="NNH48" s="225"/>
      <c r="NNI48" s="225"/>
      <c r="NNJ48" s="225"/>
      <c r="NNK48" s="225"/>
      <c r="NNL48" s="225"/>
      <c r="NNM48" s="225"/>
      <c r="NNN48" s="225"/>
      <c r="NNO48" s="225"/>
      <c r="NNP48" s="225"/>
      <c r="NNQ48" s="225"/>
      <c r="NNR48" s="225"/>
      <c r="NNS48" s="225"/>
      <c r="NNT48" s="225"/>
      <c r="NNU48" s="225"/>
      <c r="NNV48" s="225"/>
      <c r="NNW48" s="225"/>
      <c r="NNX48" s="225"/>
      <c r="NNY48" s="225"/>
      <c r="NNZ48" s="225"/>
      <c r="NOA48" s="225"/>
      <c r="NOB48" s="225"/>
      <c r="NOC48" s="225"/>
      <c r="NOD48" s="225"/>
      <c r="NOE48" s="225"/>
      <c r="NOF48" s="225"/>
      <c r="NOG48" s="225"/>
      <c r="NOH48" s="225"/>
      <c r="NOI48" s="225"/>
      <c r="NOJ48" s="225"/>
      <c r="NOK48" s="225"/>
      <c r="NOL48" s="225"/>
      <c r="NOM48" s="225"/>
      <c r="NON48" s="225"/>
      <c r="NOO48" s="225"/>
      <c r="NOP48" s="225"/>
      <c r="NOQ48" s="225"/>
      <c r="NOR48" s="225"/>
      <c r="NOS48" s="225"/>
      <c r="NOT48" s="225"/>
      <c r="NOU48" s="225"/>
      <c r="NOV48" s="225"/>
      <c r="NOW48" s="225"/>
      <c r="NOX48" s="225"/>
      <c r="NOY48" s="225"/>
      <c r="NOZ48" s="225"/>
      <c r="NPA48" s="225"/>
      <c r="NPB48" s="225"/>
      <c r="NPC48" s="225"/>
      <c r="NPD48" s="225"/>
      <c r="NPE48" s="225"/>
      <c r="NPF48" s="225"/>
      <c r="NPG48" s="225"/>
      <c r="NPH48" s="225"/>
      <c r="NPI48" s="225"/>
      <c r="NPJ48" s="225"/>
      <c r="NPK48" s="225"/>
      <c r="NPL48" s="225"/>
      <c r="NPM48" s="225"/>
      <c r="NPN48" s="225"/>
      <c r="NPO48" s="225"/>
      <c r="NPP48" s="225"/>
      <c r="NPQ48" s="225"/>
      <c r="NPR48" s="225"/>
      <c r="NPS48" s="225"/>
      <c r="NPT48" s="225"/>
      <c r="NPU48" s="225"/>
      <c r="NPV48" s="225"/>
      <c r="NPW48" s="225"/>
      <c r="NPX48" s="225"/>
      <c r="NPY48" s="225"/>
      <c r="NPZ48" s="225"/>
      <c r="NQA48" s="225"/>
      <c r="NQB48" s="225"/>
      <c r="NQC48" s="225"/>
      <c r="NQD48" s="225"/>
      <c r="NQE48" s="225"/>
      <c r="NQF48" s="225"/>
      <c r="NQG48" s="225"/>
      <c r="NQH48" s="225"/>
      <c r="NQI48" s="225"/>
      <c r="NQJ48" s="225"/>
      <c r="NQK48" s="225"/>
      <c r="NQL48" s="225"/>
      <c r="NQM48" s="225"/>
      <c r="NQN48" s="225"/>
      <c r="NQO48" s="225"/>
      <c r="NQP48" s="225"/>
      <c r="NQQ48" s="225"/>
      <c r="NQR48" s="225"/>
      <c r="NQS48" s="225"/>
      <c r="NQT48" s="225"/>
      <c r="NQU48" s="225"/>
      <c r="NQV48" s="225"/>
      <c r="NQW48" s="225"/>
      <c r="NQX48" s="225"/>
      <c r="NQY48" s="225"/>
      <c r="NQZ48" s="225"/>
      <c r="NRA48" s="225"/>
      <c r="NRB48" s="225"/>
      <c r="NRC48" s="225"/>
      <c r="NRD48" s="225"/>
      <c r="NRE48" s="225"/>
      <c r="NRF48" s="225"/>
      <c r="NRG48" s="225"/>
      <c r="NRH48" s="225"/>
      <c r="NRI48" s="225"/>
      <c r="NRJ48" s="225"/>
      <c r="NRK48" s="225"/>
      <c r="NRL48" s="225"/>
      <c r="NRM48" s="225"/>
      <c r="NRN48" s="225"/>
      <c r="NRO48" s="225"/>
      <c r="NRP48" s="225"/>
      <c r="NRQ48" s="225"/>
      <c r="NRR48" s="225"/>
      <c r="NRS48" s="225"/>
      <c r="NRT48" s="225"/>
      <c r="NRU48" s="225"/>
      <c r="NRV48" s="225"/>
      <c r="NRW48" s="225"/>
      <c r="NRX48" s="225"/>
      <c r="NRY48" s="225"/>
      <c r="NRZ48" s="225"/>
      <c r="NSA48" s="225"/>
      <c r="NSB48" s="225"/>
      <c r="NSC48" s="225"/>
      <c r="NSD48" s="225"/>
      <c r="NSE48" s="225"/>
      <c r="NSF48" s="225"/>
      <c r="NSG48" s="225"/>
      <c r="NSH48" s="225"/>
      <c r="NSI48" s="225"/>
      <c r="NSJ48" s="225"/>
      <c r="NSK48" s="225"/>
      <c r="NSL48" s="225"/>
      <c r="NSM48" s="225"/>
      <c r="NSN48" s="225"/>
      <c r="NSO48" s="225"/>
      <c r="NSP48" s="225"/>
      <c r="NSQ48" s="225"/>
      <c r="NSR48" s="225"/>
      <c r="NSS48" s="225"/>
      <c r="NST48" s="225"/>
      <c r="NSU48" s="225"/>
      <c r="NSV48" s="225"/>
      <c r="NSW48" s="225"/>
      <c r="NSX48" s="225"/>
      <c r="NSY48" s="225"/>
      <c r="NSZ48" s="225"/>
      <c r="NTA48" s="225"/>
      <c r="NTB48" s="225"/>
      <c r="NTC48" s="225"/>
      <c r="NTD48" s="225"/>
      <c r="NTE48" s="225"/>
      <c r="NTF48" s="225"/>
      <c r="NTG48" s="225"/>
      <c r="NTH48" s="225"/>
      <c r="NTI48" s="225"/>
      <c r="NTJ48" s="225"/>
      <c r="NTK48" s="225"/>
      <c r="NTL48" s="225"/>
      <c r="NTM48" s="225"/>
      <c r="NTN48" s="225"/>
      <c r="NTO48" s="225"/>
      <c r="NTP48" s="225"/>
      <c r="NTQ48" s="225"/>
      <c r="NTR48" s="225"/>
      <c r="NTS48" s="225"/>
      <c r="NTT48" s="225"/>
      <c r="NTU48" s="225"/>
      <c r="NTV48" s="225"/>
      <c r="NTW48" s="225"/>
      <c r="NTX48" s="225"/>
      <c r="NTY48" s="225"/>
      <c r="NTZ48" s="225"/>
      <c r="NUA48" s="225"/>
      <c r="NUB48" s="225"/>
      <c r="NUC48" s="225"/>
      <c r="NUD48" s="225"/>
      <c r="NUE48" s="225"/>
      <c r="NUF48" s="225"/>
      <c r="NUG48" s="225"/>
      <c r="NUH48" s="225"/>
      <c r="NUI48" s="225"/>
      <c r="NUJ48" s="225"/>
      <c r="NUK48" s="225"/>
      <c r="NUL48" s="225"/>
      <c r="NUM48" s="225"/>
      <c r="NUN48" s="225"/>
      <c r="NUO48" s="225"/>
      <c r="NUP48" s="225"/>
      <c r="NUQ48" s="225"/>
      <c r="NUR48" s="225"/>
      <c r="NUS48" s="225"/>
      <c r="NUT48" s="225"/>
      <c r="NUU48" s="225"/>
      <c r="NUV48" s="225"/>
      <c r="NUW48" s="225"/>
      <c r="NUX48" s="225"/>
      <c r="NUY48" s="225"/>
      <c r="NUZ48" s="225"/>
      <c r="NVA48" s="225"/>
      <c r="NVB48" s="225"/>
      <c r="NVC48" s="225"/>
      <c r="NVD48" s="225"/>
      <c r="NVE48" s="225"/>
      <c r="NVF48" s="225"/>
      <c r="NVG48" s="225"/>
      <c r="NVH48" s="225"/>
      <c r="NVI48" s="225"/>
      <c r="NVJ48" s="225"/>
      <c r="NVK48" s="225"/>
      <c r="NVL48" s="225"/>
      <c r="NVM48" s="225"/>
      <c r="NVN48" s="225"/>
      <c r="NVO48" s="225"/>
      <c r="NVP48" s="225"/>
      <c r="NVQ48" s="225"/>
      <c r="NVR48" s="225"/>
      <c r="NVS48" s="225"/>
      <c r="NVT48" s="225"/>
      <c r="NVU48" s="225"/>
      <c r="NVV48" s="225"/>
      <c r="NVW48" s="225"/>
      <c r="NVX48" s="225"/>
      <c r="NVY48" s="225"/>
      <c r="NVZ48" s="225"/>
      <c r="NWA48" s="225"/>
      <c r="NWB48" s="225"/>
      <c r="NWC48" s="225"/>
      <c r="NWD48" s="225"/>
      <c r="NWE48" s="225"/>
      <c r="NWF48" s="225"/>
      <c r="NWG48" s="225"/>
      <c r="NWH48" s="225"/>
      <c r="NWI48" s="225"/>
      <c r="NWJ48" s="225"/>
      <c r="NWK48" s="225"/>
      <c r="NWL48" s="225"/>
      <c r="NWM48" s="225"/>
      <c r="NWN48" s="225"/>
      <c r="NWO48" s="225"/>
      <c r="NWP48" s="225"/>
      <c r="NWQ48" s="225"/>
      <c r="NWR48" s="225"/>
      <c r="NWS48" s="225"/>
      <c r="NWT48" s="225"/>
      <c r="NWU48" s="225"/>
      <c r="NWV48" s="225"/>
      <c r="NWW48" s="225"/>
      <c r="NWX48" s="225"/>
      <c r="NWY48" s="225"/>
      <c r="NWZ48" s="225"/>
      <c r="NXA48" s="225"/>
      <c r="NXB48" s="225"/>
      <c r="NXC48" s="225"/>
      <c r="NXD48" s="225"/>
      <c r="NXE48" s="225"/>
      <c r="NXF48" s="225"/>
      <c r="NXG48" s="225"/>
      <c r="NXH48" s="225"/>
      <c r="NXI48" s="225"/>
      <c r="NXJ48" s="225"/>
      <c r="NXK48" s="225"/>
      <c r="NXL48" s="225"/>
      <c r="NXM48" s="225"/>
      <c r="NXN48" s="225"/>
      <c r="NXO48" s="225"/>
      <c r="NXP48" s="225"/>
      <c r="NXQ48" s="225"/>
      <c r="NXR48" s="225"/>
      <c r="NXS48" s="225"/>
      <c r="NXT48" s="225"/>
      <c r="NXU48" s="225"/>
      <c r="NXV48" s="225"/>
      <c r="NXW48" s="225"/>
      <c r="NXX48" s="225"/>
      <c r="NXY48" s="225"/>
      <c r="NXZ48" s="225"/>
      <c r="NYA48" s="225"/>
      <c r="NYB48" s="225"/>
      <c r="NYC48" s="225"/>
      <c r="NYD48" s="225"/>
      <c r="NYE48" s="225"/>
      <c r="NYF48" s="225"/>
      <c r="NYG48" s="225"/>
      <c r="NYH48" s="225"/>
      <c r="NYI48" s="225"/>
      <c r="NYJ48" s="225"/>
      <c r="NYK48" s="225"/>
      <c r="NYL48" s="225"/>
      <c r="NYM48" s="225"/>
      <c r="NYN48" s="225"/>
      <c r="NYO48" s="225"/>
      <c r="NYP48" s="225"/>
      <c r="NYQ48" s="225"/>
      <c r="NYR48" s="225"/>
      <c r="NYS48" s="225"/>
      <c r="NYT48" s="225"/>
      <c r="NYU48" s="225"/>
      <c r="NYV48" s="225"/>
      <c r="NYW48" s="225"/>
      <c r="NYX48" s="225"/>
      <c r="NYY48" s="225"/>
      <c r="NYZ48" s="225"/>
      <c r="NZA48" s="225"/>
      <c r="NZB48" s="225"/>
      <c r="NZC48" s="225"/>
      <c r="NZD48" s="225"/>
      <c r="NZE48" s="225"/>
      <c r="NZF48" s="225"/>
      <c r="NZG48" s="225"/>
      <c r="NZH48" s="225"/>
      <c r="NZI48" s="225"/>
      <c r="NZJ48" s="225"/>
      <c r="NZK48" s="225"/>
      <c r="NZL48" s="225"/>
      <c r="NZM48" s="225"/>
      <c r="NZN48" s="225"/>
      <c r="NZO48" s="225"/>
      <c r="NZP48" s="225"/>
      <c r="NZQ48" s="225"/>
      <c r="NZR48" s="225"/>
      <c r="NZS48" s="225"/>
      <c r="NZT48" s="225"/>
      <c r="NZU48" s="225"/>
      <c r="NZV48" s="225"/>
      <c r="NZW48" s="225"/>
      <c r="NZX48" s="225"/>
      <c r="NZY48" s="225"/>
      <c r="NZZ48" s="225"/>
      <c r="OAA48" s="225"/>
      <c r="OAB48" s="225"/>
      <c r="OAC48" s="225"/>
      <c r="OAD48" s="225"/>
      <c r="OAE48" s="225"/>
      <c r="OAF48" s="225"/>
      <c r="OAG48" s="225"/>
      <c r="OAH48" s="225"/>
      <c r="OAI48" s="225"/>
      <c r="OAJ48" s="225"/>
      <c r="OAK48" s="225"/>
      <c r="OAL48" s="225"/>
      <c r="OAM48" s="225"/>
      <c r="OAN48" s="225"/>
      <c r="OAO48" s="225"/>
      <c r="OAP48" s="225"/>
      <c r="OAQ48" s="225"/>
      <c r="OAR48" s="225"/>
      <c r="OAS48" s="225"/>
      <c r="OAT48" s="225"/>
      <c r="OAU48" s="225"/>
      <c r="OAV48" s="225"/>
      <c r="OAW48" s="225"/>
      <c r="OAX48" s="225"/>
      <c r="OAY48" s="225"/>
      <c r="OAZ48" s="225"/>
      <c r="OBA48" s="225"/>
      <c r="OBB48" s="225"/>
      <c r="OBC48" s="225"/>
      <c r="OBD48" s="225"/>
      <c r="OBE48" s="225"/>
      <c r="OBF48" s="225"/>
      <c r="OBG48" s="225"/>
      <c r="OBH48" s="225"/>
      <c r="OBI48" s="225"/>
      <c r="OBJ48" s="225"/>
      <c r="OBK48" s="225"/>
      <c r="OBL48" s="225"/>
      <c r="OBM48" s="225"/>
      <c r="OBN48" s="225"/>
      <c r="OBO48" s="225"/>
      <c r="OBP48" s="225"/>
      <c r="OBQ48" s="225"/>
      <c r="OBR48" s="225"/>
      <c r="OBS48" s="225"/>
      <c r="OBT48" s="225"/>
      <c r="OBU48" s="225"/>
      <c r="OBV48" s="225"/>
      <c r="OBW48" s="225"/>
      <c r="OBX48" s="225"/>
      <c r="OBY48" s="225"/>
      <c r="OBZ48" s="225"/>
      <c r="OCA48" s="225"/>
      <c r="OCB48" s="225"/>
      <c r="OCC48" s="225"/>
      <c r="OCD48" s="225"/>
      <c r="OCE48" s="225"/>
      <c r="OCF48" s="225"/>
      <c r="OCG48" s="225"/>
      <c r="OCH48" s="225"/>
      <c r="OCI48" s="225"/>
      <c r="OCJ48" s="225"/>
      <c r="OCK48" s="225"/>
      <c r="OCL48" s="225"/>
      <c r="OCM48" s="225"/>
      <c r="OCN48" s="225"/>
      <c r="OCO48" s="225"/>
      <c r="OCP48" s="225"/>
      <c r="OCQ48" s="225"/>
      <c r="OCR48" s="225"/>
      <c r="OCS48" s="225"/>
      <c r="OCT48" s="225"/>
      <c r="OCU48" s="225"/>
      <c r="OCV48" s="225"/>
      <c r="OCW48" s="225"/>
      <c r="OCX48" s="225"/>
      <c r="OCY48" s="225"/>
      <c r="OCZ48" s="225"/>
      <c r="ODA48" s="225"/>
      <c r="ODB48" s="225"/>
      <c r="ODC48" s="225"/>
      <c r="ODD48" s="225"/>
      <c r="ODE48" s="225"/>
      <c r="ODF48" s="225"/>
      <c r="ODG48" s="225"/>
      <c r="ODH48" s="225"/>
      <c r="ODI48" s="225"/>
      <c r="ODJ48" s="225"/>
      <c r="ODK48" s="225"/>
      <c r="ODL48" s="225"/>
      <c r="ODM48" s="225"/>
      <c r="ODN48" s="225"/>
      <c r="ODO48" s="225"/>
      <c r="ODP48" s="225"/>
      <c r="ODQ48" s="225"/>
      <c r="ODR48" s="225"/>
      <c r="ODS48" s="225"/>
      <c r="ODT48" s="225"/>
      <c r="ODU48" s="225"/>
      <c r="ODV48" s="225"/>
      <c r="ODW48" s="225"/>
      <c r="ODX48" s="225"/>
      <c r="ODY48" s="225"/>
      <c r="ODZ48" s="225"/>
      <c r="OEA48" s="225"/>
      <c r="OEB48" s="225"/>
      <c r="OEC48" s="225"/>
      <c r="OED48" s="225"/>
      <c r="OEE48" s="225"/>
      <c r="OEF48" s="225"/>
      <c r="OEG48" s="225"/>
      <c r="OEH48" s="225"/>
      <c r="OEI48" s="225"/>
      <c r="OEJ48" s="225"/>
      <c r="OEK48" s="225"/>
      <c r="OEL48" s="225"/>
      <c r="OEM48" s="225"/>
      <c r="OEN48" s="225"/>
      <c r="OEO48" s="225"/>
      <c r="OEP48" s="225"/>
      <c r="OEQ48" s="225"/>
      <c r="OER48" s="225"/>
      <c r="OES48" s="225"/>
      <c r="OET48" s="225"/>
      <c r="OEU48" s="225"/>
      <c r="OEV48" s="225"/>
      <c r="OEW48" s="225"/>
      <c r="OEX48" s="225"/>
      <c r="OEY48" s="225"/>
      <c r="OEZ48" s="225"/>
      <c r="OFA48" s="225"/>
      <c r="OFB48" s="225"/>
      <c r="OFC48" s="225"/>
      <c r="OFD48" s="225"/>
      <c r="OFE48" s="225"/>
      <c r="OFF48" s="225"/>
      <c r="OFG48" s="225"/>
      <c r="OFH48" s="225"/>
      <c r="OFI48" s="225"/>
      <c r="OFJ48" s="225"/>
      <c r="OFK48" s="225"/>
      <c r="OFL48" s="225"/>
      <c r="OFM48" s="225"/>
      <c r="OFN48" s="225"/>
      <c r="OFO48" s="225"/>
      <c r="OFP48" s="225"/>
      <c r="OFQ48" s="225"/>
      <c r="OFR48" s="225"/>
      <c r="OFS48" s="225"/>
      <c r="OFT48" s="225"/>
      <c r="OFU48" s="225"/>
      <c r="OFV48" s="225"/>
      <c r="OFW48" s="225"/>
      <c r="OFX48" s="225"/>
      <c r="OFY48" s="225"/>
      <c r="OFZ48" s="225"/>
      <c r="OGA48" s="225"/>
      <c r="OGB48" s="225"/>
      <c r="OGC48" s="225"/>
      <c r="OGD48" s="225"/>
      <c r="OGE48" s="225"/>
      <c r="OGF48" s="225"/>
      <c r="OGG48" s="225"/>
      <c r="OGH48" s="225"/>
      <c r="OGI48" s="225"/>
      <c r="OGJ48" s="225"/>
      <c r="OGK48" s="225"/>
      <c r="OGL48" s="225"/>
      <c r="OGM48" s="225"/>
      <c r="OGN48" s="225"/>
      <c r="OGO48" s="225"/>
      <c r="OGP48" s="225"/>
      <c r="OGQ48" s="225"/>
      <c r="OGR48" s="225"/>
      <c r="OGS48" s="225"/>
      <c r="OGT48" s="225"/>
      <c r="OGU48" s="225"/>
      <c r="OGV48" s="225"/>
      <c r="OGW48" s="225"/>
      <c r="OGX48" s="225"/>
      <c r="OGY48" s="225"/>
      <c r="OGZ48" s="225"/>
      <c r="OHA48" s="225"/>
      <c r="OHB48" s="225"/>
      <c r="OHC48" s="225"/>
      <c r="OHD48" s="225"/>
      <c r="OHE48" s="225"/>
      <c r="OHF48" s="225"/>
      <c r="OHG48" s="225"/>
      <c r="OHH48" s="225"/>
      <c r="OHI48" s="225"/>
      <c r="OHJ48" s="225"/>
      <c r="OHK48" s="225"/>
      <c r="OHL48" s="225"/>
      <c r="OHM48" s="225"/>
      <c r="OHN48" s="225"/>
      <c r="OHO48" s="225"/>
      <c r="OHP48" s="225"/>
      <c r="OHQ48" s="225"/>
      <c r="OHR48" s="225"/>
      <c r="OHS48" s="225"/>
      <c r="OHT48" s="225"/>
      <c r="OHU48" s="225"/>
      <c r="OHV48" s="225"/>
      <c r="OHW48" s="225"/>
      <c r="OHX48" s="225"/>
      <c r="OHY48" s="225"/>
      <c r="OHZ48" s="225"/>
      <c r="OIA48" s="225"/>
      <c r="OIB48" s="225"/>
      <c r="OIC48" s="225"/>
      <c r="OID48" s="225"/>
      <c r="OIE48" s="225"/>
      <c r="OIF48" s="225"/>
      <c r="OIG48" s="225"/>
      <c r="OIH48" s="225"/>
      <c r="OII48" s="225"/>
      <c r="OIJ48" s="225"/>
      <c r="OIK48" s="225"/>
      <c r="OIL48" s="225"/>
      <c r="OIM48" s="225"/>
      <c r="OIN48" s="225"/>
      <c r="OIO48" s="225"/>
      <c r="OIP48" s="225"/>
      <c r="OIQ48" s="225"/>
      <c r="OIR48" s="225"/>
      <c r="OIS48" s="225"/>
      <c r="OIT48" s="225"/>
      <c r="OIU48" s="225"/>
      <c r="OIV48" s="225"/>
      <c r="OIW48" s="225"/>
      <c r="OIX48" s="225"/>
      <c r="OIY48" s="225"/>
      <c r="OIZ48" s="225"/>
      <c r="OJA48" s="225"/>
      <c r="OJB48" s="225"/>
      <c r="OJC48" s="225"/>
      <c r="OJD48" s="225"/>
      <c r="OJE48" s="225"/>
      <c r="OJF48" s="225"/>
      <c r="OJG48" s="225"/>
      <c r="OJH48" s="225"/>
      <c r="OJI48" s="225"/>
      <c r="OJJ48" s="225"/>
      <c r="OJK48" s="225"/>
      <c r="OJL48" s="225"/>
      <c r="OJM48" s="225"/>
      <c r="OJN48" s="225"/>
      <c r="OJO48" s="225"/>
      <c r="OJP48" s="225"/>
      <c r="OJQ48" s="225"/>
      <c r="OJR48" s="225"/>
      <c r="OJS48" s="225"/>
      <c r="OJT48" s="225"/>
      <c r="OJU48" s="225"/>
      <c r="OJV48" s="225"/>
      <c r="OJW48" s="225"/>
      <c r="OJX48" s="225"/>
      <c r="OJY48" s="225"/>
      <c r="OJZ48" s="225"/>
      <c r="OKA48" s="225"/>
      <c r="OKB48" s="225"/>
      <c r="OKC48" s="225"/>
      <c r="OKD48" s="225"/>
      <c r="OKE48" s="225"/>
      <c r="OKF48" s="225"/>
      <c r="OKG48" s="225"/>
      <c r="OKH48" s="225"/>
      <c r="OKI48" s="225"/>
      <c r="OKJ48" s="225"/>
      <c r="OKK48" s="225"/>
      <c r="OKL48" s="225"/>
      <c r="OKM48" s="225"/>
      <c r="OKN48" s="225"/>
      <c r="OKO48" s="225"/>
      <c r="OKP48" s="225"/>
      <c r="OKQ48" s="225"/>
      <c r="OKR48" s="225"/>
      <c r="OKS48" s="225"/>
      <c r="OKT48" s="225"/>
      <c r="OKU48" s="225"/>
      <c r="OKV48" s="225"/>
      <c r="OKW48" s="225"/>
      <c r="OKX48" s="225"/>
      <c r="OKY48" s="225"/>
      <c r="OKZ48" s="225"/>
      <c r="OLA48" s="225"/>
      <c r="OLB48" s="225"/>
      <c r="OLC48" s="225"/>
      <c r="OLD48" s="225"/>
      <c r="OLE48" s="225"/>
      <c r="OLF48" s="225"/>
      <c r="OLG48" s="225"/>
      <c r="OLH48" s="225"/>
      <c r="OLI48" s="225"/>
      <c r="OLJ48" s="225"/>
      <c r="OLK48" s="225"/>
      <c r="OLL48" s="225"/>
      <c r="OLM48" s="225"/>
      <c r="OLN48" s="225"/>
      <c r="OLO48" s="225"/>
      <c r="OLP48" s="225"/>
      <c r="OLQ48" s="225"/>
      <c r="OLR48" s="225"/>
      <c r="OLS48" s="225"/>
      <c r="OLT48" s="225"/>
      <c r="OLU48" s="225"/>
      <c r="OLV48" s="225"/>
      <c r="OLW48" s="225"/>
      <c r="OLX48" s="225"/>
      <c r="OLY48" s="225"/>
      <c r="OLZ48" s="225"/>
      <c r="OMA48" s="225"/>
      <c r="OMB48" s="225"/>
      <c r="OMC48" s="225"/>
      <c r="OMD48" s="225"/>
      <c r="OME48" s="225"/>
      <c r="OMF48" s="225"/>
      <c r="OMG48" s="225"/>
      <c r="OMH48" s="225"/>
      <c r="OMI48" s="225"/>
      <c r="OMJ48" s="225"/>
      <c r="OMK48" s="225"/>
      <c r="OML48" s="225"/>
      <c r="OMM48" s="225"/>
      <c r="OMN48" s="225"/>
      <c r="OMO48" s="225"/>
      <c r="OMP48" s="225"/>
      <c r="OMQ48" s="225"/>
      <c r="OMR48" s="225"/>
      <c r="OMS48" s="225"/>
      <c r="OMT48" s="225"/>
      <c r="OMU48" s="225"/>
      <c r="OMV48" s="225"/>
      <c r="OMW48" s="225"/>
      <c r="OMX48" s="225"/>
      <c r="OMY48" s="225"/>
      <c r="OMZ48" s="225"/>
      <c r="ONA48" s="225"/>
      <c r="ONB48" s="225"/>
      <c r="ONC48" s="225"/>
      <c r="OND48" s="225"/>
      <c r="ONE48" s="225"/>
      <c r="ONF48" s="225"/>
      <c r="ONG48" s="225"/>
      <c r="ONH48" s="225"/>
      <c r="ONI48" s="225"/>
      <c r="ONJ48" s="225"/>
      <c r="ONK48" s="225"/>
      <c r="ONL48" s="225"/>
      <c r="ONM48" s="225"/>
      <c r="ONN48" s="225"/>
      <c r="ONO48" s="225"/>
      <c r="ONP48" s="225"/>
      <c r="ONQ48" s="225"/>
      <c r="ONR48" s="225"/>
      <c r="ONS48" s="225"/>
      <c r="ONT48" s="225"/>
      <c r="ONU48" s="225"/>
      <c r="ONV48" s="225"/>
      <c r="ONW48" s="225"/>
      <c r="ONX48" s="225"/>
      <c r="ONY48" s="225"/>
      <c r="ONZ48" s="225"/>
      <c r="OOA48" s="225"/>
      <c r="OOB48" s="225"/>
      <c r="OOC48" s="225"/>
      <c r="OOD48" s="225"/>
      <c r="OOE48" s="225"/>
      <c r="OOF48" s="225"/>
      <c r="OOG48" s="225"/>
      <c r="OOH48" s="225"/>
      <c r="OOI48" s="225"/>
      <c r="OOJ48" s="225"/>
      <c r="OOK48" s="225"/>
      <c r="OOL48" s="225"/>
      <c r="OOM48" s="225"/>
      <c r="OON48" s="225"/>
      <c r="OOO48" s="225"/>
      <c r="OOP48" s="225"/>
      <c r="OOQ48" s="225"/>
      <c r="OOR48" s="225"/>
      <c r="OOS48" s="225"/>
      <c r="OOT48" s="225"/>
      <c r="OOU48" s="225"/>
      <c r="OOV48" s="225"/>
      <c r="OOW48" s="225"/>
      <c r="OOX48" s="225"/>
      <c r="OOY48" s="225"/>
      <c r="OOZ48" s="225"/>
      <c r="OPA48" s="225"/>
      <c r="OPB48" s="225"/>
      <c r="OPC48" s="225"/>
      <c r="OPD48" s="225"/>
      <c r="OPE48" s="225"/>
      <c r="OPF48" s="225"/>
      <c r="OPG48" s="225"/>
      <c r="OPH48" s="225"/>
      <c r="OPI48" s="225"/>
      <c r="OPJ48" s="225"/>
      <c r="OPK48" s="225"/>
      <c r="OPL48" s="225"/>
      <c r="OPM48" s="225"/>
      <c r="OPN48" s="225"/>
      <c r="OPO48" s="225"/>
      <c r="OPP48" s="225"/>
      <c r="OPQ48" s="225"/>
      <c r="OPR48" s="225"/>
      <c r="OPS48" s="225"/>
      <c r="OPT48" s="225"/>
      <c r="OPU48" s="225"/>
      <c r="OPV48" s="225"/>
      <c r="OPW48" s="225"/>
      <c r="OPX48" s="225"/>
      <c r="OPY48" s="225"/>
      <c r="OPZ48" s="225"/>
      <c r="OQA48" s="225"/>
      <c r="OQB48" s="225"/>
      <c r="OQC48" s="225"/>
      <c r="OQD48" s="225"/>
      <c r="OQE48" s="225"/>
      <c r="OQF48" s="225"/>
      <c r="OQG48" s="225"/>
      <c r="OQH48" s="225"/>
      <c r="OQI48" s="225"/>
      <c r="OQJ48" s="225"/>
      <c r="OQK48" s="225"/>
      <c r="OQL48" s="225"/>
      <c r="OQM48" s="225"/>
      <c r="OQN48" s="225"/>
      <c r="OQO48" s="225"/>
      <c r="OQP48" s="225"/>
      <c r="OQQ48" s="225"/>
      <c r="OQR48" s="225"/>
      <c r="OQS48" s="225"/>
      <c r="OQT48" s="225"/>
      <c r="OQU48" s="225"/>
      <c r="OQV48" s="225"/>
      <c r="OQW48" s="225"/>
      <c r="OQX48" s="225"/>
      <c r="OQY48" s="225"/>
      <c r="OQZ48" s="225"/>
      <c r="ORA48" s="225"/>
      <c r="ORB48" s="225"/>
      <c r="ORC48" s="225"/>
      <c r="ORD48" s="225"/>
      <c r="ORE48" s="225"/>
      <c r="ORF48" s="225"/>
      <c r="ORG48" s="225"/>
      <c r="ORH48" s="225"/>
      <c r="ORI48" s="225"/>
      <c r="ORJ48" s="225"/>
      <c r="ORK48" s="225"/>
      <c r="ORL48" s="225"/>
      <c r="ORM48" s="225"/>
      <c r="ORN48" s="225"/>
      <c r="ORO48" s="225"/>
      <c r="ORP48" s="225"/>
      <c r="ORQ48" s="225"/>
      <c r="ORR48" s="225"/>
      <c r="ORS48" s="225"/>
      <c r="ORT48" s="225"/>
      <c r="ORU48" s="225"/>
      <c r="ORV48" s="225"/>
      <c r="ORW48" s="225"/>
      <c r="ORX48" s="225"/>
      <c r="ORY48" s="225"/>
      <c r="ORZ48" s="225"/>
      <c r="OSA48" s="225"/>
      <c r="OSB48" s="225"/>
      <c r="OSC48" s="225"/>
      <c r="OSD48" s="225"/>
      <c r="OSE48" s="225"/>
      <c r="OSF48" s="225"/>
      <c r="OSG48" s="225"/>
      <c r="OSH48" s="225"/>
      <c r="OSI48" s="225"/>
      <c r="OSJ48" s="225"/>
      <c r="OSK48" s="225"/>
      <c r="OSL48" s="225"/>
      <c r="OSM48" s="225"/>
      <c r="OSN48" s="225"/>
      <c r="OSO48" s="225"/>
      <c r="OSP48" s="225"/>
      <c r="OSQ48" s="225"/>
      <c r="OSR48" s="225"/>
      <c r="OSS48" s="225"/>
      <c r="OST48" s="225"/>
      <c r="OSU48" s="225"/>
      <c r="OSV48" s="225"/>
      <c r="OSW48" s="225"/>
      <c r="OSX48" s="225"/>
      <c r="OSY48" s="225"/>
      <c r="OSZ48" s="225"/>
      <c r="OTA48" s="225"/>
      <c r="OTB48" s="225"/>
      <c r="OTC48" s="225"/>
      <c r="OTD48" s="225"/>
      <c r="OTE48" s="225"/>
      <c r="OTF48" s="225"/>
      <c r="OTG48" s="225"/>
      <c r="OTH48" s="225"/>
      <c r="OTI48" s="225"/>
      <c r="OTJ48" s="225"/>
      <c r="OTK48" s="225"/>
      <c r="OTL48" s="225"/>
      <c r="OTM48" s="225"/>
      <c r="OTN48" s="225"/>
      <c r="OTO48" s="225"/>
      <c r="OTP48" s="225"/>
      <c r="OTQ48" s="225"/>
      <c r="OTR48" s="225"/>
      <c r="OTS48" s="225"/>
      <c r="OTT48" s="225"/>
      <c r="OTU48" s="225"/>
      <c r="OTV48" s="225"/>
      <c r="OTW48" s="225"/>
      <c r="OTX48" s="225"/>
      <c r="OTY48" s="225"/>
      <c r="OTZ48" s="225"/>
      <c r="OUA48" s="225"/>
      <c r="OUB48" s="225"/>
      <c r="OUC48" s="225"/>
      <c r="OUD48" s="225"/>
      <c r="OUE48" s="225"/>
      <c r="OUF48" s="225"/>
      <c r="OUG48" s="225"/>
      <c r="OUH48" s="225"/>
      <c r="OUI48" s="225"/>
      <c r="OUJ48" s="225"/>
      <c r="OUK48" s="225"/>
      <c r="OUL48" s="225"/>
      <c r="OUM48" s="225"/>
      <c r="OUN48" s="225"/>
      <c r="OUO48" s="225"/>
      <c r="OUP48" s="225"/>
      <c r="OUQ48" s="225"/>
      <c r="OUR48" s="225"/>
      <c r="OUS48" s="225"/>
      <c r="OUT48" s="225"/>
      <c r="OUU48" s="225"/>
      <c r="OUV48" s="225"/>
      <c r="OUW48" s="225"/>
      <c r="OUX48" s="225"/>
      <c r="OUY48" s="225"/>
      <c r="OUZ48" s="225"/>
      <c r="OVA48" s="225"/>
      <c r="OVB48" s="225"/>
      <c r="OVC48" s="225"/>
      <c r="OVD48" s="225"/>
      <c r="OVE48" s="225"/>
      <c r="OVF48" s="225"/>
      <c r="OVG48" s="225"/>
      <c r="OVH48" s="225"/>
      <c r="OVI48" s="225"/>
      <c r="OVJ48" s="225"/>
      <c r="OVK48" s="225"/>
      <c r="OVL48" s="225"/>
      <c r="OVM48" s="225"/>
      <c r="OVN48" s="225"/>
      <c r="OVO48" s="225"/>
      <c r="OVP48" s="225"/>
      <c r="OVQ48" s="225"/>
      <c r="OVR48" s="225"/>
      <c r="OVS48" s="225"/>
      <c r="OVT48" s="225"/>
      <c r="OVU48" s="225"/>
      <c r="OVV48" s="225"/>
      <c r="OVW48" s="225"/>
      <c r="OVX48" s="225"/>
      <c r="OVY48" s="225"/>
      <c r="OVZ48" s="225"/>
      <c r="OWA48" s="225"/>
      <c r="OWB48" s="225"/>
      <c r="OWC48" s="225"/>
      <c r="OWD48" s="225"/>
      <c r="OWE48" s="225"/>
      <c r="OWF48" s="225"/>
      <c r="OWG48" s="225"/>
      <c r="OWH48" s="225"/>
      <c r="OWI48" s="225"/>
      <c r="OWJ48" s="225"/>
      <c r="OWK48" s="225"/>
      <c r="OWL48" s="225"/>
      <c r="OWM48" s="225"/>
      <c r="OWN48" s="225"/>
      <c r="OWO48" s="225"/>
      <c r="OWP48" s="225"/>
      <c r="OWQ48" s="225"/>
      <c r="OWR48" s="225"/>
      <c r="OWS48" s="225"/>
      <c r="OWT48" s="225"/>
      <c r="OWU48" s="225"/>
      <c r="OWV48" s="225"/>
      <c r="OWW48" s="225"/>
      <c r="OWX48" s="225"/>
      <c r="OWY48" s="225"/>
      <c r="OWZ48" s="225"/>
      <c r="OXA48" s="225"/>
      <c r="OXB48" s="225"/>
      <c r="OXC48" s="225"/>
      <c r="OXD48" s="225"/>
      <c r="OXE48" s="225"/>
      <c r="OXF48" s="225"/>
      <c r="OXG48" s="225"/>
      <c r="OXH48" s="225"/>
      <c r="OXI48" s="225"/>
      <c r="OXJ48" s="225"/>
      <c r="OXK48" s="225"/>
      <c r="OXL48" s="225"/>
      <c r="OXM48" s="225"/>
      <c r="OXN48" s="225"/>
      <c r="OXO48" s="225"/>
      <c r="OXP48" s="225"/>
      <c r="OXQ48" s="225"/>
      <c r="OXR48" s="225"/>
      <c r="OXS48" s="225"/>
      <c r="OXT48" s="225"/>
      <c r="OXU48" s="225"/>
      <c r="OXV48" s="225"/>
      <c r="OXW48" s="225"/>
      <c r="OXX48" s="225"/>
      <c r="OXY48" s="225"/>
      <c r="OXZ48" s="225"/>
      <c r="OYA48" s="225"/>
      <c r="OYB48" s="225"/>
      <c r="OYC48" s="225"/>
      <c r="OYD48" s="225"/>
      <c r="OYE48" s="225"/>
      <c r="OYF48" s="225"/>
      <c r="OYG48" s="225"/>
      <c r="OYH48" s="225"/>
      <c r="OYI48" s="225"/>
      <c r="OYJ48" s="225"/>
      <c r="OYK48" s="225"/>
      <c r="OYL48" s="225"/>
      <c r="OYM48" s="225"/>
      <c r="OYN48" s="225"/>
      <c r="OYO48" s="225"/>
      <c r="OYP48" s="225"/>
      <c r="OYQ48" s="225"/>
      <c r="OYR48" s="225"/>
      <c r="OYS48" s="225"/>
      <c r="OYT48" s="225"/>
      <c r="OYU48" s="225"/>
      <c r="OYV48" s="225"/>
      <c r="OYW48" s="225"/>
      <c r="OYX48" s="225"/>
      <c r="OYY48" s="225"/>
      <c r="OYZ48" s="225"/>
      <c r="OZA48" s="225"/>
      <c r="OZB48" s="225"/>
      <c r="OZC48" s="225"/>
      <c r="OZD48" s="225"/>
      <c r="OZE48" s="225"/>
      <c r="OZF48" s="225"/>
      <c r="OZG48" s="225"/>
      <c r="OZH48" s="225"/>
      <c r="OZI48" s="225"/>
      <c r="OZJ48" s="225"/>
      <c r="OZK48" s="225"/>
      <c r="OZL48" s="225"/>
      <c r="OZM48" s="225"/>
      <c r="OZN48" s="225"/>
      <c r="OZO48" s="225"/>
      <c r="OZP48" s="225"/>
      <c r="OZQ48" s="225"/>
      <c r="OZR48" s="225"/>
      <c r="OZS48" s="225"/>
      <c r="OZT48" s="225"/>
      <c r="OZU48" s="225"/>
      <c r="OZV48" s="225"/>
      <c r="OZW48" s="225"/>
      <c r="OZX48" s="225"/>
      <c r="OZY48" s="225"/>
      <c r="OZZ48" s="225"/>
      <c r="PAA48" s="225"/>
      <c r="PAB48" s="225"/>
      <c r="PAC48" s="225"/>
      <c r="PAD48" s="225"/>
      <c r="PAE48" s="225"/>
      <c r="PAF48" s="225"/>
      <c r="PAG48" s="225"/>
      <c r="PAH48" s="225"/>
      <c r="PAI48" s="225"/>
      <c r="PAJ48" s="225"/>
      <c r="PAK48" s="225"/>
      <c r="PAL48" s="225"/>
      <c r="PAM48" s="225"/>
      <c r="PAN48" s="225"/>
      <c r="PAO48" s="225"/>
      <c r="PAP48" s="225"/>
      <c r="PAQ48" s="225"/>
      <c r="PAR48" s="225"/>
      <c r="PAS48" s="225"/>
      <c r="PAT48" s="225"/>
      <c r="PAU48" s="225"/>
      <c r="PAV48" s="225"/>
      <c r="PAW48" s="225"/>
      <c r="PAX48" s="225"/>
      <c r="PAY48" s="225"/>
      <c r="PAZ48" s="225"/>
      <c r="PBA48" s="225"/>
      <c r="PBB48" s="225"/>
      <c r="PBC48" s="225"/>
      <c r="PBD48" s="225"/>
      <c r="PBE48" s="225"/>
      <c r="PBF48" s="225"/>
      <c r="PBG48" s="225"/>
      <c r="PBH48" s="225"/>
      <c r="PBI48" s="225"/>
      <c r="PBJ48" s="225"/>
      <c r="PBK48" s="225"/>
      <c r="PBL48" s="225"/>
      <c r="PBM48" s="225"/>
      <c r="PBN48" s="225"/>
      <c r="PBO48" s="225"/>
      <c r="PBP48" s="225"/>
      <c r="PBQ48" s="225"/>
      <c r="PBR48" s="225"/>
      <c r="PBS48" s="225"/>
      <c r="PBT48" s="225"/>
      <c r="PBU48" s="225"/>
      <c r="PBV48" s="225"/>
      <c r="PBW48" s="225"/>
      <c r="PBX48" s="225"/>
      <c r="PBY48" s="225"/>
      <c r="PBZ48" s="225"/>
      <c r="PCA48" s="225"/>
      <c r="PCB48" s="225"/>
      <c r="PCC48" s="225"/>
      <c r="PCD48" s="225"/>
      <c r="PCE48" s="225"/>
      <c r="PCF48" s="225"/>
      <c r="PCG48" s="225"/>
      <c r="PCH48" s="225"/>
      <c r="PCI48" s="225"/>
      <c r="PCJ48" s="225"/>
      <c r="PCK48" s="225"/>
      <c r="PCL48" s="225"/>
      <c r="PCM48" s="225"/>
      <c r="PCN48" s="225"/>
      <c r="PCO48" s="225"/>
      <c r="PCP48" s="225"/>
      <c r="PCQ48" s="225"/>
      <c r="PCR48" s="225"/>
      <c r="PCS48" s="225"/>
      <c r="PCT48" s="225"/>
      <c r="PCU48" s="225"/>
      <c r="PCV48" s="225"/>
      <c r="PCW48" s="225"/>
      <c r="PCX48" s="225"/>
      <c r="PCY48" s="225"/>
      <c r="PCZ48" s="225"/>
      <c r="PDA48" s="225"/>
      <c r="PDB48" s="225"/>
      <c r="PDC48" s="225"/>
      <c r="PDD48" s="225"/>
      <c r="PDE48" s="225"/>
      <c r="PDF48" s="225"/>
      <c r="PDG48" s="225"/>
      <c r="PDH48" s="225"/>
      <c r="PDI48" s="225"/>
      <c r="PDJ48" s="225"/>
      <c r="PDK48" s="225"/>
      <c r="PDL48" s="225"/>
      <c r="PDM48" s="225"/>
      <c r="PDN48" s="225"/>
      <c r="PDO48" s="225"/>
      <c r="PDP48" s="225"/>
      <c r="PDQ48" s="225"/>
      <c r="PDR48" s="225"/>
      <c r="PDS48" s="225"/>
      <c r="PDT48" s="225"/>
      <c r="PDU48" s="225"/>
      <c r="PDV48" s="225"/>
      <c r="PDW48" s="225"/>
      <c r="PDX48" s="225"/>
      <c r="PDY48" s="225"/>
      <c r="PDZ48" s="225"/>
      <c r="PEA48" s="225"/>
      <c r="PEB48" s="225"/>
      <c r="PEC48" s="225"/>
      <c r="PED48" s="225"/>
      <c r="PEE48" s="225"/>
      <c r="PEF48" s="225"/>
      <c r="PEG48" s="225"/>
      <c r="PEH48" s="225"/>
      <c r="PEI48" s="225"/>
      <c r="PEJ48" s="225"/>
      <c r="PEK48" s="225"/>
      <c r="PEL48" s="225"/>
      <c r="PEM48" s="225"/>
      <c r="PEN48" s="225"/>
      <c r="PEO48" s="225"/>
      <c r="PEP48" s="225"/>
      <c r="PEQ48" s="225"/>
      <c r="PER48" s="225"/>
      <c r="PES48" s="225"/>
      <c r="PET48" s="225"/>
      <c r="PEU48" s="225"/>
      <c r="PEV48" s="225"/>
      <c r="PEW48" s="225"/>
      <c r="PEX48" s="225"/>
      <c r="PEY48" s="225"/>
      <c r="PEZ48" s="225"/>
      <c r="PFA48" s="225"/>
      <c r="PFB48" s="225"/>
      <c r="PFC48" s="225"/>
      <c r="PFD48" s="225"/>
      <c r="PFE48" s="225"/>
      <c r="PFF48" s="225"/>
      <c r="PFG48" s="225"/>
      <c r="PFH48" s="225"/>
      <c r="PFI48" s="225"/>
      <c r="PFJ48" s="225"/>
      <c r="PFK48" s="225"/>
      <c r="PFL48" s="225"/>
      <c r="PFM48" s="225"/>
      <c r="PFN48" s="225"/>
      <c r="PFO48" s="225"/>
      <c r="PFP48" s="225"/>
      <c r="PFQ48" s="225"/>
      <c r="PFR48" s="225"/>
      <c r="PFS48" s="225"/>
      <c r="PFT48" s="225"/>
      <c r="PFU48" s="225"/>
      <c r="PFV48" s="225"/>
      <c r="PFW48" s="225"/>
      <c r="PFX48" s="225"/>
      <c r="PFY48" s="225"/>
      <c r="PFZ48" s="225"/>
      <c r="PGA48" s="225"/>
      <c r="PGB48" s="225"/>
      <c r="PGC48" s="225"/>
      <c r="PGD48" s="225"/>
      <c r="PGE48" s="225"/>
      <c r="PGF48" s="225"/>
      <c r="PGG48" s="225"/>
      <c r="PGH48" s="225"/>
      <c r="PGI48" s="225"/>
      <c r="PGJ48" s="225"/>
      <c r="PGK48" s="225"/>
      <c r="PGL48" s="225"/>
      <c r="PGM48" s="225"/>
      <c r="PGN48" s="225"/>
      <c r="PGO48" s="225"/>
      <c r="PGP48" s="225"/>
      <c r="PGQ48" s="225"/>
      <c r="PGR48" s="225"/>
      <c r="PGS48" s="225"/>
      <c r="PGT48" s="225"/>
      <c r="PGU48" s="225"/>
      <c r="PGV48" s="225"/>
      <c r="PGW48" s="225"/>
      <c r="PGX48" s="225"/>
      <c r="PGY48" s="225"/>
      <c r="PGZ48" s="225"/>
      <c r="PHA48" s="225"/>
      <c r="PHB48" s="225"/>
      <c r="PHC48" s="225"/>
      <c r="PHD48" s="225"/>
      <c r="PHE48" s="225"/>
      <c r="PHF48" s="225"/>
      <c r="PHG48" s="225"/>
      <c r="PHH48" s="225"/>
      <c r="PHI48" s="225"/>
      <c r="PHJ48" s="225"/>
      <c r="PHK48" s="225"/>
      <c r="PHL48" s="225"/>
      <c r="PHM48" s="225"/>
      <c r="PHN48" s="225"/>
      <c r="PHO48" s="225"/>
      <c r="PHP48" s="225"/>
      <c r="PHQ48" s="225"/>
      <c r="PHR48" s="225"/>
      <c r="PHS48" s="225"/>
      <c r="PHT48" s="225"/>
      <c r="PHU48" s="225"/>
      <c r="PHV48" s="225"/>
      <c r="PHW48" s="225"/>
      <c r="PHX48" s="225"/>
      <c r="PHY48" s="225"/>
      <c r="PHZ48" s="225"/>
      <c r="PIA48" s="225"/>
      <c r="PIB48" s="225"/>
      <c r="PIC48" s="225"/>
      <c r="PID48" s="225"/>
      <c r="PIE48" s="225"/>
      <c r="PIF48" s="225"/>
      <c r="PIG48" s="225"/>
      <c r="PIH48" s="225"/>
      <c r="PII48" s="225"/>
      <c r="PIJ48" s="225"/>
      <c r="PIK48" s="225"/>
      <c r="PIL48" s="225"/>
      <c r="PIM48" s="225"/>
      <c r="PIN48" s="225"/>
      <c r="PIO48" s="225"/>
      <c r="PIP48" s="225"/>
      <c r="PIQ48" s="225"/>
      <c r="PIR48" s="225"/>
      <c r="PIS48" s="225"/>
      <c r="PIT48" s="225"/>
      <c r="PIU48" s="225"/>
      <c r="PIV48" s="225"/>
      <c r="PIW48" s="225"/>
      <c r="PIX48" s="225"/>
      <c r="PIY48" s="225"/>
      <c r="PIZ48" s="225"/>
      <c r="PJA48" s="225"/>
      <c r="PJB48" s="225"/>
      <c r="PJC48" s="225"/>
      <c r="PJD48" s="225"/>
      <c r="PJE48" s="225"/>
      <c r="PJF48" s="225"/>
      <c r="PJG48" s="225"/>
      <c r="PJH48" s="225"/>
      <c r="PJI48" s="225"/>
      <c r="PJJ48" s="225"/>
      <c r="PJK48" s="225"/>
      <c r="PJL48" s="225"/>
      <c r="PJM48" s="225"/>
      <c r="PJN48" s="225"/>
      <c r="PJO48" s="225"/>
      <c r="PJP48" s="225"/>
      <c r="PJQ48" s="225"/>
      <c r="PJR48" s="225"/>
      <c r="PJS48" s="225"/>
      <c r="PJT48" s="225"/>
      <c r="PJU48" s="225"/>
      <c r="PJV48" s="225"/>
      <c r="PJW48" s="225"/>
      <c r="PJX48" s="225"/>
      <c r="PJY48" s="225"/>
      <c r="PJZ48" s="225"/>
      <c r="PKA48" s="225"/>
      <c r="PKB48" s="225"/>
      <c r="PKC48" s="225"/>
      <c r="PKD48" s="225"/>
      <c r="PKE48" s="225"/>
      <c r="PKF48" s="225"/>
      <c r="PKG48" s="225"/>
      <c r="PKH48" s="225"/>
      <c r="PKI48" s="225"/>
      <c r="PKJ48" s="225"/>
      <c r="PKK48" s="225"/>
      <c r="PKL48" s="225"/>
      <c r="PKM48" s="225"/>
      <c r="PKN48" s="225"/>
      <c r="PKO48" s="225"/>
      <c r="PKP48" s="225"/>
      <c r="PKQ48" s="225"/>
      <c r="PKR48" s="225"/>
      <c r="PKS48" s="225"/>
      <c r="PKT48" s="225"/>
      <c r="PKU48" s="225"/>
      <c r="PKV48" s="225"/>
      <c r="PKW48" s="225"/>
      <c r="PKX48" s="225"/>
      <c r="PKY48" s="225"/>
      <c r="PKZ48" s="225"/>
      <c r="PLA48" s="225"/>
      <c r="PLB48" s="225"/>
      <c r="PLC48" s="225"/>
      <c r="PLD48" s="225"/>
      <c r="PLE48" s="225"/>
      <c r="PLF48" s="225"/>
      <c r="PLG48" s="225"/>
      <c r="PLH48" s="225"/>
      <c r="PLI48" s="225"/>
      <c r="PLJ48" s="225"/>
      <c r="PLK48" s="225"/>
      <c r="PLL48" s="225"/>
      <c r="PLM48" s="225"/>
      <c r="PLN48" s="225"/>
      <c r="PLO48" s="225"/>
      <c r="PLP48" s="225"/>
      <c r="PLQ48" s="225"/>
      <c r="PLR48" s="225"/>
      <c r="PLS48" s="225"/>
      <c r="PLT48" s="225"/>
      <c r="PLU48" s="225"/>
      <c r="PLV48" s="225"/>
      <c r="PLW48" s="225"/>
      <c r="PLX48" s="225"/>
      <c r="PLY48" s="225"/>
      <c r="PLZ48" s="225"/>
      <c r="PMA48" s="225"/>
      <c r="PMB48" s="225"/>
      <c r="PMC48" s="225"/>
      <c r="PMD48" s="225"/>
      <c r="PME48" s="225"/>
      <c r="PMF48" s="225"/>
      <c r="PMG48" s="225"/>
      <c r="PMH48" s="225"/>
      <c r="PMI48" s="225"/>
      <c r="PMJ48" s="225"/>
      <c r="PMK48" s="225"/>
      <c r="PML48" s="225"/>
      <c r="PMM48" s="225"/>
      <c r="PMN48" s="225"/>
      <c r="PMO48" s="225"/>
      <c r="PMP48" s="225"/>
      <c r="PMQ48" s="225"/>
      <c r="PMR48" s="225"/>
      <c r="PMS48" s="225"/>
      <c r="PMT48" s="225"/>
      <c r="PMU48" s="225"/>
      <c r="PMV48" s="225"/>
      <c r="PMW48" s="225"/>
      <c r="PMX48" s="225"/>
      <c r="PMY48" s="225"/>
      <c r="PMZ48" s="225"/>
      <c r="PNA48" s="225"/>
      <c r="PNB48" s="225"/>
      <c r="PNC48" s="225"/>
      <c r="PND48" s="225"/>
      <c r="PNE48" s="225"/>
      <c r="PNF48" s="225"/>
      <c r="PNG48" s="225"/>
      <c r="PNH48" s="225"/>
      <c r="PNI48" s="225"/>
      <c r="PNJ48" s="225"/>
      <c r="PNK48" s="225"/>
      <c r="PNL48" s="225"/>
      <c r="PNM48" s="225"/>
      <c r="PNN48" s="225"/>
      <c r="PNO48" s="225"/>
      <c r="PNP48" s="225"/>
      <c r="PNQ48" s="225"/>
      <c r="PNR48" s="225"/>
      <c r="PNS48" s="225"/>
      <c r="PNT48" s="225"/>
      <c r="PNU48" s="225"/>
      <c r="PNV48" s="225"/>
      <c r="PNW48" s="225"/>
      <c r="PNX48" s="225"/>
      <c r="PNY48" s="225"/>
      <c r="PNZ48" s="225"/>
      <c r="POA48" s="225"/>
      <c r="POB48" s="225"/>
      <c r="POC48" s="225"/>
      <c r="POD48" s="225"/>
      <c r="POE48" s="225"/>
      <c r="POF48" s="225"/>
      <c r="POG48" s="225"/>
      <c r="POH48" s="225"/>
      <c r="POI48" s="225"/>
      <c r="POJ48" s="225"/>
      <c r="POK48" s="225"/>
      <c r="POL48" s="225"/>
      <c r="POM48" s="225"/>
      <c r="PON48" s="225"/>
      <c r="POO48" s="225"/>
      <c r="POP48" s="225"/>
      <c r="POQ48" s="225"/>
      <c r="POR48" s="225"/>
      <c r="POS48" s="225"/>
      <c r="POT48" s="225"/>
      <c r="POU48" s="225"/>
      <c r="POV48" s="225"/>
      <c r="POW48" s="225"/>
      <c r="POX48" s="225"/>
      <c r="POY48" s="225"/>
      <c r="POZ48" s="225"/>
      <c r="PPA48" s="225"/>
      <c r="PPB48" s="225"/>
      <c r="PPC48" s="225"/>
      <c r="PPD48" s="225"/>
      <c r="PPE48" s="225"/>
      <c r="PPF48" s="225"/>
      <c r="PPG48" s="225"/>
      <c r="PPH48" s="225"/>
      <c r="PPI48" s="225"/>
      <c r="PPJ48" s="225"/>
      <c r="PPK48" s="225"/>
      <c r="PPL48" s="225"/>
      <c r="PPM48" s="225"/>
      <c r="PPN48" s="225"/>
      <c r="PPO48" s="225"/>
      <c r="PPP48" s="225"/>
      <c r="PPQ48" s="225"/>
      <c r="PPR48" s="225"/>
      <c r="PPS48" s="225"/>
      <c r="PPT48" s="225"/>
      <c r="PPU48" s="225"/>
      <c r="PPV48" s="225"/>
      <c r="PPW48" s="225"/>
      <c r="PPX48" s="225"/>
      <c r="PPY48" s="225"/>
      <c r="PPZ48" s="225"/>
      <c r="PQA48" s="225"/>
      <c r="PQB48" s="225"/>
      <c r="PQC48" s="225"/>
      <c r="PQD48" s="225"/>
      <c r="PQE48" s="225"/>
      <c r="PQF48" s="225"/>
      <c r="PQG48" s="225"/>
      <c r="PQH48" s="225"/>
      <c r="PQI48" s="225"/>
      <c r="PQJ48" s="225"/>
      <c r="PQK48" s="225"/>
      <c r="PQL48" s="225"/>
      <c r="PQM48" s="225"/>
      <c r="PQN48" s="225"/>
      <c r="PQO48" s="225"/>
      <c r="PQP48" s="225"/>
      <c r="PQQ48" s="225"/>
      <c r="PQR48" s="225"/>
      <c r="PQS48" s="225"/>
      <c r="PQT48" s="225"/>
      <c r="PQU48" s="225"/>
      <c r="PQV48" s="225"/>
      <c r="PQW48" s="225"/>
      <c r="PQX48" s="225"/>
      <c r="PQY48" s="225"/>
      <c r="PQZ48" s="225"/>
      <c r="PRA48" s="225"/>
      <c r="PRB48" s="225"/>
      <c r="PRC48" s="225"/>
      <c r="PRD48" s="225"/>
      <c r="PRE48" s="225"/>
      <c r="PRF48" s="225"/>
      <c r="PRG48" s="225"/>
      <c r="PRH48" s="225"/>
      <c r="PRI48" s="225"/>
      <c r="PRJ48" s="225"/>
      <c r="PRK48" s="225"/>
      <c r="PRL48" s="225"/>
      <c r="PRM48" s="225"/>
      <c r="PRN48" s="225"/>
      <c r="PRO48" s="225"/>
      <c r="PRP48" s="225"/>
      <c r="PRQ48" s="225"/>
      <c r="PRR48" s="225"/>
      <c r="PRS48" s="225"/>
      <c r="PRT48" s="225"/>
      <c r="PRU48" s="225"/>
      <c r="PRV48" s="225"/>
      <c r="PRW48" s="225"/>
      <c r="PRX48" s="225"/>
      <c r="PRY48" s="225"/>
      <c r="PRZ48" s="225"/>
      <c r="PSA48" s="225"/>
      <c r="PSB48" s="225"/>
      <c r="PSC48" s="225"/>
      <c r="PSD48" s="225"/>
      <c r="PSE48" s="225"/>
      <c r="PSF48" s="225"/>
      <c r="PSG48" s="225"/>
      <c r="PSH48" s="225"/>
      <c r="PSI48" s="225"/>
      <c r="PSJ48" s="225"/>
      <c r="PSK48" s="225"/>
      <c r="PSL48" s="225"/>
      <c r="PSM48" s="225"/>
      <c r="PSN48" s="225"/>
      <c r="PSO48" s="225"/>
      <c r="PSP48" s="225"/>
      <c r="PSQ48" s="225"/>
      <c r="PSR48" s="225"/>
      <c r="PSS48" s="225"/>
      <c r="PST48" s="225"/>
      <c r="PSU48" s="225"/>
      <c r="PSV48" s="225"/>
      <c r="PSW48" s="225"/>
      <c r="PSX48" s="225"/>
      <c r="PSY48" s="225"/>
      <c r="PSZ48" s="225"/>
      <c r="PTA48" s="225"/>
      <c r="PTB48" s="225"/>
      <c r="PTC48" s="225"/>
      <c r="PTD48" s="225"/>
      <c r="PTE48" s="225"/>
      <c r="PTF48" s="225"/>
      <c r="PTG48" s="225"/>
      <c r="PTH48" s="225"/>
      <c r="PTI48" s="225"/>
      <c r="PTJ48" s="225"/>
      <c r="PTK48" s="225"/>
      <c r="PTL48" s="225"/>
      <c r="PTM48" s="225"/>
      <c r="PTN48" s="225"/>
      <c r="PTO48" s="225"/>
      <c r="PTP48" s="225"/>
      <c r="PTQ48" s="225"/>
      <c r="PTR48" s="225"/>
      <c r="PTS48" s="225"/>
      <c r="PTT48" s="225"/>
      <c r="PTU48" s="225"/>
      <c r="PTV48" s="225"/>
      <c r="PTW48" s="225"/>
      <c r="PTX48" s="225"/>
      <c r="PTY48" s="225"/>
      <c r="PTZ48" s="225"/>
      <c r="PUA48" s="225"/>
      <c r="PUB48" s="225"/>
      <c r="PUC48" s="225"/>
      <c r="PUD48" s="225"/>
      <c r="PUE48" s="225"/>
      <c r="PUF48" s="225"/>
      <c r="PUG48" s="225"/>
      <c r="PUH48" s="225"/>
      <c r="PUI48" s="225"/>
      <c r="PUJ48" s="225"/>
      <c r="PUK48" s="225"/>
      <c r="PUL48" s="225"/>
      <c r="PUM48" s="225"/>
      <c r="PUN48" s="225"/>
      <c r="PUO48" s="225"/>
      <c r="PUP48" s="225"/>
      <c r="PUQ48" s="225"/>
      <c r="PUR48" s="225"/>
      <c r="PUS48" s="225"/>
      <c r="PUT48" s="225"/>
      <c r="PUU48" s="225"/>
      <c r="PUV48" s="225"/>
      <c r="PUW48" s="225"/>
      <c r="PUX48" s="225"/>
      <c r="PUY48" s="225"/>
      <c r="PUZ48" s="225"/>
      <c r="PVA48" s="225"/>
      <c r="PVB48" s="225"/>
      <c r="PVC48" s="225"/>
      <c r="PVD48" s="225"/>
      <c r="PVE48" s="225"/>
      <c r="PVF48" s="225"/>
      <c r="PVG48" s="225"/>
      <c r="PVH48" s="225"/>
      <c r="PVI48" s="225"/>
      <c r="PVJ48" s="225"/>
      <c r="PVK48" s="225"/>
      <c r="PVL48" s="225"/>
      <c r="PVM48" s="225"/>
      <c r="PVN48" s="225"/>
      <c r="PVO48" s="225"/>
      <c r="PVP48" s="225"/>
      <c r="PVQ48" s="225"/>
      <c r="PVR48" s="225"/>
      <c r="PVS48" s="225"/>
      <c r="PVT48" s="225"/>
      <c r="PVU48" s="225"/>
      <c r="PVV48" s="225"/>
      <c r="PVW48" s="225"/>
      <c r="PVX48" s="225"/>
      <c r="PVY48" s="225"/>
      <c r="PVZ48" s="225"/>
      <c r="PWA48" s="225"/>
      <c r="PWB48" s="225"/>
      <c r="PWC48" s="225"/>
      <c r="PWD48" s="225"/>
      <c r="PWE48" s="225"/>
      <c r="PWF48" s="225"/>
      <c r="PWG48" s="225"/>
      <c r="PWH48" s="225"/>
      <c r="PWI48" s="225"/>
      <c r="PWJ48" s="225"/>
      <c r="PWK48" s="225"/>
      <c r="PWL48" s="225"/>
      <c r="PWM48" s="225"/>
      <c r="PWN48" s="225"/>
      <c r="PWO48" s="225"/>
      <c r="PWP48" s="225"/>
      <c r="PWQ48" s="225"/>
      <c r="PWR48" s="225"/>
      <c r="PWS48" s="225"/>
      <c r="PWT48" s="225"/>
      <c r="PWU48" s="225"/>
      <c r="PWV48" s="225"/>
      <c r="PWW48" s="225"/>
      <c r="PWX48" s="225"/>
      <c r="PWY48" s="225"/>
      <c r="PWZ48" s="225"/>
      <c r="PXA48" s="225"/>
      <c r="PXB48" s="225"/>
      <c r="PXC48" s="225"/>
      <c r="PXD48" s="225"/>
      <c r="PXE48" s="225"/>
      <c r="PXF48" s="225"/>
      <c r="PXG48" s="225"/>
      <c r="PXH48" s="225"/>
      <c r="PXI48" s="225"/>
      <c r="PXJ48" s="225"/>
      <c r="PXK48" s="225"/>
      <c r="PXL48" s="225"/>
      <c r="PXM48" s="225"/>
      <c r="PXN48" s="225"/>
      <c r="PXO48" s="225"/>
      <c r="PXP48" s="225"/>
      <c r="PXQ48" s="225"/>
      <c r="PXR48" s="225"/>
      <c r="PXS48" s="225"/>
      <c r="PXT48" s="225"/>
      <c r="PXU48" s="225"/>
      <c r="PXV48" s="225"/>
      <c r="PXW48" s="225"/>
      <c r="PXX48" s="225"/>
      <c r="PXY48" s="225"/>
      <c r="PXZ48" s="225"/>
      <c r="PYA48" s="225"/>
      <c r="PYB48" s="225"/>
      <c r="PYC48" s="225"/>
      <c r="PYD48" s="225"/>
      <c r="PYE48" s="225"/>
      <c r="PYF48" s="225"/>
      <c r="PYG48" s="225"/>
      <c r="PYH48" s="225"/>
      <c r="PYI48" s="225"/>
      <c r="PYJ48" s="225"/>
      <c r="PYK48" s="225"/>
      <c r="PYL48" s="225"/>
      <c r="PYM48" s="225"/>
      <c r="PYN48" s="225"/>
      <c r="PYO48" s="225"/>
      <c r="PYP48" s="225"/>
      <c r="PYQ48" s="225"/>
      <c r="PYR48" s="225"/>
      <c r="PYS48" s="225"/>
      <c r="PYT48" s="225"/>
      <c r="PYU48" s="225"/>
      <c r="PYV48" s="225"/>
      <c r="PYW48" s="225"/>
      <c r="PYX48" s="225"/>
      <c r="PYY48" s="225"/>
      <c r="PYZ48" s="225"/>
      <c r="PZA48" s="225"/>
      <c r="PZB48" s="225"/>
      <c r="PZC48" s="225"/>
      <c r="PZD48" s="225"/>
      <c r="PZE48" s="225"/>
      <c r="PZF48" s="225"/>
      <c r="PZG48" s="225"/>
      <c r="PZH48" s="225"/>
      <c r="PZI48" s="225"/>
      <c r="PZJ48" s="225"/>
      <c r="PZK48" s="225"/>
      <c r="PZL48" s="225"/>
      <c r="PZM48" s="225"/>
      <c r="PZN48" s="225"/>
      <c r="PZO48" s="225"/>
      <c r="PZP48" s="225"/>
      <c r="PZQ48" s="225"/>
      <c r="PZR48" s="225"/>
      <c r="PZS48" s="225"/>
      <c r="PZT48" s="225"/>
      <c r="PZU48" s="225"/>
      <c r="PZV48" s="225"/>
      <c r="PZW48" s="225"/>
      <c r="PZX48" s="225"/>
      <c r="PZY48" s="225"/>
      <c r="PZZ48" s="225"/>
      <c r="QAA48" s="225"/>
      <c r="QAB48" s="225"/>
      <c r="QAC48" s="225"/>
      <c r="QAD48" s="225"/>
      <c r="QAE48" s="225"/>
      <c r="QAF48" s="225"/>
      <c r="QAG48" s="225"/>
      <c r="QAH48" s="225"/>
      <c r="QAI48" s="225"/>
      <c r="QAJ48" s="225"/>
      <c r="QAK48" s="225"/>
      <c r="QAL48" s="225"/>
      <c r="QAM48" s="225"/>
      <c r="QAN48" s="225"/>
      <c r="QAO48" s="225"/>
      <c r="QAP48" s="225"/>
      <c r="QAQ48" s="225"/>
      <c r="QAR48" s="225"/>
      <c r="QAS48" s="225"/>
      <c r="QAT48" s="225"/>
      <c r="QAU48" s="225"/>
      <c r="QAV48" s="225"/>
      <c r="QAW48" s="225"/>
      <c r="QAX48" s="225"/>
      <c r="QAY48" s="225"/>
      <c r="QAZ48" s="225"/>
      <c r="QBA48" s="225"/>
      <c r="QBB48" s="225"/>
      <c r="QBC48" s="225"/>
      <c r="QBD48" s="225"/>
      <c r="QBE48" s="225"/>
      <c r="QBF48" s="225"/>
      <c r="QBG48" s="225"/>
      <c r="QBH48" s="225"/>
      <c r="QBI48" s="225"/>
      <c r="QBJ48" s="225"/>
      <c r="QBK48" s="225"/>
      <c r="QBL48" s="225"/>
      <c r="QBM48" s="225"/>
      <c r="QBN48" s="225"/>
      <c r="QBO48" s="225"/>
      <c r="QBP48" s="225"/>
      <c r="QBQ48" s="225"/>
      <c r="QBR48" s="225"/>
      <c r="QBS48" s="225"/>
      <c r="QBT48" s="225"/>
      <c r="QBU48" s="225"/>
      <c r="QBV48" s="225"/>
      <c r="QBW48" s="225"/>
      <c r="QBX48" s="225"/>
      <c r="QBY48" s="225"/>
      <c r="QBZ48" s="225"/>
      <c r="QCA48" s="225"/>
      <c r="QCB48" s="225"/>
      <c r="QCC48" s="225"/>
      <c r="QCD48" s="225"/>
      <c r="QCE48" s="225"/>
      <c r="QCF48" s="225"/>
      <c r="QCG48" s="225"/>
      <c r="QCH48" s="225"/>
      <c r="QCI48" s="225"/>
      <c r="QCJ48" s="225"/>
      <c r="QCK48" s="225"/>
      <c r="QCL48" s="225"/>
      <c r="QCM48" s="225"/>
      <c r="QCN48" s="225"/>
      <c r="QCO48" s="225"/>
      <c r="QCP48" s="225"/>
      <c r="QCQ48" s="225"/>
      <c r="QCR48" s="225"/>
      <c r="QCS48" s="225"/>
      <c r="QCT48" s="225"/>
      <c r="QCU48" s="225"/>
      <c r="QCV48" s="225"/>
      <c r="QCW48" s="225"/>
      <c r="QCX48" s="225"/>
      <c r="QCY48" s="225"/>
      <c r="QCZ48" s="225"/>
      <c r="QDA48" s="225"/>
      <c r="QDB48" s="225"/>
      <c r="QDC48" s="225"/>
      <c r="QDD48" s="225"/>
      <c r="QDE48" s="225"/>
      <c r="QDF48" s="225"/>
      <c r="QDG48" s="225"/>
      <c r="QDH48" s="225"/>
      <c r="QDI48" s="225"/>
      <c r="QDJ48" s="225"/>
      <c r="QDK48" s="225"/>
      <c r="QDL48" s="225"/>
      <c r="QDM48" s="225"/>
      <c r="QDN48" s="225"/>
      <c r="QDO48" s="225"/>
      <c r="QDP48" s="225"/>
      <c r="QDQ48" s="225"/>
      <c r="QDR48" s="225"/>
      <c r="QDS48" s="225"/>
      <c r="QDT48" s="225"/>
      <c r="QDU48" s="225"/>
      <c r="QDV48" s="225"/>
      <c r="QDW48" s="225"/>
      <c r="QDX48" s="225"/>
      <c r="QDY48" s="225"/>
      <c r="QDZ48" s="225"/>
      <c r="QEA48" s="225"/>
      <c r="QEB48" s="225"/>
      <c r="QEC48" s="225"/>
      <c r="QED48" s="225"/>
      <c r="QEE48" s="225"/>
      <c r="QEF48" s="225"/>
      <c r="QEG48" s="225"/>
      <c r="QEH48" s="225"/>
      <c r="QEI48" s="225"/>
      <c r="QEJ48" s="225"/>
      <c r="QEK48" s="225"/>
      <c r="QEL48" s="225"/>
      <c r="QEM48" s="225"/>
      <c r="QEN48" s="225"/>
      <c r="QEO48" s="225"/>
      <c r="QEP48" s="225"/>
      <c r="QEQ48" s="225"/>
      <c r="QER48" s="225"/>
      <c r="QES48" s="225"/>
      <c r="QET48" s="225"/>
      <c r="QEU48" s="225"/>
      <c r="QEV48" s="225"/>
      <c r="QEW48" s="225"/>
      <c r="QEX48" s="225"/>
      <c r="QEY48" s="225"/>
      <c r="QEZ48" s="225"/>
      <c r="QFA48" s="225"/>
      <c r="QFB48" s="225"/>
      <c r="QFC48" s="225"/>
      <c r="QFD48" s="225"/>
      <c r="QFE48" s="225"/>
      <c r="QFF48" s="225"/>
      <c r="QFG48" s="225"/>
      <c r="QFH48" s="225"/>
      <c r="QFI48" s="225"/>
      <c r="QFJ48" s="225"/>
      <c r="QFK48" s="225"/>
      <c r="QFL48" s="225"/>
      <c r="QFM48" s="225"/>
      <c r="QFN48" s="225"/>
      <c r="QFO48" s="225"/>
      <c r="QFP48" s="225"/>
      <c r="QFQ48" s="225"/>
      <c r="QFR48" s="225"/>
      <c r="QFS48" s="225"/>
      <c r="QFT48" s="225"/>
      <c r="QFU48" s="225"/>
      <c r="QFV48" s="225"/>
      <c r="QFW48" s="225"/>
      <c r="QFX48" s="225"/>
      <c r="QFY48" s="225"/>
      <c r="QFZ48" s="225"/>
      <c r="QGA48" s="225"/>
      <c r="QGB48" s="225"/>
      <c r="QGC48" s="225"/>
      <c r="QGD48" s="225"/>
      <c r="QGE48" s="225"/>
      <c r="QGF48" s="225"/>
      <c r="QGG48" s="225"/>
      <c r="QGH48" s="225"/>
      <c r="QGI48" s="225"/>
      <c r="QGJ48" s="225"/>
      <c r="QGK48" s="225"/>
      <c r="QGL48" s="225"/>
      <c r="QGM48" s="225"/>
      <c r="QGN48" s="225"/>
      <c r="QGO48" s="225"/>
      <c r="QGP48" s="225"/>
      <c r="QGQ48" s="225"/>
      <c r="QGR48" s="225"/>
      <c r="QGS48" s="225"/>
      <c r="QGT48" s="225"/>
      <c r="QGU48" s="225"/>
      <c r="QGV48" s="225"/>
      <c r="QGW48" s="225"/>
      <c r="QGX48" s="225"/>
      <c r="QGY48" s="225"/>
      <c r="QGZ48" s="225"/>
      <c r="QHA48" s="225"/>
      <c r="QHB48" s="225"/>
      <c r="QHC48" s="225"/>
      <c r="QHD48" s="225"/>
      <c r="QHE48" s="225"/>
      <c r="QHF48" s="225"/>
      <c r="QHG48" s="225"/>
      <c r="QHH48" s="225"/>
      <c r="QHI48" s="225"/>
      <c r="QHJ48" s="225"/>
      <c r="QHK48" s="225"/>
      <c r="QHL48" s="225"/>
      <c r="QHM48" s="225"/>
      <c r="QHN48" s="225"/>
      <c r="QHO48" s="225"/>
      <c r="QHP48" s="225"/>
      <c r="QHQ48" s="225"/>
      <c r="QHR48" s="225"/>
      <c r="QHS48" s="225"/>
      <c r="QHT48" s="225"/>
      <c r="QHU48" s="225"/>
      <c r="QHV48" s="225"/>
      <c r="QHW48" s="225"/>
      <c r="QHX48" s="225"/>
      <c r="QHY48" s="225"/>
      <c r="QHZ48" s="225"/>
      <c r="QIA48" s="225"/>
      <c r="QIB48" s="225"/>
      <c r="QIC48" s="225"/>
      <c r="QID48" s="225"/>
      <c r="QIE48" s="225"/>
      <c r="QIF48" s="225"/>
      <c r="QIG48" s="225"/>
      <c r="QIH48" s="225"/>
      <c r="QII48" s="225"/>
      <c r="QIJ48" s="225"/>
      <c r="QIK48" s="225"/>
      <c r="QIL48" s="225"/>
      <c r="QIM48" s="225"/>
      <c r="QIN48" s="225"/>
      <c r="QIO48" s="225"/>
      <c r="QIP48" s="225"/>
      <c r="QIQ48" s="225"/>
      <c r="QIR48" s="225"/>
      <c r="QIS48" s="225"/>
      <c r="QIT48" s="225"/>
      <c r="QIU48" s="225"/>
      <c r="QIV48" s="225"/>
      <c r="QIW48" s="225"/>
      <c r="QIX48" s="225"/>
      <c r="QIY48" s="225"/>
      <c r="QIZ48" s="225"/>
      <c r="QJA48" s="225"/>
      <c r="QJB48" s="225"/>
      <c r="QJC48" s="225"/>
      <c r="QJD48" s="225"/>
      <c r="QJE48" s="225"/>
      <c r="QJF48" s="225"/>
      <c r="QJG48" s="225"/>
      <c r="QJH48" s="225"/>
      <c r="QJI48" s="225"/>
      <c r="QJJ48" s="225"/>
      <c r="QJK48" s="225"/>
      <c r="QJL48" s="225"/>
      <c r="QJM48" s="225"/>
      <c r="QJN48" s="225"/>
      <c r="QJO48" s="225"/>
      <c r="QJP48" s="225"/>
      <c r="QJQ48" s="225"/>
      <c r="QJR48" s="225"/>
      <c r="QJS48" s="225"/>
      <c r="QJT48" s="225"/>
      <c r="QJU48" s="225"/>
      <c r="QJV48" s="225"/>
      <c r="QJW48" s="225"/>
      <c r="QJX48" s="225"/>
      <c r="QJY48" s="225"/>
      <c r="QJZ48" s="225"/>
      <c r="QKA48" s="225"/>
      <c r="QKB48" s="225"/>
      <c r="QKC48" s="225"/>
      <c r="QKD48" s="225"/>
      <c r="QKE48" s="225"/>
      <c r="QKF48" s="225"/>
      <c r="QKG48" s="225"/>
      <c r="QKH48" s="225"/>
      <c r="QKI48" s="225"/>
      <c r="QKJ48" s="225"/>
      <c r="QKK48" s="225"/>
      <c r="QKL48" s="225"/>
      <c r="QKM48" s="225"/>
      <c r="QKN48" s="225"/>
      <c r="QKO48" s="225"/>
      <c r="QKP48" s="225"/>
      <c r="QKQ48" s="225"/>
      <c r="QKR48" s="225"/>
      <c r="QKS48" s="225"/>
      <c r="QKT48" s="225"/>
      <c r="QKU48" s="225"/>
      <c r="QKV48" s="225"/>
      <c r="QKW48" s="225"/>
      <c r="QKX48" s="225"/>
      <c r="QKY48" s="225"/>
      <c r="QKZ48" s="225"/>
      <c r="QLA48" s="225"/>
      <c r="QLB48" s="225"/>
      <c r="QLC48" s="225"/>
      <c r="QLD48" s="225"/>
      <c r="QLE48" s="225"/>
      <c r="QLF48" s="225"/>
      <c r="QLG48" s="225"/>
      <c r="QLH48" s="225"/>
      <c r="QLI48" s="225"/>
      <c r="QLJ48" s="225"/>
      <c r="QLK48" s="225"/>
      <c r="QLL48" s="225"/>
      <c r="QLM48" s="225"/>
      <c r="QLN48" s="225"/>
      <c r="QLO48" s="225"/>
      <c r="QLP48" s="225"/>
      <c r="QLQ48" s="225"/>
      <c r="QLR48" s="225"/>
      <c r="QLS48" s="225"/>
      <c r="QLT48" s="225"/>
      <c r="QLU48" s="225"/>
      <c r="QLV48" s="225"/>
      <c r="QLW48" s="225"/>
      <c r="QLX48" s="225"/>
      <c r="QLY48" s="225"/>
      <c r="QLZ48" s="225"/>
      <c r="QMA48" s="225"/>
      <c r="QMB48" s="225"/>
      <c r="QMC48" s="225"/>
      <c r="QMD48" s="225"/>
      <c r="QME48" s="225"/>
      <c r="QMF48" s="225"/>
      <c r="QMG48" s="225"/>
      <c r="QMH48" s="225"/>
      <c r="QMI48" s="225"/>
      <c r="QMJ48" s="225"/>
      <c r="QMK48" s="225"/>
      <c r="QML48" s="225"/>
      <c r="QMM48" s="225"/>
      <c r="QMN48" s="225"/>
      <c r="QMO48" s="225"/>
      <c r="QMP48" s="225"/>
      <c r="QMQ48" s="225"/>
      <c r="QMR48" s="225"/>
      <c r="QMS48" s="225"/>
      <c r="QMT48" s="225"/>
      <c r="QMU48" s="225"/>
      <c r="QMV48" s="225"/>
      <c r="QMW48" s="225"/>
      <c r="QMX48" s="225"/>
      <c r="QMY48" s="225"/>
      <c r="QMZ48" s="225"/>
      <c r="QNA48" s="225"/>
      <c r="QNB48" s="225"/>
      <c r="QNC48" s="225"/>
      <c r="QND48" s="225"/>
      <c r="QNE48" s="225"/>
      <c r="QNF48" s="225"/>
      <c r="QNG48" s="225"/>
      <c r="QNH48" s="225"/>
      <c r="QNI48" s="225"/>
      <c r="QNJ48" s="225"/>
      <c r="QNK48" s="225"/>
      <c r="QNL48" s="225"/>
      <c r="QNM48" s="225"/>
      <c r="QNN48" s="225"/>
      <c r="QNO48" s="225"/>
      <c r="QNP48" s="225"/>
      <c r="QNQ48" s="225"/>
      <c r="QNR48" s="225"/>
      <c r="QNS48" s="225"/>
      <c r="QNT48" s="225"/>
      <c r="QNU48" s="225"/>
      <c r="QNV48" s="225"/>
      <c r="QNW48" s="225"/>
      <c r="QNX48" s="225"/>
      <c r="QNY48" s="225"/>
      <c r="QNZ48" s="225"/>
      <c r="QOA48" s="225"/>
      <c r="QOB48" s="225"/>
      <c r="QOC48" s="225"/>
      <c r="QOD48" s="225"/>
      <c r="QOE48" s="225"/>
      <c r="QOF48" s="225"/>
      <c r="QOG48" s="225"/>
      <c r="QOH48" s="225"/>
      <c r="QOI48" s="225"/>
      <c r="QOJ48" s="225"/>
      <c r="QOK48" s="225"/>
      <c r="QOL48" s="225"/>
      <c r="QOM48" s="225"/>
      <c r="QON48" s="225"/>
      <c r="QOO48" s="225"/>
      <c r="QOP48" s="225"/>
      <c r="QOQ48" s="225"/>
      <c r="QOR48" s="225"/>
      <c r="QOS48" s="225"/>
      <c r="QOT48" s="225"/>
      <c r="QOU48" s="225"/>
      <c r="QOV48" s="225"/>
      <c r="QOW48" s="225"/>
      <c r="QOX48" s="225"/>
      <c r="QOY48" s="225"/>
      <c r="QOZ48" s="225"/>
      <c r="QPA48" s="225"/>
      <c r="QPB48" s="225"/>
      <c r="QPC48" s="225"/>
      <c r="QPD48" s="225"/>
      <c r="QPE48" s="225"/>
      <c r="QPF48" s="225"/>
      <c r="QPG48" s="225"/>
      <c r="QPH48" s="225"/>
      <c r="QPI48" s="225"/>
      <c r="QPJ48" s="225"/>
      <c r="QPK48" s="225"/>
      <c r="QPL48" s="225"/>
      <c r="QPM48" s="225"/>
      <c r="QPN48" s="225"/>
      <c r="QPO48" s="225"/>
      <c r="QPP48" s="225"/>
      <c r="QPQ48" s="225"/>
      <c r="QPR48" s="225"/>
      <c r="QPS48" s="225"/>
      <c r="QPT48" s="225"/>
      <c r="QPU48" s="225"/>
      <c r="QPV48" s="225"/>
      <c r="QPW48" s="225"/>
      <c r="QPX48" s="225"/>
      <c r="QPY48" s="225"/>
      <c r="QPZ48" s="225"/>
      <c r="QQA48" s="225"/>
      <c r="QQB48" s="225"/>
      <c r="QQC48" s="225"/>
      <c r="QQD48" s="225"/>
      <c r="QQE48" s="225"/>
      <c r="QQF48" s="225"/>
      <c r="QQG48" s="225"/>
      <c r="QQH48" s="225"/>
      <c r="QQI48" s="225"/>
      <c r="QQJ48" s="225"/>
      <c r="QQK48" s="225"/>
      <c r="QQL48" s="225"/>
      <c r="QQM48" s="225"/>
      <c r="QQN48" s="225"/>
      <c r="QQO48" s="225"/>
      <c r="QQP48" s="225"/>
      <c r="QQQ48" s="225"/>
      <c r="QQR48" s="225"/>
      <c r="QQS48" s="225"/>
      <c r="QQT48" s="225"/>
      <c r="QQU48" s="225"/>
      <c r="QQV48" s="225"/>
      <c r="QQW48" s="225"/>
      <c r="QQX48" s="225"/>
      <c r="QQY48" s="225"/>
      <c r="QQZ48" s="225"/>
      <c r="QRA48" s="225"/>
      <c r="QRB48" s="225"/>
      <c r="QRC48" s="225"/>
      <c r="QRD48" s="225"/>
      <c r="QRE48" s="225"/>
      <c r="QRF48" s="225"/>
      <c r="QRG48" s="225"/>
      <c r="QRH48" s="225"/>
      <c r="QRI48" s="225"/>
      <c r="QRJ48" s="225"/>
      <c r="QRK48" s="225"/>
      <c r="QRL48" s="225"/>
      <c r="QRM48" s="225"/>
      <c r="QRN48" s="225"/>
      <c r="QRO48" s="225"/>
      <c r="QRP48" s="225"/>
      <c r="QRQ48" s="225"/>
      <c r="QRR48" s="225"/>
      <c r="QRS48" s="225"/>
      <c r="QRT48" s="225"/>
      <c r="QRU48" s="225"/>
      <c r="QRV48" s="225"/>
      <c r="QRW48" s="225"/>
      <c r="QRX48" s="225"/>
      <c r="QRY48" s="225"/>
      <c r="QRZ48" s="225"/>
      <c r="QSA48" s="225"/>
      <c r="QSB48" s="225"/>
      <c r="QSC48" s="225"/>
      <c r="QSD48" s="225"/>
      <c r="QSE48" s="225"/>
      <c r="QSF48" s="225"/>
      <c r="QSG48" s="225"/>
      <c r="QSH48" s="225"/>
      <c r="QSI48" s="225"/>
      <c r="QSJ48" s="225"/>
      <c r="QSK48" s="225"/>
      <c r="QSL48" s="225"/>
      <c r="QSM48" s="225"/>
      <c r="QSN48" s="225"/>
      <c r="QSO48" s="225"/>
      <c r="QSP48" s="225"/>
      <c r="QSQ48" s="225"/>
      <c r="QSR48" s="225"/>
      <c r="QSS48" s="225"/>
      <c r="QST48" s="225"/>
      <c r="QSU48" s="225"/>
      <c r="QSV48" s="225"/>
      <c r="QSW48" s="225"/>
      <c r="QSX48" s="225"/>
      <c r="QSY48" s="225"/>
      <c r="QSZ48" s="225"/>
      <c r="QTA48" s="225"/>
      <c r="QTB48" s="225"/>
      <c r="QTC48" s="225"/>
      <c r="QTD48" s="225"/>
      <c r="QTE48" s="225"/>
      <c r="QTF48" s="225"/>
      <c r="QTG48" s="225"/>
      <c r="QTH48" s="225"/>
      <c r="QTI48" s="225"/>
      <c r="QTJ48" s="225"/>
      <c r="QTK48" s="225"/>
      <c r="QTL48" s="225"/>
      <c r="QTM48" s="225"/>
      <c r="QTN48" s="225"/>
      <c r="QTO48" s="225"/>
      <c r="QTP48" s="225"/>
      <c r="QTQ48" s="225"/>
      <c r="QTR48" s="225"/>
      <c r="QTS48" s="225"/>
      <c r="QTT48" s="225"/>
      <c r="QTU48" s="225"/>
      <c r="QTV48" s="225"/>
      <c r="QTW48" s="225"/>
      <c r="QTX48" s="225"/>
      <c r="QTY48" s="225"/>
      <c r="QTZ48" s="225"/>
      <c r="QUA48" s="225"/>
      <c r="QUB48" s="225"/>
      <c r="QUC48" s="225"/>
      <c r="QUD48" s="225"/>
      <c r="QUE48" s="225"/>
      <c r="QUF48" s="225"/>
      <c r="QUG48" s="225"/>
      <c r="QUH48" s="225"/>
      <c r="QUI48" s="225"/>
      <c r="QUJ48" s="225"/>
      <c r="QUK48" s="225"/>
      <c r="QUL48" s="225"/>
      <c r="QUM48" s="225"/>
      <c r="QUN48" s="225"/>
      <c r="QUO48" s="225"/>
      <c r="QUP48" s="225"/>
      <c r="QUQ48" s="225"/>
      <c r="QUR48" s="225"/>
      <c r="QUS48" s="225"/>
      <c r="QUT48" s="225"/>
      <c r="QUU48" s="225"/>
      <c r="QUV48" s="225"/>
      <c r="QUW48" s="225"/>
      <c r="QUX48" s="225"/>
      <c r="QUY48" s="225"/>
      <c r="QUZ48" s="225"/>
      <c r="QVA48" s="225"/>
      <c r="QVB48" s="225"/>
      <c r="QVC48" s="225"/>
      <c r="QVD48" s="225"/>
      <c r="QVE48" s="225"/>
      <c r="QVF48" s="225"/>
      <c r="QVG48" s="225"/>
      <c r="QVH48" s="225"/>
      <c r="QVI48" s="225"/>
      <c r="QVJ48" s="225"/>
      <c r="QVK48" s="225"/>
      <c r="QVL48" s="225"/>
      <c r="QVM48" s="225"/>
      <c r="QVN48" s="225"/>
      <c r="QVO48" s="225"/>
      <c r="QVP48" s="225"/>
      <c r="QVQ48" s="225"/>
      <c r="QVR48" s="225"/>
      <c r="QVS48" s="225"/>
      <c r="QVT48" s="225"/>
      <c r="QVU48" s="225"/>
      <c r="QVV48" s="225"/>
      <c r="QVW48" s="225"/>
      <c r="QVX48" s="225"/>
      <c r="QVY48" s="225"/>
      <c r="QVZ48" s="225"/>
      <c r="QWA48" s="225"/>
      <c r="QWB48" s="225"/>
      <c r="QWC48" s="225"/>
      <c r="QWD48" s="225"/>
      <c r="QWE48" s="225"/>
      <c r="QWF48" s="225"/>
      <c r="QWG48" s="225"/>
      <c r="QWH48" s="225"/>
      <c r="QWI48" s="225"/>
      <c r="QWJ48" s="225"/>
      <c r="QWK48" s="225"/>
      <c r="QWL48" s="225"/>
      <c r="QWM48" s="225"/>
      <c r="QWN48" s="225"/>
      <c r="QWO48" s="225"/>
      <c r="QWP48" s="225"/>
      <c r="QWQ48" s="225"/>
      <c r="QWR48" s="225"/>
      <c r="QWS48" s="225"/>
      <c r="QWT48" s="225"/>
      <c r="QWU48" s="225"/>
      <c r="QWV48" s="225"/>
      <c r="QWW48" s="225"/>
      <c r="QWX48" s="225"/>
      <c r="QWY48" s="225"/>
      <c r="QWZ48" s="225"/>
      <c r="QXA48" s="225"/>
      <c r="QXB48" s="225"/>
      <c r="QXC48" s="225"/>
      <c r="QXD48" s="225"/>
      <c r="QXE48" s="225"/>
      <c r="QXF48" s="225"/>
      <c r="QXG48" s="225"/>
      <c r="QXH48" s="225"/>
      <c r="QXI48" s="225"/>
      <c r="QXJ48" s="225"/>
      <c r="QXK48" s="225"/>
      <c r="QXL48" s="225"/>
      <c r="QXM48" s="225"/>
      <c r="QXN48" s="225"/>
      <c r="QXO48" s="225"/>
      <c r="QXP48" s="225"/>
      <c r="QXQ48" s="225"/>
      <c r="QXR48" s="225"/>
      <c r="QXS48" s="225"/>
      <c r="QXT48" s="225"/>
      <c r="QXU48" s="225"/>
      <c r="QXV48" s="225"/>
      <c r="QXW48" s="225"/>
      <c r="QXX48" s="225"/>
      <c r="QXY48" s="225"/>
      <c r="QXZ48" s="225"/>
      <c r="QYA48" s="225"/>
      <c r="QYB48" s="225"/>
      <c r="QYC48" s="225"/>
      <c r="QYD48" s="225"/>
      <c r="QYE48" s="225"/>
      <c r="QYF48" s="225"/>
      <c r="QYG48" s="225"/>
      <c r="QYH48" s="225"/>
      <c r="QYI48" s="225"/>
      <c r="QYJ48" s="225"/>
      <c r="QYK48" s="225"/>
      <c r="QYL48" s="225"/>
      <c r="QYM48" s="225"/>
      <c r="QYN48" s="225"/>
      <c r="QYO48" s="225"/>
      <c r="QYP48" s="225"/>
      <c r="QYQ48" s="225"/>
      <c r="QYR48" s="225"/>
      <c r="QYS48" s="225"/>
      <c r="QYT48" s="225"/>
      <c r="QYU48" s="225"/>
      <c r="QYV48" s="225"/>
      <c r="QYW48" s="225"/>
      <c r="QYX48" s="225"/>
      <c r="QYY48" s="225"/>
      <c r="QYZ48" s="225"/>
      <c r="QZA48" s="225"/>
      <c r="QZB48" s="225"/>
      <c r="QZC48" s="225"/>
      <c r="QZD48" s="225"/>
      <c r="QZE48" s="225"/>
      <c r="QZF48" s="225"/>
      <c r="QZG48" s="225"/>
      <c r="QZH48" s="225"/>
      <c r="QZI48" s="225"/>
      <c r="QZJ48" s="225"/>
      <c r="QZK48" s="225"/>
      <c r="QZL48" s="225"/>
      <c r="QZM48" s="225"/>
      <c r="QZN48" s="225"/>
      <c r="QZO48" s="225"/>
      <c r="QZP48" s="225"/>
      <c r="QZQ48" s="225"/>
      <c r="QZR48" s="225"/>
      <c r="QZS48" s="225"/>
      <c r="QZT48" s="225"/>
      <c r="QZU48" s="225"/>
      <c r="QZV48" s="225"/>
      <c r="QZW48" s="225"/>
      <c r="QZX48" s="225"/>
      <c r="QZY48" s="225"/>
      <c r="QZZ48" s="225"/>
      <c r="RAA48" s="225"/>
      <c r="RAB48" s="225"/>
      <c r="RAC48" s="225"/>
      <c r="RAD48" s="225"/>
      <c r="RAE48" s="225"/>
      <c r="RAF48" s="225"/>
      <c r="RAG48" s="225"/>
      <c r="RAH48" s="225"/>
      <c r="RAI48" s="225"/>
      <c r="RAJ48" s="225"/>
      <c r="RAK48" s="225"/>
      <c r="RAL48" s="225"/>
      <c r="RAM48" s="225"/>
      <c r="RAN48" s="225"/>
      <c r="RAO48" s="225"/>
      <c r="RAP48" s="225"/>
      <c r="RAQ48" s="225"/>
      <c r="RAR48" s="225"/>
      <c r="RAS48" s="225"/>
      <c r="RAT48" s="225"/>
      <c r="RAU48" s="225"/>
      <c r="RAV48" s="225"/>
      <c r="RAW48" s="225"/>
      <c r="RAX48" s="225"/>
      <c r="RAY48" s="225"/>
      <c r="RAZ48" s="225"/>
      <c r="RBA48" s="225"/>
      <c r="RBB48" s="225"/>
      <c r="RBC48" s="225"/>
      <c r="RBD48" s="225"/>
      <c r="RBE48" s="225"/>
      <c r="RBF48" s="225"/>
      <c r="RBG48" s="225"/>
      <c r="RBH48" s="225"/>
      <c r="RBI48" s="225"/>
      <c r="RBJ48" s="225"/>
      <c r="RBK48" s="225"/>
      <c r="RBL48" s="225"/>
      <c r="RBM48" s="225"/>
      <c r="RBN48" s="225"/>
      <c r="RBO48" s="225"/>
      <c r="RBP48" s="225"/>
      <c r="RBQ48" s="225"/>
      <c r="RBR48" s="225"/>
      <c r="RBS48" s="225"/>
      <c r="RBT48" s="225"/>
      <c r="RBU48" s="225"/>
      <c r="RBV48" s="225"/>
      <c r="RBW48" s="225"/>
      <c r="RBX48" s="225"/>
      <c r="RBY48" s="225"/>
      <c r="RBZ48" s="225"/>
      <c r="RCA48" s="225"/>
      <c r="RCB48" s="225"/>
      <c r="RCC48" s="225"/>
      <c r="RCD48" s="225"/>
      <c r="RCE48" s="225"/>
      <c r="RCF48" s="225"/>
      <c r="RCG48" s="225"/>
      <c r="RCH48" s="225"/>
      <c r="RCI48" s="225"/>
      <c r="RCJ48" s="225"/>
      <c r="RCK48" s="225"/>
      <c r="RCL48" s="225"/>
      <c r="RCM48" s="225"/>
      <c r="RCN48" s="225"/>
      <c r="RCO48" s="225"/>
      <c r="RCP48" s="225"/>
      <c r="RCQ48" s="225"/>
      <c r="RCR48" s="225"/>
      <c r="RCS48" s="225"/>
      <c r="RCT48" s="225"/>
      <c r="RCU48" s="225"/>
      <c r="RCV48" s="225"/>
      <c r="RCW48" s="225"/>
      <c r="RCX48" s="225"/>
      <c r="RCY48" s="225"/>
      <c r="RCZ48" s="225"/>
      <c r="RDA48" s="225"/>
      <c r="RDB48" s="225"/>
      <c r="RDC48" s="225"/>
      <c r="RDD48" s="225"/>
      <c r="RDE48" s="225"/>
      <c r="RDF48" s="225"/>
      <c r="RDG48" s="225"/>
      <c r="RDH48" s="225"/>
      <c r="RDI48" s="225"/>
    </row>
    <row r="49" spans="1:28" x14ac:dyDescent="0.3">
      <c r="A49" s="1">
        <v>3</v>
      </c>
      <c r="B49" s="4">
        <v>33.091999999999999</v>
      </c>
      <c r="C49" s="4">
        <v>33.281999999999996</v>
      </c>
      <c r="D49" s="4">
        <v>1.8381700000000001</v>
      </c>
      <c r="E49" s="4">
        <v>31.787800000000001</v>
      </c>
      <c r="F49" s="59"/>
      <c r="G49" s="1">
        <v>3</v>
      </c>
      <c r="H49" s="82">
        <f t="shared" si="7"/>
        <v>292.0283401069546</v>
      </c>
      <c r="I49" s="82">
        <f>C49*$C$39/100</f>
        <v>87.934973752488446</v>
      </c>
      <c r="J49" s="82">
        <f t="shared" si="8"/>
        <v>3.7754155928631432</v>
      </c>
      <c r="K49" s="82">
        <f t="shared" si="9"/>
        <v>29.677796560607657</v>
      </c>
      <c r="L49" s="61">
        <f t="shared" si="10"/>
        <v>413.41652601291383</v>
      </c>
      <c r="N49" s="1">
        <v>3</v>
      </c>
      <c r="O49" s="4">
        <f t="shared" si="11"/>
        <v>15.437073441116338</v>
      </c>
      <c r="P49" s="4">
        <f t="shared" si="4"/>
        <v>13.121855048344226</v>
      </c>
      <c r="Q49" s="4">
        <f t="shared" si="5"/>
        <v>0.70791897923978775</v>
      </c>
      <c r="R49" s="4">
        <f t="shared" si="6"/>
        <v>14.014744190101743</v>
      </c>
      <c r="S49" s="88">
        <f t="shared" si="12"/>
        <v>43.281591658802093</v>
      </c>
      <c r="T49" s="1">
        <v>3</v>
      </c>
      <c r="U49" s="4">
        <f t="shared" si="13"/>
        <v>17.530538376031373</v>
      </c>
      <c r="V49" s="4">
        <f t="shared" si="14"/>
        <v>17.6311911710104</v>
      </c>
      <c r="W49" s="4">
        <f t="shared" si="15"/>
        <v>0.97377341129788442</v>
      </c>
      <c r="X49" s="4">
        <f t="shared" si="16"/>
        <v>16.839636401233228</v>
      </c>
      <c r="Y49" s="64">
        <f t="shared" si="17"/>
        <v>52.975139359572886</v>
      </c>
      <c r="AA49" s="45">
        <f t="shared" si="18"/>
        <v>61.290411009614068</v>
      </c>
      <c r="AB49" s="45"/>
    </row>
    <row r="50" spans="1:28" x14ac:dyDescent="0.3">
      <c r="A50" s="1">
        <v>4</v>
      </c>
      <c r="B50" s="4">
        <v>27.197399999999998</v>
      </c>
      <c r="C50" s="4">
        <v>0</v>
      </c>
      <c r="D50" s="4">
        <v>72.802599999999998</v>
      </c>
      <c r="E50" s="4">
        <v>0</v>
      </c>
      <c r="F50" s="59"/>
      <c r="G50" s="1">
        <v>4</v>
      </c>
      <c r="H50" s="82">
        <f t="shared" si="7"/>
        <v>240.01001986053689</v>
      </c>
      <c r="I50" s="4">
        <f t="shared" ref="I50:I69" si="19">C50*$C$39/100</f>
        <v>0</v>
      </c>
      <c r="J50" s="82">
        <f>D50*$C$40/100</f>
        <v>149.5291900319221</v>
      </c>
      <c r="K50" s="4">
        <f t="shared" si="9"/>
        <v>0</v>
      </c>
      <c r="L50" s="61">
        <f t="shared" si="10"/>
        <v>389.53920989245898</v>
      </c>
      <c r="N50" s="1">
        <v>4</v>
      </c>
      <c r="O50" s="4">
        <f t="shared" si="11"/>
        <v>12.687303916578552</v>
      </c>
      <c r="P50" s="4">
        <f t="shared" si="4"/>
        <v>0</v>
      </c>
      <c r="Q50" s="4">
        <f t="shared" si="5"/>
        <v>28.037854103811167</v>
      </c>
      <c r="R50" s="4">
        <f t="shared" si="6"/>
        <v>0</v>
      </c>
      <c r="S50" s="88">
        <f t="shared" si="12"/>
        <v>40.725158020389721</v>
      </c>
      <c r="T50" s="1">
        <v>4</v>
      </c>
      <c r="U50" s="4">
        <f t="shared" si="13"/>
        <v>14.407864874539937</v>
      </c>
      <c r="V50" s="4">
        <f t="shared" si="14"/>
        <v>0</v>
      </c>
      <c r="W50" s="4">
        <f t="shared" si="15"/>
        <v>38.567290377579525</v>
      </c>
      <c r="X50" s="4">
        <f t="shared" si="16"/>
        <v>0</v>
      </c>
      <c r="Y50" s="64">
        <f t="shared" si="17"/>
        <v>52.975155252119464</v>
      </c>
      <c r="AA50" s="45">
        <f t="shared" si="18"/>
        <v>58.733977371201696</v>
      </c>
      <c r="AB50" s="45"/>
    </row>
    <row r="51" spans="1:28" x14ac:dyDescent="0.3">
      <c r="A51" s="1">
        <v>5</v>
      </c>
      <c r="B51" s="4">
        <v>33.561</v>
      </c>
      <c r="C51" s="4">
        <v>1.4806999999999999</v>
      </c>
      <c r="D51" s="4">
        <v>32.657699999999998</v>
      </c>
      <c r="E51" s="4">
        <v>32.300600000000003</v>
      </c>
      <c r="F51" s="59"/>
      <c r="G51" s="1">
        <v>5</v>
      </c>
      <c r="H51" s="82">
        <f t="shared" si="7"/>
        <v>296.1671437909315</v>
      </c>
      <c r="I51" s="82">
        <f t="shared" si="19"/>
        <v>3.9121842327777667</v>
      </c>
      <c r="J51" s="82">
        <f t="shared" si="8"/>
        <v>67.075618581005386</v>
      </c>
      <c r="K51" s="82">
        <f t="shared" si="9"/>
        <v>30.156558037535273</v>
      </c>
      <c r="L51" s="61">
        <f t="shared" si="10"/>
        <v>397.31150464224987</v>
      </c>
      <c r="N51" s="1">
        <v>5</v>
      </c>
      <c r="O51" s="4">
        <f t="shared" si="11"/>
        <v>15.655857057817768</v>
      </c>
      <c r="P51" s="4">
        <f t="shared" si="4"/>
        <v>0.58378495192846869</v>
      </c>
      <c r="Q51" s="4">
        <f t="shared" si="5"/>
        <v>12.577185814325778</v>
      </c>
      <c r="R51" s="4">
        <f t="shared" si="6"/>
        <v>14.240829695254169</v>
      </c>
      <c r="S51" s="88">
        <f t="shared" si="12"/>
        <v>43.057657519326185</v>
      </c>
      <c r="T51" s="1">
        <v>5</v>
      </c>
      <c r="U51" s="4">
        <f t="shared" si="13"/>
        <v>17.778991854163817</v>
      </c>
      <c r="V51" s="4">
        <f t="shared" si="14"/>
        <v>0.78440312381813293</v>
      </c>
      <c r="W51" s="4">
        <f t="shared" si="15"/>
        <v>17.300467276771418</v>
      </c>
      <c r="X51" s="4">
        <f t="shared" si="16"/>
        <v>17.1112929973661</v>
      </c>
      <c r="Y51" s="64">
        <f t="shared" si="17"/>
        <v>52.975155252119471</v>
      </c>
      <c r="AA51" s="45">
        <f t="shared" si="18"/>
        <v>61.06647687013816</v>
      </c>
      <c r="AB51" s="45"/>
    </row>
    <row r="52" spans="1:28" x14ac:dyDescent="0.3">
      <c r="A52" s="1">
        <v>6</v>
      </c>
      <c r="B52" s="4">
        <v>72.5886</v>
      </c>
      <c r="C52" s="4">
        <v>27.4114</v>
      </c>
      <c r="D52" s="4">
        <v>0</v>
      </c>
      <c r="E52" s="4">
        <v>0</v>
      </c>
      <c r="F52" s="59"/>
      <c r="G52" s="1">
        <v>6</v>
      </c>
      <c r="H52" s="52">
        <f t="shared" si="7"/>
        <v>640.57561853885181</v>
      </c>
      <c r="I52" s="82">
        <f t="shared" si="19"/>
        <v>72.424155384861535</v>
      </c>
      <c r="J52" s="4">
        <f t="shared" si="8"/>
        <v>0</v>
      </c>
      <c r="K52" s="4">
        <f t="shared" si="9"/>
        <v>0</v>
      </c>
      <c r="L52" s="61">
        <f t="shared" si="10"/>
        <v>712.99977392371329</v>
      </c>
      <c r="N52" s="1">
        <v>6</v>
      </c>
      <c r="O52" s="4">
        <f t="shared" si="11"/>
        <v>33.861826096573715</v>
      </c>
      <c r="P52" s="4">
        <f t="shared" si="4"/>
        <v>10.807295759635325</v>
      </c>
      <c r="Q52" s="4">
        <f t="shared" si="5"/>
        <v>0</v>
      </c>
      <c r="R52" s="4">
        <f t="shared" si="6"/>
        <v>0</v>
      </c>
      <c r="S52" s="88">
        <f t="shared" si="12"/>
        <v>44.669121856209038</v>
      </c>
      <c r="T52" s="1">
        <v>6</v>
      </c>
      <c r="U52" s="4">
        <f t="shared" si="13"/>
        <v>38.453923545339983</v>
      </c>
      <c r="V52" s="4">
        <f t="shared" si="14"/>
        <v>14.521231706779474</v>
      </c>
      <c r="W52" s="4">
        <f t="shared" si="15"/>
        <v>0</v>
      </c>
      <c r="X52" s="4">
        <f t="shared" si="16"/>
        <v>0</v>
      </c>
      <c r="Y52" s="64">
        <f t="shared" si="17"/>
        <v>52.975155252119457</v>
      </c>
      <c r="AA52" s="45">
        <f t="shared" si="18"/>
        <v>62.677941207021014</v>
      </c>
      <c r="AB52" s="45"/>
    </row>
    <row r="53" spans="1:28" x14ac:dyDescent="0.3">
      <c r="A53" s="1">
        <v>7</v>
      </c>
      <c r="B53" s="4">
        <v>73.716099999999997</v>
      </c>
      <c r="C53" s="4">
        <v>0</v>
      </c>
      <c r="D53" s="4">
        <v>0</v>
      </c>
      <c r="E53" s="4">
        <v>26.283899999999999</v>
      </c>
      <c r="F53" s="59"/>
      <c r="G53" s="1">
        <v>7</v>
      </c>
      <c r="H53" s="52">
        <f t="shared" si="7"/>
        <v>650.52551438892408</v>
      </c>
      <c r="I53" s="4">
        <f t="shared" si="19"/>
        <v>0</v>
      </c>
      <c r="J53" s="4">
        <f t="shared" si="8"/>
        <v>0</v>
      </c>
      <c r="K53" s="82">
        <f t="shared" si="9"/>
        <v>24.539233196992416</v>
      </c>
      <c r="L53" s="61">
        <f t="shared" si="10"/>
        <v>675.06474758591651</v>
      </c>
      <c r="N53" s="1">
        <v>7</v>
      </c>
      <c r="O53" s="4">
        <f t="shared" si="11"/>
        <v>34.387793106874049</v>
      </c>
      <c r="P53" s="4">
        <f t="shared" si="4"/>
        <v>0</v>
      </c>
      <c r="Q53" s="4">
        <f t="shared" si="5"/>
        <v>0</v>
      </c>
      <c r="R53" s="4">
        <f t="shared" si="6"/>
        <v>11.588160703735873</v>
      </c>
      <c r="S53" s="88">
        <f t="shared" si="12"/>
        <v>45.975953810609923</v>
      </c>
      <c r="T53" s="1">
        <v>7</v>
      </c>
      <c r="U53" s="4">
        <f t="shared" si="13"/>
        <v>39.051218420807636</v>
      </c>
      <c r="V53" s="4">
        <f t="shared" si="14"/>
        <v>0</v>
      </c>
      <c r="W53" s="4">
        <f t="shared" si="15"/>
        <v>0</v>
      </c>
      <c r="X53" s="4">
        <f t="shared" si="16"/>
        <v>13.923936831311826</v>
      </c>
      <c r="Y53" s="64">
        <f t="shared" si="17"/>
        <v>52.975155252119464</v>
      </c>
      <c r="AA53" s="45">
        <f t="shared" si="18"/>
        <v>63.984773161421899</v>
      </c>
      <c r="AB53" s="45"/>
    </row>
    <row r="54" spans="1:28" x14ac:dyDescent="0.3">
      <c r="A54" s="1">
        <v>8</v>
      </c>
      <c r="B54" s="4">
        <v>46.627800000000001</v>
      </c>
      <c r="C54" s="4">
        <v>47.356999999999999</v>
      </c>
      <c r="D54" s="4">
        <v>6.0151300000000001</v>
      </c>
      <c r="E54" s="4">
        <v>0</v>
      </c>
      <c r="F54" s="59"/>
      <c r="G54" s="1">
        <v>8</v>
      </c>
      <c r="H54" s="52">
        <f t="shared" si="7"/>
        <v>411.47827380753836</v>
      </c>
      <c r="I54" s="82">
        <f t="shared" si="19"/>
        <v>125.12278564979856</v>
      </c>
      <c r="J54" s="82">
        <f t="shared" si="8"/>
        <v>12.354469714498048</v>
      </c>
      <c r="K54" s="4">
        <f t="shared" si="9"/>
        <v>0</v>
      </c>
      <c r="L54" s="61">
        <f t="shared" si="10"/>
        <v>548.95552917183488</v>
      </c>
      <c r="N54" s="1">
        <v>8</v>
      </c>
      <c r="O54" s="4">
        <f t="shared" si="11"/>
        <v>21.751383204329883</v>
      </c>
      <c r="P54" s="4">
        <f t="shared" si="4"/>
        <v>18.671104186179846</v>
      </c>
      <c r="Q54" s="4">
        <f t="shared" si="5"/>
        <v>2.3165565152268965</v>
      </c>
      <c r="R54" s="4">
        <f t="shared" si="6"/>
        <v>0</v>
      </c>
      <c r="S54" s="88">
        <f t="shared" si="12"/>
        <v>42.739043905736629</v>
      </c>
      <c r="T54" s="1">
        <v>8</v>
      </c>
      <c r="U54" s="4">
        <f t="shared" si="13"/>
        <v>24.701149440647761</v>
      </c>
      <c r="V54" s="4">
        <f t="shared" si="14"/>
        <v>25.087444272746218</v>
      </c>
      <c r="W54" s="4">
        <f t="shared" si="15"/>
        <v>3.1865244561168136</v>
      </c>
      <c r="X54" s="4">
        <f t="shared" si="16"/>
        <v>0</v>
      </c>
      <c r="Y54" s="64">
        <f t="shared" si="17"/>
        <v>52.975118169510793</v>
      </c>
      <c r="AA54" s="45">
        <f t="shared" si="18"/>
        <v>60.747863256548605</v>
      </c>
      <c r="AB54" s="45"/>
    </row>
    <row r="55" spans="1:28" x14ac:dyDescent="0.3">
      <c r="A55" s="1">
        <v>9</v>
      </c>
      <c r="B55" s="4">
        <v>100</v>
      </c>
      <c r="C55" s="4">
        <v>0</v>
      </c>
      <c r="D55" s="4">
        <v>0</v>
      </c>
      <c r="E55" s="4">
        <v>0</v>
      </c>
      <c r="F55" s="59"/>
      <c r="G55" s="1">
        <v>9</v>
      </c>
      <c r="H55" s="52">
        <f t="shared" si="7"/>
        <v>882.47413304410327</v>
      </c>
      <c r="I55" s="4">
        <f t="shared" si="19"/>
        <v>0</v>
      </c>
      <c r="J55" s="4">
        <f t="shared" si="8"/>
        <v>0</v>
      </c>
      <c r="K55" s="4">
        <f t="shared" si="9"/>
        <v>0</v>
      </c>
      <c r="L55" s="61">
        <f t="shared" si="10"/>
        <v>882.47413304410327</v>
      </c>
      <c r="N55" s="1">
        <v>9</v>
      </c>
      <c r="O55" s="4">
        <f t="shared" si="11"/>
        <v>46.648958784952079</v>
      </c>
      <c r="P55" s="4">
        <f t="shared" si="4"/>
        <v>0</v>
      </c>
      <c r="Q55" s="4">
        <f t="shared" si="5"/>
        <v>0</v>
      </c>
      <c r="R55" s="4">
        <f t="shared" si="6"/>
        <v>0</v>
      </c>
      <c r="S55" s="88">
        <f t="shared" si="12"/>
        <v>46.648958784952079</v>
      </c>
      <c r="T55" s="1">
        <v>9</v>
      </c>
      <c r="U55" s="4">
        <f t="shared" si="13"/>
        <v>52.975155252119471</v>
      </c>
      <c r="V55" s="4">
        <f t="shared" si="14"/>
        <v>0</v>
      </c>
      <c r="W55" s="4">
        <f t="shared" si="15"/>
        <v>0</v>
      </c>
      <c r="X55" s="4">
        <f t="shared" si="16"/>
        <v>0</v>
      </c>
      <c r="Y55" s="64">
        <f t="shared" si="17"/>
        <v>52.975155252119471</v>
      </c>
      <c r="AA55" s="45">
        <f t="shared" si="18"/>
        <v>64.657778135764062</v>
      </c>
      <c r="AB55" s="45"/>
    </row>
    <row r="56" spans="1:28" x14ac:dyDescent="0.3">
      <c r="A56" s="1">
        <v>10</v>
      </c>
      <c r="B56" s="4">
        <v>32.387099999999997</v>
      </c>
      <c r="C56" s="4">
        <v>32.2241</v>
      </c>
      <c r="D56" s="4">
        <v>33.130400000000002</v>
      </c>
      <c r="E56" s="4">
        <v>2.2583199999999999</v>
      </c>
      <c r="F56" s="59"/>
      <c r="G56" s="1">
        <v>10</v>
      </c>
      <c r="H56" s="82">
        <f t="shared" si="7"/>
        <v>285.80777994312672</v>
      </c>
      <c r="I56" s="82">
        <f t="shared" si="19"/>
        <v>85.139877041570912</v>
      </c>
      <c r="J56" s="82">
        <f t="shared" si="8"/>
        <v>68.046496655800652</v>
      </c>
      <c r="K56" s="82">
        <f t="shared" si="9"/>
        <v>2.1084177429312971</v>
      </c>
      <c r="L56" s="61">
        <f t="shared" si="10"/>
        <v>441.10257138342956</v>
      </c>
      <c r="N56" s="1">
        <v>10</v>
      </c>
      <c r="O56" s="4">
        <f t="shared" si="11"/>
        <v>15.108244930641211</v>
      </c>
      <c r="P56" s="4">
        <f t="shared" si="4"/>
        <v>12.704764415099731</v>
      </c>
      <c r="Q56" s="4">
        <f t="shared" si="5"/>
        <v>12.759232796643328</v>
      </c>
      <c r="R56" s="4">
        <f t="shared" si="6"/>
        <v>0.99565799141150291</v>
      </c>
      <c r="S56" s="88">
        <f t="shared" si="12"/>
        <v>41.567900133795774</v>
      </c>
      <c r="T56" s="1">
        <v>10</v>
      </c>
      <c r="U56" s="4">
        <f t="shared" si="13"/>
        <v>17.157116506659182</v>
      </c>
      <c r="V56" s="4">
        <f t="shared" si="14"/>
        <v>17.070767003598231</v>
      </c>
      <c r="W56" s="4">
        <f t="shared" si="15"/>
        <v>17.55088083564819</v>
      </c>
      <c r="X56" s="4">
        <f t="shared" si="16"/>
        <v>1.1963485260896642</v>
      </c>
      <c r="Y56" s="64">
        <f t="shared" si="17"/>
        <v>52.975112871995265</v>
      </c>
      <c r="AA56" s="45">
        <f t="shared" si="18"/>
        <v>59.57671948460775</v>
      </c>
      <c r="AB56" s="45"/>
    </row>
    <row r="57" spans="1:28" x14ac:dyDescent="0.3">
      <c r="A57" s="1">
        <v>11</v>
      </c>
      <c r="B57" s="4">
        <v>0</v>
      </c>
      <c r="C57" s="4">
        <v>46.060200000000002</v>
      </c>
      <c r="D57" s="4">
        <v>46.857700000000001</v>
      </c>
      <c r="E57" s="4">
        <v>7.0820999999999996</v>
      </c>
      <c r="F57" s="59"/>
      <c r="G57" s="1">
        <v>11</v>
      </c>
      <c r="H57" s="4">
        <f t="shared" si="7"/>
        <v>0</v>
      </c>
      <c r="I57" s="82">
        <f t="shared" si="19"/>
        <v>121.69648693090465</v>
      </c>
      <c r="J57" s="82">
        <f t="shared" si="8"/>
        <v>96.240984906566482</v>
      </c>
      <c r="K57" s="82">
        <f t="shared" si="9"/>
        <v>6.6120059589490143</v>
      </c>
      <c r="L57" s="61">
        <f t="shared" si="10"/>
        <v>224.54947779642018</v>
      </c>
      <c r="N57" s="1">
        <v>11</v>
      </c>
      <c r="O57" s="4">
        <f t="shared" si="11"/>
        <v>0</v>
      </c>
      <c r="P57" s="4">
        <f t="shared" si="4"/>
        <v>18.159824166148212</v>
      </c>
      <c r="Q57" s="4">
        <f t="shared" si="5"/>
        <v>18.045912594332517</v>
      </c>
      <c r="R57" s="4">
        <f t="shared" si="6"/>
        <v>3.1223871997659338</v>
      </c>
      <c r="S57" s="88">
        <f t="shared" si="12"/>
        <v>39.328123960246664</v>
      </c>
      <c r="T57" s="1">
        <v>11</v>
      </c>
      <c r="U57" s="4">
        <f t="shared" si="13"/>
        <v>0</v>
      </c>
      <c r="V57" s="4">
        <f t="shared" si="14"/>
        <v>24.400462459436731</v>
      </c>
      <c r="W57" s="4">
        <f t="shared" si="15"/>
        <v>24.822939322572385</v>
      </c>
      <c r="X57" s="4">
        <f t="shared" si="16"/>
        <v>3.7517534701103519</v>
      </c>
      <c r="Y57" s="64">
        <f t="shared" si="17"/>
        <v>52.975155252119471</v>
      </c>
      <c r="AA57" s="45">
        <f t="shared" si="18"/>
        <v>57.33694331105864</v>
      </c>
      <c r="AB57" s="45"/>
    </row>
    <row r="58" spans="1:28" s="202" customFormat="1" x14ac:dyDescent="0.3">
      <c r="A58" s="1">
        <v>12</v>
      </c>
      <c r="B58" s="4">
        <v>27.197399999999998</v>
      </c>
      <c r="C58" s="4">
        <v>0</v>
      </c>
      <c r="D58" s="4">
        <v>72.802599999999998</v>
      </c>
      <c r="E58" s="4">
        <v>0</v>
      </c>
      <c r="G58" s="1">
        <v>12</v>
      </c>
      <c r="H58" s="82">
        <f t="shared" ref="H58" si="20">B58*$C$38/100</f>
        <v>240.01001986053689</v>
      </c>
      <c r="I58" s="4">
        <f t="shared" ref="I58" si="21">C58*$C$39/100</f>
        <v>0</v>
      </c>
      <c r="J58" s="82">
        <f t="shared" ref="J58" si="22">D58*$C$40/100</f>
        <v>149.5291900319221</v>
      </c>
      <c r="K58" s="4">
        <f t="shared" ref="K58" si="23">$C$41*E58/100</f>
        <v>0</v>
      </c>
      <c r="L58" s="61">
        <f t="shared" ref="L58" si="24">SUM(H58:K58)</f>
        <v>389.53920989245898</v>
      </c>
      <c r="N58" s="1">
        <v>12</v>
      </c>
      <c r="O58" s="4">
        <f t="shared" ref="O58" si="25">H58*$J$7*$M$7</f>
        <v>12.687303916578552</v>
      </c>
      <c r="P58" s="4">
        <f t="shared" ref="P58" si="26">I58*$J$13*$M$13</f>
        <v>0</v>
      </c>
      <c r="Q58" s="4">
        <f t="shared" ref="Q58" si="27">J58*$J$16*$M$16</f>
        <v>28.037854103811167</v>
      </c>
      <c r="R58" s="4">
        <f t="shared" ref="R58" si="28">K58*$J$19*$M$19</f>
        <v>0</v>
      </c>
      <c r="S58" s="88">
        <f t="shared" ref="S58" si="29">SUM(O58:R58)</f>
        <v>40.725158020389721</v>
      </c>
      <c r="T58" s="1">
        <v>12</v>
      </c>
      <c r="U58" s="63">
        <f t="shared" ref="U58" si="30">H58*$J$7</f>
        <v>14.407864874539937</v>
      </c>
      <c r="V58" s="4">
        <f t="shared" ref="V58" si="31">I58*$J$13</f>
        <v>0</v>
      </c>
      <c r="W58" s="4">
        <f t="shared" ref="W58" si="32">J58*$J$16</f>
        <v>38.567290377579525</v>
      </c>
      <c r="X58" s="4">
        <f t="shared" ref="X58" si="33">K58*$J$19</f>
        <v>0</v>
      </c>
      <c r="Y58" s="64">
        <f t="shared" ref="Y58" si="34">SUM(U58:X58)</f>
        <v>52.975155252119464</v>
      </c>
      <c r="AA58" s="45">
        <f t="shared" ref="AA58" si="35">S58+$F$35</f>
        <v>58.733977371201696</v>
      </c>
      <c r="AB58" s="45"/>
    </row>
    <row r="59" spans="1:28" x14ac:dyDescent="0.3">
      <c r="A59" s="1">
        <v>13</v>
      </c>
      <c r="B59" s="4">
        <v>0</v>
      </c>
      <c r="C59" s="4">
        <v>0</v>
      </c>
      <c r="D59" s="4">
        <v>0</v>
      </c>
      <c r="E59" s="4">
        <v>100</v>
      </c>
      <c r="F59" s="59"/>
      <c r="G59" s="1">
        <v>13</v>
      </c>
      <c r="H59" s="4">
        <f t="shared" si="7"/>
        <v>0</v>
      </c>
      <c r="I59" s="4">
        <f t="shared" si="19"/>
        <v>0</v>
      </c>
      <c r="J59" s="4">
        <f t="shared" si="8"/>
        <v>0</v>
      </c>
      <c r="K59" s="82">
        <f t="shared" si="9"/>
        <v>93.362222489784301</v>
      </c>
      <c r="L59" s="61">
        <f t="shared" si="10"/>
        <v>93.362222489784301</v>
      </c>
      <c r="N59" s="1">
        <v>13</v>
      </c>
      <c r="O59" s="4">
        <f t="shared" si="11"/>
        <v>0</v>
      </c>
      <c r="P59" s="4">
        <f t="shared" si="4"/>
        <v>0</v>
      </c>
      <c r="Q59" s="4">
        <f t="shared" si="5"/>
        <v>0</v>
      </c>
      <c r="R59" s="4">
        <f t="shared" si="6"/>
        <v>44.088437042204063</v>
      </c>
      <c r="S59" s="88">
        <f t="shared" si="12"/>
        <v>44.088437042204063</v>
      </c>
      <c r="T59" s="1">
        <v>13</v>
      </c>
      <c r="U59" s="4">
        <f t="shared" si="13"/>
        <v>0</v>
      </c>
      <c r="V59" s="4">
        <f t="shared" si="14"/>
        <v>0</v>
      </c>
      <c r="W59" s="4">
        <f t="shared" si="15"/>
        <v>0</v>
      </c>
      <c r="X59" s="4">
        <f t="shared" si="16"/>
        <v>52.975155252119457</v>
      </c>
      <c r="Y59" s="64">
        <f t="shared" si="17"/>
        <v>52.975155252119457</v>
      </c>
      <c r="AA59" s="45">
        <f t="shared" si="18"/>
        <v>62.097256393016039</v>
      </c>
      <c r="AB59" s="45"/>
    </row>
    <row r="60" spans="1:28" x14ac:dyDescent="0.3">
      <c r="A60" s="1">
        <v>14</v>
      </c>
      <c r="B60" s="4">
        <v>33.091999999999999</v>
      </c>
      <c r="C60" s="4">
        <v>33.281999999999996</v>
      </c>
      <c r="D60" s="4">
        <v>1.8381700000000001</v>
      </c>
      <c r="E60" s="4">
        <v>31.787800000000001</v>
      </c>
      <c r="F60" s="59"/>
      <c r="G60" s="1">
        <v>14</v>
      </c>
      <c r="H60" s="82">
        <f t="shared" si="7"/>
        <v>292.0283401069546</v>
      </c>
      <c r="I60" s="82">
        <f t="shared" si="19"/>
        <v>87.934973752488446</v>
      </c>
      <c r="J60" s="82">
        <f t="shared" si="8"/>
        <v>3.7754155928631432</v>
      </c>
      <c r="K60" s="82">
        <f t="shared" si="9"/>
        <v>29.677796560607657</v>
      </c>
      <c r="L60" s="61">
        <f t="shared" si="10"/>
        <v>413.41652601291383</v>
      </c>
      <c r="N60" s="1">
        <v>14</v>
      </c>
      <c r="O60" s="4">
        <f t="shared" si="11"/>
        <v>15.437073441116338</v>
      </c>
      <c r="P60" s="4">
        <f t="shared" si="4"/>
        <v>13.121855048344226</v>
      </c>
      <c r="Q60" s="4">
        <f t="shared" si="5"/>
        <v>0.70791897923978775</v>
      </c>
      <c r="R60" s="4">
        <f t="shared" si="6"/>
        <v>14.014744190101743</v>
      </c>
      <c r="S60" s="88">
        <f t="shared" si="12"/>
        <v>43.281591658802093</v>
      </c>
      <c r="T60" s="1">
        <v>14</v>
      </c>
      <c r="U60" s="4">
        <f t="shared" si="13"/>
        <v>17.530538376031373</v>
      </c>
      <c r="V60" s="4">
        <f t="shared" si="14"/>
        <v>17.6311911710104</v>
      </c>
      <c r="W60" s="4">
        <f t="shared" si="15"/>
        <v>0.97377341129788442</v>
      </c>
      <c r="X60" s="4">
        <f t="shared" si="16"/>
        <v>16.839636401233228</v>
      </c>
      <c r="Y60" s="64">
        <f t="shared" si="17"/>
        <v>52.975139359572886</v>
      </c>
      <c r="AA60" s="137">
        <f t="shared" si="18"/>
        <v>61.290411009614068</v>
      </c>
      <c r="AB60" s="45"/>
    </row>
    <row r="61" spans="1:28" x14ac:dyDescent="0.3">
      <c r="A61" s="1">
        <v>15</v>
      </c>
      <c r="B61" s="4">
        <v>6.4521899999999999</v>
      </c>
      <c r="C61" s="4">
        <v>47.085299999999997</v>
      </c>
      <c r="D61" s="4">
        <v>0</v>
      </c>
      <c r="E61" s="4">
        <v>46.462499999999999</v>
      </c>
      <c r="F61" s="59"/>
      <c r="G61" s="1">
        <v>15</v>
      </c>
      <c r="H61" s="82">
        <f t="shared" si="7"/>
        <v>56.938907764858321</v>
      </c>
      <c r="I61" s="82">
        <f t="shared" si="19"/>
        <v>124.40492216898156</v>
      </c>
      <c r="J61" s="4">
        <f t="shared" si="8"/>
        <v>0</v>
      </c>
      <c r="K61" s="82">
        <f t="shared" si="9"/>
        <v>43.378422624316038</v>
      </c>
      <c r="L61" s="61">
        <f t="shared" si="10"/>
        <v>224.72225255815593</v>
      </c>
      <c r="N61" s="1">
        <v>15</v>
      </c>
      <c r="O61" s="4">
        <f t="shared" si="11"/>
        <v>3.009879453826799</v>
      </c>
      <c r="P61" s="4">
        <f t="shared" si="4"/>
        <v>18.563982979021766</v>
      </c>
      <c r="Q61" s="4">
        <f t="shared" si="5"/>
        <v>0</v>
      </c>
      <c r="R61" s="4">
        <f t="shared" si="6"/>
        <v>20.484590060734064</v>
      </c>
      <c r="S61" s="88">
        <f t="shared" si="12"/>
        <v>42.058452493582628</v>
      </c>
      <c r="T61" s="1">
        <v>15</v>
      </c>
      <c r="U61" s="4">
        <f t="shared" si="13"/>
        <v>3.4180576696617271</v>
      </c>
      <c r="V61" s="4">
        <f t="shared" si="14"/>
        <v>24.943510775926207</v>
      </c>
      <c r="W61" s="4">
        <f t="shared" si="15"/>
        <v>0</v>
      </c>
      <c r="X61" s="4">
        <f t="shared" si="16"/>
        <v>24.613581509016004</v>
      </c>
      <c r="Y61" s="64">
        <f t="shared" si="17"/>
        <v>52.975149954603935</v>
      </c>
      <c r="AA61" s="45">
        <f t="shared" si="18"/>
        <v>60.067271844394604</v>
      </c>
      <c r="AB61" s="45"/>
    </row>
    <row r="62" spans="1:28" x14ac:dyDescent="0.3">
      <c r="A62" s="1">
        <v>16</v>
      </c>
      <c r="B62" s="4">
        <v>0</v>
      </c>
      <c r="C62" s="4">
        <v>72.6785</v>
      </c>
      <c r="D62" s="4">
        <v>0</v>
      </c>
      <c r="E62" s="4">
        <v>27.3215</v>
      </c>
      <c r="F62" s="59"/>
      <c r="G62" s="1">
        <v>16</v>
      </c>
      <c r="H62" s="4">
        <f t="shared" si="7"/>
        <v>0</v>
      </c>
      <c r="I62" s="82">
        <f>C62*$C$39/100</f>
        <v>192.0251784709522</v>
      </c>
      <c r="J62" s="4">
        <f t="shared" si="8"/>
        <v>0</v>
      </c>
      <c r="K62" s="82">
        <f t="shared" si="9"/>
        <v>25.507959617546422</v>
      </c>
      <c r="L62" s="61">
        <f t="shared" si="10"/>
        <v>217.53313808849862</v>
      </c>
      <c r="N62" s="1">
        <v>16</v>
      </c>
      <c r="O62" s="4">
        <f t="shared" si="11"/>
        <v>0</v>
      </c>
      <c r="P62" s="4">
        <f t="shared" si="4"/>
        <v>28.654430086265425</v>
      </c>
      <c r="Q62" s="4">
        <f t="shared" si="5"/>
        <v>0</v>
      </c>
      <c r="R62" s="4">
        <f t="shared" si="6"/>
        <v>12.045622326485784</v>
      </c>
      <c r="S62" s="88">
        <f t="shared" si="12"/>
        <v>40.700052412751205</v>
      </c>
      <c r="T62" s="62">
        <v>16</v>
      </c>
      <c r="U62" s="63">
        <f t="shared" si="13"/>
        <v>0</v>
      </c>
      <c r="V62" s="4">
        <f t="shared" si="14"/>
        <v>38.501548209911647</v>
      </c>
      <c r="W62" s="4">
        <f t="shared" si="15"/>
        <v>0</v>
      </c>
      <c r="X62" s="4">
        <f t="shared" si="16"/>
        <v>14.473607042207819</v>
      </c>
      <c r="Y62" s="64">
        <f t="shared" si="17"/>
        <v>52.975155252119464</v>
      </c>
      <c r="AA62" s="45">
        <f t="shared" si="18"/>
        <v>58.708871763563181</v>
      </c>
      <c r="AB62" s="45"/>
    </row>
    <row r="63" spans="1:28" x14ac:dyDescent="0.3">
      <c r="A63" s="1">
        <v>17</v>
      </c>
      <c r="B63" s="4">
        <v>47.869199999999999</v>
      </c>
      <c r="C63" s="4">
        <v>4.8092300000000003</v>
      </c>
      <c r="D63" s="4">
        <v>0</v>
      </c>
      <c r="E63" s="4">
        <v>47.321599999999997</v>
      </c>
      <c r="F63" s="59"/>
      <c r="G63" s="1">
        <v>17</v>
      </c>
      <c r="H63" s="52">
        <f t="shared" si="7"/>
        <v>422.43330769514779</v>
      </c>
      <c r="I63" s="4">
        <f t="shared" si="19"/>
        <v>12.706553506991167</v>
      </c>
      <c r="J63" s="4">
        <f t="shared" si="8"/>
        <v>0</v>
      </c>
      <c r="K63" s="4">
        <f>$C$41*E63/100</f>
        <v>44.180497477725773</v>
      </c>
      <c r="L63" s="61">
        <f t="shared" si="10"/>
        <v>479.32035867986474</v>
      </c>
      <c r="N63" s="1">
        <v>17</v>
      </c>
      <c r="O63" s="4">
        <f t="shared" si="11"/>
        <v>22.330483378686274</v>
      </c>
      <c r="P63" s="4">
        <f t="shared" si="4"/>
        <v>1.8961005634922332</v>
      </c>
      <c r="Q63" s="4">
        <f t="shared" si="5"/>
        <v>0</v>
      </c>
      <c r="R63" s="4">
        <f t="shared" si="6"/>
        <v>20.863353823363639</v>
      </c>
      <c r="S63" s="88">
        <f t="shared" si="12"/>
        <v>45.089937765542146</v>
      </c>
      <c r="T63" s="1">
        <v>17</v>
      </c>
      <c r="U63" s="63">
        <f t="shared" si="13"/>
        <v>25.35878301794757</v>
      </c>
      <c r="V63" s="4">
        <f t="shared" si="14"/>
        <v>2.5476970589315049</v>
      </c>
      <c r="W63" s="4">
        <f t="shared" si="15"/>
        <v>0</v>
      </c>
      <c r="X63" s="4">
        <f t="shared" si="16"/>
        <v>25.068691067786961</v>
      </c>
      <c r="Y63" s="64">
        <f t="shared" si="17"/>
        <v>52.975171144666035</v>
      </c>
      <c r="AA63" s="45">
        <f t="shared" si="18"/>
        <v>63.098757116354122</v>
      </c>
      <c r="AB63" s="45"/>
    </row>
    <row r="64" spans="1:28" x14ac:dyDescent="0.3">
      <c r="A64" s="1">
        <v>18</v>
      </c>
      <c r="B64" s="4">
        <v>2.0130699999999999</v>
      </c>
      <c r="C64" s="4">
        <v>31.355499999999999</v>
      </c>
      <c r="D64" s="4">
        <v>33.126300000000001</v>
      </c>
      <c r="E64" s="4">
        <v>33.505099999999999</v>
      </c>
      <c r="F64" s="45"/>
      <c r="G64" s="1">
        <v>18</v>
      </c>
      <c r="H64" s="82">
        <f t="shared" si="7"/>
        <v>17.764822030070928</v>
      </c>
      <c r="I64" s="82">
        <f t="shared" si="19"/>
        <v>82.844933282139024</v>
      </c>
      <c r="J64" s="82">
        <f t="shared" si="8"/>
        <v>68.038075669748892</v>
      </c>
      <c r="K64" s="82">
        <f t="shared" si="9"/>
        <v>31.281106007424725</v>
      </c>
      <c r="L64" s="61">
        <f t="shared" si="10"/>
        <v>199.9289369893836</v>
      </c>
      <c r="N64" s="1">
        <v>18</v>
      </c>
      <c r="O64" s="4">
        <f t="shared" si="11"/>
        <v>0.93907619461223457</v>
      </c>
      <c r="P64" s="4">
        <f t="shared" si="4"/>
        <v>12.362307732959477</v>
      </c>
      <c r="Q64" s="4">
        <f t="shared" si="5"/>
        <v>12.757653798065999</v>
      </c>
      <c r="R64" s="4">
        <f t="shared" si="6"/>
        <v>14.771874919427516</v>
      </c>
      <c r="S64" s="88">
        <f t="shared" si="12"/>
        <v>40.830912645065226</v>
      </c>
      <c r="T64" s="1">
        <v>18</v>
      </c>
      <c r="U64" s="63">
        <f t="shared" si="13"/>
        <v>1.0664269578338412</v>
      </c>
      <c r="V64" s="4">
        <f t="shared" si="14"/>
        <v>16.610624805078317</v>
      </c>
      <c r="W64" s="4">
        <f t="shared" si="15"/>
        <v>17.548708854282847</v>
      </c>
      <c r="X64" s="4">
        <f t="shared" si="16"/>
        <v>17.749378742377878</v>
      </c>
      <c r="Y64" s="64">
        <f t="shared" si="17"/>
        <v>52.975139359572886</v>
      </c>
      <c r="AA64" s="45">
        <f t="shared" si="18"/>
        <v>58.839731995877202</v>
      </c>
      <c r="AB64" s="45"/>
    </row>
    <row r="65" spans="1:28" x14ac:dyDescent="0.3">
      <c r="A65" s="1">
        <v>19</v>
      </c>
      <c r="B65" s="4">
        <v>32.387099999999997</v>
      </c>
      <c r="C65" s="4">
        <v>32.2241</v>
      </c>
      <c r="D65" s="4">
        <v>33.130400000000002</v>
      </c>
      <c r="E65" s="4">
        <v>2.2583199999999999</v>
      </c>
      <c r="F65" s="59"/>
      <c r="G65" s="1">
        <v>19</v>
      </c>
      <c r="H65" s="82">
        <f>B65*$C$38/100</f>
        <v>285.80777994312672</v>
      </c>
      <c r="I65" s="82">
        <f t="shared" si="19"/>
        <v>85.139877041570912</v>
      </c>
      <c r="J65" s="82">
        <f t="shared" si="8"/>
        <v>68.046496655800652</v>
      </c>
      <c r="K65" s="82">
        <f t="shared" si="9"/>
        <v>2.1084177429312971</v>
      </c>
      <c r="L65" s="61">
        <f t="shared" si="10"/>
        <v>441.10257138342956</v>
      </c>
      <c r="N65" s="1">
        <v>19</v>
      </c>
      <c r="O65" s="4">
        <f t="shared" si="11"/>
        <v>15.108244930641211</v>
      </c>
      <c r="P65" s="4">
        <f t="shared" si="4"/>
        <v>12.704764415099731</v>
      </c>
      <c r="Q65" s="4">
        <f t="shared" si="5"/>
        <v>12.759232796643328</v>
      </c>
      <c r="R65" s="4">
        <f t="shared" si="6"/>
        <v>0.99565799141150291</v>
      </c>
      <c r="S65" s="88">
        <f t="shared" si="12"/>
        <v>41.567900133795774</v>
      </c>
      <c r="T65" s="1">
        <v>19</v>
      </c>
      <c r="U65" s="63">
        <f t="shared" si="13"/>
        <v>17.157116506659182</v>
      </c>
      <c r="V65" s="4">
        <f t="shared" si="14"/>
        <v>17.070767003598231</v>
      </c>
      <c r="W65" s="4">
        <f t="shared" si="15"/>
        <v>17.55088083564819</v>
      </c>
      <c r="X65" s="4">
        <f t="shared" si="16"/>
        <v>1.1963485260896642</v>
      </c>
      <c r="Y65" s="64">
        <f t="shared" si="17"/>
        <v>52.975112871995265</v>
      </c>
      <c r="AA65" s="45">
        <f t="shared" si="18"/>
        <v>59.57671948460775</v>
      </c>
      <c r="AB65" s="45"/>
    </row>
    <row r="66" spans="1:28" x14ac:dyDescent="0.3">
      <c r="A66" s="1">
        <v>20</v>
      </c>
      <c r="B66" s="4">
        <v>0</v>
      </c>
      <c r="C66" s="4">
        <v>0</v>
      </c>
      <c r="D66" s="4">
        <v>27.988800000000001</v>
      </c>
      <c r="E66" s="4">
        <v>72.011200000000002</v>
      </c>
      <c r="F66" s="59"/>
      <c r="G66" s="1">
        <v>20</v>
      </c>
      <c r="H66" s="4">
        <f>B66*$C$38/100</f>
        <v>0</v>
      </c>
      <c r="I66" s="4">
        <f t="shared" si="19"/>
        <v>0</v>
      </c>
      <c r="J66" s="82">
        <f t="shared" si="8"/>
        <v>57.486169367103123</v>
      </c>
      <c r="K66" s="82">
        <f t="shared" si="9"/>
        <v>67.231256761563557</v>
      </c>
      <c r="L66" s="61">
        <f t="shared" si="10"/>
        <v>124.71742612866669</v>
      </c>
      <c r="N66" s="1">
        <v>20</v>
      </c>
      <c r="O66" s="4">
        <f t="shared" si="11"/>
        <v>0</v>
      </c>
      <c r="P66" s="4">
        <f t="shared" si="4"/>
        <v>0</v>
      </c>
      <c r="Q66" s="4">
        <f t="shared" si="5"/>
        <v>10.779091556355818</v>
      </c>
      <c r="R66" s="4">
        <f t="shared" si="6"/>
        <v>31.748612575335653</v>
      </c>
      <c r="S66" s="88">
        <f t="shared" si="12"/>
        <v>42.527704131691472</v>
      </c>
      <c r="T66" s="1">
        <v>20</v>
      </c>
      <c r="U66" s="63">
        <f t="shared" si="13"/>
        <v>0</v>
      </c>
      <c r="V66" s="4">
        <f t="shared" si="14"/>
        <v>0</v>
      </c>
      <c r="W66" s="4">
        <f t="shared" si="15"/>
        <v>14.827110253205214</v>
      </c>
      <c r="X66" s="4">
        <f t="shared" si="16"/>
        <v>38.148044998914244</v>
      </c>
      <c r="Y66" s="64">
        <f t="shared" si="17"/>
        <v>52.975155252119457</v>
      </c>
      <c r="AA66" s="45">
        <f t="shared" si="18"/>
        <v>60.536523482503448</v>
      </c>
      <c r="AB66" s="45"/>
    </row>
    <row r="67" spans="1:28" s="202" customFormat="1" x14ac:dyDescent="0.3">
      <c r="A67" s="1">
        <v>21</v>
      </c>
      <c r="B67" s="4">
        <v>71.935299999999998</v>
      </c>
      <c r="C67" s="4">
        <v>0</v>
      </c>
      <c r="D67" s="4">
        <v>28.064699999999998</v>
      </c>
      <c r="E67" s="4">
        <v>0</v>
      </c>
      <c r="G67" s="1">
        <v>21</v>
      </c>
      <c r="H67" s="4">
        <f>B67*$C$38/100</f>
        <v>634.81041502767471</v>
      </c>
      <c r="I67" s="4">
        <f t="shared" si="19"/>
        <v>0</v>
      </c>
      <c r="J67" s="82">
        <f t="shared" si="8"/>
        <v>57.642060304012276</v>
      </c>
      <c r="K67" s="82">
        <f t="shared" si="9"/>
        <v>0</v>
      </c>
      <c r="L67" s="61">
        <f t="shared" si="10"/>
        <v>692.45247533168697</v>
      </c>
      <c r="N67" s="1">
        <v>21</v>
      </c>
      <c r="O67" s="4">
        <f t="shared" si="11"/>
        <v>33.557068448831622</v>
      </c>
      <c r="P67" s="4">
        <f t="shared" si="4"/>
        <v>0</v>
      </c>
      <c r="Q67" s="4">
        <f t="shared" si="5"/>
        <v>10.808322286116557</v>
      </c>
      <c r="R67" s="4">
        <f t="shared" si="6"/>
        <v>0</v>
      </c>
      <c r="S67" s="88">
        <f t="shared" si="12"/>
        <v>44.365390734948178</v>
      </c>
      <c r="T67" s="1">
        <v>21</v>
      </c>
      <c r="U67" s="63">
        <f t="shared" si="13"/>
        <v>38.107836856077888</v>
      </c>
      <c r="V67" s="4">
        <f t="shared" si="14"/>
        <v>0</v>
      </c>
      <c r="W67" s="4">
        <f t="shared" si="15"/>
        <v>14.86731839604157</v>
      </c>
      <c r="X67" s="4">
        <f t="shared" si="16"/>
        <v>0</v>
      </c>
      <c r="Y67" s="64">
        <f t="shared" si="17"/>
        <v>52.975155252119457</v>
      </c>
      <c r="AA67" s="45">
        <f t="shared" si="18"/>
        <v>62.374210085760154</v>
      </c>
    </row>
    <row r="68" spans="1:28" x14ac:dyDescent="0.3">
      <c r="A68" s="1">
        <v>22</v>
      </c>
      <c r="B68" s="4">
        <v>5.5069600000000003</v>
      </c>
      <c r="C68" s="4">
        <v>2.4822700000000002</v>
      </c>
      <c r="D68" s="4">
        <v>47.348799999999997</v>
      </c>
      <c r="E68" s="4">
        <v>44.661900000000003</v>
      </c>
      <c r="F68" s="59"/>
      <c r="G68" s="1">
        <v>22</v>
      </c>
      <c r="H68" s="82">
        <f t="shared" si="7"/>
        <v>48.59749751708555</v>
      </c>
      <c r="I68" s="82">
        <f t="shared" si="19"/>
        <v>6.5584504325638342</v>
      </c>
      <c r="J68" s="82">
        <f t="shared" si="8"/>
        <v>97.249654723642749</v>
      </c>
      <c r="K68" s="82">
        <f t="shared" si="9"/>
        <v>41.697342446164981</v>
      </c>
      <c r="L68" s="61">
        <f t="shared" si="10"/>
        <v>194.10294511945713</v>
      </c>
      <c r="N68" s="1">
        <v>22</v>
      </c>
      <c r="O68" s="4">
        <f t="shared" si="11"/>
        <v>2.5689395007037965</v>
      </c>
      <c r="P68" s="4">
        <f t="shared" si="4"/>
        <v>0.9786667607371381</v>
      </c>
      <c r="Q68" s="4">
        <f t="shared" si="5"/>
        <v>18.235045814167822</v>
      </c>
      <c r="R68" s="4">
        <f t="shared" si="6"/>
        <v>19.690733663352137</v>
      </c>
      <c r="S68" s="88">
        <f t="shared" si="12"/>
        <v>41.4733857389609</v>
      </c>
      <c r="T68" s="1">
        <v>22</v>
      </c>
      <c r="U68" s="63">
        <f t="shared" si="13"/>
        <v>2.9173206096721183</v>
      </c>
      <c r="V68" s="4">
        <f t="shared" si="14"/>
        <v>1.3149863862767861</v>
      </c>
      <c r="W68" s="4">
        <f t="shared" si="15"/>
        <v>25.083100310015542</v>
      </c>
      <c r="X68" s="4">
        <f t="shared" si="16"/>
        <v>23.659710863546341</v>
      </c>
      <c r="Y68" s="64">
        <f t="shared" si="17"/>
        <v>52.975118169510786</v>
      </c>
      <c r="AA68" s="45">
        <f t="shared" si="18"/>
        <v>59.482205089772876</v>
      </c>
      <c r="AB68" s="45"/>
    </row>
    <row r="69" spans="1:28" x14ac:dyDescent="0.3">
      <c r="A69" s="1">
        <v>28</v>
      </c>
      <c r="B69" s="4">
        <v>26.569099999999999</v>
      </c>
      <c r="C69" s="4">
        <v>0</v>
      </c>
      <c r="D69" s="4">
        <v>0</v>
      </c>
      <c r="E69" s="4">
        <v>73.430899999999994</v>
      </c>
      <c r="F69" s="59"/>
      <c r="G69" s="1">
        <v>28</v>
      </c>
      <c r="H69" s="82">
        <f t="shared" si="7"/>
        <v>234.4654348826208</v>
      </c>
      <c r="I69" s="4">
        <f t="shared" si="19"/>
        <v>0</v>
      </c>
      <c r="J69" s="4">
        <f t="shared" si="8"/>
        <v>0</v>
      </c>
      <c r="K69" s="82">
        <f t="shared" si="9"/>
        <v>68.556720234251031</v>
      </c>
      <c r="L69" s="61">
        <f t="shared" si="10"/>
        <v>303.02215511687183</v>
      </c>
      <c r="N69" s="1">
        <v>28</v>
      </c>
      <c r="O69" s="4">
        <f t="shared" si="11"/>
        <v>12.394208508532699</v>
      </c>
      <c r="P69" s="4">
        <f t="shared" si="4"/>
        <v>0</v>
      </c>
      <c r="Q69" s="4">
        <f t="shared" si="5"/>
        <v>0</v>
      </c>
      <c r="R69" s="4">
        <f t="shared" si="6"/>
        <v>32.374536116023826</v>
      </c>
      <c r="S69" s="88">
        <f t="shared" si="12"/>
        <v>44.768744624556525</v>
      </c>
      <c r="T69" s="1">
        <v>28</v>
      </c>
      <c r="U69" s="63">
        <f t="shared" si="13"/>
        <v>14.075021974090872</v>
      </c>
      <c r="V69" s="4">
        <f t="shared" si="14"/>
        <v>0</v>
      </c>
      <c r="W69" s="4">
        <f t="shared" si="15"/>
        <v>0</v>
      </c>
      <c r="X69" s="4">
        <f t="shared" si="16"/>
        <v>38.900133278028591</v>
      </c>
      <c r="Y69" s="64">
        <f t="shared" si="17"/>
        <v>52.975155252119464</v>
      </c>
      <c r="AA69" s="45">
        <f t="shared" si="18"/>
        <v>62.777563975368501</v>
      </c>
      <c r="AB69" s="45"/>
    </row>
    <row r="70" spans="1:28" x14ac:dyDescent="0.3">
      <c r="A70" s="59"/>
      <c r="L70" s="59"/>
    </row>
    <row r="71" spans="1:28" x14ac:dyDescent="0.3">
      <c r="A71" s="59"/>
      <c r="G71" s="1" t="s">
        <v>34</v>
      </c>
      <c r="H71" s="64">
        <f>SUM(H47:H69)</f>
        <v>5932.3122070058735</v>
      </c>
      <c r="I71" s="64">
        <f>SUM(I47:I69)</f>
        <v>1425.5138542173536</v>
      </c>
      <c r="J71" s="64">
        <f>SUM(J47:J69)</f>
        <v>898.78923782774871</v>
      </c>
      <c r="K71" s="64">
        <f>SUM(K47:K69)</f>
        <v>607.44005138794296</v>
      </c>
      <c r="L71" s="65"/>
    </row>
    <row r="72" spans="1:28" x14ac:dyDescent="0.3">
      <c r="A72" s="59"/>
      <c r="L72" s="59"/>
    </row>
    <row r="73" spans="1:28" x14ac:dyDescent="0.3">
      <c r="A73" s="59"/>
      <c r="L73" s="59"/>
    </row>
    <row r="74" spans="1:28" x14ac:dyDescent="0.3">
      <c r="A74" s="59"/>
    </row>
    <row r="75" spans="1:28" x14ac:dyDescent="0.3">
      <c r="A75" s="59"/>
    </row>
  </sheetData>
  <mergeCells count="12339">
    <mergeCell ref="A22:A23"/>
    <mergeCell ref="G22:G24"/>
    <mergeCell ref="H22:H24"/>
    <mergeCell ref="J22:J24"/>
    <mergeCell ref="K22:K24"/>
    <mergeCell ref="M22:M24"/>
    <mergeCell ref="N22:N24"/>
    <mergeCell ref="RBV46:RBV48"/>
    <mergeCell ref="RBW46:RBW48"/>
    <mergeCell ref="RBX46:RBX48"/>
    <mergeCell ref="RBY46:RBY48"/>
    <mergeCell ref="RBZ46:RBZ48"/>
    <mergeCell ref="RCA46:RCA48"/>
    <mergeCell ref="RBP46:RBP48"/>
    <mergeCell ref="RBQ46:RBQ48"/>
    <mergeCell ref="RBR46:RBR48"/>
    <mergeCell ref="RBS46:RBS48"/>
    <mergeCell ref="RBT46:RBT48"/>
    <mergeCell ref="RBU46:RBU48"/>
    <mergeCell ref="RBJ46:RBJ48"/>
    <mergeCell ref="RBK46:RBK48"/>
    <mergeCell ref="RBL46:RBL48"/>
    <mergeCell ref="RBM46:RBM48"/>
    <mergeCell ref="RBN46:RBN48"/>
    <mergeCell ref="RBO46:RBO48"/>
    <mergeCell ref="RBD46:RBD48"/>
    <mergeCell ref="RBE46:RBE48"/>
    <mergeCell ref="RBF46:RBF48"/>
    <mergeCell ref="RBG46:RBG48"/>
    <mergeCell ref="RBH46:RBH48"/>
    <mergeCell ref="RBI46:RBI48"/>
    <mergeCell ref="RAX46:RAX48"/>
    <mergeCell ref="RAY46:RAY48"/>
    <mergeCell ref="RAZ46:RAZ48"/>
    <mergeCell ref="RBA46:RBA48"/>
    <mergeCell ref="RBB46:RBB48"/>
    <mergeCell ref="RBC46:RBC48"/>
    <mergeCell ref="RAR46:RAR48"/>
    <mergeCell ref="RAS46:RAS48"/>
    <mergeCell ref="RAT46:RAT48"/>
    <mergeCell ref="RAU46:RAU48"/>
    <mergeCell ref="RAV46:RAV48"/>
    <mergeCell ref="RAW46:RAW48"/>
    <mergeCell ref="RAL46:RAL48"/>
    <mergeCell ref="RAM46:RAM48"/>
    <mergeCell ref="RAN46:RAN48"/>
    <mergeCell ref="RAO46:RAO48"/>
    <mergeCell ref="RAP46:RAP48"/>
    <mergeCell ref="RAQ46:RAQ48"/>
    <mergeCell ref="RAF46:RAF48"/>
    <mergeCell ref="RAG46:RAG48"/>
    <mergeCell ref="RAH46:RAH48"/>
    <mergeCell ref="RAI46:RAI48"/>
    <mergeCell ref="RAJ46:RAJ48"/>
    <mergeCell ref="RAK46:RAK48"/>
    <mergeCell ref="QZZ46:QZZ48"/>
    <mergeCell ref="RAA46:RAA48"/>
    <mergeCell ref="RAB46:RAB48"/>
    <mergeCell ref="RAC46:RAC48"/>
    <mergeCell ref="RAD46:RAD48"/>
    <mergeCell ref="RAE46:RAE48"/>
    <mergeCell ref="QZT46:QZT48"/>
    <mergeCell ref="QZU46:QZU48"/>
    <mergeCell ref="QZV46:QZV48"/>
    <mergeCell ref="RDF46:RDF48"/>
    <mergeCell ref="RDG46:RDG48"/>
    <mergeCell ref="RDH46:RDH48"/>
    <mergeCell ref="RDI46:RDI48"/>
    <mergeCell ref="RCZ46:RCZ48"/>
    <mergeCell ref="RDA46:RDA48"/>
    <mergeCell ref="RDB46:RDB48"/>
    <mergeCell ref="RDC46:RDC48"/>
    <mergeCell ref="RDD46:RDD48"/>
    <mergeCell ref="RDE46:RDE48"/>
    <mergeCell ref="RCT46:RCT48"/>
    <mergeCell ref="RCU46:RCU48"/>
    <mergeCell ref="RCV46:RCV48"/>
    <mergeCell ref="RCW46:RCW48"/>
    <mergeCell ref="RCX46:RCX48"/>
    <mergeCell ref="RCY46:RCY48"/>
    <mergeCell ref="RCN46:RCN48"/>
    <mergeCell ref="RCO46:RCO48"/>
    <mergeCell ref="RCP46:RCP48"/>
    <mergeCell ref="RCQ46:RCQ48"/>
    <mergeCell ref="RCR46:RCR48"/>
    <mergeCell ref="RCS46:RCS48"/>
    <mergeCell ref="RCH46:RCH48"/>
    <mergeCell ref="RCI46:RCI48"/>
    <mergeCell ref="RCJ46:RCJ48"/>
    <mergeCell ref="RCK46:RCK48"/>
    <mergeCell ref="RCL46:RCL48"/>
    <mergeCell ref="RCM46:RCM48"/>
    <mergeCell ref="RCB46:RCB48"/>
    <mergeCell ref="RCC46:RCC48"/>
    <mergeCell ref="RCD46:RCD48"/>
    <mergeCell ref="RCE46:RCE48"/>
    <mergeCell ref="RCF46:RCF48"/>
    <mergeCell ref="RCG46:RCG48"/>
    <mergeCell ref="QZW46:QZW48"/>
    <mergeCell ref="QZX46:QZX48"/>
    <mergeCell ref="QZY46:QZY48"/>
    <mergeCell ref="QZN46:QZN48"/>
    <mergeCell ref="QZO46:QZO48"/>
    <mergeCell ref="QZP46:QZP48"/>
    <mergeCell ref="QZQ46:QZQ48"/>
    <mergeCell ref="QZR46:QZR48"/>
    <mergeCell ref="QZS46:QZS48"/>
    <mergeCell ref="QZH46:QZH48"/>
    <mergeCell ref="QZI46:QZI48"/>
    <mergeCell ref="QZJ46:QZJ48"/>
    <mergeCell ref="QZK46:QZK48"/>
    <mergeCell ref="QZL46:QZL48"/>
    <mergeCell ref="QZM46:QZM48"/>
    <mergeCell ref="QZB46:QZB48"/>
    <mergeCell ref="QZC46:QZC48"/>
    <mergeCell ref="QZD46:QZD48"/>
    <mergeCell ref="QZE46:QZE48"/>
    <mergeCell ref="QZF46:QZF48"/>
    <mergeCell ref="QZG46:QZG48"/>
    <mergeCell ref="QYV46:QYV48"/>
    <mergeCell ref="QYW46:QYW48"/>
    <mergeCell ref="QYX46:QYX48"/>
    <mergeCell ref="QYY46:QYY48"/>
    <mergeCell ref="QYZ46:QYZ48"/>
    <mergeCell ref="QZA46:QZA48"/>
    <mergeCell ref="QYP46:QYP48"/>
    <mergeCell ref="QYQ46:QYQ48"/>
    <mergeCell ref="QYR46:QYR48"/>
    <mergeCell ref="QYS46:QYS48"/>
    <mergeCell ref="QYT46:QYT48"/>
    <mergeCell ref="QYU46:QYU48"/>
    <mergeCell ref="QYJ46:QYJ48"/>
    <mergeCell ref="QYK46:QYK48"/>
    <mergeCell ref="QYL46:QYL48"/>
    <mergeCell ref="QYM46:QYM48"/>
    <mergeCell ref="QYN46:QYN48"/>
    <mergeCell ref="QYO46:QYO48"/>
    <mergeCell ref="QYD46:QYD48"/>
    <mergeCell ref="QYE46:QYE48"/>
    <mergeCell ref="QYF46:QYF48"/>
    <mergeCell ref="QYG46:QYG48"/>
    <mergeCell ref="QYH46:QYH48"/>
    <mergeCell ref="QYI46:QYI48"/>
    <mergeCell ref="QXX46:QXX48"/>
    <mergeCell ref="QXY46:QXY48"/>
    <mergeCell ref="QXZ46:QXZ48"/>
    <mergeCell ref="QYA46:QYA48"/>
    <mergeCell ref="QYB46:QYB48"/>
    <mergeCell ref="QYC46:QYC48"/>
    <mergeCell ref="QXR46:QXR48"/>
    <mergeCell ref="QXS46:QXS48"/>
    <mergeCell ref="QXT46:QXT48"/>
    <mergeCell ref="QXU46:QXU48"/>
    <mergeCell ref="QXV46:QXV48"/>
    <mergeCell ref="QXW46:QXW48"/>
    <mergeCell ref="QXL46:QXL48"/>
    <mergeCell ref="QXM46:QXM48"/>
    <mergeCell ref="QXN46:QXN48"/>
    <mergeCell ref="QXO46:QXO48"/>
    <mergeCell ref="QXP46:QXP48"/>
    <mergeCell ref="QXQ46:QXQ48"/>
    <mergeCell ref="QXF46:QXF48"/>
    <mergeCell ref="QXG46:QXG48"/>
    <mergeCell ref="QXH46:QXH48"/>
    <mergeCell ref="QXI46:QXI48"/>
    <mergeCell ref="QXJ46:QXJ48"/>
    <mergeCell ref="QXK46:QXK48"/>
    <mergeCell ref="QWZ46:QWZ48"/>
    <mergeCell ref="QXA46:QXA48"/>
    <mergeCell ref="QXB46:QXB48"/>
    <mergeCell ref="QXC46:QXC48"/>
    <mergeCell ref="QXD46:QXD48"/>
    <mergeCell ref="QXE46:QXE48"/>
    <mergeCell ref="QWT46:QWT48"/>
    <mergeCell ref="QWU46:QWU48"/>
    <mergeCell ref="QWV46:QWV48"/>
    <mergeCell ref="QWW46:QWW48"/>
    <mergeCell ref="QWX46:QWX48"/>
    <mergeCell ref="QWY46:QWY48"/>
    <mergeCell ref="QWN46:QWN48"/>
    <mergeCell ref="QWO46:QWO48"/>
    <mergeCell ref="QWP46:QWP48"/>
    <mergeCell ref="QWQ46:QWQ48"/>
    <mergeCell ref="QWR46:QWR48"/>
    <mergeCell ref="QWS46:QWS48"/>
    <mergeCell ref="QWH46:QWH48"/>
    <mergeCell ref="QWI46:QWI48"/>
    <mergeCell ref="QWJ46:QWJ48"/>
    <mergeCell ref="QWK46:QWK48"/>
    <mergeCell ref="QWL46:QWL48"/>
    <mergeCell ref="QWM46:QWM48"/>
    <mergeCell ref="QWB46:QWB48"/>
    <mergeCell ref="QWC46:QWC48"/>
    <mergeCell ref="QWD46:QWD48"/>
    <mergeCell ref="QWE46:QWE48"/>
    <mergeCell ref="QWF46:QWF48"/>
    <mergeCell ref="QWG46:QWG48"/>
    <mergeCell ref="QVV46:QVV48"/>
    <mergeCell ref="QVW46:QVW48"/>
    <mergeCell ref="QVX46:QVX48"/>
    <mergeCell ref="QVY46:QVY48"/>
    <mergeCell ref="QVZ46:QVZ48"/>
    <mergeCell ref="QWA46:QWA48"/>
    <mergeCell ref="QVP46:QVP48"/>
    <mergeCell ref="QVQ46:QVQ48"/>
    <mergeCell ref="QVR46:QVR48"/>
    <mergeCell ref="QVS46:QVS48"/>
    <mergeCell ref="QVT46:QVT48"/>
    <mergeCell ref="QVU46:QVU48"/>
    <mergeCell ref="QVJ46:QVJ48"/>
    <mergeCell ref="QVK46:QVK48"/>
    <mergeCell ref="QVL46:QVL48"/>
    <mergeCell ref="QVM46:QVM48"/>
    <mergeCell ref="QVN46:QVN48"/>
    <mergeCell ref="QVO46:QVO48"/>
    <mergeCell ref="QVD46:QVD48"/>
    <mergeCell ref="QVE46:QVE48"/>
    <mergeCell ref="QVF46:QVF48"/>
    <mergeCell ref="QVG46:QVG48"/>
    <mergeCell ref="QVH46:QVH48"/>
    <mergeCell ref="QVI46:QVI48"/>
    <mergeCell ref="QUX46:QUX48"/>
    <mergeCell ref="QUY46:QUY48"/>
    <mergeCell ref="QUZ46:QUZ48"/>
    <mergeCell ref="QVA46:QVA48"/>
    <mergeCell ref="QVB46:QVB48"/>
    <mergeCell ref="QVC46:QVC48"/>
    <mergeCell ref="QUR46:QUR48"/>
    <mergeCell ref="QUS46:QUS48"/>
    <mergeCell ref="QUT46:QUT48"/>
    <mergeCell ref="QUU46:QUU48"/>
    <mergeCell ref="QUV46:QUV48"/>
    <mergeCell ref="QUW46:QUW48"/>
    <mergeCell ref="QUL46:QUL48"/>
    <mergeCell ref="QUM46:QUM48"/>
    <mergeCell ref="QUN46:QUN48"/>
    <mergeCell ref="QUO46:QUO48"/>
    <mergeCell ref="QUP46:QUP48"/>
    <mergeCell ref="QUQ46:QUQ48"/>
    <mergeCell ref="QUF46:QUF48"/>
    <mergeCell ref="QUG46:QUG48"/>
    <mergeCell ref="QUH46:QUH48"/>
    <mergeCell ref="QUI46:QUI48"/>
    <mergeCell ref="QUJ46:QUJ48"/>
    <mergeCell ref="QUK46:QUK48"/>
    <mergeCell ref="QTZ46:QTZ48"/>
    <mergeCell ref="QUA46:QUA48"/>
    <mergeCell ref="QUB46:QUB48"/>
    <mergeCell ref="QUC46:QUC48"/>
    <mergeCell ref="QUD46:QUD48"/>
    <mergeCell ref="QUE46:QUE48"/>
    <mergeCell ref="QTT46:QTT48"/>
    <mergeCell ref="QTU46:QTU48"/>
    <mergeCell ref="QTV46:QTV48"/>
    <mergeCell ref="QTW46:QTW48"/>
    <mergeCell ref="QTX46:QTX48"/>
    <mergeCell ref="QTY46:QTY48"/>
    <mergeCell ref="QTN46:QTN48"/>
    <mergeCell ref="QTO46:QTO48"/>
    <mergeCell ref="QTP46:QTP48"/>
    <mergeCell ref="QTQ46:QTQ48"/>
    <mergeCell ref="QTR46:QTR48"/>
    <mergeCell ref="QTS46:QTS48"/>
    <mergeCell ref="QTH46:QTH48"/>
    <mergeCell ref="QTI46:QTI48"/>
    <mergeCell ref="QTJ46:QTJ48"/>
    <mergeCell ref="QTK46:QTK48"/>
    <mergeCell ref="QTL46:QTL48"/>
    <mergeCell ref="QTM46:QTM48"/>
    <mergeCell ref="QTB46:QTB48"/>
    <mergeCell ref="QTC46:QTC48"/>
    <mergeCell ref="QTD46:QTD48"/>
    <mergeCell ref="QTE46:QTE48"/>
    <mergeCell ref="QTF46:QTF48"/>
    <mergeCell ref="QTG46:QTG48"/>
    <mergeCell ref="QSV46:QSV48"/>
    <mergeCell ref="QSW46:QSW48"/>
    <mergeCell ref="QSX46:QSX48"/>
    <mergeCell ref="QSY46:QSY48"/>
    <mergeCell ref="QSZ46:QSZ48"/>
    <mergeCell ref="QTA46:QTA48"/>
    <mergeCell ref="QSP46:QSP48"/>
    <mergeCell ref="QSQ46:QSQ48"/>
    <mergeCell ref="QSR46:QSR48"/>
    <mergeCell ref="QSS46:QSS48"/>
    <mergeCell ref="QST46:QST48"/>
    <mergeCell ref="QSU46:QSU48"/>
    <mergeCell ref="QSJ46:QSJ48"/>
    <mergeCell ref="QSK46:QSK48"/>
    <mergeCell ref="QSL46:QSL48"/>
    <mergeCell ref="QSM46:QSM48"/>
    <mergeCell ref="QSN46:QSN48"/>
    <mergeCell ref="QSO46:QSO48"/>
    <mergeCell ref="QSD46:QSD48"/>
    <mergeCell ref="QSE46:QSE48"/>
    <mergeCell ref="QSF46:QSF48"/>
    <mergeCell ref="QSG46:QSG48"/>
    <mergeCell ref="QSH46:QSH48"/>
    <mergeCell ref="QSI46:QSI48"/>
    <mergeCell ref="QRX46:QRX48"/>
    <mergeCell ref="QRY46:QRY48"/>
    <mergeCell ref="QRZ46:QRZ48"/>
    <mergeCell ref="QSA46:QSA48"/>
    <mergeCell ref="QSB46:QSB48"/>
    <mergeCell ref="QSC46:QSC48"/>
    <mergeCell ref="QRR46:QRR48"/>
    <mergeCell ref="QRS46:QRS48"/>
    <mergeCell ref="QRT46:QRT48"/>
    <mergeCell ref="QRU46:QRU48"/>
    <mergeCell ref="QRV46:QRV48"/>
    <mergeCell ref="QRW46:QRW48"/>
    <mergeCell ref="QRL46:QRL48"/>
    <mergeCell ref="QRM46:QRM48"/>
    <mergeCell ref="QRN46:QRN48"/>
    <mergeCell ref="QRO46:QRO48"/>
    <mergeCell ref="QRP46:QRP48"/>
    <mergeCell ref="QRQ46:QRQ48"/>
    <mergeCell ref="QRF46:QRF48"/>
    <mergeCell ref="QRG46:QRG48"/>
    <mergeCell ref="QRH46:QRH48"/>
    <mergeCell ref="QRI46:QRI48"/>
    <mergeCell ref="QRJ46:QRJ48"/>
    <mergeCell ref="QRK46:QRK48"/>
    <mergeCell ref="QQZ46:QQZ48"/>
    <mergeCell ref="QRA46:QRA48"/>
    <mergeCell ref="QRB46:QRB48"/>
    <mergeCell ref="QRC46:QRC48"/>
    <mergeCell ref="QRD46:QRD48"/>
    <mergeCell ref="QRE46:QRE48"/>
    <mergeCell ref="QQT46:QQT48"/>
    <mergeCell ref="QQU46:QQU48"/>
    <mergeCell ref="QQV46:QQV48"/>
    <mergeCell ref="QQW46:QQW48"/>
    <mergeCell ref="QQX46:QQX48"/>
    <mergeCell ref="QQY46:QQY48"/>
    <mergeCell ref="QQN46:QQN48"/>
    <mergeCell ref="QQO46:QQO48"/>
    <mergeCell ref="QQP46:QQP48"/>
    <mergeCell ref="QQQ46:QQQ48"/>
    <mergeCell ref="QQR46:QQR48"/>
    <mergeCell ref="QQS46:QQS48"/>
    <mergeCell ref="QQH46:QQH48"/>
    <mergeCell ref="QQI46:QQI48"/>
    <mergeCell ref="QQJ46:QQJ48"/>
    <mergeCell ref="QQK46:QQK48"/>
    <mergeCell ref="QQL46:QQL48"/>
    <mergeCell ref="QQM46:QQM48"/>
    <mergeCell ref="QQB46:QQB48"/>
    <mergeCell ref="QQC46:QQC48"/>
    <mergeCell ref="QQD46:QQD48"/>
    <mergeCell ref="QQE46:QQE48"/>
    <mergeCell ref="QQF46:QQF48"/>
    <mergeCell ref="QQG46:QQG48"/>
    <mergeCell ref="QPV46:QPV48"/>
    <mergeCell ref="QPW46:QPW48"/>
    <mergeCell ref="QPX46:QPX48"/>
    <mergeCell ref="QPY46:QPY48"/>
    <mergeCell ref="QPZ46:QPZ48"/>
    <mergeCell ref="QQA46:QQA48"/>
    <mergeCell ref="QPP46:QPP48"/>
    <mergeCell ref="QPQ46:QPQ48"/>
    <mergeCell ref="QPR46:QPR48"/>
    <mergeCell ref="QPS46:QPS48"/>
    <mergeCell ref="QPT46:QPT48"/>
    <mergeCell ref="QPU46:QPU48"/>
    <mergeCell ref="QPJ46:QPJ48"/>
    <mergeCell ref="QPK46:QPK48"/>
    <mergeCell ref="QPL46:QPL48"/>
    <mergeCell ref="QPM46:QPM48"/>
    <mergeCell ref="QPN46:QPN48"/>
    <mergeCell ref="QPO46:QPO48"/>
    <mergeCell ref="QPD46:QPD48"/>
    <mergeCell ref="QPE46:QPE48"/>
    <mergeCell ref="QPF46:QPF48"/>
    <mergeCell ref="QPG46:QPG48"/>
    <mergeCell ref="QPH46:QPH48"/>
    <mergeCell ref="QPI46:QPI48"/>
    <mergeCell ref="QOX46:QOX48"/>
    <mergeCell ref="QOY46:QOY48"/>
    <mergeCell ref="QOZ46:QOZ48"/>
    <mergeCell ref="QPA46:QPA48"/>
    <mergeCell ref="QPB46:QPB48"/>
    <mergeCell ref="QPC46:QPC48"/>
    <mergeCell ref="QOR46:QOR48"/>
    <mergeCell ref="QOS46:QOS48"/>
    <mergeCell ref="QOT46:QOT48"/>
    <mergeCell ref="QOU46:QOU48"/>
    <mergeCell ref="QOV46:QOV48"/>
    <mergeCell ref="QOW46:QOW48"/>
    <mergeCell ref="QOL46:QOL48"/>
    <mergeCell ref="QOM46:QOM48"/>
    <mergeCell ref="QON46:QON48"/>
    <mergeCell ref="QOO46:QOO48"/>
    <mergeCell ref="QOP46:QOP48"/>
    <mergeCell ref="QOQ46:QOQ48"/>
    <mergeCell ref="QOF46:QOF48"/>
    <mergeCell ref="QOG46:QOG48"/>
    <mergeCell ref="QOH46:QOH48"/>
    <mergeCell ref="QOI46:QOI48"/>
    <mergeCell ref="QOJ46:QOJ48"/>
    <mergeCell ref="QOK46:QOK48"/>
    <mergeCell ref="QNZ46:QNZ48"/>
    <mergeCell ref="QOA46:QOA48"/>
    <mergeCell ref="QOB46:QOB48"/>
    <mergeCell ref="QOC46:QOC48"/>
    <mergeCell ref="QOD46:QOD48"/>
    <mergeCell ref="QOE46:QOE48"/>
    <mergeCell ref="QNT46:QNT48"/>
    <mergeCell ref="QNU46:QNU48"/>
    <mergeCell ref="QNV46:QNV48"/>
    <mergeCell ref="QNW46:QNW48"/>
    <mergeCell ref="QNX46:QNX48"/>
    <mergeCell ref="QNY46:QNY48"/>
    <mergeCell ref="QNN46:QNN48"/>
    <mergeCell ref="QNO46:QNO48"/>
    <mergeCell ref="QNP46:QNP48"/>
    <mergeCell ref="QNQ46:QNQ48"/>
    <mergeCell ref="QNR46:QNR48"/>
    <mergeCell ref="QNS46:QNS48"/>
    <mergeCell ref="QNH46:QNH48"/>
    <mergeCell ref="QNI46:QNI48"/>
    <mergeCell ref="QNJ46:QNJ48"/>
    <mergeCell ref="QNK46:QNK48"/>
    <mergeCell ref="QNL46:QNL48"/>
    <mergeCell ref="QNM46:QNM48"/>
    <mergeCell ref="QNB46:QNB48"/>
    <mergeCell ref="QNC46:QNC48"/>
    <mergeCell ref="QND46:QND48"/>
    <mergeCell ref="QNE46:QNE48"/>
    <mergeCell ref="QNF46:QNF48"/>
    <mergeCell ref="QNG46:QNG48"/>
    <mergeCell ref="QMV46:QMV48"/>
    <mergeCell ref="QMW46:QMW48"/>
    <mergeCell ref="QMX46:QMX48"/>
    <mergeCell ref="QMY46:QMY48"/>
    <mergeCell ref="QMZ46:QMZ48"/>
    <mergeCell ref="QNA46:QNA48"/>
    <mergeCell ref="QMP46:QMP48"/>
    <mergeCell ref="QMQ46:QMQ48"/>
    <mergeCell ref="QMR46:QMR48"/>
    <mergeCell ref="QMS46:QMS48"/>
    <mergeCell ref="QMT46:QMT48"/>
    <mergeCell ref="QMU46:QMU48"/>
    <mergeCell ref="QMJ46:QMJ48"/>
    <mergeCell ref="QMK46:QMK48"/>
    <mergeCell ref="QML46:QML48"/>
    <mergeCell ref="QMM46:QMM48"/>
    <mergeCell ref="QMN46:QMN48"/>
    <mergeCell ref="QMO46:QMO48"/>
    <mergeCell ref="QMD46:QMD48"/>
    <mergeCell ref="QME46:QME48"/>
    <mergeCell ref="QMF46:QMF48"/>
    <mergeCell ref="QMG46:QMG48"/>
    <mergeCell ref="QMH46:QMH48"/>
    <mergeCell ref="QMI46:QMI48"/>
    <mergeCell ref="QLX46:QLX48"/>
    <mergeCell ref="QLY46:QLY48"/>
    <mergeCell ref="QLZ46:QLZ48"/>
    <mergeCell ref="QMA46:QMA48"/>
    <mergeCell ref="QMB46:QMB48"/>
    <mergeCell ref="QMC46:QMC48"/>
    <mergeCell ref="QLR46:QLR48"/>
    <mergeCell ref="QLS46:QLS48"/>
    <mergeCell ref="QLT46:QLT48"/>
    <mergeCell ref="QLU46:QLU48"/>
    <mergeCell ref="QLV46:QLV48"/>
    <mergeCell ref="QLW46:QLW48"/>
    <mergeCell ref="QLL46:QLL48"/>
    <mergeCell ref="QLM46:QLM48"/>
    <mergeCell ref="QLN46:QLN48"/>
    <mergeCell ref="QLO46:QLO48"/>
    <mergeCell ref="QLP46:QLP48"/>
    <mergeCell ref="QLQ46:QLQ48"/>
    <mergeCell ref="QLF46:QLF48"/>
    <mergeCell ref="QLG46:QLG48"/>
    <mergeCell ref="QLH46:QLH48"/>
    <mergeCell ref="QLI46:QLI48"/>
    <mergeCell ref="QLJ46:QLJ48"/>
    <mergeCell ref="QLK46:QLK48"/>
    <mergeCell ref="QKZ46:QKZ48"/>
    <mergeCell ref="QLA46:QLA48"/>
    <mergeCell ref="QLB46:QLB48"/>
    <mergeCell ref="QLC46:QLC48"/>
    <mergeCell ref="QLD46:QLD48"/>
    <mergeCell ref="QLE46:QLE48"/>
    <mergeCell ref="QKT46:QKT48"/>
    <mergeCell ref="QKU46:QKU48"/>
    <mergeCell ref="QKV46:QKV48"/>
    <mergeCell ref="QKW46:QKW48"/>
    <mergeCell ref="QKX46:QKX48"/>
    <mergeCell ref="QKY46:QKY48"/>
    <mergeCell ref="QKN46:QKN48"/>
    <mergeCell ref="QKO46:QKO48"/>
    <mergeCell ref="QKP46:QKP48"/>
    <mergeCell ref="QKQ46:QKQ48"/>
    <mergeCell ref="QKR46:QKR48"/>
    <mergeCell ref="QKS46:QKS48"/>
    <mergeCell ref="QKH46:QKH48"/>
    <mergeCell ref="QKI46:QKI48"/>
    <mergeCell ref="QKJ46:QKJ48"/>
    <mergeCell ref="QKK46:QKK48"/>
    <mergeCell ref="QKL46:QKL48"/>
    <mergeCell ref="QKM46:QKM48"/>
    <mergeCell ref="QKB46:QKB48"/>
    <mergeCell ref="QKC46:QKC48"/>
    <mergeCell ref="QKD46:QKD48"/>
    <mergeCell ref="QKE46:QKE48"/>
    <mergeCell ref="QKF46:QKF48"/>
    <mergeCell ref="QKG46:QKG48"/>
    <mergeCell ref="QJV46:QJV48"/>
    <mergeCell ref="QJW46:QJW48"/>
    <mergeCell ref="QJX46:QJX48"/>
    <mergeCell ref="QJY46:QJY48"/>
    <mergeCell ref="QJZ46:QJZ48"/>
    <mergeCell ref="QKA46:QKA48"/>
    <mergeCell ref="QJP46:QJP48"/>
    <mergeCell ref="QJQ46:QJQ48"/>
    <mergeCell ref="QJR46:QJR48"/>
    <mergeCell ref="QJS46:QJS48"/>
    <mergeCell ref="QJT46:QJT48"/>
    <mergeCell ref="QJU46:QJU48"/>
    <mergeCell ref="QJJ46:QJJ48"/>
    <mergeCell ref="QJK46:QJK48"/>
    <mergeCell ref="QJL46:QJL48"/>
    <mergeCell ref="QJM46:QJM48"/>
    <mergeCell ref="QJN46:QJN48"/>
    <mergeCell ref="QJO46:QJO48"/>
    <mergeCell ref="QJD46:QJD48"/>
    <mergeCell ref="QJE46:QJE48"/>
    <mergeCell ref="QJF46:QJF48"/>
    <mergeCell ref="QJG46:QJG48"/>
    <mergeCell ref="QJH46:QJH48"/>
    <mergeCell ref="QJI46:QJI48"/>
    <mergeCell ref="QIX46:QIX48"/>
    <mergeCell ref="QIY46:QIY48"/>
    <mergeCell ref="QIZ46:QIZ48"/>
    <mergeCell ref="QJA46:QJA48"/>
    <mergeCell ref="QJB46:QJB48"/>
    <mergeCell ref="QJC46:QJC48"/>
    <mergeCell ref="QIR46:QIR48"/>
    <mergeCell ref="QIS46:QIS48"/>
    <mergeCell ref="QIT46:QIT48"/>
    <mergeCell ref="QIU46:QIU48"/>
    <mergeCell ref="QIV46:QIV48"/>
    <mergeCell ref="QIW46:QIW48"/>
    <mergeCell ref="QIL46:QIL48"/>
    <mergeCell ref="QIM46:QIM48"/>
    <mergeCell ref="QIN46:QIN48"/>
    <mergeCell ref="QIO46:QIO48"/>
    <mergeCell ref="QIP46:QIP48"/>
    <mergeCell ref="QIQ46:QIQ48"/>
    <mergeCell ref="QIF46:QIF48"/>
    <mergeCell ref="QIG46:QIG48"/>
    <mergeCell ref="QIH46:QIH48"/>
    <mergeCell ref="QII46:QII48"/>
    <mergeCell ref="QIJ46:QIJ48"/>
    <mergeCell ref="QIK46:QIK48"/>
    <mergeCell ref="QHZ46:QHZ48"/>
    <mergeCell ref="QIA46:QIA48"/>
    <mergeCell ref="QIB46:QIB48"/>
    <mergeCell ref="QIC46:QIC48"/>
    <mergeCell ref="QID46:QID48"/>
    <mergeCell ref="QIE46:QIE48"/>
    <mergeCell ref="QHT46:QHT48"/>
    <mergeCell ref="QHU46:QHU48"/>
    <mergeCell ref="QHV46:QHV48"/>
    <mergeCell ref="QHW46:QHW48"/>
    <mergeCell ref="QHX46:QHX48"/>
    <mergeCell ref="QHY46:QHY48"/>
    <mergeCell ref="QHN46:QHN48"/>
    <mergeCell ref="QHO46:QHO48"/>
    <mergeCell ref="QHP46:QHP48"/>
    <mergeCell ref="QHQ46:QHQ48"/>
    <mergeCell ref="QHR46:QHR48"/>
    <mergeCell ref="QHS46:QHS48"/>
    <mergeCell ref="QHH46:QHH48"/>
    <mergeCell ref="QHI46:QHI48"/>
    <mergeCell ref="QHJ46:QHJ48"/>
    <mergeCell ref="QHK46:QHK48"/>
    <mergeCell ref="QHL46:QHL48"/>
    <mergeCell ref="QHM46:QHM48"/>
    <mergeCell ref="QHB46:QHB48"/>
    <mergeCell ref="QHC46:QHC48"/>
    <mergeCell ref="QHD46:QHD48"/>
    <mergeCell ref="QHE46:QHE48"/>
    <mergeCell ref="QHF46:QHF48"/>
    <mergeCell ref="QHG46:QHG48"/>
    <mergeCell ref="QGV46:QGV48"/>
    <mergeCell ref="QGW46:QGW48"/>
    <mergeCell ref="QGX46:QGX48"/>
    <mergeCell ref="QGY46:QGY48"/>
    <mergeCell ref="QGZ46:QGZ48"/>
    <mergeCell ref="QHA46:QHA48"/>
    <mergeCell ref="QGP46:QGP48"/>
    <mergeCell ref="QGQ46:QGQ48"/>
    <mergeCell ref="QGR46:QGR48"/>
    <mergeCell ref="QGS46:QGS48"/>
    <mergeCell ref="QGT46:QGT48"/>
    <mergeCell ref="QGU46:QGU48"/>
    <mergeCell ref="QGJ46:QGJ48"/>
    <mergeCell ref="QGK46:QGK48"/>
    <mergeCell ref="QGL46:QGL48"/>
    <mergeCell ref="QGM46:QGM48"/>
    <mergeCell ref="QGN46:QGN48"/>
    <mergeCell ref="QGO46:QGO48"/>
    <mergeCell ref="QGD46:QGD48"/>
    <mergeCell ref="QGE46:QGE48"/>
    <mergeCell ref="QGF46:QGF48"/>
    <mergeCell ref="QGG46:QGG48"/>
    <mergeCell ref="QGH46:QGH48"/>
    <mergeCell ref="QGI46:QGI48"/>
    <mergeCell ref="QFX46:QFX48"/>
    <mergeCell ref="QFY46:QFY48"/>
    <mergeCell ref="QFZ46:QFZ48"/>
    <mergeCell ref="QGA46:QGA48"/>
    <mergeCell ref="QGB46:QGB48"/>
    <mergeCell ref="QGC46:QGC48"/>
    <mergeCell ref="QFR46:QFR48"/>
    <mergeCell ref="QFS46:QFS48"/>
    <mergeCell ref="QFT46:QFT48"/>
    <mergeCell ref="QFU46:QFU48"/>
    <mergeCell ref="QFV46:QFV48"/>
    <mergeCell ref="QFW46:QFW48"/>
    <mergeCell ref="QFL46:QFL48"/>
    <mergeCell ref="QFM46:QFM48"/>
    <mergeCell ref="QFN46:QFN48"/>
    <mergeCell ref="QFO46:QFO48"/>
    <mergeCell ref="QFP46:QFP48"/>
    <mergeCell ref="QFQ46:QFQ48"/>
    <mergeCell ref="QFF46:QFF48"/>
    <mergeCell ref="QFG46:QFG48"/>
    <mergeCell ref="QFH46:QFH48"/>
    <mergeCell ref="QFI46:QFI48"/>
    <mergeCell ref="QFJ46:QFJ48"/>
    <mergeCell ref="QFK46:QFK48"/>
    <mergeCell ref="QEZ46:QEZ48"/>
    <mergeCell ref="QFA46:QFA48"/>
    <mergeCell ref="QFB46:QFB48"/>
    <mergeCell ref="QFC46:QFC48"/>
    <mergeCell ref="QFD46:QFD48"/>
    <mergeCell ref="QFE46:QFE48"/>
    <mergeCell ref="QET46:QET48"/>
    <mergeCell ref="QEU46:QEU48"/>
    <mergeCell ref="QEV46:QEV48"/>
    <mergeCell ref="QEW46:QEW48"/>
    <mergeCell ref="QEX46:QEX48"/>
    <mergeCell ref="QEY46:QEY48"/>
    <mergeCell ref="QEN46:QEN48"/>
    <mergeCell ref="QEO46:QEO48"/>
    <mergeCell ref="QEP46:QEP48"/>
    <mergeCell ref="QEQ46:QEQ48"/>
    <mergeCell ref="QER46:QER48"/>
    <mergeCell ref="QES46:QES48"/>
    <mergeCell ref="QEH46:QEH48"/>
    <mergeCell ref="QEI46:QEI48"/>
    <mergeCell ref="QEJ46:QEJ48"/>
    <mergeCell ref="QEK46:QEK48"/>
    <mergeCell ref="QEL46:QEL48"/>
    <mergeCell ref="QEM46:QEM48"/>
    <mergeCell ref="QEB46:QEB48"/>
    <mergeCell ref="QEC46:QEC48"/>
    <mergeCell ref="QED46:QED48"/>
    <mergeCell ref="QEE46:QEE48"/>
    <mergeCell ref="QEF46:QEF48"/>
    <mergeCell ref="QEG46:QEG48"/>
    <mergeCell ref="QDV46:QDV48"/>
    <mergeCell ref="QDW46:QDW48"/>
    <mergeCell ref="QDX46:QDX48"/>
    <mergeCell ref="QDY46:QDY48"/>
    <mergeCell ref="QDZ46:QDZ48"/>
    <mergeCell ref="QEA46:QEA48"/>
    <mergeCell ref="QDP46:QDP48"/>
    <mergeCell ref="QDQ46:QDQ48"/>
    <mergeCell ref="QDR46:QDR48"/>
    <mergeCell ref="QDS46:QDS48"/>
    <mergeCell ref="QDT46:QDT48"/>
    <mergeCell ref="QDU46:QDU48"/>
    <mergeCell ref="QDJ46:QDJ48"/>
    <mergeCell ref="QDK46:QDK48"/>
    <mergeCell ref="QDL46:QDL48"/>
    <mergeCell ref="QDM46:QDM48"/>
    <mergeCell ref="QDN46:QDN48"/>
    <mergeCell ref="QDO46:QDO48"/>
    <mergeCell ref="QDD46:QDD48"/>
    <mergeCell ref="QDE46:QDE48"/>
    <mergeCell ref="QDF46:QDF48"/>
    <mergeCell ref="QDG46:QDG48"/>
    <mergeCell ref="QDH46:QDH48"/>
    <mergeCell ref="QDI46:QDI48"/>
    <mergeCell ref="QCX46:QCX48"/>
    <mergeCell ref="QCY46:QCY48"/>
    <mergeCell ref="QCZ46:QCZ48"/>
    <mergeCell ref="QDA46:QDA48"/>
    <mergeCell ref="QDB46:QDB48"/>
    <mergeCell ref="QDC46:QDC48"/>
    <mergeCell ref="QCR46:QCR48"/>
    <mergeCell ref="QCS46:QCS48"/>
    <mergeCell ref="QCT46:QCT48"/>
    <mergeCell ref="QCU46:QCU48"/>
    <mergeCell ref="QCV46:QCV48"/>
    <mergeCell ref="QCW46:QCW48"/>
    <mergeCell ref="QCL46:QCL48"/>
    <mergeCell ref="QCM46:QCM48"/>
    <mergeCell ref="QCN46:QCN48"/>
    <mergeCell ref="QCO46:QCO48"/>
    <mergeCell ref="QCP46:QCP48"/>
    <mergeCell ref="QCQ46:QCQ48"/>
    <mergeCell ref="QCF46:QCF48"/>
    <mergeCell ref="QCG46:QCG48"/>
    <mergeCell ref="QCH46:QCH48"/>
    <mergeCell ref="QCI46:QCI48"/>
    <mergeCell ref="QCJ46:QCJ48"/>
    <mergeCell ref="QCK46:QCK48"/>
    <mergeCell ref="QBZ46:QBZ48"/>
    <mergeCell ref="QCA46:QCA48"/>
    <mergeCell ref="QCB46:QCB48"/>
    <mergeCell ref="QCC46:QCC48"/>
    <mergeCell ref="QCD46:QCD48"/>
    <mergeCell ref="QCE46:QCE48"/>
    <mergeCell ref="QBT46:QBT48"/>
    <mergeCell ref="QBU46:QBU48"/>
    <mergeCell ref="QBV46:QBV48"/>
    <mergeCell ref="QBW46:QBW48"/>
    <mergeCell ref="QBX46:QBX48"/>
    <mergeCell ref="QBY46:QBY48"/>
    <mergeCell ref="QBN46:QBN48"/>
    <mergeCell ref="QBO46:QBO48"/>
    <mergeCell ref="QBP46:QBP48"/>
    <mergeCell ref="QBQ46:QBQ48"/>
    <mergeCell ref="QBR46:QBR48"/>
    <mergeCell ref="QBS46:QBS48"/>
    <mergeCell ref="QBH46:QBH48"/>
    <mergeCell ref="QBI46:QBI48"/>
    <mergeCell ref="QBJ46:QBJ48"/>
    <mergeCell ref="QBK46:QBK48"/>
    <mergeCell ref="QBL46:QBL48"/>
    <mergeCell ref="QBM46:QBM48"/>
    <mergeCell ref="QBB46:QBB48"/>
    <mergeCell ref="QBC46:QBC48"/>
    <mergeCell ref="QBD46:QBD48"/>
    <mergeCell ref="QBE46:QBE48"/>
    <mergeCell ref="QBF46:QBF48"/>
    <mergeCell ref="QBG46:QBG48"/>
    <mergeCell ref="QAV46:QAV48"/>
    <mergeCell ref="QAW46:QAW48"/>
    <mergeCell ref="QAX46:QAX48"/>
    <mergeCell ref="QAY46:QAY48"/>
    <mergeCell ref="QAZ46:QAZ48"/>
    <mergeCell ref="QBA46:QBA48"/>
    <mergeCell ref="QAP46:QAP48"/>
    <mergeCell ref="QAQ46:QAQ48"/>
    <mergeCell ref="QAR46:QAR48"/>
    <mergeCell ref="QAS46:QAS48"/>
    <mergeCell ref="QAT46:QAT48"/>
    <mergeCell ref="QAU46:QAU48"/>
    <mergeCell ref="QAJ46:QAJ48"/>
    <mergeCell ref="QAK46:QAK48"/>
    <mergeCell ref="QAL46:QAL48"/>
    <mergeCell ref="QAM46:QAM48"/>
    <mergeCell ref="QAN46:QAN48"/>
    <mergeCell ref="QAO46:QAO48"/>
    <mergeCell ref="QAD46:QAD48"/>
    <mergeCell ref="QAE46:QAE48"/>
    <mergeCell ref="QAF46:QAF48"/>
    <mergeCell ref="QAG46:QAG48"/>
    <mergeCell ref="QAH46:QAH48"/>
    <mergeCell ref="QAI46:QAI48"/>
    <mergeCell ref="PZX46:PZX48"/>
    <mergeCell ref="PZY46:PZY48"/>
    <mergeCell ref="PZZ46:PZZ48"/>
    <mergeCell ref="QAA46:QAA48"/>
    <mergeCell ref="QAB46:QAB48"/>
    <mergeCell ref="QAC46:QAC48"/>
    <mergeCell ref="PZR46:PZR48"/>
    <mergeCell ref="PZS46:PZS48"/>
    <mergeCell ref="PZT46:PZT48"/>
    <mergeCell ref="PZU46:PZU48"/>
    <mergeCell ref="PZV46:PZV48"/>
    <mergeCell ref="PZW46:PZW48"/>
    <mergeCell ref="PZL46:PZL48"/>
    <mergeCell ref="PZM46:PZM48"/>
    <mergeCell ref="PZN46:PZN48"/>
    <mergeCell ref="PZO46:PZO48"/>
    <mergeCell ref="PZP46:PZP48"/>
    <mergeCell ref="PZQ46:PZQ48"/>
    <mergeCell ref="PZF46:PZF48"/>
    <mergeCell ref="PZG46:PZG48"/>
    <mergeCell ref="PZH46:PZH48"/>
    <mergeCell ref="PZI46:PZI48"/>
    <mergeCell ref="PZJ46:PZJ48"/>
    <mergeCell ref="PZK46:PZK48"/>
    <mergeCell ref="PYZ46:PYZ48"/>
    <mergeCell ref="PZA46:PZA48"/>
    <mergeCell ref="PZB46:PZB48"/>
    <mergeCell ref="PZC46:PZC48"/>
    <mergeCell ref="PZD46:PZD48"/>
    <mergeCell ref="PZE46:PZE48"/>
    <mergeCell ref="PYT46:PYT48"/>
    <mergeCell ref="PYU46:PYU48"/>
    <mergeCell ref="PYV46:PYV48"/>
    <mergeCell ref="PYW46:PYW48"/>
    <mergeCell ref="PYX46:PYX48"/>
    <mergeCell ref="PYY46:PYY48"/>
    <mergeCell ref="PYN46:PYN48"/>
    <mergeCell ref="PYO46:PYO48"/>
    <mergeCell ref="PYP46:PYP48"/>
    <mergeCell ref="PYQ46:PYQ48"/>
    <mergeCell ref="PYR46:PYR48"/>
    <mergeCell ref="PYS46:PYS48"/>
    <mergeCell ref="PYH46:PYH48"/>
    <mergeCell ref="PYI46:PYI48"/>
    <mergeCell ref="PYJ46:PYJ48"/>
    <mergeCell ref="PYK46:PYK48"/>
    <mergeCell ref="PYL46:PYL48"/>
    <mergeCell ref="PYM46:PYM48"/>
    <mergeCell ref="PYB46:PYB48"/>
    <mergeCell ref="PYC46:PYC48"/>
    <mergeCell ref="PYD46:PYD48"/>
    <mergeCell ref="PYE46:PYE48"/>
    <mergeCell ref="PYF46:PYF48"/>
    <mergeCell ref="PYG46:PYG48"/>
    <mergeCell ref="PXV46:PXV48"/>
    <mergeCell ref="PXW46:PXW48"/>
    <mergeCell ref="PXX46:PXX48"/>
    <mergeCell ref="PXY46:PXY48"/>
    <mergeCell ref="PXZ46:PXZ48"/>
    <mergeCell ref="PYA46:PYA48"/>
    <mergeCell ref="PXP46:PXP48"/>
    <mergeCell ref="PXQ46:PXQ48"/>
    <mergeCell ref="PXR46:PXR48"/>
    <mergeCell ref="PXS46:PXS48"/>
    <mergeCell ref="PXT46:PXT48"/>
    <mergeCell ref="PXU46:PXU48"/>
    <mergeCell ref="PXJ46:PXJ48"/>
    <mergeCell ref="PXK46:PXK48"/>
    <mergeCell ref="PXL46:PXL48"/>
    <mergeCell ref="PXM46:PXM48"/>
    <mergeCell ref="PXN46:PXN48"/>
    <mergeCell ref="PXO46:PXO48"/>
    <mergeCell ref="PXD46:PXD48"/>
    <mergeCell ref="PXE46:PXE48"/>
    <mergeCell ref="PXF46:PXF48"/>
    <mergeCell ref="PXG46:PXG48"/>
    <mergeCell ref="PXH46:PXH48"/>
    <mergeCell ref="PXI46:PXI48"/>
    <mergeCell ref="PWX46:PWX48"/>
    <mergeCell ref="PWY46:PWY48"/>
    <mergeCell ref="PWZ46:PWZ48"/>
    <mergeCell ref="PXA46:PXA48"/>
    <mergeCell ref="PXB46:PXB48"/>
    <mergeCell ref="PXC46:PXC48"/>
    <mergeCell ref="PWR46:PWR48"/>
    <mergeCell ref="PWS46:PWS48"/>
    <mergeCell ref="PWT46:PWT48"/>
    <mergeCell ref="PWU46:PWU48"/>
    <mergeCell ref="PWV46:PWV48"/>
    <mergeCell ref="PWW46:PWW48"/>
    <mergeCell ref="PWL46:PWL48"/>
    <mergeCell ref="PWM46:PWM48"/>
    <mergeCell ref="PWN46:PWN48"/>
    <mergeCell ref="PWO46:PWO48"/>
    <mergeCell ref="PWP46:PWP48"/>
    <mergeCell ref="PWQ46:PWQ48"/>
    <mergeCell ref="PWF46:PWF48"/>
    <mergeCell ref="PWG46:PWG48"/>
    <mergeCell ref="PWH46:PWH48"/>
    <mergeCell ref="PWI46:PWI48"/>
    <mergeCell ref="PWJ46:PWJ48"/>
    <mergeCell ref="PWK46:PWK48"/>
    <mergeCell ref="PVZ46:PVZ48"/>
    <mergeCell ref="PWA46:PWA48"/>
    <mergeCell ref="PWB46:PWB48"/>
    <mergeCell ref="PWC46:PWC48"/>
    <mergeCell ref="PWD46:PWD48"/>
    <mergeCell ref="PWE46:PWE48"/>
    <mergeCell ref="PVT46:PVT48"/>
    <mergeCell ref="PVU46:PVU48"/>
    <mergeCell ref="PVV46:PVV48"/>
    <mergeCell ref="PVW46:PVW48"/>
    <mergeCell ref="PVX46:PVX48"/>
    <mergeCell ref="PVY46:PVY48"/>
    <mergeCell ref="PVN46:PVN48"/>
    <mergeCell ref="PVO46:PVO48"/>
    <mergeCell ref="PVP46:PVP48"/>
    <mergeCell ref="PVQ46:PVQ48"/>
    <mergeCell ref="PVR46:PVR48"/>
    <mergeCell ref="PVS46:PVS48"/>
    <mergeCell ref="PVH46:PVH48"/>
    <mergeCell ref="PVI46:PVI48"/>
    <mergeCell ref="PVJ46:PVJ48"/>
    <mergeCell ref="PVK46:PVK48"/>
    <mergeCell ref="PVL46:PVL48"/>
    <mergeCell ref="PVM46:PVM48"/>
    <mergeCell ref="PVB46:PVB48"/>
    <mergeCell ref="PVC46:PVC48"/>
    <mergeCell ref="PVD46:PVD48"/>
    <mergeCell ref="PVE46:PVE48"/>
    <mergeCell ref="PVF46:PVF48"/>
    <mergeCell ref="PVG46:PVG48"/>
    <mergeCell ref="PUV46:PUV48"/>
    <mergeCell ref="PUW46:PUW48"/>
    <mergeCell ref="PUX46:PUX48"/>
    <mergeCell ref="PUY46:PUY48"/>
    <mergeCell ref="PUZ46:PUZ48"/>
    <mergeCell ref="PVA46:PVA48"/>
    <mergeCell ref="PUP46:PUP48"/>
    <mergeCell ref="PUQ46:PUQ48"/>
    <mergeCell ref="PUR46:PUR48"/>
    <mergeCell ref="PUS46:PUS48"/>
    <mergeCell ref="PUT46:PUT48"/>
    <mergeCell ref="PUU46:PUU48"/>
    <mergeCell ref="PUJ46:PUJ48"/>
    <mergeCell ref="PUK46:PUK48"/>
    <mergeCell ref="PUL46:PUL48"/>
    <mergeCell ref="PUM46:PUM48"/>
    <mergeCell ref="PUN46:PUN48"/>
    <mergeCell ref="PUO46:PUO48"/>
    <mergeCell ref="PUD46:PUD48"/>
    <mergeCell ref="PUE46:PUE48"/>
    <mergeCell ref="PUF46:PUF48"/>
    <mergeCell ref="PUG46:PUG48"/>
    <mergeCell ref="PUH46:PUH48"/>
    <mergeCell ref="PUI46:PUI48"/>
    <mergeCell ref="PTX46:PTX48"/>
    <mergeCell ref="PTY46:PTY48"/>
    <mergeCell ref="PTZ46:PTZ48"/>
    <mergeCell ref="PUA46:PUA48"/>
    <mergeCell ref="PUB46:PUB48"/>
    <mergeCell ref="PUC46:PUC48"/>
    <mergeCell ref="PTR46:PTR48"/>
    <mergeCell ref="PTS46:PTS48"/>
    <mergeCell ref="PTT46:PTT48"/>
    <mergeCell ref="PTU46:PTU48"/>
    <mergeCell ref="PTV46:PTV48"/>
    <mergeCell ref="PTW46:PTW48"/>
    <mergeCell ref="PTL46:PTL48"/>
    <mergeCell ref="PTM46:PTM48"/>
    <mergeCell ref="PTN46:PTN48"/>
    <mergeCell ref="PTO46:PTO48"/>
    <mergeCell ref="PTP46:PTP48"/>
    <mergeCell ref="PTQ46:PTQ48"/>
    <mergeCell ref="PTF46:PTF48"/>
    <mergeCell ref="PTG46:PTG48"/>
    <mergeCell ref="PTH46:PTH48"/>
    <mergeCell ref="PTI46:PTI48"/>
    <mergeCell ref="PTJ46:PTJ48"/>
    <mergeCell ref="PTK46:PTK48"/>
    <mergeCell ref="PSZ46:PSZ48"/>
    <mergeCell ref="PTA46:PTA48"/>
    <mergeCell ref="PTB46:PTB48"/>
    <mergeCell ref="PTC46:PTC48"/>
    <mergeCell ref="PTD46:PTD48"/>
    <mergeCell ref="PTE46:PTE48"/>
    <mergeCell ref="PST46:PST48"/>
    <mergeCell ref="PSU46:PSU48"/>
    <mergeCell ref="PSV46:PSV48"/>
    <mergeCell ref="PSW46:PSW48"/>
    <mergeCell ref="PSX46:PSX48"/>
    <mergeCell ref="PSY46:PSY48"/>
    <mergeCell ref="PSN46:PSN48"/>
    <mergeCell ref="PSO46:PSO48"/>
    <mergeCell ref="PSP46:PSP48"/>
    <mergeCell ref="PSQ46:PSQ48"/>
    <mergeCell ref="PSR46:PSR48"/>
    <mergeCell ref="PSS46:PSS48"/>
    <mergeCell ref="PSH46:PSH48"/>
    <mergeCell ref="PSI46:PSI48"/>
    <mergeCell ref="PSJ46:PSJ48"/>
    <mergeCell ref="PSK46:PSK48"/>
    <mergeCell ref="PSL46:PSL48"/>
    <mergeCell ref="PSM46:PSM48"/>
    <mergeCell ref="PSB46:PSB48"/>
    <mergeCell ref="PSC46:PSC48"/>
    <mergeCell ref="PSD46:PSD48"/>
    <mergeCell ref="PSE46:PSE48"/>
    <mergeCell ref="PSF46:PSF48"/>
    <mergeCell ref="PSG46:PSG48"/>
    <mergeCell ref="PRV46:PRV48"/>
    <mergeCell ref="PRW46:PRW48"/>
    <mergeCell ref="PRX46:PRX48"/>
    <mergeCell ref="PRY46:PRY48"/>
    <mergeCell ref="PRZ46:PRZ48"/>
    <mergeCell ref="PSA46:PSA48"/>
    <mergeCell ref="PRP46:PRP48"/>
    <mergeCell ref="PRQ46:PRQ48"/>
    <mergeCell ref="PRR46:PRR48"/>
    <mergeCell ref="PRS46:PRS48"/>
    <mergeCell ref="PRT46:PRT48"/>
    <mergeCell ref="PRU46:PRU48"/>
    <mergeCell ref="PRJ46:PRJ48"/>
    <mergeCell ref="PRK46:PRK48"/>
    <mergeCell ref="PRL46:PRL48"/>
    <mergeCell ref="PRM46:PRM48"/>
    <mergeCell ref="PRN46:PRN48"/>
    <mergeCell ref="PRO46:PRO48"/>
    <mergeCell ref="PRD46:PRD48"/>
    <mergeCell ref="PRE46:PRE48"/>
    <mergeCell ref="PRF46:PRF48"/>
    <mergeCell ref="PRG46:PRG48"/>
    <mergeCell ref="PRH46:PRH48"/>
    <mergeCell ref="PRI46:PRI48"/>
    <mergeCell ref="PQX46:PQX48"/>
    <mergeCell ref="PQY46:PQY48"/>
    <mergeCell ref="PQZ46:PQZ48"/>
    <mergeCell ref="PRA46:PRA48"/>
    <mergeCell ref="PRB46:PRB48"/>
    <mergeCell ref="PRC46:PRC48"/>
    <mergeCell ref="PQR46:PQR48"/>
    <mergeCell ref="PQS46:PQS48"/>
    <mergeCell ref="PQT46:PQT48"/>
    <mergeCell ref="PQU46:PQU48"/>
    <mergeCell ref="PQV46:PQV48"/>
    <mergeCell ref="PQW46:PQW48"/>
    <mergeCell ref="PQL46:PQL48"/>
    <mergeCell ref="PQM46:PQM48"/>
    <mergeCell ref="PQN46:PQN48"/>
    <mergeCell ref="PQO46:PQO48"/>
    <mergeCell ref="PQP46:PQP48"/>
    <mergeCell ref="PQQ46:PQQ48"/>
    <mergeCell ref="PQF46:PQF48"/>
    <mergeCell ref="PQG46:PQG48"/>
    <mergeCell ref="PQH46:PQH48"/>
    <mergeCell ref="PQI46:PQI48"/>
    <mergeCell ref="PQJ46:PQJ48"/>
    <mergeCell ref="PQK46:PQK48"/>
    <mergeCell ref="PPZ46:PPZ48"/>
    <mergeCell ref="PQA46:PQA48"/>
    <mergeCell ref="PQB46:PQB48"/>
    <mergeCell ref="PQC46:PQC48"/>
    <mergeCell ref="PQD46:PQD48"/>
    <mergeCell ref="PQE46:PQE48"/>
    <mergeCell ref="PPT46:PPT48"/>
    <mergeCell ref="PPU46:PPU48"/>
    <mergeCell ref="PPV46:PPV48"/>
    <mergeCell ref="PPW46:PPW48"/>
    <mergeCell ref="PPX46:PPX48"/>
    <mergeCell ref="PPY46:PPY48"/>
    <mergeCell ref="PPN46:PPN48"/>
    <mergeCell ref="PPO46:PPO48"/>
    <mergeCell ref="PPP46:PPP48"/>
    <mergeCell ref="PPQ46:PPQ48"/>
    <mergeCell ref="PPR46:PPR48"/>
    <mergeCell ref="PPS46:PPS48"/>
    <mergeCell ref="PPH46:PPH48"/>
    <mergeCell ref="PPI46:PPI48"/>
    <mergeCell ref="PPJ46:PPJ48"/>
    <mergeCell ref="PPK46:PPK48"/>
    <mergeCell ref="PPL46:PPL48"/>
    <mergeCell ref="PPM46:PPM48"/>
    <mergeCell ref="PPB46:PPB48"/>
    <mergeCell ref="PPC46:PPC48"/>
    <mergeCell ref="PPD46:PPD48"/>
    <mergeCell ref="PPE46:PPE48"/>
    <mergeCell ref="PPF46:PPF48"/>
    <mergeCell ref="PPG46:PPG48"/>
    <mergeCell ref="POV46:POV48"/>
    <mergeCell ref="POW46:POW48"/>
    <mergeCell ref="POX46:POX48"/>
    <mergeCell ref="POY46:POY48"/>
    <mergeCell ref="POZ46:POZ48"/>
    <mergeCell ref="PPA46:PPA48"/>
    <mergeCell ref="POP46:POP48"/>
    <mergeCell ref="POQ46:POQ48"/>
    <mergeCell ref="POR46:POR48"/>
    <mergeCell ref="POS46:POS48"/>
    <mergeCell ref="POT46:POT48"/>
    <mergeCell ref="POU46:POU48"/>
    <mergeCell ref="POJ46:POJ48"/>
    <mergeCell ref="POK46:POK48"/>
    <mergeCell ref="POL46:POL48"/>
    <mergeCell ref="POM46:POM48"/>
    <mergeCell ref="PON46:PON48"/>
    <mergeCell ref="POO46:POO48"/>
    <mergeCell ref="POD46:POD48"/>
    <mergeCell ref="POE46:POE48"/>
    <mergeCell ref="POF46:POF48"/>
    <mergeCell ref="POG46:POG48"/>
    <mergeCell ref="POH46:POH48"/>
    <mergeCell ref="POI46:POI48"/>
    <mergeCell ref="PNX46:PNX48"/>
    <mergeCell ref="PNY46:PNY48"/>
    <mergeCell ref="PNZ46:PNZ48"/>
    <mergeCell ref="POA46:POA48"/>
    <mergeCell ref="POB46:POB48"/>
    <mergeCell ref="POC46:POC48"/>
    <mergeCell ref="PNR46:PNR48"/>
    <mergeCell ref="PNS46:PNS48"/>
    <mergeCell ref="PNT46:PNT48"/>
    <mergeCell ref="PNU46:PNU48"/>
    <mergeCell ref="PNV46:PNV48"/>
    <mergeCell ref="PNW46:PNW48"/>
    <mergeCell ref="PNL46:PNL48"/>
    <mergeCell ref="PNM46:PNM48"/>
    <mergeCell ref="PNN46:PNN48"/>
    <mergeCell ref="PNO46:PNO48"/>
    <mergeCell ref="PNP46:PNP48"/>
    <mergeCell ref="PNQ46:PNQ48"/>
    <mergeCell ref="PNF46:PNF48"/>
    <mergeCell ref="PNG46:PNG48"/>
    <mergeCell ref="PNH46:PNH48"/>
    <mergeCell ref="PNI46:PNI48"/>
    <mergeCell ref="PNJ46:PNJ48"/>
    <mergeCell ref="PNK46:PNK48"/>
    <mergeCell ref="PMZ46:PMZ48"/>
    <mergeCell ref="PNA46:PNA48"/>
    <mergeCell ref="PNB46:PNB48"/>
    <mergeCell ref="PNC46:PNC48"/>
    <mergeCell ref="PND46:PND48"/>
    <mergeCell ref="PNE46:PNE48"/>
    <mergeCell ref="PMT46:PMT48"/>
    <mergeCell ref="PMU46:PMU48"/>
    <mergeCell ref="PMV46:PMV48"/>
    <mergeCell ref="PMW46:PMW48"/>
    <mergeCell ref="PMX46:PMX48"/>
    <mergeCell ref="PMY46:PMY48"/>
    <mergeCell ref="PMN46:PMN48"/>
    <mergeCell ref="PMO46:PMO48"/>
    <mergeCell ref="PMP46:PMP48"/>
    <mergeCell ref="PMQ46:PMQ48"/>
    <mergeCell ref="PMR46:PMR48"/>
    <mergeCell ref="PMS46:PMS48"/>
    <mergeCell ref="PMH46:PMH48"/>
    <mergeCell ref="PMI46:PMI48"/>
    <mergeCell ref="PMJ46:PMJ48"/>
    <mergeCell ref="PMK46:PMK48"/>
    <mergeCell ref="PML46:PML48"/>
    <mergeCell ref="PMM46:PMM48"/>
    <mergeCell ref="PMB46:PMB48"/>
    <mergeCell ref="PMC46:PMC48"/>
    <mergeCell ref="PMD46:PMD48"/>
    <mergeCell ref="PME46:PME48"/>
    <mergeCell ref="PMF46:PMF48"/>
    <mergeCell ref="PMG46:PMG48"/>
    <mergeCell ref="PLV46:PLV48"/>
    <mergeCell ref="PLW46:PLW48"/>
    <mergeCell ref="PLX46:PLX48"/>
    <mergeCell ref="PLY46:PLY48"/>
    <mergeCell ref="PLZ46:PLZ48"/>
    <mergeCell ref="PMA46:PMA48"/>
    <mergeCell ref="PLP46:PLP48"/>
    <mergeCell ref="PLQ46:PLQ48"/>
    <mergeCell ref="PLR46:PLR48"/>
    <mergeCell ref="PLS46:PLS48"/>
    <mergeCell ref="PLT46:PLT48"/>
    <mergeCell ref="PLU46:PLU48"/>
    <mergeCell ref="PLJ46:PLJ48"/>
    <mergeCell ref="PLK46:PLK48"/>
    <mergeCell ref="PLL46:PLL48"/>
    <mergeCell ref="PLM46:PLM48"/>
    <mergeCell ref="PLN46:PLN48"/>
    <mergeCell ref="PLO46:PLO48"/>
    <mergeCell ref="PLD46:PLD48"/>
    <mergeCell ref="PLE46:PLE48"/>
    <mergeCell ref="PLF46:PLF48"/>
    <mergeCell ref="PLG46:PLG48"/>
    <mergeCell ref="PLH46:PLH48"/>
    <mergeCell ref="PLI46:PLI48"/>
    <mergeCell ref="PKX46:PKX48"/>
    <mergeCell ref="PKY46:PKY48"/>
    <mergeCell ref="PKZ46:PKZ48"/>
    <mergeCell ref="PLA46:PLA48"/>
    <mergeCell ref="PLB46:PLB48"/>
    <mergeCell ref="PLC46:PLC48"/>
    <mergeCell ref="PKR46:PKR48"/>
    <mergeCell ref="PKS46:PKS48"/>
    <mergeCell ref="PKT46:PKT48"/>
    <mergeCell ref="PKU46:PKU48"/>
    <mergeCell ref="PKV46:PKV48"/>
    <mergeCell ref="PKW46:PKW48"/>
    <mergeCell ref="PKL46:PKL48"/>
    <mergeCell ref="PKM46:PKM48"/>
    <mergeCell ref="PKN46:PKN48"/>
    <mergeCell ref="PKO46:PKO48"/>
    <mergeCell ref="PKP46:PKP48"/>
    <mergeCell ref="PKQ46:PKQ48"/>
    <mergeCell ref="PKF46:PKF48"/>
    <mergeCell ref="PKG46:PKG48"/>
    <mergeCell ref="PKH46:PKH48"/>
    <mergeCell ref="PKI46:PKI48"/>
    <mergeCell ref="PKJ46:PKJ48"/>
    <mergeCell ref="PKK46:PKK48"/>
    <mergeCell ref="PJZ46:PJZ48"/>
    <mergeCell ref="PKA46:PKA48"/>
    <mergeCell ref="PKB46:PKB48"/>
    <mergeCell ref="PKC46:PKC48"/>
    <mergeCell ref="PKD46:PKD48"/>
    <mergeCell ref="PKE46:PKE48"/>
    <mergeCell ref="PJT46:PJT48"/>
    <mergeCell ref="PJU46:PJU48"/>
    <mergeCell ref="PJV46:PJV48"/>
    <mergeCell ref="PJW46:PJW48"/>
    <mergeCell ref="PJX46:PJX48"/>
    <mergeCell ref="PJY46:PJY48"/>
    <mergeCell ref="PJN46:PJN48"/>
    <mergeCell ref="PJO46:PJO48"/>
    <mergeCell ref="PJP46:PJP48"/>
    <mergeCell ref="PJQ46:PJQ48"/>
    <mergeCell ref="PJR46:PJR48"/>
    <mergeCell ref="PJS46:PJS48"/>
    <mergeCell ref="PJH46:PJH48"/>
    <mergeCell ref="PJI46:PJI48"/>
    <mergeCell ref="PJJ46:PJJ48"/>
    <mergeCell ref="PJK46:PJK48"/>
    <mergeCell ref="PJL46:PJL48"/>
    <mergeCell ref="PJM46:PJM48"/>
    <mergeCell ref="PJB46:PJB48"/>
    <mergeCell ref="PJC46:PJC48"/>
    <mergeCell ref="PJD46:PJD48"/>
    <mergeCell ref="PJE46:PJE48"/>
    <mergeCell ref="PJF46:PJF48"/>
    <mergeCell ref="PJG46:PJG48"/>
    <mergeCell ref="PIV46:PIV48"/>
    <mergeCell ref="PIW46:PIW48"/>
    <mergeCell ref="PIX46:PIX48"/>
    <mergeCell ref="PIY46:PIY48"/>
    <mergeCell ref="PIZ46:PIZ48"/>
    <mergeCell ref="PJA46:PJA48"/>
    <mergeCell ref="PIP46:PIP48"/>
    <mergeCell ref="PIQ46:PIQ48"/>
    <mergeCell ref="PIR46:PIR48"/>
    <mergeCell ref="PIS46:PIS48"/>
    <mergeCell ref="PIT46:PIT48"/>
    <mergeCell ref="PIU46:PIU48"/>
    <mergeCell ref="PIJ46:PIJ48"/>
    <mergeCell ref="PIK46:PIK48"/>
    <mergeCell ref="PIL46:PIL48"/>
    <mergeCell ref="PIM46:PIM48"/>
    <mergeCell ref="PIN46:PIN48"/>
    <mergeCell ref="PIO46:PIO48"/>
    <mergeCell ref="PID46:PID48"/>
    <mergeCell ref="PIE46:PIE48"/>
    <mergeCell ref="PIF46:PIF48"/>
    <mergeCell ref="PIG46:PIG48"/>
    <mergeCell ref="PIH46:PIH48"/>
    <mergeCell ref="PII46:PII48"/>
    <mergeCell ref="PHX46:PHX48"/>
    <mergeCell ref="PHY46:PHY48"/>
    <mergeCell ref="PHZ46:PHZ48"/>
    <mergeCell ref="PIA46:PIA48"/>
    <mergeCell ref="PIB46:PIB48"/>
    <mergeCell ref="PIC46:PIC48"/>
    <mergeCell ref="PHR46:PHR48"/>
    <mergeCell ref="PHS46:PHS48"/>
    <mergeCell ref="PHT46:PHT48"/>
    <mergeCell ref="PHU46:PHU48"/>
    <mergeCell ref="PHV46:PHV48"/>
    <mergeCell ref="PHW46:PHW48"/>
    <mergeCell ref="PHL46:PHL48"/>
    <mergeCell ref="PHM46:PHM48"/>
    <mergeCell ref="PHN46:PHN48"/>
    <mergeCell ref="PHO46:PHO48"/>
    <mergeCell ref="PHP46:PHP48"/>
    <mergeCell ref="PHQ46:PHQ48"/>
    <mergeCell ref="PHF46:PHF48"/>
    <mergeCell ref="PHG46:PHG48"/>
    <mergeCell ref="PHH46:PHH48"/>
    <mergeCell ref="PHI46:PHI48"/>
    <mergeCell ref="PHJ46:PHJ48"/>
    <mergeCell ref="PHK46:PHK48"/>
    <mergeCell ref="PGZ46:PGZ48"/>
    <mergeCell ref="PHA46:PHA48"/>
    <mergeCell ref="PHB46:PHB48"/>
    <mergeCell ref="PHC46:PHC48"/>
    <mergeCell ref="PHD46:PHD48"/>
    <mergeCell ref="PHE46:PHE48"/>
    <mergeCell ref="PGT46:PGT48"/>
    <mergeCell ref="PGU46:PGU48"/>
    <mergeCell ref="PGV46:PGV48"/>
    <mergeCell ref="PGW46:PGW48"/>
    <mergeCell ref="PGX46:PGX48"/>
    <mergeCell ref="PGY46:PGY48"/>
    <mergeCell ref="PGN46:PGN48"/>
    <mergeCell ref="PGO46:PGO48"/>
    <mergeCell ref="PGP46:PGP48"/>
    <mergeCell ref="PGQ46:PGQ48"/>
    <mergeCell ref="PGR46:PGR48"/>
    <mergeCell ref="PGS46:PGS48"/>
    <mergeCell ref="PGH46:PGH48"/>
    <mergeCell ref="PGI46:PGI48"/>
    <mergeCell ref="PGJ46:PGJ48"/>
    <mergeCell ref="PGK46:PGK48"/>
    <mergeCell ref="PGL46:PGL48"/>
    <mergeCell ref="PGM46:PGM48"/>
    <mergeCell ref="PGB46:PGB48"/>
    <mergeCell ref="PGC46:PGC48"/>
    <mergeCell ref="PGD46:PGD48"/>
    <mergeCell ref="PGE46:PGE48"/>
    <mergeCell ref="PGF46:PGF48"/>
    <mergeCell ref="PGG46:PGG48"/>
    <mergeCell ref="PFV46:PFV48"/>
    <mergeCell ref="PFW46:PFW48"/>
    <mergeCell ref="PFX46:PFX48"/>
    <mergeCell ref="PFY46:PFY48"/>
    <mergeCell ref="PFZ46:PFZ48"/>
    <mergeCell ref="PGA46:PGA48"/>
    <mergeCell ref="PFP46:PFP48"/>
    <mergeCell ref="PFQ46:PFQ48"/>
    <mergeCell ref="PFR46:PFR48"/>
    <mergeCell ref="PFS46:PFS48"/>
    <mergeCell ref="PFT46:PFT48"/>
    <mergeCell ref="PFU46:PFU48"/>
    <mergeCell ref="PFJ46:PFJ48"/>
    <mergeCell ref="PFK46:PFK48"/>
    <mergeCell ref="PFL46:PFL48"/>
    <mergeCell ref="PFM46:PFM48"/>
    <mergeCell ref="PFN46:PFN48"/>
    <mergeCell ref="PFO46:PFO48"/>
    <mergeCell ref="PFD46:PFD48"/>
    <mergeCell ref="PFE46:PFE48"/>
    <mergeCell ref="PFF46:PFF48"/>
    <mergeCell ref="PFG46:PFG48"/>
    <mergeCell ref="PFH46:PFH48"/>
    <mergeCell ref="PFI46:PFI48"/>
    <mergeCell ref="PEX46:PEX48"/>
    <mergeCell ref="PEY46:PEY48"/>
    <mergeCell ref="PEZ46:PEZ48"/>
    <mergeCell ref="PFA46:PFA48"/>
    <mergeCell ref="PFB46:PFB48"/>
    <mergeCell ref="PFC46:PFC48"/>
    <mergeCell ref="PER46:PER48"/>
    <mergeCell ref="PES46:PES48"/>
    <mergeCell ref="PET46:PET48"/>
    <mergeCell ref="PEU46:PEU48"/>
    <mergeCell ref="PEV46:PEV48"/>
    <mergeCell ref="PEW46:PEW48"/>
    <mergeCell ref="PEL46:PEL48"/>
    <mergeCell ref="PEM46:PEM48"/>
    <mergeCell ref="PEN46:PEN48"/>
    <mergeCell ref="PEO46:PEO48"/>
    <mergeCell ref="PEP46:PEP48"/>
    <mergeCell ref="PEQ46:PEQ48"/>
    <mergeCell ref="PEF46:PEF48"/>
    <mergeCell ref="PEG46:PEG48"/>
    <mergeCell ref="PEH46:PEH48"/>
    <mergeCell ref="PEI46:PEI48"/>
    <mergeCell ref="PEJ46:PEJ48"/>
    <mergeCell ref="PEK46:PEK48"/>
    <mergeCell ref="PDZ46:PDZ48"/>
    <mergeCell ref="PEA46:PEA48"/>
    <mergeCell ref="PEB46:PEB48"/>
    <mergeCell ref="PEC46:PEC48"/>
    <mergeCell ref="PED46:PED48"/>
    <mergeCell ref="PEE46:PEE48"/>
    <mergeCell ref="PDT46:PDT48"/>
    <mergeCell ref="PDU46:PDU48"/>
    <mergeCell ref="PDV46:PDV48"/>
    <mergeCell ref="PDW46:PDW48"/>
    <mergeCell ref="PDX46:PDX48"/>
    <mergeCell ref="PDY46:PDY48"/>
    <mergeCell ref="PDN46:PDN48"/>
    <mergeCell ref="PDO46:PDO48"/>
    <mergeCell ref="PDP46:PDP48"/>
    <mergeCell ref="PDQ46:PDQ48"/>
    <mergeCell ref="PDR46:PDR48"/>
    <mergeCell ref="PDS46:PDS48"/>
    <mergeCell ref="PDH46:PDH48"/>
    <mergeCell ref="PDI46:PDI48"/>
    <mergeCell ref="PDJ46:PDJ48"/>
    <mergeCell ref="PDK46:PDK48"/>
    <mergeCell ref="PDL46:PDL48"/>
    <mergeCell ref="PDM46:PDM48"/>
    <mergeCell ref="PDB46:PDB48"/>
    <mergeCell ref="PDC46:PDC48"/>
    <mergeCell ref="PDD46:PDD48"/>
    <mergeCell ref="PDE46:PDE48"/>
    <mergeCell ref="PDF46:PDF48"/>
    <mergeCell ref="PDG46:PDG48"/>
    <mergeCell ref="PCV46:PCV48"/>
    <mergeCell ref="PCW46:PCW48"/>
    <mergeCell ref="PCX46:PCX48"/>
    <mergeCell ref="PCY46:PCY48"/>
    <mergeCell ref="PCZ46:PCZ48"/>
    <mergeCell ref="PDA46:PDA48"/>
    <mergeCell ref="PCP46:PCP48"/>
    <mergeCell ref="PCQ46:PCQ48"/>
    <mergeCell ref="PCR46:PCR48"/>
    <mergeCell ref="PCS46:PCS48"/>
    <mergeCell ref="PCT46:PCT48"/>
    <mergeCell ref="PCU46:PCU48"/>
    <mergeCell ref="PCJ46:PCJ48"/>
    <mergeCell ref="PCK46:PCK48"/>
    <mergeCell ref="PCL46:PCL48"/>
    <mergeCell ref="PCM46:PCM48"/>
    <mergeCell ref="PCN46:PCN48"/>
    <mergeCell ref="PCO46:PCO48"/>
    <mergeCell ref="PCD46:PCD48"/>
    <mergeCell ref="PCE46:PCE48"/>
    <mergeCell ref="PCF46:PCF48"/>
    <mergeCell ref="PCG46:PCG48"/>
    <mergeCell ref="PCH46:PCH48"/>
    <mergeCell ref="PCI46:PCI48"/>
    <mergeCell ref="PBX46:PBX48"/>
    <mergeCell ref="PBY46:PBY48"/>
    <mergeCell ref="PBZ46:PBZ48"/>
    <mergeCell ref="PCA46:PCA48"/>
    <mergeCell ref="PCB46:PCB48"/>
    <mergeCell ref="PCC46:PCC48"/>
    <mergeCell ref="PBR46:PBR48"/>
    <mergeCell ref="PBS46:PBS48"/>
    <mergeCell ref="PBT46:PBT48"/>
    <mergeCell ref="PBU46:PBU48"/>
    <mergeCell ref="PBV46:PBV48"/>
    <mergeCell ref="PBW46:PBW48"/>
    <mergeCell ref="PBL46:PBL48"/>
    <mergeCell ref="PBM46:PBM48"/>
    <mergeCell ref="PBN46:PBN48"/>
    <mergeCell ref="PBO46:PBO48"/>
    <mergeCell ref="PBP46:PBP48"/>
    <mergeCell ref="PBQ46:PBQ48"/>
    <mergeCell ref="PBF46:PBF48"/>
    <mergeCell ref="PBG46:PBG48"/>
    <mergeCell ref="PBH46:PBH48"/>
    <mergeCell ref="PBI46:PBI48"/>
    <mergeCell ref="PBJ46:PBJ48"/>
    <mergeCell ref="PBK46:PBK48"/>
    <mergeCell ref="PAZ46:PAZ48"/>
    <mergeCell ref="PBA46:PBA48"/>
    <mergeCell ref="PBB46:PBB48"/>
    <mergeCell ref="PBC46:PBC48"/>
    <mergeCell ref="PBD46:PBD48"/>
    <mergeCell ref="PBE46:PBE48"/>
    <mergeCell ref="PAT46:PAT48"/>
    <mergeCell ref="PAU46:PAU48"/>
    <mergeCell ref="PAV46:PAV48"/>
    <mergeCell ref="PAW46:PAW48"/>
    <mergeCell ref="PAX46:PAX48"/>
    <mergeCell ref="PAY46:PAY48"/>
    <mergeCell ref="PAN46:PAN48"/>
    <mergeCell ref="PAO46:PAO48"/>
    <mergeCell ref="PAP46:PAP48"/>
    <mergeCell ref="PAQ46:PAQ48"/>
    <mergeCell ref="PAR46:PAR48"/>
    <mergeCell ref="PAS46:PAS48"/>
    <mergeCell ref="PAH46:PAH48"/>
    <mergeCell ref="PAI46:PAI48"/>
    <mergeCell ref="PAJ46:PAJ48"/>
    <mergeCell ref="PAK46:PAK48"/>
    <mergeCell ref="PAL46:PAL48"/>
    <mergeCell ref="PAM46:PAM48"/>
    <mergeCell ref="PAB46:PAB48"/>
    <mergeCell ref="PAC46:PAC48"/>
    <mergeCell ref="PAD46:PAD48"/>
    <mergeCell ref="PAE46:PAE48"/>
    <mergeCell ref="PAF46:PAF48"/>
    <mergeCell ref="PAG46:PAG48"/>
    <mergeCell ref="OZV46:OZV48"/>
    <mergeCell ref="OZW46:OZW48"/>
    <mergeCell ref="OZX46:OZX48"/>
    <mergeCell ref="OZY46:OZY48"/>
    <mergeCell ref="OZZ46:OZZ48"/>
    <mergeCell ref="PAA46:PAA48"/>
    <mergeCell ref="OZP46:OZP48"/>
    <mergeCell ref="OZQ46:OZQ48"/>
    <mergeCell ref="OZR46:OZR48"/>
    <mergeCell ref="OZS46:OZS48"/>
    <mergeCell ref="OZT46:OZT48"/>
    <mergeCell ref="OZU46:OZU48"/>
    <mergeCell ref="OZJ46:OZJ48"/>
    <mergeCell ref="OZK46:OZK48"/>
    <mergeCell ref="OZL46:OZL48"/>
    <mergeCell ref="OZM46:OZM48"/>
    <mergeCell ref="OZN46:OZN48"/>
    <mergeCell ref="OZO46:OZO48"/>
    <mergeCell ref="OZD46:OZD48"/>
    <mergeCell ref="OZE46:OZE48"/>
    <mergeCell ref="OZF46:OZF48"/>
    <mergeCell ref="OZG46:OZG48"/>
    <mergeCell ref="OZH46:OZH48"/>
    <mergeCell ref="OZI46:OZI48"/>
    <mergeCell ref="OYX46:OYX48"/>
    <mergeCell ref="OYY46:OYY48"/>
    <mergeCell ref="OYZ46:OYZ48"/>
    <mergeCell ref="OZA46:OZA48"/>
    <mergeCell ref="OZB46:OZB48"/>
    <mergeCell ref="OZC46:OZC48"/>
    <mergeCell ref="OYR46:OYR48"/>
    <mergeCell ref="OYS46:OYS48"/>
    <mergeCell ref="OYT46:OYT48"/>
    <mergeCell ref="OYU46:OYU48"/>
    <mergeCell ref="OYV46:OYV48"/>
    <mergeCell ref="OYW46:OYW48"/>
    <mergeCell ref="OYL46:OYL48"/>
    <mergeCell ref="OYM46:OYM48"/>
    <mergeCell ref="OYN46:OYN48"/>
    <mergeCell ref="OYO46:OYO48"/>
    <mergeCell ref="OYP46:OYP48"/>
    <mergeCell ref="OYQ46:OYQ48"/>
    <mergeCell ref="OYF46:OYF48"/>
    <mergeCell ref="OYG46:OYG48"/>
    <mergeCell ref="OYH46:OYH48"/>
    <mergeCell ref="OYI46:OYI48"/>
    <mergeCell ref="OYJ46:OYJ48"/>
    <mergeCell ref="OYK46:OYK48"/>
    <mergeCell ref="OXZ46:OXZ48"/>
    <mergeCell ref="OYA46:OYA48"/>
    <mergeCell ref="OYB46:OYB48"/>
    <mergeCell ref="OYC46:OYC48"/>
    <mergeCell ref="OYD46:OYD48"/>
    <mergeCell ref="OYE46:OYE48"/>
    <mergeCell ref="OXT46:OXT48"/>
    <mergeCell ref="OXU46:OXU48"/>
    <mergeCell ref="OXV46:OXV48"/>
    <mergeCell ref="OXW46:OXW48"/>
    <mergeCell ref="OXX46:OXX48"/>
    <mergeCell ref="OXY46:OXY48"/>
    <mergeCell ref="OXN46:OXN48"/>
    <mergeCell ref="OXO46:OXO48"/>
    <mergeCell ref="OXP46:OXP48"/>
    <mergeCell ref="OXQ46:OXQ48"/>
    <mergeCell ref="OXR46:OXR48"/>
    <mergeCell ref="OXS46:OXS48"/>
    <mergeCell ref="OXH46:OXH48"/>
    <mergeCell ref="OXI46:OXI48"/>
    <mergeCell ref="OXJ46:OXJ48"/>
    <mergeCell ref="OXK46:OXK48"/>
    <mergeCell ref="OXL46:OXL48"/>
    <mergeCell ref="OXM46:OXM48"/>
    <mergeCell ref="OXB46:OXB48"/>
    <mergeCell ref="OXC46:OXC48"/>
    <mergeCell ref="OXD46:OXD48"/>
    <mergeCell ref="OXE46:OXE48"/>
    <mergeCell ref="OXF46:OXF48"/>
    <mergeCell ref="OXG46:OXG48"/>
    <mergeCell ref="OWV46:OWV48"/>
    <mergeCell ref="OWW46:OWW48"/>
    <mergeCell ref="OWX46:OWX48"/>
    <mergeCell ref="OWY46:OWY48"/>
    <mergeCell ref="OWZ46:OWZ48"/>
    <mergeCell ref="OXA46:OXA48"/>
    <mergeCell ref="OWP46:OWP48"/>
    <mergeCell ref="OWQ46:OWQ48"/>
    <mergeCell ref="OWR46:OWR48"/>
    <mergeCell ref="OWS46:OWS48"/>
    <mergeCell ref="OWT46:OWT48"/>
    <mergeCell ref="OWU46:OWU48"/>
    <mergeCell ref="OWJ46:OWJ48"/>
    <mergeCell ref="OWK46:OWK48"/>
    <mergeCell ref="OWL46:OWL48"/>
    <mergeCell ref="OWM46:OWM48"/>
    <mergeCell ref="OWN46:OWN48"/>
    <mergeCell ref="OWO46:OWO48"/>
    <mergeCell ref="OWD46:OWD48"/>
    <mergeCell ref="OWE46:OWE48"/>
    <mergeCell ref="OWF46:OWF48"/>
    <mergeCell ref="OWG46:OWG48"/>
    <mergeCell ref="OWH46:OWH48"/>
    <mergeCell ref="OWI46:OWI48"/>
    <mergeCell ref="OVX46:OVX48"/>
    <mergeCell ref="OVY46:OVY48"/>
    <mergeCell ref="OVZ46:OVZ48"/>
    <mergeCell ref="OWA46:OWA48"/>
    <mergeCell ref="OWB46:OWB48"/>
    <mergeCell ref="OWC46:OWC48"/>
    <mergeCell ref="OVR46:OVR48"/>
    <mergeCell ref="OVS46:OVS48"/>
    <mergeCell ref="OVT46:OVT48"/>
    <mergeCell ref="OVU46:OVU48"/>
    <mergeCell ref="OVV46:OVV48"/>
    <mergeCell ref="OVW46:OVW48"/>
    <mergeCell ref="OVL46:OVL48"/>
    <mergeCell ref="OVM46:OVM48"/>
    <mergeCell ref="OVN46:OVN48"/>
    <mergeCell ref="OVO46:OVO48"/>
    <mergeCell ref="OVP46:OVP48"/>
    <mergeCell ref="OVQ46:OVQ48"/>
    <mergeCell ref="OVF46:OVF48"/>
    <mergeCell ref="OVG46:OVG48"/>
    <mergeCell ref="OVH46:OVH48"/>
    <mergeCell ref="OVI46:OVI48"/>
    <mergeCell ref="OVJ46:OVJ48"/>
    <mergeCell ref="OVK46:OVK48"/>
    <mergeCell ref="OUZ46:OUZ48"/>
    <mergeCell ref="OVA46:OVA48"/>
    <mergeCell ref="OVB46:OVB48"/>
    <mergeCell ref="OVC46:OVC48"/>
    <mergeCell ref="OVD46:OVD48"/>
    <mergeCell ref="OVE46:OVE48"/>
    <mergeCell ref="OUT46:OUT48"/>
    <mergeCell ref="OUU46:OUU48"/>
    <mergeCell ref="OUV46:OUV48"/>
    <mergeCell ref="OUW46:OUW48"/>
    <mergeCell ref="OUX46:OUX48"/>
    <mergeCell ref="OUY46:OUY48"/>
    <mergeCell ref="OUN46:OUN48"/>
    <mergeCell ref="OUO46:OUO48"/>
    <mergeCell ref="OUP46:OUP48"/>
    <mergeCell ref="OUQ46:OUQ48"/>
    <mergeCell ref="OUR46:OUR48"/>
    <mergeCell ref="OUS46:OUS48"/>
    <mergeCell ref="OUH46:OUH48"/>
    <mergeCell ref="OUI46:OUI48"/>
    <mergeCell ref="OUJ46:OUJ48"/>
    <mergeCell ref="OUK46:OUK48"/>
    <mergeCell ref="OUL46:OUL48"/>
    <mergeCell ref="OUM46:OUM48"/>
    <mergeCell ref="OUB46:OUB48"/>
    <mergeCell ref="OUC46:OUC48"/>
    <mergeCell ref="OUD46:OUD48"/>
    <mergeCell ref="OUE46:OUE48"/>
    <mergeCell ref="OUF46:OUF48"/>
    <mergeCell ref="OUG46:OUG48"/>
    <mergeCell ref="OTV46:OTV48"/>
    <mergeCell ref="OTW46:OTW48"/>
    <mergeCell ref="OTX46:OTX48"/>
    <mergeCell ref="OTY46:OTY48"/>
    <mergeCell ref="OTZ46:OTZ48"/>
    <mergeCell ref="OUA46:OUA48"/>
    <mergeCell ref="OTP46:OTP48"/>
    <mergeCell ref="OTQ46:OTQ48"/>
    <mergeCell ref="OTR46:OTR48"/>
    <mergeCell ref="OTS46:OTS48"/>
    <mergeCell ref="OTT46:OTT48"/>
    <mergeCell ref="OTU46:OTU48"/>
    <mergeCell ref="OTJ46:OTJ48"/>
    <mergeCell ref="OTK46:OTK48"/>
    <mergeCell ref="OTL46:OTL48"/>
    <mergeCell ref="OTM46:OTM48"/>
    <mergeCell ref="OTN46:OTN48"/>
    <mergeCell ref="OTO46:OTO48"/>
    <mergeCell ref="OTD46:OTD48"/>
    <mergeCell ref="OTE46:OTE48"/>
    <mergeCell ref="OTF46:OTF48"/>
    <mergeCell ref="OTG46:OTG48"/>
    <mergeCell ref="OTH46:OTH48"/>
    <mergeCell ref="OTI46:OTI48"/>
    <mergeCell ref="OSX46:OSX48"/>
    <mergeCell ref="OSY46:OSY48"/>
    <mergeCell ref="OSZ46:OSZ48"/>
    <mergeCell ref="OTA46:OTA48"/>
    <mergeCell ref="OTB46:OTB48"/>
    <mergeCell ref="OTC46:OTC48"/>
    <mergeCell ref="OSR46:OSR48"/>
    <mergeCell ref="OSS46:OSS48"/>
    <mergeCell ref="OST46:OST48"/>
    <mergeCell ref="OSU46:OSU48"/>
    <mergeCell ref="OSV46:OSV48"/>
    <mergeCell ref="OSW46:OSW48"/>
    <mergeCell ref="OSL46:OSL48"/>
    <mergeCell ref="OSM46:OSM48"/>
    <mergeCell ref="OSN46:OSN48"/>
    <mergeCell ref="OSO46:OSO48"/>
    <mergeCell ref="OSP46:OSP48"/>
    <mergeCell ref="OSQ46:OSQ48"/>
    <mergeCell ref="OSF46:OSF48"/>
    <mergeCell ref="OSG46:OSG48"/>
    <mergeCell ref="OSH46:OSH48"/>
    <mergeCell ref="OSI46:OSI48"/>
    <mergeCell ref="OSJ46:OSJ48"/>
    <mergeCell ref="OSK46:OSK48"/>
    <mergeCell ref="ORZ46:ORZ48"/>
    <mergeCell ref="OSA46:OSA48"/>
    <mergeCell ref="OSB46:OSB48"/>
    <mergeCell ref="OSC46:OSC48"/>
    <mergeCell ref="OSD46:OSD48"/>
    <mergeCell ref="OSE46:OSE48"/>
    <mergeCell ref="ORT46:ORT48"/>
    <mergeCell ref="ORU46:ORU48"/>
    <mergeCell ref="ORV46:ORV48"/>
    <mergeCell ref="ORW46:ORW48"/>
    <mergeCell ref="ORX46:ORX48"/>
    <mergeCell ref="ORY46:ORY48"/>
    <mergeCell ref="ORN46:ORN48"/>
    <mergeCell ref="ORO46:ORO48"/>
    <mergeCell ref="ORP46:ORP48"/>
    <mergeCell ref="ORQ46:ORQ48"/>
    <mergeCell ref="ORR46:ORR48"/>
    <mergeCell ref="ORS46:ORS48"/>
    <mergeCell ref="ORH46:ORH48"/>
    <mergeCell ref="ORI46:ORI48"/>
    <mergeCell ref="ORJ46:ORJ48"/>
    <mergeCell ref="ORK46:ORK48"/>
    <mergeCell ref="ORL46:ORL48"/>
    <mergeCell ref="ORM46:ORM48"/>
    <mergeCell ref="ORB46:ORB48"/>
    <mergeCell ref="ORC46:ORC48"/>
    <mergeCell ref="ORD46:ORD48"/>
    <mergeCell ref="ORE46:ORE48"/>
    <mergeCell ref="ORF46:ORF48"/>
    <mergeCell ref="ORG46:ORG48"/>
    <mergeCell ref="OQV46:OQV48"/>
    <mergeCell ref="OQW46:OQW48"/>
    <mergeCell ref="OQX46:OQX48"/>
    <mergeCell ref="OQY46:OQY48"/>
    <mergeCell ref="OQZ46:OQZ48"/>
    <mergeCell ref="ORA46:ORA48"/>
    <mergeCell ref="OQP46:OQP48"/>
    <mergeCell ref="OQQ46:OQQ48"/>
    <mergeCell ref="OQR46:OQR48"/>
    <mergeCell ref="OQS46:OQS48"/>
    <mergeCell ref="OQT46:OQT48"/>
    <mergeCell ref="OQU46:OQU48"/>
    <mergeCell ref="OQJ46:OQJ48"/>
    <mergeCell ref="OQK46:OQK48"/>
    <mergeCell ref="OQL46:OQL48"/>
    <mergeCell ref="OQM46:OQM48"/>
    <mergeCell ref="OQN46:OQN48"/>
    <mergeCell ref="OQO46:OQO48"/>
    <mergeCell ref="OQD46:OQD48"/>
    <mergeCell ref="OQE46:OQE48"/>
    <mergeCell ref="OQF46:OQF48"/>
    <mergeCell ref="OQG46:OQG48"/>
    <mergeCell ref="OQH46:OQH48"/>
    <mergeCell ref="OQI46:OQI48"/>
    <mergeCell ref="OPX46:OPX48"/>
    <mergeCell ref="OPY46:OPY48"/>
    <mergeCell ref="OPZ46:OPZ48"/>
    <mergeCell ref="OQA46:OQA48"/>
    <mergeCell ref="OQB46:OQB48"/>
    <mergeCell ref="OQC46:OQC48"/>
    <mergeCell ref="OPR46:OPR48"/>
    <mergeCell ref="OPS46:OPS48"/>
    <mergeCell ref="OPT46:OPT48"/>
    <mergeCell ref="OPU46:OPU48"/>
    <mergeCell ref="OPV46:OPV48"/>
    <mergeCell ref="OPW46:OPW48"/>
    <mergeCell ref="OPL46:OPL48"/>
    <mergeCell ref="OPM46:OPM48"/>
    <mergeCell ref="OPN46:OPN48"/>
    <mergeCell ref="OPO46:OPO48"/>
    <mergeCell ref="OPP46:OPP48"/>
    <mergeCell ref="OPQ46:OPQ48"/>
    <mergeCell ref="OPF46:OPF48"/>
    <mergeCell ref="OPG46:OPG48"/>
    <mergeCell ref="OPH46:OPH48"/>
    <mergeCell ref="OPI46:OPI48"/>
    <mergeCell ref="OPJ46:OPJ48"/>
    <mergeCell ref="OPK46:OPK48"/>
    <mergeCell ref="OOZ46:OOZ48"/>
    <mergeCell ref="OPA46:OPA48"/>
    <mergeCell ref="OPB46:OPB48"/>
    <mergeCell ref="OPC46:OPC48"/>
    <mergeCell ref="OPD46:OPD48"/>
    <mergeCell ref="OPE46:OPE48"/>
    <mergeCell ref="OOT46:OOT48"/>
    <mergeCell ref="OOU46:OOU48"/>
    <mergeCell ref="OOV46:OOV48"/>
    <mergeCell ref="OOW46:OOW48"/>
    <mergeCell ref="OOX46:OOX48"/>
    <mergeCell ref="OOY46:OOY48"/>
    <mergeCell ref="OON46:OON48"/>
    <mergeCell ref="OOO46:OOO48"/>
    <mergeCell ref="OOP46:OOP48"/>
    <mergeCell ref="OOQ46:OOQ48"/>
    <mergeCell ref="OOR46:OOR48"/>
    <mergeCell ref="OOS46:OOS48"/>
    <mergeCell ref="OOH46:OOH48"/>
    <mergeCell ref="OOI46:OOI48"/>
    <mergeCell ref="OOJ46:OOJ48"/>
    <mergeCell ref="OOK46:OOK48"/>
    <mergeCell ref="OOL46:OOL48"/>
    <mergeCell ref="OOM46:OOM48"/>
    <mergeCell ref="OOB46:OOB48"/>
    <mergeCell ref="OOC46:OOC48"/>
    <mergeCell ref="OOD46:OOD48"/>
    <mergeCell ref="OOE46:OOE48"/>
    <mergeCell ref="OOF46:OOF48"/>
    <mergeCell ref="OOG46:OOG48"/>
    <mergeCell ref="ONV46:ONV48"/>
    <mergeCell ref="ONW46:ONW48"/>
    <mergeCell ref="ONX46:ONX48"/>
    <mergeCell ref="ONY46:ONY48"/>
    <mergeCell ref="ONZ46:ONZ48"/>
    <mergeCell ref="OOA46:OOA48"/>
    <mergeCell ref="ONP46:ONP48"/>
    <mergeCell ref="ONQ46:ONQ48"/>
    <mergeCell ref="ONR46:ONR48"/>
    <mergeCell ref="ONS46:ONS48"/>
    <mergeCell ref="ONT46:ONT48"/>
    <mergeCell ref="ONU46:ONU48"/>
    <mergeCell ref="ONJ46:ONJ48"/>
    <mergeCell ref="ONK46:ONK48"/>
    <mergeCell ref="ONL46:ONL48"/>
    <mergeCell ref="ONM46:ONM48"/>
    <mergeCell ref="ONN46:ONN48"/>
    <mergeCell ref="ONO46:ONO48"/>
    <mergeCell ref="OND46:OND48"/>
    <mergeCell ref="ONE46:ONE48"/>
    <mergeCell ref="ONF46:ONF48"/>
    <mergeCell ref="ONG46:ONG48"/>
    <mergeCell ref="ONH46:ONH48"/>
    <mergeCell ref="ONI46:ONI48"/>
    <mergeCell ref="OMX46:OMX48"/>
    <mergeCell ref="OMY46:OMY48"/>
    <mergeCell ref="OMZ46:OMZ48"/>
    <mergeCell ref="ONA46:ONA48"/>
    <mergeCell ref="ONB46:ONB48"/>
    <mergeCell ref="ONC46:ONC48"/>
    <mergeCell ref="OMR46:OMR48"/>
    <mergeCell ref="OMS46:OMS48"/>
    <mergeCell ref="OMT46:OMT48"/>
    <mergeCell ref="OMU46:OMU48"/>
    <mergeCell ref="OMV46:OMV48"/>
    <mergeCell ref="OMW46:OMW48"/>
    <mergeCell ref="OML46:OML48"/>
    <mergeCell ref="OMM46:OMM48"/>
    <mergeCell ref="OMN46:OMN48"/>
    <mergeCell ref="OMO46:OMO48"/>
    <mergeCell ref="OMP46:OMP48"/>
    <mergeCell ref="OMQ46:OMQ48"/>
    <mergeCell ref="OMF46:OMF48"/>
    <mergeCell ref="OMG46:OMG48"/>
    <mergeCell ref="OMH46:OMH48"/>
    <mergeCell ref="OMI46:OMI48"/>
    <mergeCell ref="OMJ46:OMJ48"/>
    <mergeCell ref="OMK46:OMK48"/>
    <mergeCell ref="OLZ46:OLZ48"/>
    <mergeCell ref="OMA46:OMA48"/>
    <mergeCell ref="OMB46:OMB48"/>
    <mergeCell ref="OMC46:OMC48"/>
    <mergeCell ref="OMD46:OMD48"/>
    <mergeCell ref="OME46:OME48"/>
    <mergeCell ref="OLT46:OLT48"/>
    <mergeCell ref="OLU46:OLU48"/>
    <mergeCell ref="OLV46:OLV48"/>
    <mergeCell ref="OLW46:OLW48"/>
    <mergeCell ref="OLX46:OLX48"/>
    <mergeCell ref="OLY46:OLY48"/>
    <mergeCell ref="OLN46:OLN48"/>
    <mergeCell ref="OLO46:OLO48"/>
    <mergeCell ref="OLP46:OLP48"/>
    <mergeCell ref="OLQ46:OLQ48"/>
    <mergeCell ref="OLR46:OLR48"/>
    <mergeCell ref="OLS46:OLS48"/>
    <mergeCell ref="OLH46:OLH48"/>
    <mergeCell ref="OLI46:OLI48"/>
    <mergeCell ref="OLJ46:OLJ48"/>
    <mergeCell ref="OLK46:OLK48"/>
    <mergeCell ref="OLL46:OLL48"/>
    <mergeCell ref="OLM46:OLM48"/>
    <mergeCell ref="OLB46:OLB48"/>
    <mergeCell ref="OLC46:OLC48"/>
    <mergeCell ref="OLD46:OLD48"/>
    <mergeCell ref="OLE46:OLE48"/>
    <mergeCell ref="OLF46:OLF48"/>
    <mergeCell ref="OLG46:OLG48"/>
    <mergeCell ref="OKV46:OKV48"/>
    <mergeCell ref="OKW46:OKW48"/>
    <mergeCell ref="OKX46:OKX48"/>
    <mergeCell ref="OKY46:OKY48"/>
    <mergeCell ref="OKZ46:OKZ48"/>
    <mergeCell ref="OLA46:OLA48"/>
    <mergeCell ref="OKP46:OKP48"/>
    <mergeCell ref="OKQ46:OKQ48"/>
    <mergeCell ref="OKR46:OKR48"/>
    <mergeCell ref="OKS46:OKS48"/>
    <mergeCell ref="OKT46:OKT48"/>
    <mergeCell ref="OKU46:OKU48"/>
    <mergeCell ref="OKJ46:OKJ48"/>
    <mergeCell ref="OKK46:OKK48"/>
    <mergeCell ref="OKL46:OKL48"/>
    <mergeCell ref="OKM46:OKM48"/>
    <mergeCell ref="OKN46:OKN48"/>
    <mergeCell ref="OKO46:OKO48"/>
    <mergeCell ref="OKD46:OKD48"/>
    <mergeCell ref="OKE46:OKE48"/>
    <mergeCell ref="OKF46:OKF48"/>
    <mergeCell ref="OKG46:OKG48"/>
    <mergeCell ref="OKH46:OKH48"/>
    <mergeCell ref="OKI46:OKI48"/>
    <mergeCell ref="OJX46:OJX48"/>
    <mergeCell ref="OJY46:OJY48"/>
    <mergeCell ref="OJZ46:OJZ48"/>
    <mergeCell ref="OKA46:OKA48"/>
    <mergeCell ref="OKB46:OKB48"/>
    <mergeCell ref="OKC46:OKC48"/>
    <mergeCell ref="OJR46:OJR48"/>
    <mergeCell ref="OJS46:OJS48"/>
    <mergeCell ref="OJT46:OJT48"/>
    <mergeCell ref="OJU46:OJU48"/>
    <mergeCell ref="OJV46:OJV48"/>
    <mergeCell ref="OJW46:OJW48"/>
    <mergeCell ref="OJL46:OJL48"/>
    <mergeCell ref="OJM46:OJM48"/>
    <mergeCell ref="OJN46:OJN48"/>
    <mergeCell ref="OJO46:OJO48"/>
    <mergeCell ref="OJP46:OJP48"/>
    <mergeCell ref="OJQ46:OJQ48"/>
    <mergeCell ref="OJF46:OJF48"/>
    <mergeCell ref="OJG46:OJG48"/>
    <mergeCell ref="OJH46:OJH48"/>
    <mergeCell ref="OJI46:OJI48"/>
    <mergeCell ref="OJJ46:OJJ48"/>
    <mergeCell ref="OJK46:OJK48"/>
    <mergeCell ref="OIZ46:OIZ48"/>
    <mergeCell ref="OJA46:OJA48"/>
    <mergeCell ref="OJB46:OJB48"/>
    <mergeCell ref="OJC46:OJC48"/>
    <mergeCell ref="OJD46:OJD48"/>
    <mergeCell ref="OJE46:OJE48"/>
    <mergeCell ref="OIT46:OIT48"/>
    <mergeCell ref="OIU46:OIU48"/>
    <mergeCell ref="OIV46:OIV48"/>
    <mergeCell ref="OIW46:OIW48"/>
    <mergeCell ref="OIX46:OIX48"/>
    <mergeCell ref="OIY46:OIY48"/>
    <mergeCell ref="OIN46:OIN48"/>
    <mergeCell ref="OIO46:OIO48"/>
    <mergeCell ref="OIP46:OIP48"/>
    <mergeCell ref="OIQ46:OIQ48"/>
    <mergeCell ref="OIR46:OIR48"/>
    <mergeCell ref="OIS46:OIS48"/>
    <mergeCell ref="OIH46:OIH48"/>
    <mergeCell ref="OII46:OII48"/>
    <mergeCell ref="OIJ46:OIJ48"/>
    <mergeCell ref="OIK46:OIK48"/>
    <mergeCell ref="OIL46:OIL48"/>
    <mergeCell ref="OIM46:OIM48"/>
    <mergeCell ref="OIB46:OIB48"/>
    <mergeCell ref="OIC46:OIC48"/>
    <mergeCell ref="OID46:OID48"/>
    <mergeCell ref="OIE46:OIE48"/>
    <mergeCell ref="OIF46:OIF48"/>
    <mergeCell ref="OIG46:OIG48"/>
    <mergeCell ref="OHV46:OHV48"/>
    <mergeCell ref="OHW46:OHW48"/>
    <mergeCell ref="OHX46:OHX48"/>
    <mergeCell ref="OHY46:OHY48"/>
    <mergeCell ref="OHZ46:OHZ48"/>
    <mergeCell ref="OIA46:OIA48"/>
    <mergeCell ref="OHP46:OHP48"/>
    <mergeCell ref="OHQ46:OHQ48"/>
    <mergeCell ref="OHR46:OHR48"/>
    <mergeCell ref="OHS46:OHS48"/>
    <mergeCell ref="OHT46:OHT48"/>
    <mergeCell ref="OHU46:OHU48"/>
    <mergeCell ref="OHJ46:OHJ48"/>
    <mergeCell ref="OHK46:OHK48"/>
    <mergeCell ref="OHL46:OHL48"/>
    <mergeCell ref="OHM46:OHM48"/>
    <mergeCell ref="OHN46:OHN48"/>
    <mergeCell ref="OHO46:OHO48"/>
    <mergeCell ref="OHD46:OHD48"/>
    <mergeCell ref="OHE46:OHE48"/>
    <mergeCell ref="OHF46:OHF48"/>
    <mergeCell ref="OHG46:OHG48"/>
    <mergeCell ref="OHH46:OHH48"/>
    <mergeCell ref="OHI46:OHI48"/>
    <mergeCell ref="OGX46:OGX48"/>
    <mergeCell ref="OGY46:OGY48"/>
    <mergeCell ref="OGZ46:OGZ48"/>
    <mergeCell ref="OHA46:OHA48"/>
    <mergeCell ref="OHB46:OHB48"/>
    <mergeCell ref="OHC46:OHC48"/>
    <mergeCell ref="OGR46:OGR48"/>
    <mergeCell ref="OGS46:OGS48"/>
    <mergeCell ref="OGT46:OGT48"/>
    <mergeCell ref="OGU46:OGU48"/>
    <mergeCell ref="OGV46:OGV48"/>
    <mergeCell ref="OGW46:OGW48"/>
    <mergeCell ref="OGL46:OGL48"/>
    <mergeCell ref="OGM46:OGM48"/>
    <mergeCell ref="OGN46:OGN48"/>
    <mergeCell ref="OGO46:OGO48"/>
    <mergeCell ref="OGP46:OGP48"/>
    <mergeCell ref="OGQ46:OGQ48"/>
    <mergeCell ref="OGF46:OGF48"/>
    <mergeCell ref="OGG46:OGG48"/>
    <mergeCell ref="OGH46:OGH48"/>
    <mergeCell ref="OGI46:OGI48"/>
    <mergeCell ref="OGJ46:OGJ48"/>
    <mergeCell ref="OGK46:OGK48"/>
    <mergeCell ref="OFZ46:OFZ48"/>
    <mergeCell ref="OGA46:OGA48"/>
    <mergeCell ref="OGB46:OGB48"/>
    <mergeCell ref="OGC46:OGC48"/>
    <mergeCell ref="OGD46:OGD48"/>
    <mergeCell ref="OGE46:OGE48"/>
    <mergeCell ref="OFT46:OFT48"/>
    <mergeCell ref="OFU46:OFU48"/>
    <mergeCell ref="OFV46:OFV48"/>
    <mergeCell ref="OFW46:OFW48"/>
    <mergeCell ref="OFX46:OFX48"/>
    <mergeCell ref="OFY46:OFY48"/>
    <mergeCell ref="OFN46:OFN48"/>
    <mergeCell ref="OFO46:OFO48"/>
    <mergeCell ref="OFP46:OFP48"/>
    <mergeCell ref="OFQ46:OFQ48"/>
    <mergeCell ref="OFR46:OFR48"/>
    <mergeCell ref="OFS46:OFS48"/>
    <mergeCell ref="OFH46:OFH48"/>
    <mergeCell ref="OFI46:OFI48"/>
    <mergeCell ref="OFJ46:OFJ48"/>
    <mergeCell ref="OFK46:OFK48"/>
    <mergeCell ref="OFL46:OFL48"/>
    <mergeCell ref="OFM46:OFM48"/>
    <mergeCell ref="OFB46:OFB48"/>
    <mergeCell ref="OFC46:OFC48"/>
    <mergeCell ref="OFD46:OFD48"/>
    <mergeCell ref="OFE46:OFE48"/>
    <mergeCell ref="OFF46:OFF48"/>
    <mergeCell ref="OFG46:OFG48"/>
    <mergeCell ref="OEV46:OEV48"/>
    <mergeCell ref="OEW46:OEW48"/>
    <mergeCell ref="OEX46:OEX48"/>
    <mergeCell ref="OEY46:OEY48"/>
    <mergeCell ref="OEZ46:OEZ48"/>
    <mergeCell ref="OFA46:OFA48"/>
    <mergeCell ref="OEP46:OEP48"/>
    <mergeCell ref="OEQ46:OEQ48"/>
    <mergeCell ref="OER46:OER48"/>
    <mergeCell ref="OES46:OES48"/>
    <mergeCell ref="OET46:OET48"/>
    <mergeCell ref="OEU46:OEU48"/>
    <mergeCell ref="OEJ46:OEJ48"/>
    <mergeCell ref="OEK46:OEK48"/>
    <mergeCell ref="OEL46:OEL48"/>
    <mergeCell ref="OEM46:OEM48"/>
    <mergeCell ref="OEN46:OEN48"/>
    <mergeCell ref="OEO46:OEO48"/>
    <mergeCell ref="OED46:OED48"/>
    <mergeCell ref="OEE46:OEE48"/>
    <mergeCell ref="OEF46:OEF48"/>
    <mergeCell ref="OEG46:OEG48"/>
    <mergeCell ref="OEH46:OEH48"/>
    <mergeCell ref="OEI46:OEI48"/>
    <mergeCell ref="ODX46:ODX48"/>
    <mergeCell ref="ODY46:ODY48"/>
    <mergeCell ref="ODZ46:ODZ48"/>
    <mergeCell ref="OEA46:OEA48"/>
    <mergeCell ref="OEB46:OEB48"/>
    <mergeCell ref="OEC46:OEC48"/>
    <mergeCell ref="ODR46:ODR48"/>
    <mergeCell ref="ODS46:ODS48"/>
    <mergeCell ref="ODT46:ODT48"/>
    <mergeCell ref="ODU46:ODU48"/>
    <mergeCell ref="ODV46:ODV48"/>
    <mergeCell ref="ODW46:ODW48"/>
    <mergeCell ref="ODL46:ODL48"/>
    <mergeCell ref="ODM46:ODM48"/>
    <mergeCell ref="ODN46:ODN48"/>
    <mergeCell ref="ODO46:ODO48"/>
    <mergeCell ref="ODP46:ODP48"/>
    <mergeCell ref="ODQ46:ODQ48"/>
    <mergeCell ref="ODF46:ODF48"/>
    <mergeCell ref="ODG46:ODG48"/>
    <mergeCell ref="ODH46:ODH48"/>
    <mergeCell ref="ODI46:ODI48"/>
    <mergeCell ref="ODJ46:ODJ48"/>
    <mergeCell ref="ODK46:ODK48"/>
    <mergeCell ref="OCZ46:OCZ48"/>
    <mergeCell ref="ODA46:ODA48"/>
    <mergeCell ref="ODB46:ODB48"/>
    <mergeCell ref="ODC46:ODC48"/>
    <mergeCell ref="ODD46:ODD48"/>
    <mergeCell ref="ODE46:ODE48"/>
    <mergeCell ref="OCT46:OCT48"/>
    <mergeCell ref="OCU46:OCU48"/>
    <mergeCell ref="OCV46:OCV48"/>
    <mergeCell ref="OCW46:OCW48"/>
    <mergeCell ref="OCX46:OCX48"/>
    <mergeCell ref="OCY46:OCY48"/>
    <mergeCell ref="OCN46:OCN48"/>
    <mergeCell ref="OCO46:OCO48"/>
    <mergeCell ref="OCP46:OCP48"/>
    <mergeCell ref="OCQ46:OCQ48"/>
    <mergeCell ref="OCR46:OCR48"/>
    <mergeCell ref="OCS46:OCS48"/>
    <mergeCell ref="OCH46:OCH48"/>
    <mergeCell ref="OCI46:OCI48"/>
    <mergeCell ref="OCJ46:OCJ48"/>
    <mergeCell ref="OCK46:OCK48"/>
    <mergeCell ref="OCL46:OCL48"/>
    <mergeCell ref="OCM46:OCM48"/>
    <mergeCell ref="OCB46:OCB48"/>
    <mergeCell ref="OCC46:OCC48"/>
    <mergeCell ref="OCD46:OCD48"/>
    <mergeCell ref="OCE46:OCE48"/>
    <mergeCell ref="OCF46:OCF48"/>
    <mergeCell ref="OCG46:OCG48"/>
    <mergeCell ref="OBV46:OBV48"/>
    <mergeCell ref="OBW46:OBW48"/>
    <mergeCell ref="OBX46:OBX48"/>
    <mergeCell ref="OBY46:OBY48"/>
    <mergeCell ref="OBZ46:OBZ48"/>
    <mergeCell ref="OCA46:OCA48"/>
    <mergeCell ref="OBP46:OBP48"/>
    <mergeCell ref="OBQ46:OBQ48"/>
    <mergeCell ref="OBR46:OBR48"/>
    <mergeCell ref="OBS46:OBS48"/>
    <mergeCell ref="OBT46:OBT48"/>
    <mergeCell ref="OBU46:OBU48"/>
    <mergeCell ref="OBJ46:OBJ48"/>
    <mergeCell ref="OBK46:OBK48"/>
    <mergeCell ref="OBL46:OBL48"/>
    <mergeCell ref="OBM46:OBM48"/>
    <mergeCell ref="OBN46:OBN48"/>
    <mergeCell ref="OBO46:OBO48"/>
    <mergeCell ref="OBD46:OBD48"/>
    <mergeCell ref="OBE46:OBE48"/>
    <mergeCell ref="OBF46:OBF48"/>
    <mergeCell ref="OBG46:OBG48"/>
    <mergeCell ref="OBH46:OBH48"/>
    <mergeCell ref="OBI46:OBI48"/>
    <mergeCell ref="OAX46:OAX48"/>
    <mergeCell ref="OAY46:OAY48"/>
    <mergeCell ref="OAZ46:OAZ48"/>
    <mergeCell ref="OBA46:OBA48"/>
    <mergeCell ref="OBB46:OBB48"/>
    <mergeCell ref="OBC46:OBC48"/>
    <mergeCell ref="OAR46:OAR48"/>
    <mergeCell ref="OAS46:OAS48"/>
    <mergeCell ref="OAT46:OAT48"/>
    <mergeCell ref="OAU46:OAU48"/>
    <mergeCell ref="OAV46:OAV48"/>
    <mergeCell ref="OAW46:OAW48"/>
    <mergeCell ref="OAL46:OAL48"/>
    <mergeCell ref="OAM46:OAM48"/>
    <mergeCell ref="OAN46:OAN48"/>
    <mergeCell ref="OAO46:OAO48"/>
    <mergeCell ref="OAP46:OAP48"/>
    <mergeCell ref="OAQ46:OAQ48"/>
    <mergeCell ref="OAF46:OAF48"/>
    <mergeCell ref="OAG46:OAG48"/>
    <mergeCell ref="OAH46:OAH48"/>
    <mergeCell ref="OAI46:OAI48"/>
    <mergeCell ref="OAJ46:OAJ48"/>
    <mergeCell ref="OAK46:OAK48"/>
    <mergeCell ref="NZZ46:NZZ48"/>
    <mergeCell ref="OAA46:OAA48"/>
    <mergeCell ref="OAB46:OAB48"/>
    <mergeCell ref="OAC46:OAC48"/>
    <mergeCell ref="OAD46:OAD48"/>
    <mergeCell ref="OAE46:OAE48"/>
    <mergeCell ref="NZT46:NZT48"/>
    <mergeCell ref="NZU46:NZU48"/>
    <mergeCell ref="NZV46:NZV48"/>
    <mergeCell ref="NZW46:NZW48"/>
    <mergeCell ref="NZX46:NZX48"/>
    <mergeCell ref="NZY46:NZY48"/>
    <mergeCell ref="NZN46:NZN48"/>
    <mergeCell ref="NZO46:NZO48"/>
    <mergeCell ref="NZP46:NZP48"/>
    <mergeCell ref="NZQ46:NZQ48"/>
    <mergeCell ref="NZR46:NZR48"/>
    <mergeCell ref="NZS46:NZS48"/>
    <mergeCell ref="NZH46:NZH48"/>
    <mergeCell ref="NZI46:NZI48"/>
    <mergeCell ref="NZJ46:NZJ48"/>
    <mergeCell ref="NZK46:NZK48"/>
    <mergeCell ref="NZL46:NZL48"/>
    <mergeCell ref="NZM46:NZM48"/>
    <mergeCell ref="NZB46:NZB48"/>
    <mergeCell ref="NZC46:NZC48"/>
    <mergeCell ref="NZD46:NZD48"/>
    <mergeCell ref="NZE46:NZE48"/>
    <mergeCell ref="NZF46:NZF48"/>
    <mergeCell ref="NZG46:NZG48"/>
    <mergeCell ref="NYV46:NYV48"/>
    <mergeCell ref="NYW46:NYW48"/>
    <mergeCell ref="NYX46:NYX48"/>
    <mergeCell ref="NYY46:NYY48"/>
    <mergeCell ref="NYZ46:NYZ48"/>
    <mergeCell ref="NZA46:NZA48"/>
    <mergeCell ref="NYP46:NYP48"/>
    <mergeCell ref="NYQ46:NYQ48"/>
    <mergeCell ref="NYR46:NYR48"/>
    <mergeCell ref="NYS46:NYS48"/>
    <mergeCell ref="NYT46:NYT48"/>
    <mergeCell ref="NYU46:NYU48"/>
    <mergeCell ref="NYJ46:NYJ48"/>
    <mergeCell ref="NYK46:NYK48"/>
    <mergeCell ref="NYL46:NYL48"/>
    <mergeCell ref="NYM46:NYM48"/>
    <mergeCell ref="NYN46:NYN48"/>
    <mergeCell ref="NYO46:NYO48"/>
    <mergeCell ref="NYD46:NYD48"/>
    <mergeCell ref="NYE46:NYE48"/>
    <mergeCell ref="NYF46:NYF48"/>
    <mergeCell ref="NYG46:NYG48"/>
    <mergeCell ref="NYH46:NYH48"/>
    <mergeCell ref="NYI46:NYI48"/>
    <mergeCell ref="NXX46:NXX48"/>
    <mergeCell ref="NXY46:NXY48"/>
    <mergeCell ref="NXZ46:NXZ48"/>
    <mergeCell ref="NYA46:NYA48"/>
    <mergeCell ref="NYB46:NYB48"/>
    <mergeCell ref="NYC46:NYC48"/>
    <mergeCell ref="NXR46:NXR48"/>
    <mergeCell ref="NXS46:NXS48"/>
    <mergeCell ref="NXT46:NXT48"/>
    <mergeCell ref="NXU46:NXU48"/>
    <mergeCell ref="NXV46:NXV48"/>
    <mergeCell ref="NXW46:NXW48"/>
    <mergeCell ref="NXL46:NXL48"/>
    <mergeCell ref="NXM46:NXM48"/>
    <mergeCell ref="NXN46:NXN48"/>
    <mergeCell ref="NXO46:NXO48"/>
    <mergeCell ref="NXP46:NXP48"/>
    <mergeCell ref="NXQ46:NXQ48"/>
    <mergeCell ref="NXF46:NXF48"/>
    <mergeCell ref="NXG46:NXG48"/>
    <mergeCell ref="NXH46:NXH48"/>
    <mergeCell ref="NXI46:NXI48"/>
    <mergeCell ref="NXJ46:NXJ48"/>
    <mergeCell ref="NXK46:NXK48"/>
    <mergeCell ref="NWZ46:NWZ48"/>
    <mergeCell ref="NXA46:NXA48"/>
    <mergeCell ref="NXB46:NXB48"/>
    <mergeCell ref="NXC46:NXC48"/>
    <mergeCell ref="NXD46:NXD48"/>
    <mergeCell ref="NXE46:NXE48"/>
    <mergeCell ref="NWT46:NWT48"/>
    <mergeCell ref="NWU46:NWU48"/>
    <mergeCell ref="NWV46:NWV48"/>
    <mergeCell ref="NWW46:NWW48"/>
    <mergeCell ref="NWX46:NWX48"/>
    <mergeCell ref="NWY46:NWY48"/>
    <mergeCell ref="NWN46:NWN48"/>
    <mergeCell ref="NWO46:NWO48"/>
    <mergeCell ref="NWP46:NWP48"/>
    <mergeCell ref="NWQ46:NWQ48"/>
    <mergeCell ref="NWR46:NWR48"/>
    <mergeCell ref="NWS46:NWS48"/>
    <mergeCell ref="NWH46:NWH48"/>
    <mergeCell ref="NWI46:NWI48"/>
    <mergeCell ref="NWJ46:NWJ48"/>
    <mergeCell ref="NWK46:NWK48"/>
    <mergeCell ref="NWL46:NWL48"/>
    <mergeCell ref="NWM46:NWM48"/>
    <mergeCell ref="NWB46:NWB48"/>
    <mergeCell ref="NWC46:NWC48"/>
    <mergeCell ref="NWD46:NWD48"/>
    <mergeCell ref="NWE46:NWE48"/>
    <mergeCell ref="NWF46:NWF48"/>
    <mergeCell ref="NWG46:NWG48"/>
    <mergeCell ref="NVV46:NVV48"/>
    <mergeCell ref="NVW46:NVW48"/>
    <mergeCell ref="NVX46:NVX48"/>
    <mergeCell ref="NVY46:NVY48"/>
    <mergeCell ref="NVZ46:NVZ48"/>
    <mergeCell ref="NWA46:NWA48"/>
    <mergeCell ref="NVP46:NVP48"/>
    <mergeCell ref="NVQ46:NVQ48"/>
    <mergeCell ref="NVR46:NVR48"/>
    <mergeCell ref="NVS46:NVS48"/>
    <mergeCell ref="NVT46:NVT48"/>
    <mergeCell ref="NVU46:NVU48"/>
    <mergeCell ref="NVJ46:NVJ48"/>
    <mergeCell ref="NVK46:NVK48"/>
    <mergeCell ref="NVL46:NVL48"/>
    <mergeCell ref="NVM46:NVM48"/>
    <mergeCell ref="NVN46:NVN48"/>
    <mergeCell ref="NVO46:NVO48"/>
    <mergeCell ref="NVD46:NVD48"/>
    <mergeCell ref="NVE46:NVE48"/>
    <mergeCell ref="NVF46:NVF48"/>
    <mergeCell ref="NVG46:NVG48"/>
    <mergeCell ref="NVH46:NVH48"/>
    <mergeCell ref="NVI46:NVI48"/>
    <mergeCell ref="NUX46:NUX48"/>
    <mergeCell ref="NUY46:NUY48"/>
    <mergeCell ref="NUZ46:NUZ48"/>
    <mergeCell ref="NVA46:NVA48"/>
    <mergeCell ref="NVB46:NVB48"/>
    <mergeCell ref="NVC46:NVC48"/>
    <mergeCell ref="NUR46:NUR48"/>
    <mergeCell ref="NUS46:NUS48"/>
    <mergeCell ref="NUT46:NUT48"/>
    <mergeCell ref="NUU46:NUU48"/>
    <mergeCell ref="NUV46:NUV48"/>
    <mergeCell ref="NUW46:NUW48"/>
    <mergeCell ref="NUL46:NUL48"/>
    <mergeCell ref="NUM46:NUM48"/>
    <mergeCell ref="NUN46:NUN48"/>
    <mergeCell ref="NUO46:NUO48"/>
    <mergeCell ref="NUP46:NUP48"/>
    <mergeCell ref="NUQ46:NUQ48"/>
    <mergeCell ref="NUF46:NUF48"/>
    <mergeCell ref="NUG46:NUG48"/>
    <mergeCell ref="NUH46:NUH48"/>
    <mergeCell ref="NUI46:NUI48"/>
    <mergeCell ref="NUJ46:NUJ48"/>
    <mergeCell ref="NUK46:NUK48"/>
    <mergeCell ref="NTZ46:NTZ48"/>
    <mergeCell ref="NUA46:NUA48"/>
    <mergeCell ref="NUB46:NUB48"/>
    <mergeCell ref="NUC46:NUC48"/>
    <mergeCell ref="NUD46:NUD48"/>
    <mergeCell ref="NUE46:NUE48"/>
    <mergeCell ref="NTT46:NTT48"/>
    <mergeCell ref="NTU46:NTU48"/>
    <mergeCell ref="NTV46:NTV48"/>
    <mergeCell ref="NTW46:NTW48"/>
    <mergeCell ref="NTX46:NTX48"/>
    <mergeCell ref="NTY46:NTY48"/>
    <mergeCell ref="NTN46:NTN48"/>
    <mergeCell ref="NTO46:NTO48"/>
    <mergeCell ref="NTP46:NTP48"/>
    <mergeCell ref="NTQ46:NTQ48"/>
    <mergeCell ref="NTR46:NTR48"/>
    <mergeCell ref="NTS46:NTS48"/>
    <mergeCell ref="NTH46:NTH48"/>
    <mergeCell ref="NTI46:NTI48"/>
    <mergeCell ref="NTJ46:NTJ48"/>
    <mergeCell ref="NTK46:NTK48"/>
    <mergeCell ref="NTL46:NTL48"/>
    <mergeCell ref="NTM46:NTM48"/>
    <mergeCell ref="NTB46:NTB48"/>
    <mergeCell ref="NTC46:NTC48"/>
    <mergeCell ref="NTD46:NTD48"/>
    <mergeCell ref="NTE46:NTE48"/>
    <mergeCell ref="NTF46:NTF48"/>
    <mergeCell ref="NTG46:NTG48"/>
    <mergeCell ref="NSV46:NSV48"/>
    <mergeCell ref="NSW46:NSW48"/>
    <mergeCell ref="NSX46:NSX48"/>
    <mergeCell ref="NSY46:NSY48"/>
    <mergeCell ref="NSZ46:NSZ48"/>
    <mergeCell ref="NTA46:NTA48"/>
    <mergeCell ref="NSP46:NSP48"/>
    <mergeCell ref="NSQ46:NSQ48"/>
    <mergeCell ref="NSR46:NSR48"/>
    <mergeCell ref="NSS46:NSS48"/>
    <mergeCell ref="NST46:NST48"/>
    <mergeCell ref="NSU46:NSU48"/>
    <mergeCell ref="NSJ46:NSJ48"/>
    <mergeCell ref="NSK46:NSK48"/>
    <mergeCell ref="NSL46:NSL48"/>
    <mergeCell ref="NSM46:NSM48"/>
    <mergeCell ref="NSN46:NSN48"/>
    <mergeCell ref="NSO46:NSO48"/>
    <mergeCell ref="NSD46:NSD48"/>
    <mergeCell ref="NSE46:NSE48"/>
    <mergeCell ref="NSF46:NSF48"/>
    <mergeCell ref="NSG46:NSG48"/>
    <mergeCell ref="NSH46:NSH48"/>
    <mergeCell ref="NSI46:NSI48"/>
    <mergeCell ref="NRX46:NRX48"/>
    <mergeCell ref="NRY46:NRY48"/>
    <mergeCell ref="NRZ46:NRZ48"/>
    <mergeCell ref="NSA46:NSA48"/>
    <mergeCell ref="NSB46:NSB48"/>
    <mergeCell ref="NSC46:NSC48"/>
    <mergeCell ref="NRR46:NRR48"/>
    <mergeCell ref="NRS46:NRS48"/>
    <mergeCell ref="NRT46:NRT48"/>
    <mergeCell ref="NRU46:NRU48"/>
    <mergeCell ref="NRV46:NRV48"/>
    <mergeCell ref="NRW46:NRW48"/>
    <mergeCell ref="NRL46:NRL48"/>
    <mergeCell ref="NRM46:NRM48"/>
    <mergeCell ref="NRN46:NRN48"/>
    <mergeCell ref="NRO46:NRO48"/>
    <mergeCell ref="NRP46:NRP48"/>
    <mergeCell ref="NRQ46:NRQ48"/>
    <mergeCell ref="NRF46:NRF48"/>
    <mergeCell ref="NRG46:NRG48"/>
    <mergeCell ref="NRH46:NRH48"/>
    <mergeCell ref="NRI46:NRI48"/>
    <mergeCell ref="NRJ46:NRJ48"/>
    <mergeCell ref="NRK46:NRK48"/>
    <mergeCell ref="NQZ46:NQZ48"/>
    <mergeCell ref="NRA46:NRA48"/>
    <mergeCell ref="NRB46:NRB48"/>
    <mergeCell ref="NRC46:NRC48"/>
    <mergeCell ref="NRD46:NRD48"/>
    <mergeCell ref="NRE46:NRE48"/>
    <mergeCell ref="NQT46:NQT48"/>
    <mergeCell ref="NQU46:NQU48"/>
    <mergeCell ref="NQV46:NQV48"/>
    <mergeCell ref="NQW46:NQW48"/>
    <mergeCell ref="NQX46:NQX48"/>
    <mergeCell ref="NQY46:NQY48"/>
    <mergeCell ref="NQN46:NQN48"/>
    <mergeCell ref="NQO46:NQO48"/>
    <mergeCell ref="NQP46:NQP48"/>
    <mergeCell ref="NQQ46:NQQ48"/>
    <mergeCell ref="NQR46:NQR48"/>
    <mergeCell ref="NQS46:NQS48"/>
    <mergeCell ref="NQH46:NQH48"/>
    <mergeCell ref="NQI46:NQI48"/>
    <mergeCell ref="NQJ46:NQJ48"/>
    <mergeCell ref="NQK46:NQK48"/>
    <mergeCell ref="NQL46:NQL48"/>
    <mergeCell ref="NQM46:NQM48"/>
    <mergeCell ref="NQB46:NQB48"/>
    <mergeCell ref="NQC46:NQC48"/>
    <mergeCell ref="NQD46:NQD48"/>
    <mergeCell ref="NQE46:NQE48"/>
    <mergeCell ref="NQF46:NQF48"/>
    <mergeCell ref="NQG46:NQG48"/>
    <mergeCell ref="NPV46:NPV48"/>
    <mergeCell ref="NPW46:NPW48"/>
    <mergeCell ref="NPX46:NPX48"/>
    <mergeCell ref="NPY46:NPY48"/>
    <mergeCell ref="NPZ46:NPZ48"/>
    <mergeCell ref="NQA46:NQA48"/>
    <mergeCell ref="NPP46:NPP48"/>
    <mergeCell ref="NPQ46:NPQ48"/>
    <mergeCell ref="NPR46:NPR48"/>
    <mergeCell ref="NPS46:NPS48"/>
    <mergeCell ref="NPT46:NPT48"/>
    <mergeCell ref="NPU46:NPU48"/>
    <mergeCell ref="NPJ46:NPJ48"/>
    <mergeCell ref="NPK46:NPK48"/>
    <mergeCell ref="NPL46:NPL48"/>
    <mergeCell ref="NPM46:NPM48"/>
    <mergeCell ref="NPN46:NPN48"/>
    <mergeCell ref="NPO46:NPO48"/>
    <mergeCell ref="NPD46:NPD48"/>
    <mergeCell ref="NPE46:NPE48"/>
    <mergeCell ref="NPF46:NPF48"/>
    <mergeCell ref="NPG46:NPG48"/>
    <mergeCell ref="NPH46:NPH48"/>
    <mergeCell ref="NPI46:NPI48"/>
    <mergeCell ref="NOX46:NOX48"/>
    <mergeCell ref="NOY46:NOY48"/>
    <mergeCell ref="NOZ46:NOZ48"/>
    <mergeCell ref="NPA46:NPA48"/>
    <mergeCell ref="NPB46:NPB48"/>
    <mergeCell ref="NPC46:NPC48"/>
    <mergeCell ref="NOR46:NOR48"/>
    <mergeCell ref="NOS46:NOS48"/>
    <mergeCell ref="NOT46:NOT48"/>
    <mergeCell ref="NOU46:NOU48"/>
    <mergeCell ref="NOV46:NOV48"/>
    <mergeCell ref="NOW46:NOW48"/>
    <mergeCell ref="NOL46:NOL48"/>
    <mergeCell ref="NOM46:NOM48"/>
    <mergeCell ref="NON46:NON48"/>
    <mergeCell ref="NOO46:NOO48"/>
    <mergeCell ref="NOP46:NOP48"/>
    <mergeCell ref="NOQ46:NOQ48"/>
    <mergeCell ref="NOF46:NOF48"/>
    <mergeCell ref="NOG46:NOG48"/>
    <mergeCell ref="NOH46:NOH48"/>
    <mergeCell ref="NOI46:NOI48"/>
    <mergeCell ref="NOJ46:NOJ48"/>
    <mergeCell ref="NOK46:NOK48"/>
    <mergeCell ref="NNZ46:NNZ48"/>
    <mergeCell ref="NOA46:NOA48"/>
    <mergeCell ref="NOB46:NOB48"/>
    <mergeCell ref="NOC46:NOC48"/>
    <mergeCell ref="NOD46:NOD48"/>
    <mergeCell ref="NOE46:NOE48"/>
    <mergeCell ref="NNT46:NNT48"/>
    <mergeCell ref="NNU46:NNU48"/>
    <mergeCell ref="NNV46:NNV48"/>
    <mergeCell ref="NNW46:NNW48"/>
    <mergeCell ref="NNX46:NNX48"/>
    <mergeCell ref="NNY46:NNY48"/>
    <mergeCell ref="NNN46:NNN48"/>
    <mergeCell ref="NNO46:NNO48"/>
    <mergeCell ref="NNP46:NNP48"/>
    <mergeCell ref="NNQ46:NNQ48"/>
    <mergeCell ref="NNR46:NNR48"/>
    <mergeCell ref="NNS46:NNS48"/>
    <mergeCell ref="NNH46:NNH48"/>
    <mergeCell ref="NNI46:NNI48"/>
    <mergeCell ref="NNJ46:NNJ48"/>
    <mergeCell ref="NNK46:NNK48"/>
    <mergeCell ref="NNL46:NNL48"/>
    <mergeCell ref="NNM46:NNM48"/>
    <mergeCell ref="NNB46:NNB48"/>
    <mergeCell ref="NNC46:NNC48"/>
    <mergeCell ref="NND46:NND48"/>
    <mergeCell ref="NNE46:NNE48"/>
    <mergeCell ref="NNF46:NNF48"/>
    <mergeCell ref="NNG46:NNG48"/>
    <mergeCell ref="NMV46:NMV48"/>
    <mergeCell ref="NMW46:NMW48"/>
    <mergeCell ref="NMX46:NMX48"/>
    <mergeCell ref="NMY46:NMY48"/>
    <mergeCell ref="NMZ46:NMZ48"/>
    <mergeCell ref="NNA46:NNA48"/>
    <mergeCell ref="NMP46:NMP48"/>
    <mergeCell ref="NMQ46:NMQ48"/>
    <mergeCell ref="NMR46:NMR48"/>
    <mergeCell ref="NMS46:NMS48"/>
    <mergeCell ref="NMT46:NMT48"/>
    <mergeCell ref="NMU46:NMU48"/>
    <mergeCell ref="NMJ46:NMJ48"/>
    <mergeCell ref="NMK46:NMK48"/>
    <mergeCell ref="NML46:NML48"/>
    <mergeCell ref="NMM46:NMM48"/>
    <mergeCell ref="NMN46:NMN48"/>
    <mergeCell ref="NMO46:NMO48"/>
    <mergeCell ref="NMD46:NMD48"/>
    <mergeCell ref="NME46:NME48"/>
    <mergeCell ref="NMF46:NMF48"/>
    <mergeCell ref="NMG46:NMG48"/>
    <mergeCell ref="NMH46:NMH48"/>
    <mergeCell ref="NMI46:NMI48"/>
    <mergeCell ref="NLX46:NLX48"/>
    <mergeCell ref="NLY46:NLY48"/>
    <mergeCell ref="NLZ46:NLZ48"/>
    <mergeCell ref="NMA46:NMA48"/>
    <mergeCell ref="NMB46:NMB48"/>
    <mergeCell ref="NMC46:NMC48"/>
    <mergeCell ref="NLR46:NLR48"/>
    <mergeCell ref="NLS46:NLS48"/>
    <mergeCell ref="NLT46:NLT48"/>
    <mergeCell ref="NLU46:NLU48"/>
    <mergeCell ref="NLV46:NLV48"/>
    <mergeCell ref="NLW46:NLW48"/>
    <mergeCell ref="NLL46:NLL48"/>
    <mergeCell ref="NLM46:NLM48"/>
    <mergeCell ref="NLN46:NLN48"/>
    <mergeCell ref="NLO46:NLO48"/>
    <mergeCell ref="NLP46:NLP48"/>
    <mergeCell ref="NLQ46:NLQ48"/>
    <mergeCell ref="NLF46:NLF48"/>
    <mergeCell ref="NLG46:NLG48"/>
    <mergeCell ref="NLH46:NLH48"/>
    <mergeCell ref="NLI46:NLI48"/>
    <mergeCell ref="NLJ46:NLJ48"/>
    <mergeCell ref="NLK46:NLK48"/>
    <mergeCell ref="NKZ46:NKZ48"/>
    <mergeCell ref="NLA46:NLA48"/>
    <mergeCell ref="NLB46:NLB48"/>
    <mergeCell ref="NLC46:NLC48"/>
    <mergeCell ref="NLD46:NLD48"/>
    <mergeCell ref="NLE46:NLE48"/>
    <mergeCell ref="NKT46:NKT48"/>
    <mergeCell ref="NKU46:NKU48"/>
    <mergeCell ref="NKV46:NKV48"/>
    <mergeCell ref="NKW46:NKW48"/>
    <mergeCell ref="NKX46:NKX48"/>
    <mergeCell ref="NKY46:NKY48"/>
    <mergeCell ref="NKN46:NKN48"/>
    <mergeCell ref="NKO46:NKO48"/>
    <mergeCell ref="NKP46:NKP48"/>
    <mergeCell ref="NKQ46:NKQ48"/>
    <mergeCell ref="NKR46:NKR48"/>
    <mergeCell ref="NKS46:NKS48"/>
    <mergeCell ref="NKH46:NKH48"/>
    <mergeCell ref="NKI46:NKI48"/>
    <mergeCell ref="NKJ46:NKJ48"/>
    <mergeCell ref="NKK46:NKK48"/>
    <mergeCell ref="NKL46:NKL48"/>
    <mergeCell ref="NKM46:NKM48"/>
    <mergeCell ref="NKB46:NKB48"/>
    <mergeCell ref="NKC46:NKC48"/>
    <mergeCell ref="NKD46:NKD48"/>
    <mergeCell ref="NKE46:NKE48"/>
    <mergeCell ref="NKF46:NKF48"/>
    <mergeCell ref="NKG46:NKG48"/>
    <mergeCell ref="NJV46:NJV48"/>
    <mergeCell ref="NJW46:NJW48"/>
    <mergeCell ref="NJX46:NJX48"/>
    <mergeCell ref="NJY46:NJY48"/>
    <mergeCell ref="NJZ46:NJZ48"/>
    <mergeCell ref="NKA46:NKA48"/>
    <mergeCell ref="NJP46:NJP48"/>
    <mergeCell ref="NJQ46:NJQ48"/>
    <mergeCell ref="NJR46:NJR48"/>
    <mergeCell ref="NJS46:NJS48"/>
    <mergeCell ref="NJT46:NJT48"/>
    <mergeCell ref="NJU46:NJU48"/>
    <mergeCell ref="NJJ46:NJJ48"/>
    <mergeCell ref="NJK46:NJK48"/>
    <mergeCell ref="NJL46:NJL48"/>
    <mergeCell ref="NJM46:NJM48"/>
    <mergeCell ref="NJN46:NJN48"/>
    <mergeCell ref="NJO46:NJO48"/>
    <mergeCell ref="NJD46:NJD48"/>
    <mergeCell ref="NJE46:NJE48"/>
    <mergeCell ref="NJF46:NJF48"/>
    <mergeCell ref="NJG46:NJG48"/>
    <mergeCell ref="NJH46:NJH48"/>
    <mergeCell ref="NJI46:NJI48"/>
    <mergeCell ref="NIX46:NIX48"/>
    <mergeCell ref="NIY46:NIY48"/>
    <mergeCell ref="NIZ46:NIZ48"/>
    <mergeCell ref="NJA46:NJA48"/>
    <mergeCell ref="NJB46:NJB48"/>
    <mergeCell ref="NJC46:NJC48"/>
    <mergeCell ref="NIR46:NIR48"/>
    <mergeCell ref="NIS46:NIS48"/>
    <mergeCell ref="NIT46:NIT48"/>
    <mergeCell ref="NIU46:NIU48"/>
    <mergeCell ref="NIV46:NIV48"/>
    <mergeCell ref="NIW46:NIW48"/>
    <mergeCell ref="NIL46:NIL48"/>
    <mergeCell ref="NIM46:NIM48"/>
    <mergeCell ref="NIN46:NIN48"/>
    <mergeCell ref="NIO46:NIO48"/>
    <mergeCell ref="NIP46:NIP48"/>
    <mergeCell ref="NIQ46:NIQ48"/>
    <mergeCell ref="NIF46:NIF48"/>
    <mergeCell ref="NIG46:NIG48"/>
    <mergeCell ref="NIH46:NIH48"/>
    <mergeCell ref="NII46:NII48"/>
    <mergeCell ref="NIJ46:NIJ48"/>
    <mergeCell ref="NIK46:NIK48"/>
    <mergeCell ref="NHZ46:NHZ48"/>
    <mergeCell ref="NIA46:NIA48"/>
    <mergeCell ref="NIB46:NIB48"/>
    <mergeCell ref="NIC46:NIC48"/>
    <mergeCell ref="NID46:NID48"/>
    <mergeCell ref="NIE46:NIE48"/>
    <mergeCell ref="NHT46:NHT48"/>
    <mergeCell ref="NHU46:NHU48"/>
    <mergeCell ref="NHV46:NHV48"/>
    <mergeCell ref="NHW46:NHW48"/>
    <mergeCell ref="NHX46:NHX48"/>
    <mergeCell ref="NHY46:NHY48"/>
    <mergeCell ref="NHN46:NHN48"/>
    <mergeCell ref="NHO46:NHO48"/>
    <mergeCell ref="NHP46:NHP48"/>
    <mergeCell ref="NHQ46:NHQ48"/>
    <mergeCell ref="NHR46:NHR48"/>
    <mergeCell ref="NHS46:NHS48"/>
    <mergeCell ref="NHH46:NHH48"/>
    <mergeCell ref="NHI46:NHI48"/>
    <mergeCell ref="NHJ46:NHJ48"/>
    <mergeCell ref="NHK46:NHK48"/>
    <mergeCell ref="NHL46:NHL48"/>
    <mergeCell ref="NHM46:NHM48"/>
    <mergeCell ref="NHB46:NHB48"/>
    <mergeCell ref="NHC46:NHC48"/>
    <mergeCell ref="NHD46:NHD48"/>
    <mergeCell ref="NHE46:NHE48"/>
    <mergeCell ref="NHF46:NHF48"/>
    <mergeCell ref="NHG46:NHG48"/>
    <mergeCell ref="NGV46:NGV48"/>
    <mergeCell ref="NGW46:NGW48"/>
    <mergeCell ref="NGX46:NGX48"/>
    <mergeCell ref="NGY46:NGY48"/>
    <mergeCell ref="NGZ46:NGZ48"/>
    <mergeCell ref="NHA46:NHA48"/>
    <mergeCell ref="NGP46:NGP48"/>
    <mergeCell ref="NGQ46:NGQ48"/>
    <mergeCell ref="NGR46:NGR48"/>
    <mergeCell ref="NGS46:NGS48"/>
    <mergeCell ref="NGT46:NGT48"/>
    <mergeCell ref="NGU46:NGU48"/>
    <mergeCell ref="NGJ46:NGJ48"/>
    <mergeCell ref="NGK46:NGK48"/>
    <mergeCell ref="NGL46:NGL48"/>
    <mergeCell ref="NGM46:NGM48"/>
    <mergeCell ref="NGN46:NGN48"/>
    <mergeCell ref="NGO46:NGO48"/>
    <mergeCell ref="NGD46:NGD48"/>
    <mergeCell ref="NGE46:NGE48"/>
    <mergeCell ref="NGF46:NGF48"/>
    <mergeCell ref="NGG46:NGG48"/>
    <mergeCell ref="NGH46:NGH48"/>
    <mergeCell ref="NGI46:NGI48"/>
    <mergeCell ref="NFX46:NFX48"/>
    <mergeCell ref="NFY46:NFY48"/>
    <mergeCell ref="NFZ46:NFZ48"/>
    <mergeCell ref="NGA46:NGA48"/>
    <mergeCell ref="NGB46:NGB48"/>
    <mergeCell ref="NGC46:NGC48"/>
    <mergeCell ref="NFR46:NFR48"/>
    <mergeCell ref="NFS46:NFS48"/>
    <mergeCell ref="NFT46:NFT48"/>
    <mergeCell ref="NFU46:NFU48"/>
    <mergeCell ref="NFV46:NFV48"/>
    <mergeCell ref="NFW46:NFW48"/>
    <mergeCell ref="NFL46:NFL48"/>
    <mergeCell ref="NFM46:NFM48"/>
    <mergeCell ref="NFN46:NFN48"/>
    <mergeCell ref="NFO46:NFO48"/>
    <mergeCell ref="NFP46:NFP48"/>
    <mergeCell ref="NFQ46:NFQ48"/>
    <mergeCell ref="NFF46:NFF48"/>
    <mergeCell ref="NFG46:NFG48"/>
    <mergeCell ref="NFH46:NFH48"/>
    <mergeCell ref="NFI46:NFI48"/>
    <mergeCell ref="NFJ46:NFJ48"/>
    <mergeCell ref="NFK46:NFK48"/>
    <mergeCell ref="NEZ46:NEZ48"/>
    <mergeCell ref="NFA46:NFA48"/>
    <mergeCell ref="NFB46:NFB48"/>
    <mergeCell ref="NFC46:NFC48"/>
    <mergeCell ref="NFD46:NFD48"/>
    <mergeCell ref="NFE46:NFE48"/>
    <mergeCell ref="NET46:NET48"/>
    <mergeCell ref="NEU46:NEU48"/>
    <mergeCell ref="NEV46:NEV48"/>
    <mergeCell ref="NEW46:NEW48"/>
    <mergeCell ref="NEX46:NEX48"/>
    <mergeCell ref="NEY46:NEY48"/>
    <mergeCell ref="NEN46:NEN48"/>
    <mergeCell ref="NEO46:NEO48"/>
    <mergeCell ref="NEP46:NEP48"/>
    <mergeCell ref="NEQ46:NEQ48"/>
    <mergeCell ref="NER46:NER48"/>
    <mergeCell ref="NES46:NES48"/>
    <mergeCell ref="NEH46:NEH48"/>
    <mergeCell ref="NEI46:NEI48"/>
    <mergeCell ref="NEJ46:NEJ48"/>
    <mergeCell ref="NEK46:NEK48"/>
    <mergeCell ref="NEL46:NEL48"/>
    <mergeCell ref="NEM46:NEM48"/>
    <mergeCell ref="NEB46:NEB48"/>
    <mergeCell ref="NEC46:NEC48"/>
    <mergeCell ref="NED46:NED48"/>
    <mergeCell ref="NEE46:NEE48"/>
    <mergeCell ref="NEF46:NEF48"/>
    <mergeCell ref="NEG46:NEG48"/>
    <mergeCell ref="NDV46:NDV48"/>
    <mergeCell ref="NDW46:NDW48"/>
    <mergeCell ref="NDX46:NDX48"/>
    <mergeCell ref="NDY46:NDY48"/>
    <mergeCell ref="NDZ46:NDZ48"/>
    <mergeCell ref="NEA46:NEA48"/>
    <mergeCell ref="NDP46:NDP48"/>
    <mergeCell ref="NDQ46:NDQ48"/>
    <mergeCell ref="NDR46:NDR48"/>
    <mergeCell ref="NDS46:NDS48"/>
    <mergeCell ref="NDT46:NDT48"/>
    <mergeCell ref="NDU46:NDU48"/>
    <mergeCell ref="NDJ46:NDJ48"/>
    <mergeCell ref="NDK46:NDK48"/>
    <mergeCell ref="NDL46:NDL48"/>
    <mergeCell ref="NDM46:NDM48"/>
    <mergeCell ref="NDN46:NDN48"/>
    <mergeCell ref="NDO46:NDO48"/>
    <mergeCell ref="NDD46:NDD48"/>
    <mergeCell ref="NDE46:NDE48"/>
    <mergeCell ref="NDF46:NDF48"/>
    <mergeCell ref="NDG46:NDG48"/>
    <mergeCell ref="NDH46:NDH48"/>
    <mergeCell ref="NDI46:NDI48"/>
    <mergeCell ref="NCX46:NCX48"/>
    <mergeCell ref="NCY46:NCY48"/>
    <mergeCell ref="NCZ46:NCZ48"/>
    <mergeCell ref="NDA46:NDA48"/>
    <mergeCell ref="NDB46:NDB48"/>
    <mergeCell ref="NDC46:NDC48"/>
    <mergeCell ref="NCR46:NCR48"/>
    <mergeCell ref="NCS46:NCS48"/>
    <mergeCell ref="NCT46:NCT48"/>
    <mergeCell ref="NCU46:NCU48"/>
    <mergeCell ref="NCV46:NCV48"/>
    <mergeCell ref="NCW46:NCW48"/>
    <mergeCell ref="NCL46:NCL48"/>
    <mergeCell ref="NCM46:NCM48"/>
    <mergeCell ref="NCN46:NCN48"/>
    <mergeCell ref="NCO46:NCO48"/>
    <mergeCell ref="NCP46:NCP48"/>
    <mergeCell ref="NCQ46:NCQ48"/>
    <mergeCell ref="NCF46:NCF48"/>
    <mergeCell ref="NCG46:NCG48"/>
    <mergeCell ref="NCH46:NCH48"/>
    <mergeCell ref="NCI46:NCI48"/>
    <mergeCell ref="NCJ46:NCJ48"/>
    <mergeCell ref="NCK46:NCK48"/>
    <mergeCell ref="NBZ46:NBZ48"/>
    <mergeCell ref="NCA46:NCA48"/>
    <mergeCell ref="NCB46:NCB48"/>
    <mergeCell ref="NCC46:NCC48"/>
    <mergeCell ref="NCD46:NCD48"/>
    <mergeCell ref="NCE46:NCE48"/>
    <mergeCell ref="NBT46:NBT48"/>
    <mergeCell ref="NBU46:NBU48"/>
    <mergeCell ref="NBV46:NBV48"/>
    <mergeCell ref="NBW46:NBW48"/>
    <mergeCell ref="NBX46:NBX48"/>
    <mergeCell ref="NBY46:NBY48"/>
    <mergeCell ref="NBN46:NBN48"/>
    <mergeCell ref="NBO46:NBO48"/>
    <mergeCell ref="NBP46:NBP48"/>
    <mergeCell ref="NBQ46:NBQ48"/>
    <mergeCell ref="NBR46:NBR48"/>
    <mergeCell ref="NBS46:NBS48"/>
    <mergeCell ref="NBH46:NBH48"/>
    <mergeCell ref="NBI46:NBI48"/>
    <mergeCell ref="NBJ46:NBJ48"/>
    <mergeCell ref="NBK46:NBK48"/>
    <mergeCell ref="NBL46:NBL48"/>
    <mergeCell ref="NBM46:NBM48"/>
    <mergeCell ref="NBB46:NBB48"/>
    <mergeCell ref="NBC46:NBC48"/>
    <mergeCell ref="NBD46:NBD48"/>
    <mergeCell ref="NBE46:NBE48"/>
    <mergeCell ref="NBF46:NBF48"/>
    <mergeCell ref="NBG46:NBG48"/>
    <mergeCell ref="NAV46:NAV48"/>
    <mergeCell ref="NAW46:NAW48"/>
    <mergeCell ref="NAX46:NAX48"/>
    <mergeCell ref="NAY46:NAY48"/>
    <mergeCell ref="NAZ46:NAZ48"/>
    <mergeCell ref="NBA46:NBA48"/>
    <mergeCell ref="NAP46:NAP48"/>
    <mergeCell ref="NAQ46:NAQ48"/>
    <mergeCell ref="NAR46:NAR48"/>
    <mergeCell ref="NAS46:NAS48"/>
    <mergeCell ref="NAT46:NAT48"/>
    <mergeCell ref="NAU46:NAU48"/>
    <mergeCell ref="NAJ46:NAJ48"/>
    <mergeCell ref="NAK46:NAK48"/>
    <mergeCell ref="NAL46:NAL48"/>
    <mergeCell ref="NAM46:NAM48"/>
    <mergeCell ref="NAN46:NAN48"/>
    <mergeCell ref="NAO46:NAO48"/>
    <mergeCell ref="NAD46:NAD48"/>
    <mergeCell ref="NAE46:NAE48"/>
    <mergeCell ref="NAF46:NAF48"/>
    <mergeCell ref="NAG46:NAG48"/>
    <mergeCell ref="NAH46:NAH48"/>
    <mergeCell ref="NAI46:NAI48"/>
    <mergeCell ref="MZX46:MZX48"/>
    <mergeCell ref="MZY46:MZY48"/>
    <mergeCell ref="MZZ46:MZZ48"/>
    <mergeCell ref="NAA46:NAA48"/>
    <mergeCell ref="NAB46:NAB48"/>
    <mergeCell ref="NAC46:NAC48"/>
    <mergeCell ref="MZR46:MZR48"/>
    <mergeCell ref="MZS46:MZS48"/>
    <mergeCell ref="MZT46:MZT48"/>
    <mergeCell ref="MZU46:MZU48"/>
    <mergeCell ref="MZV46:MZV48"/>
    <mergeCell ref="MZW46:MZW48"/>
    <mergeCell ref="MZL46:MZL48"/>
    <mergeCell ref="MZM46:MZM48"/>
    <mergeCell ref="MZN46:MZN48"/>
    <mergeCell ref="MZO46:MZO48"/>
    <mergeCell ref="MZP46:MZP48"/>
    <mergeCell ref="MZQ46:MZQ48"/>
    <mergeCell ref="MZF46:MZF48"/>
    <mergeCell ref="MZG46:MZG48"/>
    <mergeCell ref="MZH46:MZH48"/>
    <mergeCell ref="MZI46:MZI48"/>
    <mergeCell ref="MZJ46:MZJ48"/>
    <mergeCell ref="MZK46:MZK48"/>
    <mergeCell ref="MYZ46:MYZ48"/>
    <mergeCell ref="MZA46:MZA48"/>
    <mergeCell ref="MZB46:MZB48"/>
    <mergeCell ref="MZC46:MZC48"/>
    <mergeCell ref="MZD46:MZD48"/>
    <mergeCell ref="MZE46:MZE48"/>
    <mergeCell ref="MYT46:MYT48"/>
    <mergeCell ref="MYU46:MYU48"/>
    <mergeCell ref="MYV46:MYV48"/>
    <mergeCell ref="MYW46:MYW48"/>
    <mergeCell ref="MYX46:MYX48"/>
    <mergeCell ref="MYY46:MYY48"/>
    <mergeCell ref="MYN46:MYN48"/>
    <mergeCell ref="MYO46:MYO48"/>
    <mergeCell ref="MYP46:MYP48"/>
    <mergeCell ref="MYQ46:MYQ48"/>
    <mergeCell ref="MYR46:MYR48"/>
    <mergeCell ref="MYS46:MYS48"/>
    <mergeCell ref="MYH46:MYH48"/>
    <mergeCell ref="MYI46:MYI48"/>
    <mergeCell ref="MYJ46:MYJ48"/>
    <mergeCell ref="MYK46:MYK48"/>
    <mergeCell ref="MYL46:MYL48"/>
    <mergeCell ref="MYM46:MYM48"/>
    <mergeCell ref="MYB46:MYB48"/>
    <mergeCell ref="MYC46:MYC48"/>
    <mergeCell ref="MYD46:MYD48"/>
    <mergeCell ref="MYE46:MYE48"/>
    <mergeCell ref="MYF46:MYF48"/>
    <mergeCell ref="MYG46:MYG48"/>
    <mergeCell ref="MXV46:MXV48"/>
    <mergeCell ref="MXW46:MXW48"/>
    <mergeCell ref="MXX46:MXX48"/>
    <mergeCell ref="MXY46:MXY48"/>
    <mergeCell ref="MXZ46:MXZ48"/>
    <mergeCell ref="MYA46:MYA48"/>
    <mergeCell ref="MXP46:MXP48"/>
    <mergeCell ref="MXQ46:MXQ48"/>
    <mergeCell ref="MXR46:MXR48"/>
    <mergeCell ref="MXS46:MXS48"/>
    <mergeCell ref="MXT46:MXT48"/>
    <mergeCell ref="MXU46:MXU48"/>
    <mergeCell ref="MXJ46:MXJ48"/>
    <mergeCell ref="MXK46:MXK48"/>
    <mergeCell ref="MXL46:MXL48"/>
    <mergeCell ref="MXM46:MXM48"/>
    <mergeCell ref="MXN46:MXN48"/>
    <mergeCell ref="MXO46:MXO48"/>
    <mergeCell ref="MXD46:MXD48"/>
    <mergeCell ref="MXE46:MXE48"/>
    <mergeCell ref="MXF46:MXF48"/>
    <mergeCell ref="MXG46:MXG48"/>
    <mergeCell ref="MXH46:MXH48"/>
    <mergeCell ref="MXI46:MXI48"/>
    <mergeCell ref="MWX46:MWX48"/>
    <mergeCell ref="MWY46:MWY48"/>
    <mergeCell ref="MWZ46:MWZ48"/>
    <mergeCell ref="MXA46:MXA48"/>
    <mergeCell ref="MXB46:MXB48"/>
    <mergeCell ref="MXC46:MXC48"/>
    <mergeCell ref="MWR46:MWR48"/>
    <mergeCell ref="MWS46:MWS48"/>
    <mergeCell ref="MWT46:MWT48"/>
    <mergeCell ref="MWU46:MWU48"/>
    <mergeCell ref="MWV46:MWV48"/>
    <mergeCell ref="MWW46:MWW48"/>
    <mergeCell ref="MWL46:MWL48"/>
    <mergeCell ref="MWM46:MWM48"/>
    <mergeCell ref="MWN46:MWN48"/>
    <mergeCell ref="MWO46:MWO48"/>
    <mergeCell ref="MWP46:MWP48"/>
    <mergeCell ref="MWQ46:MWQ48"/>
    <mergeCell ref="MWF46:MWF48"/>
    <mergeCell ref="MWG46:MWG48"/>
    <mergeCell ref="MWH46:MWH48"/>
    <mergeCell ref="MWI46:MWI48"/>
    <mergeCell ref="MWJ46:MWJ48"/>
    <mergeCell ref="MWK46:MWK48"/>
    <mergeCell ref="MVZ46:MVZ48"/>
    <mergeCell ref="MWA46:MWA48"/>
    <mergeCell ref="MWB46:MWB48"/>
    <mergeCell ref="MWC46:MWC48"/>
    <mergeCell ref="MWD46:MWD48"/>
    <mergeCell ref="MWE46:MWE48"/>
    <mergeCell ref="MVT46:MVT48"/>
    <mergeCell ref="MVU46:MVU48"/>
    <mergeCell ref="MVV46:MVV48"/>
    <mergeCell ref="MVW46:MVW48"/>
    <mergeCell ref="MVX46:MVX48"/>
    <mergeCell ref="MVY46:MVY48"/>
    <mergeCell ref="MVN46:MVN48"/>
    <mergeCell ref="MVO46:MVO48"/>
    <mergeCell ref="MVP46:MVP48"/>
    <mergeCell ref="MVQ46:MVQ48"/>
    <mergeCell ref="MVR46:MVR48"/>
    <mergeCell ref="MVS46:MVS48"/>
    <mergeCell ref="MVH46:MVH48"/>
    <mergeCell ref="MVI46:MVI48"/>
    <mergeCell ref="MVJ46:MVJ48"/>
    <mergeCell ref="MVK46:MVK48"/>
    <mergeCell ref="MVL46:MVL48"/>
    <mergeCell ref="MVM46:MVM48"/>
    <mergeCell ref="MVB46:MVB48"/>
    <mergeCell ref="MVC46:MVC48"/>
    <mergeCell ref="MVD46:MVD48"/>
    <mergeCell ref="MVE46:MVE48"/>
    <mergeCell ref="MVF46:MVF48"/>
    <mergeCell ref="MVG46:MVG48"/>
    <mergeCell ref="MUV46:MUV48"/>
    <mergeCell ref="MUW46:MUW48"/>
    <mergeCell ref="MUX46:MUX48"/>
    <mergeCell ref="MUY46:MUY48"/>
    <mergeCell ref="MUZ46:MUZ48"/>
    <mergeCell ref="MVA46:MVA48"/>
    <mergeCell ref="MUP46:MUP48"/>
    <mergeCell ref="MUQ46:MUQ48"/>
    <mergeCell ref="MUR46:MUR48"/>
    <mergeCell ref="MUS46:MUS48"/>
    <mergeCell ref="MUT46:MUT48"/>
    <mergeCell ref="MUU46:MUU48"/>
    <mergeCell ref="MUJ46:MUJ48"/>
    <mergeCell ref="MUK46:MUK48"/>
    <mergeCell ref="MUL46:MUL48"/>
    <mergeCell ref="MUM46:MUM48"/>
    <mergeCell ref="MUN46:MUN48"/>
    <mergeCell ref="MUO46:MUO48"/>
    <mergeCell ref="MUD46:MUD48"/>
    <mergeCell ref="MUE46:MUE48"/>
    <mergeCell ref="MUF46:MUF48"/>
    <mergeCell ref="MUG46:MUG48"/>
    <mergeCell ref="MUH46:MUH48"/>
    <mergeCell ref="MUI46:MUI48"/>
    <mergeCell ref="MTX46:MTX48"/>
    <mergeCell ref="MTY46:MTY48"/>
    <mergeCell ref="MTZ46:MTZ48"/>
    <mergeCell ref="MUA46:MUA48"/>
    <mergeCell ref="MUB46:MUB48"/>
    <mergeCell ref="MUC46:MUC48"/>
    <mergeCell ref="MTR46:MTR48"/>
    <mergeCell ref="MTS46:MTS48"/>
    <mergeCell ref="MTT46:MTT48"/>
    <mergeCell ref="MTU46:MTU48"/>
    <mergeCell ref="MTV46:MTV48"/>
    <mergeCell ref="MTW46:MTW48"/>
    <mergeCell ref="MTL46:MTL48"/>
    <mergeCell ref="MTM46:MTM48"/>
    <mergeCell ref="MTN46:MTN48"/>
    <mergeCell ref="MTO46:MTO48"/>
    <mergeCell ref="MTP46:MTP48"/>
    <mergeCell ref="MTQ46:MTQ48"/>
    <mergeCell ref="MTF46:MTF48"/>
    <mergeCell ref="MTG46:MTG48"/>
    <mergeCell ref="MTH46:MTH48"/>
    <mergeCell ref="MTI46:MTI48"/>
    <mergeCell ref="MTJ46:MTJ48"/>
    <mergeCell ref="MTK46:MTK48"/>
    <mergeCell ref="MSZ46:MSZ48"/>
    <mergeCell ref="MTA46:MTA48"/>
    <mergeCell ref="MTB46:MTB48"/>
    <mergeCell ref="MTC46:MTC48"/>
    <mergeCell ref="MTD46:MTD48"/>
    <mergeCell ref="MTE46:MTE48"/>
    <mergeCell ref="MST46:MST48"/>
    <mergeCell ref="MSU46:MSU48"/>
    <mergeCell ref="MSV46:MSV48"/>
    <mergeCell ref="MSW46:MSW48"/>
    <mergeCell ref="MSX46:MSX48"/>
    <mergeCell ref="MSY46:MSY48"/>
    <mergeCell ref="MSN46:MSN48"/>
    <mergeCell ref="MSO46:MSO48"/>
    <mergeCell ref="MSP46:MSP48"/>
    <mergeCell ref="MSQ46:MSQ48"/>
    <mergeCell ref="MSR46:MSR48"/>
    <mergeCell ref="MSS46:MSS48"/>
    <mergeCell ref="MSH46:MSH48"/>
    <mergeCell ref="MSI46:MSI48"/>
    <mergeCell ref="MSJ46:MSJ48"/>
    <mergeCell ref="MSK46:MSK48"/>
    <mergeCell ref="MSL46:MSL48"/>
    <mergeCell ref="MSM46:MSM48"/>
    <mergeCell ref="MSB46:MSB48"/>
    <mergeCell ref="MSC46:MSC48"/>
    <mergeCell ref="MSD46:MSD48"/>
    <mergeCell ref="MSE46:MSE48"/>
    <mergeCell ref="MSF46:MSF48"/>
    <mergeCell ref="MSG46:MSG48"/>
    <mergeCell ref="MRV46:MRV48"/>
    <mergeCell ref="MRW46:MRW48"/>
    <mergeCell ref="MRX46:MRX48"/>
    <mergeCell ref="MRY46:MRY48"/>
    <mergeCell ref="MRZ46:MRZ48"/>
    <mergeCell ref="MSA46:MSA48"/>
    <mergeCell ref="MRP46:MRP48"/>
    <mergeCell ref="MRQ46:MRQ48"/>
    <mergeCell ref="MRR46:MRR48"/>
    <mergeCell ref="MRS46:MRS48"/>
    <mergeCell ref="MRT46:MRT48"/>
    <mergeCell ref="MRU46:MRU48"/>
    <mergeCell ref="MRJ46:MRJ48"/>
    <mergeCell ref="MRK46:MRK48"/>
    <mergeCell ref="MRL46:MRL48"/>
    <mergeCell ref="MRM46:MRM48"/>
    <mergeCell ref="MRN46:MRN48"/>
    <mergeCell ref="MRO46:MRO48"/>
    <mergeCell ref="MRD46:MRD48"/>
    <mergeCell ref="MRE46:MRE48"/>
    <mergeCell ref="MRF46:MRF48"/>
    <mergeCell ref="MRG46:MRG48"/>
    <mergeCell ref="MRH46:MRH48"/>
    <mergeCell ref="MRI46:MRI48"/>
    <mergeCell ref="MQX46:MQX48"/>
    <mergeCell ref="MQY46:MQY48"/>
    <mergeCell ref="MQZ46:MQZ48"/>
    <mergeCell ref="MRA46:MRA48"/>
    <mergeCell ref="MRB46:MRB48"/>
    <mergeCell ref="MRC46:MRC48"/>
    <mergeCell ref="MQR46:MQR48"/>
    <mergeCell ref="MQS46:MQS48"/>
    <mergeCell ref="MQT46:MQT48"/>
    <mergeCell ref="MQU46:MQU48"/>
    <mergeCell ref="MQV46:MQV48"/>
    <mergeCell ref="MQW46:MQW48"/>
    <mergeCell ref="MQL46:MQL48"/>
    <mergeCell ref="MQM46:MQM48"/>
    <mergeCell ref="MQN46:MQN48"/>
    <mergeCell ref="MQO46:MQO48"/>
    <mergeCell ref="MQP46:MQP48"/>
    <mergeCell ref="MQQ46:MQQ48"/>
    <mergeCell ref="MQF46:MQF48"/>
    <mergeCell ref="MQG46:MQG48"/>
    <mergeCell ref="MQH46:MQH48"/>
    <mergeCell ref="MQI46:MQI48"/>
    <mergeCell ref="MQJ46:MQJ48"/>
    <mergeCell ref="MQK46:MQK48"/>
    <mergeCell ref="MPZ46:MPZ48"/>
    <mergeCell ref="MQA46:MQA48"/>
    <mergeCell ref="MQB46:MQB48"/>
    <mergeCell ref="MQC46:MQC48"/>
    <mergeCell ref="MQD46:MQD48"/>
    <mergeCell ref="MQE46:MQE48"/>
    <mergeCell ref="MPT46:MPT48"/>
    <mergeCell ref="MPU46:MPU48"/>
    <mergeCell ref="MPV46:MPV48"/>
    <mergeCell ref="MPW46:MPW48"/>
    <mergeCell ref="MPX46:MPX48"/>
    <mergeCell ref="MPY46:MPY48"/>
    <mergeCell ref="MPN46:MPN48"/>
    <mergeCell ref="MPO46:MPO48"/>
    <mergeCell ref="MPP46:MPP48"/>
    <mergeCell ref="MPQ46:MPQ48"/>
    <mergeCell ref="MPR46:MPR48"/>
    <mergeCell ref="MPS46:MPS48"/>
    <mergeCell ref="MPH46:MPH48"/>
    <mergeCell ref="MPI46:MPI48"/>
    <mergeCell ref="MPJ46:MPJ48"/>
    <mergeCell ref="MPK46:MPK48"/>
    <mergeCell ref="MPL46:MPL48"/>
    <mergeCell ref="MPM46:MPM48"/>
    <mergeCell ref="MPB46:MPB48"/>
    <mergeCell ref="MPC46:MPC48"/>
    <mergeCell ref="MPD46:MPD48"/>
    <mergeCell ref="MPE46:MPE48"/>
    <mergeCell ref="MPF46:MPF48"/>
    <mergeCell ref="MPG46:MPG48"/>
    <mergeCell ref="MOV46:MOV48"/>
    <mergeCell ref="MOW46:MOW48"/>
    <mergeCell ref="MOX46:MOX48"/>
    <mergeCell ref="MOY46:MOY48"/>
    <mergeCell ref="MOZ46:MOZ48"/>
    <mergeCell ref="MPA46:MPA48"/>
    <mergeCell ref="MOP46:MOP48"/>
    <mergeCell ref="MOQ46:MOQ48"/>
    <mergeCell ref="MOR46:MOR48"/>
    <mergeCell ref="MOS46:MOS48"/>
    <mergeCell ref="MOT46:MOT48"/>
    <mergeCell ref="MOU46:MOU48"/>
    <mergeCell ref="MOJ46:MOJ48"/>
    <mergeCell ref="MOK46:MOK48"/>
    <mergeCell ref="MOL46:MOL48"/>
    <mergeCell ref="MOM46:MOM48"/>
    <mergeCell ref="MON46:MON48"/>
    <mergeCell ref="MOO46:MOO48"/>
    <mergeCell ref="MOD46:MOD48"/>
    <mergeCell ref="MOE46:MOE48"/>
    <mergeCell ref="MOF46:MOF48"/>
    <mergeCell ref="MOG46:MOG48"/>
    <mergeCell ref="MOH46:MOH48"/>
    <mergeCell ref="MOI46:MOI48"/>
    <mergeCell ref="MNX46:MNX48"/>
    <mergeCell ref="MNY46:MNY48"/>
    <mergeCell ref="MNZ46:MNZ48"/>
    <mergeCell ref="MOA46:MOA48"/>
    <mergeCell ref="MOB46:MOB48"/>
    <mergeCell ref="MOC46:MOC48"/>
    <mergeCell ref="MNR46:MNR48"/>
    <mergeCell ref="MNS46:MNS48"/>
    <mergeCell ref="MNT46:MNT48"/>
    <mergeCell ref="MNU46:MNU48"/>
    <mergeCell ref="MNV46:MNV48"/>
    <mergeCell ref="MNW46:MNW48"/>
    <mergeCell ref="MNL46:MNL48"/>
    <mergeCell ref="MNM46:MNM48"/>
    <mergeCell ref="MNN46:MNN48"/>
    <mergeCell ref="MNO46:MNO48"/>
    <mergeCell ref="MNP46:MNP48"/>
    <mergeCell ref="MNQ46:MNQ48"/>
    <mergeCell ref="MNF46:MNF48"/>
    <mergeCell ref="MNG46:MNG48"/>
    <mergeCell ref="MNH46:MNH48"/>
    <mergeCell ref="MNI46:MNI48"/>
    <mergeCell ref="MNJ46:MNJ48"/>
    <mergeCell ref="MNK46:MNK48"/>
    <mergeCell ref="MMZ46:MMZ48"/>
    <mergeCell ref="MNA46:MNA48"/>
    <mergeCell ref="MNB46:MNB48"/>
    <mergeCell ref="MNC46:MNC48"/>
    <mergeCell ref="MND46:MND48"/>
    <mergeCell ref="MNE46:MNE48"/>
    <mergeCell ref="MMT46:MMT48"/>
    <mergeCell ref="MMU46:MMU48"/>
    <mergeCell ref="MMV46:MMV48"/>
    <mergeCell ref="MMW46:MMW48"/>
    <mergeCell ref="MMX46:MMX48"/>
    <mergeCell ref="MMY46:MMY48"/>
    <mergeCell ref="MMN46:MMN48"/>
    <mergeCell ref="MMO46:MMO48"/>
    <mergeCell ref="MMP46:MMP48"/>
    <mergeCell ref="MMQ46:MMQ48"/>
    <mergeCell ref="MMR46:MMR48"/>
    <mergeCell ref="MMS46:MMS48"/>
    <mergeCell ref="MMH46:MMH48"/>
    <mergeCell ref="MMI46:MMI48"/>
    <mergeCell ref="MMJ46:MMJ48"/>
    <mergeCell ref="MMK46:MMK48"/>
    <mergeCell ref="MML46:MML48"/>
    <mergeCell ref="MMM46:MMM48"/>
    <mergeCell ref="MMB46:MMB48"/>
    <mergeCell ref="MMC46:MMC48"/>
    <mergeCell ref="MMD46:MMD48"/>
    <mergeCell ref="MME46:MME48"/>
    <mergeCell ref="MMF46:MMF48"/>
    <mergeCell ref="MMG46:MMG48"/>
    <mergeCell ref="MLV46:MLV48"/>
    <mergeCell ref="MLW46:MLW48"/>
    <mergeCell ref="MLX46:MLX48"/>
    <mergeCell ref="MLY46:MLY48"/>
    <mergeCell ref="MLZ46:MLZ48"/>
    <mergeCell ref="MMA46:MMA48"/>
    <mergeCell ref="MLP46:MLP48"/>
    <mergeCell ref="MLQ46:MLQ48"/>
    <mergeCell ref="MLR46:MLR48"/>
    <mergeCell ref="MLS46:MLS48"/>
    <mergeCell ref="MLT46:MLT48"/>
    <mergeCell ref="MLU46:MLU48"/>
    <mergeCell ref="MLJ46:MLJ48"/>
    <mergeCell ref="MLK46:MLK48"/>
    <mergeCell ref="MLL46:MLL48"/>
    <mergeCell ref="MLM46:MLM48"/>
    <mergeCell ref="MLN46:MLN48"/>
    <mergeCell ref="MLO46:MLO48"/>
    <mergeCell ref="MLD46:MLD48"/>
    <mergeCell ref="MLE46:MLE48"/>
    <mergeCell ref="MLF46:MLF48"/>
    <mergeCell ref="MLG46:MLG48"/>
    <mergeCell ref="MLH46:MLH48"/>
    <mergeCell ref="MLI46:MLI48"/>
    <mergeCell ref="MKX46:MKX48"/>
    <mergeCell ref="MKY46:MKY48"/>
    <mergeCell ref="MKZ46:MKZ48"/>
    <mergeCell ref="MLA46:MLA48"/>
    <mergeCell ref="MLB46:MLB48"/>
    <mergeCell ref="MLC46:MLC48"/>
    <mergeCell ref="MKR46:MKR48"/>
    <mergeCell ref="MKS46:MKS48"/>
    <mergeCell ref="MKT46:MKT48"/>
    <mergeCell ref="MKU46:MKU48"/>
    <mergeCell ref="MKV46:MKV48"/>
    <mergeCell ref="MKW46:MKW48"/>
    <mergeCell ref="MKL46:MKL48"/>
    <mergeCell ref="MKM46:MKM48"/>
    <mergeCell ref="MKN46:MKN48"/>
    <mergeCell ref="MKO46:MKO48"/>
    <mergeCell ref="MKP46:MKP48"/>
    <mergeCell ref="MKQ46:MKQ48"/>
    <mergeCell ref="MKF46:MKF48"/>
    <mergeCell ref="MKG46:MKG48"/>
    <mergeCell ref="MKH46:MKH48"/>
    <mergeCell ref="MKI46:MKI48"/>
    <mergeCell ref="MKJ46:MKJ48"/>
    <mergeCell ref="MKK46:MKK48"/>
    <mergeCell ref="MJZ46:MJZ48"/>
    <mergeCell ref="MKA46:MKA48"/>
    <mergeCell ref="MKB46:MKB48"/>
    <mergeCell ref="MKC46:MKC48"/>
    <mergeCell ref="MKD46:MKD48"/>
    <mergeCell ref="MKE46:MKE48"/>
    <mergeCell ref="MJT46:MJT48"/>
    <mergeCell ref="MJU46:MJU48"/>
    <mergeCell ref="MJV46:MJV48"/>
    <mergeCell ref="MJW46:MJW48"/>
    <mergeCell ref="MJX46:MJX48"/>
    <mergeCell ref="MJY46:MJY48"/>
    <mergeCell ref="MJN46:MJN48"/>
    <mergeCell ref="MJO46:MJO48"/>
    <mergeCell ref="MJP46:MJP48"/>
    <mergeCell ref="MJQ46:MJQ48"/>
    <mergeCell ref="MJR46:MJR48"/>
    <mergeCell ref="MJS46:MJS48"/>
    <mergeCell ref="MJH46:MJH48"/>
    <mergeCell ref="MJI46:MJI48"/>
    <mergeCell ref="MJJ46:MJJ48"/>
    <mergeCell ref="MJK46:MJK48"/>
    <mergeCell ref="MJL46:MJL48"/>
    <mergeCell ref="MJM46:MJM48"/>
    <mergeCell ref="MJB46:MJB48"/>
    <mergeCell ref="MJC46:MJC48"/>
    <mergeCell ref="MJD46:MJD48"/>
    <mergeCell ref="MJE46:MJE48"/>
    <mergeCell ref="MJF46:MJF48"/>
    <mergeCell ref="MJG46:MJG48"/>
    <mergeCell ref="MIV46:MIV48"/>
    <mergeCell ref="MIW46:MIW48"/>
    <mergeCell ref="MIX46:MIX48"/>
    <mergeCell ref="MIY46:MIY48"/>
    <mergeCell ref="MIZ46:MIZ48"/>
    <mergeCell ref="MJA46:MJA48"/>
    <mergeCell ref="MIP46:MIP48"/>
    <mergeCell ref="MIQ46:MIQ48"/>
    <mergeCell ref="MIR46:MIR48"/>
    <mergeCell ref="MIS46:MIS48"/>
    <mergeCell ref="MIT46:MIT48"/>
    <mergeCell ref="MIU46:MIU48"/>
    <mergeCell ref="MIJ46:MIJ48"/>
    <mergeCell ref="MIK46:MIK48"/>
    <mergeCell ref="MIL46:MIL48"/>
    <mergeCell ref="MIM46:MIM48"/>
    <mergeCell ref="MIN46:MIN48"/>
    <mergeCell ref="MIO46:MIO48"/>
    <mergeCell ref="MID46:MID48"/>
    <mergeCell ref="MIE46:MIE48"/>
    <mergeCell ref="MIF46:MIF48"/>
    <mergeCell ref="MIG46:MIG48"/>
    <mergeCell ref="MIH46:MIH48"/>
    <mergeCell ref="MII46:MII48"/>
    <mergeCell ref="MHX46:MHX48"/>
    <mergeCell ref="MHY46:MHY48"/>
    <mergeCell ref="MHZ46:MHZ48"/>
    <mergeCell ref="MIA46:MIA48"/>
    <mergeCell ref="MIB46:MIB48"/>
    <mergeCell ref="MIC46:MIC48"/>
    <mergeCell ref="MHR46:MHR48"/>
    <mergeCell ref="MHS46:MHS48"/>
    <mergeCell ref="MHT46:MHT48"/>
    <mergeCell ref="MHU46:MHU48"/>
    <mergeCell ref="MHV46:MHV48"/>
    <mergeCell ref="MHW46:MHW48"/>
    <mergeCell ref="MHL46:MHL48"/>
    <mergeCell ref="MHM46:MHM48"/>
    <mergeCell ref="MHN46:MHN48"/>
    <mergeCell ref="MHO46:MHO48"/>
    <mergeCell ref="MHP46:MHP48"/>
    <mergeCell ref="MHQ46:MHQ48"/>
    <mergeCell ref="MHF46:MHF48"/>
    <mergeCell ref="MHG46:MHG48"/>
    <mergeCell ref="MHH46:MHH48"/>
    <mergeCell ref="MHI46:MHI48"/>
    <mergeCell ref="MHJ46:MHJ48"/>
    <mergeCell ref="MHK46:MHK48"/>
    <mergeCell ref="MGZ46:MGZ48"/>
    <mergeCell ref="MHA46:MHA48"/>
    <mergeCell ref="MHB46:MHB48"/>
    <mergeCell ref="MHC46:MHC48"/>
    <mergeCell ref="MHD46:MHD48"/>
    <mergeCell ref="MHE46:MHE48"/>
    <mergeCell ref="MGT46:MGT48"/>
    <mergeCell ref="MGU46:MGU48"/>
    <mergeCell ref="MGV46:MGV48"/>
    <mergeCell ref="MGW46:MGW48"/>
    <mergeCell ref="MGX46:MGX48"/>
    <mergeCell ref="MGY46:MGY48"/>
    <mergeCell ref="MGN46:MGN48"/>
    <mergeCell ref="MGO46:MGO48"/>
    <mergeCell ref="MGP46:MGP48"/>
    <mergeCell ref="MGQ46:MGQ48"/>
    <mergeCell ref="MGR46:MGR48"/>
    <mergeCell ref="MGS46:MGS48"/>
    <mergeCell ref="MGH46:MGH48"/>
    <mergeCell ref="MGI46:MGI48"/>
    <mergeCell ref="MGJ46:MGJ48"/>
    <mergeCell ref="MGK46:MGK48"/>
    <mergeCell ref="MGL46:MGL48"/>
    <mergeCell ref="MGM46:MGM48"/>
    <mergeCell ref="MGB46:MGB48"/>
    <mergeCell ref="MGC46:MGC48"/>
    <mergeCell ref="MGD46:MGD48"/>
    <mergeCell ref="MGE46:MGE48"/>
    <mergeCell ref="MGF46:MGF48"/>
    <mergeCell ref="MGG46:MGG48"/>
    <mergeCell ref="MFV46:MFV48"/>
    <mergeCell ref="MFW46:MFW48"/>
    <mergeCell ref="MFX46:MFX48"/>
    <mergeCell ref="MFY46:MFY48"/>
    <mergeCell ref="MFZ46:MFZ48"/>
    <mergeCell ref="MGA46:MGA48"/>
    <mergeCell ref="MFP46:MFP48"/>
    <mergeCell ref="MFQ46:MFQ48"/>
    <mergeCell ref="MFR46:MFR48"/>
    <mergeCell ref="MFS46:MFS48"/>
    <mergeCell ref="MFT46:MFT48"/>
    <mergeCell ref="MFU46:MFU48"/>
    <mergeCell ref="MFJ46:MFJ48"/>
    <mergeCell ref="MFK46:MFK48"/>
    <mergeCell ref="MFL46:MFL48"/>
    <mergeCell ref="MFM46:MFM48"/>
    <mergeCell ref="MFN46:MFN48"/>
    <mergeCell ref="MFO46:MFO48"/>
    <mergeCell ref="MFD46:MFD48"/>
    <mergeCell ref="MFE46:MFE48"/>
    <mergeCell ref="MFF46:MFF48"/>
    <mergeCell ref="MFG46:MFG48"/>
    <mergeCell ref="MFH46:MFH48"/>
    <mergeCell ref="MFI46:MFI48"/>
    <mergeCell ref="MEX46:MEX48"/>
    <mergeCell ref="MEY46:MEY48"/>
    <mergeCell ref="MEZ46:MEZ48"/>
    <mergeCell ref="MFA46:MFA48"/>
    <mergeCell ref="MFB46:MFB48"/>
    <mergeCell ref="MFC46:MFC48"/>
    <mergeCell ref="MER46:MER48"/>
    <mergeCell ref="MES46:MES48"/>
    <mergeCell ref="MET46:MET48"/>
    <mergeCell ref="MEU46:MEU48"/>
    <mergeCell ref="MEV46:MEV48"/>
    <mergeCell ref="MEW46:MEW48"/>
    <mergeCell ref="MEL46:MEL48"/>
    <mergeCell ref="MEM46:MEM48"/>
    <mergeCell ref="MEN46:MEN48"/>
    <mergeCell ref="MEO46:MEO48"/>
    <mergeCell ref="MEP46:MEP48"/>
    <mergeCell ref="MEQ46:MEQ48"/>
    <mergeCell ref="MEF46:MEF48"/>
    <mergeCell ref="MEG46:MEG48"/>
    <mergeCell ref="MEH46:MEH48"/>
    <mergeCell ref="MEI46:MEI48"/>
    <mergeCell ref="MEJ46:MEJ48"/>
    <mergeCell ref="MEK46:MEK48"/>
    <mergeCell ref="MDZ46:MDZ48"/>
    <mergeCell ref="MEA46:MEA48"/>
    <mergeCell ref="MEB46:MEB48"/>
    <mergeCell ref="MEC46:MEC48"/>
    <mergeCell ref="MED46:MED48"/>
    <mergeCell ref="MEE46:MEE48"/>
    <mergeCell ref="MDT46:MDT48"/>
    <mergeCell ref="MDU46:MDU48"/>
    <mergeCell ref="MDV46:MDV48"/>
    <mergeCell ref="MDW46:MDW48"/>
    <mergeCell ref="MDX46:MDX48"/>
    <mergeCell ref="MDY46:MDY48"/>
    <mergeCell ref="MDN46:MDN48"/>
    <mergeCell ref="MDO46:MDO48"/>
    <mergeCell ref="MDP46:MDP48"/>
    <mergeCell ref="MDQ46:MDQ48"/>
    <mergeCell ref="MDR46:MDR48"/>
    <mergeCell ref="MDS46:MDS48"/>
    <mergeCell ref="MDH46:MDH48"/>
    <mergeCell ref="MDI46:MDI48"/>
    <mergeCell ref="MDJ46:MDJ48"/>
    <mergeCell ref="MDK46:MDK48"/>
    <mergeCell ref="MDL46:MDL48"/>
    <mergeCell ref="MDM46:MDM48"/>
    <mergeCell ref="MDB46:MDB48"/>
    <mergeCell ref="MDC46:MDC48"/>
    <mergeCell ref="MDD46:MDD48"/>
    <mergeCell ref="MDE46:MDE48"/>
    <mergeCell ref="MDF46:MDF48"/>
    <mergeCell ref="MDG46:MDG48"/>
    <mergeCell ref="MCV46:MCV48"/>
    <mergeCell ref="MCW46:MCW48"/>
    <mergeCell ref="MCX46:MCX48"/>
    <mergeCell ref="MCY46:MCY48"/>
    <mergeCell ref="MCZ46:MCZ48"/>
    <mergeCell ref="MDA46:MDA48"/>
    <mergeCell ref="MCP46:MCP48"/>
    <mergeCell ref="MCQ46:MCQ48"/>
    <mergeCell ref="MCR46:MCR48"/>
    <mergeCell ref="MCS46:MCS48"/>
    <mergeCell ref="MCT46:MCT48"/>
    <mergeCell ref="MCU46:MCU48"/>
    <mergeCell ref="MCJ46:MCJ48"/>
    <mergeCell ref="MCK46:MCK48"/>
    <mergeCell ref="MCL46:MCL48"/>
    <mergeCell ref="MCM46:MCM48"/>
    <mergeCell ref="MCN46:MCN48"/>
    <mergeCell ref="MCO46:MCO48"/>
    <mergeCell ref="MCD46:MCD48"/>
    <mergeCell ref="MCE46:MCE48"/>
    <mergeCell ref="MCF46:MCF48"/>
    <mergeCell ref="MCG46:MCG48"/>
    <mergeCell ref="MCH46:MCH48"/>
    <mergeCell ref="MCI46:MCI48"/>
    <mergeCell ref="MBX46:MBX48"/>
    <mergeCell ref="MBY46:MBY48"/>
    <mergeCell ref="MBZ46:MBZ48"/>
    <mergeCell ref="MCA46:MCA48"/>
    <mergeCell ref="MCB46:MCB48"/>
    <mergeCell ref="MCC46:MCC48"/>
    <mergeCell ref="MBR46:MBR48"/>
    <mergeCell ref="MBS46:MBS48"/>
    <mergeCell ref="MBT46:MBT48"/>
    <mergeCell ref="MBU46:MBU48"/>
    <mergeCell ref="MBV46:MBV48"/>
    <mergeCell ref="MBW46:MBW48"/>
    <mergeCell ref="MBL46:MBL48"/>
    <mergeCell ref="MBM46:MBM48"/>
    <mergeCell ref="MBN46:MBN48"/>
    <mergeCell ref="MBO46:MBO48"/>
    <mergeCell ref="MBP46:MBP48"/>
    <mergeCell ref="MBQ46:MBQ48"/>
    <mergeCell ref="MBF46:MBF48"/>
    <mergeCell ref="MBG46:MBG48"/>
    <mergeCell ref="MBH46:MBH48"/>
    <mergeCell ref="MBI46:MBI48"/>
    <mergeCell ref="MBJ46:MBJ48"/>
    <mergeCell ref="MBK46:MBK48"/>
    <mergeCell ref="MAZ46:MAZ48"/>
    <mergeCell ref="MBA46:MBA48"/>
    <mergeCell ref="MBB46:MBB48"/>
    <mergeCell ref="MBC46:MBC48"/>
    <mergeCell ref="MBD46:MBD48"/>
    <mergeCell ref="MBE46:MBE48"/>
    <mergeCell ref="MAT46:MAT48"/>
    <mergeCell ref="MAU46:MAU48"/>
    <mergeCell ref="MAV46:MAV48"/>
    <mergeCell ref="MAW46:MAW48"/>
    <mergeCell ref="MAX46:MAX48"/>
    <mergeCell ref="MAY46:MAY48"/>
    <mergeCell ref="MAN46:MAN48"/>
    <mergeCell ref="MAO46:MAO48"/>
    <mergeCell ref="MAP46:MAP48"/>
    <mergeCell ref="MAQ46:MAQ48"/>
    <mergeCell ref="MAR46:MAR48"/>
    <mergeCell ref="MAS46:MAS48"/>
    <mergeCell ref="MAH46:MAH48"/>
    <mergeCell ref="MAI46:MAI48"/>
    <mergeCell ref="MAJ46:MAJ48"/>
    <mergeCell ref="MAK46:MAK48"/>
    <mergeCell ref="MAL46:MAL48"/>
    <mergeCell ref="MAM46:MAM48"/>
    <mergeCell ref="MAB46:MAB48"/>
    <mergeCell ref="MAC46:MAC48"/>
    <mergeCell ref="MAD46:MAD48"/>
    <mergeCell ref="MAE46:MAE48"/>
    <mergeCell ref="MAF46:MAF48"/>
    <mergeCell ref="MAG46:MAG48"/>
    <mergeCell ref="LZV46:LZV48"/>
    <mergeCell ref="LZW46:LZW48"/>
    <mergeCell ref="LZX46:LZX48"/>
    <mergeCell ref="LZY46:LZY48"/>
    <mergeCell ref="LZZ46:LZZ48"/>
    <mergeCell ref="MAA46:MAA48"/>
    <mergeCell ref="LZP46:LZP48"/>
    <mergeCell ref="LZQ46:LZQ48"/>
    <mergeCell ref="LZR46:LZR48"/>
    <mergeCell ref="LZS46:LZS48"/>
    <mergeCell ref="LZT46:LZT48"/>
    <mergeCell ref="LZU46:LZU48"/>
    <mergeCell ref="LZJ46:LZJ48"/>
    <mergeCell ref="LZK46:LZK48"/>
    <mergeCell ref="LZL46:LZL48"/>
    <mergeCell ref="LZM46:LZM48"/>
    <mergeCell ref="LZN46:LZN48"/>
    <mergeCell ref="LZO46:LZO48"/>
    <mergeCell ref="LZD46:LZD48"/>
    <mergeCell ref="LZE46:LZE48"/>
    <mergeCell ref="LZF46:LZF48"/>
    <mergeCell ref="LZG46:LZG48"/>
    <mergeCell ref="LZH46:LZH48"/>
    <mergeCell ref="LZI46:LZI48"/>
    <mergeCell ref="LYX46:LYX48"/>
    <mergeCell ref="LYY46:LYY48"/>
    <mergeCell ref="LYZ46:LYZ48"/>
    <mergeCell ref="LZA46:LZA48"/>
    <mergeCell ref="LZB46:LZB48"/>
    <mergeCell ref="LZC46:LZC48"/>
    <mergeCell ref="LYR46:LYR48"/>
    <mergeCell ref="LYS46:LYS48"/>
    <mergeCell ref="LYT46:LYT48"/>
    <mergeCell ref="LYU46:LYU48"/>
    <mergeCell ref="LYV46:LYV48"/>
    <mergeCell ref="LYW46:LYW48"/>
    <mergeCell ref="LYL46:LYL48"/>
    <mergeCell ref="LYM46:LYM48"/>
    <mergeCell ref="LYN46:LYN48"/>
    <mergeCell ref="LYO46:LYO48"/>
    <mergeCell ref="LYP46:LYP48"/>
    <mergeCell ref="LYQ46:LYQ48"/>
    <mergeCell ref="LYF46:LYF48"/>
    <mergeCell ref="LYG46:LYG48"/>
    <mergeCell ref="LYH46:LYH48"/>
    <mergeCell ref="LYI46:LYI48"/>
    <mergeCell ref="LYJ46:LYJ48"/>
    <mergeCell ref="LYK46:LYK48"/>
    <mergeCell ref="LXZ46:LXZ48"/>
    <mergeCell ref="LYA46:LYA48"/>
    <mergeCell ref="LYB46:LYB48"/>
    <mergeCell ref="LYC46:LYC48"/>
    <mergeCell ref="LYD46:LYD48"/>
    <mergeCell ref="LYE46:LYE48"/>
    <mergeCell ref="LXT46:LXT48"/>
    <mergeCell ref="LXU46:LXU48"/>
    <mergeCell ref="LXV46:LXV48"/>
    <mergeCell ref="LXW46:LXW48"/>
    <mergeCell ref="LXX46:LXX48"/>
    <mergeCell ref="LXY46:LXY48"/>
    <mergeCell ref="LXN46:LXN48"/>
    <mergeCell ref="LXO46:LXO48"/>
    <mergeCell ref="LXP46:LXP48"/>
    <mergeCell ref="LXQ46:LXQ48"/>
    <mergeCell ref="LXR46:LXR48"/>
    <mergeCell ref="LXS46:LXS48"/>
    <mergeCell ref="LXH46:LXH48"/>
    <mergeCell ref="LXI46:LXI48"/>
    <mergeCell ref="LXJ46:LXJ48"/>
    <mergeCell ref="LXK46:LXK48"/>
    <mergeCell ref="LXL46:LXL48"/>
    <mergeCell ref="LXM46:LXM48"/>
    <mergeCell ref="LXB46:LXB48"/>
    <mergeCell ref="LXC46:LXC48"/>
    <mergeCell ref="LXD46:LXD48"/>
    <mergeCell ref="LXE46:LXE48"/>
    <mergeCell ref="LXF46:LXF48"/>
    <mergeCell ref="LXG46:LXG48"/>
    <mergeCell ref="LWV46:LWV48"/>
    <mergeCell ref="LWW46:LWW48"/>
    <mergeCell ref="LWX46:LWX48"/>
    <mergeCell ref="LWY46:LWY48"/>
    <mergeCell ref="LWZ46:LWZ48"/>
    <mergeCell ref="LXA46:LXA48"/>
    <mergeCell ref="LWP46:LWP48"/>
    <mergeCell ref="LWQ46:LWQ48"/>
    <mergeCell ref="LWR46:LWR48"/>
    <mergeCell ref="LWS46:LWS48"/>
    <mergeCell ref="LWT46:LWT48"/>
    <mergeCell ref="LWU46:LWU48"/>
    <mergeCell ref="LWJ46:LWJ48"/>
    <mergeCell ref="LWK46:LWK48"/>
    <mergeCell ref="LWL46:LWL48"/>
    <mergeCell ref="LWM46:LWM48"/>
    <mergeCell ref="LWN46:LWN48"/>
    <mergeCell ref="LWO46:LWO48"/>
    <mergeCell ref="LWD46:LWD48"/>
    <mergeCell ref="LWE46:LWE48"/>
    <mergeCell ref="LWF46:LWF48"/>
    <mergeCell ref="LWG46:LWG48"/>
    <mergeCell ref="LWH46:LWH48"/>
    <mergeCell ref="LWI46:LWI48"/>
    <mergeCell ref="LVX46:LVX48"/>
    <mergeCell ref="LVY46:LVY48"/>
    <mergeCell ref="LVZ46:LVZ48"/>
    <mergeCell ref="LWA46:LWA48"/>
    <mergeCell ref="LWB46:LWB48"/>
    <mergeCell ref="LWC46:LWC48"/>
    <mergeCell ref="LVR46:LVR48"/>
    <mergeCell ref="LVS46:LVS48"/>
    <mergeCell ref="LVT46:LVT48"/>
    <mergeCell ref="LVU46:LVU48"/>
    <mergeCell ref="LVV46:LVV48"/>
    <mergeCell ref="LVW46:LVW48"/>
    <mergeCell ref="LVL46:LVL48"/>
    <mergeCell ref="LVM46:LVM48"/>
    <mergeCell ref="LVN46:LVN48"/>
    <mergeCell ref="LVO46:LVO48"/>
    <mergeCell ref="LVP46:LVP48"/>
    <mergeCell ref="LVQ46:LVQ48"/>
    <mergeCell ref="LVF46:LVF48"/>
    <mergeCell ref="LVG46:LVG48"/>
    <mergeCell ref="LVH46:LVH48"/>
    <mergeCell ref="LVI46:LVI48"/>
    <mergeCell ref="LVJ46:LVJ48"/>
    <mergeCell ref="LVK46:LVK48"/>
    <mergeCell ref="LUZ46:LUZ48"/>
    <mergeCell ref="LVA46:LVA48"/>
    <mergeCell ref="LVB46:LVB48"/>
    <mergeCell ref="LVC46:LVC48"/>
    <mergeCell ref="LVD46:LVD48"/>
    <mergeCell ref="LVE46:LVE48"/>
    <mergeCell ref="LUT46:LUT48"/>
    <mergeCell ref="LUU46:LUU48"/>
    <mergeCell ref="LUV46:LUV48"/>
    <mergeCell ref="LUW46:LUW48"/>
    <mergeCell ref="LUX46:LUX48"/>
    <mergeCell ref="LUY46:LUY48"/>
    <mergeCell ref="LUN46:LUN48"/>
    <mergeCell ref="LUO46:LUO48"/>
    <mergeCell ref="LUP46:LUP48"/>
    <mergeCell ref="LUQ46:LUQ48"/>
    <mergeCell ref="LUR46:LUR48"/>
    <mergeCell ref="LUS46:LUS48"/>
    <mergeCell ref="LUH46:LUH48"/>
    <mergeCell ref="LUI46:LUI48"/>
    <mergeCell ref="LUJ46:LUJ48"/>
    <mergeCell ref="LUK46:LUK48"/>
    <mergeCell ref="LUL46:LUL48"/>
    <mergeCell ref="LUM46:LUM48"/>
    <mergeCell ref="LUB46:LUB48"/>
    <mergeCell ref="LUC46:LUC48"/>
    <mergeCell ref="LUD46:LUD48"/>
    <mergeCell ref="LUE46:LUE48"/>
    <mergeCell ref="LUF46:LUF48"/>
    <mergeCell ref="LUG46:LUG48"/>
    <mergeCell ref="LTV46:LTV48"/>
    <mergeCell ref="LTW46:LTW48"/>
    <mergeCell ref="LTX46:LTX48"/>
    <mergeCell ref="LTY46:LTY48"/>
    <mergeCell ref="LTZ46:LTZ48"/>
    <mergeCell ref="LUA46:LUA48"/>
    <mergeCell ref="LTP46:LTP48"/>
    <mergeCell ref="LTQ46:LTQ48"/>
    <mergeCell ref="LTR46:LTR48"/>
    <mergeCell ref="LTS46:LTS48"/>
    <mergeCell ref="LTT46:LTT48"/>
    <mergeCell ref="LTU46:LTU48"/>
    <mergeCell ref="LTJ46:LTJ48"/>
    <mergeCell ref="LTK46:LTK48"/>
    <mergeCell ref="LTL46:LTL48"/>
    <mergeCell ref="LTM46:LTM48"/>
    <mergeCell ref="LTN46:LTN48"/>
    <mergeCell ref="LTO46:LTO48"/>
    <mergeCell ref="LTD46:LTD48"/>
    <mergeCell ref="LTE46:LTE48"/>
    <mergeCell ref="LTF46:LTF48"/>
    <mergeCell ref="LTG46:LTG48"/>
    <mergeCell ref="LTH46:LTH48"/>
    <mergeCell ref="LTI46:LTI48"/>
    <mergeCell ref="LSX46:LSX48"/>
    <mergeCell ref="LSY46:LSY48"/>
    <mergeCell ref="LSZ46:LSZ48"/>
    <mergeCell ref="LTA46:LTA48"/>
    <mergeCell ref="LTB46:LTB48"/>
    <mergeCell ref="LTC46:LTC48"/>
    <mergeCell ref="LSR46:LSR48"/>
    <mergeCell ref="LSS46:LSS48"/>
    <mergeCell ref="LST46:LST48"/>
    <mergeCell ref="LSU46:LSU48"/>
    <mergeCell ref="LSV46:LSV48"/>
    <mergeCell ref="LSW46:LSW48"/>
    <mergeCell ref="LSL46:LSL48"/>
    <mergeCell ref="LSM46:LSM48"/>
    <mergeCell ref="LSN46:LSN48"/>
    <mergeCell ref="LSO46:LSO48"/>
    <mergeCell ref="LSP46:LSP48"/>
    <mergeCell ref="LSQ46:LSQ48"/>
    <mergeCell ref="LSF46:LSF48"/>
    <mergeCell ref="LSG46:LSG48"/>
    <mergeCell ref="LSH46:LSH48"/>
    <mergeCell ref="LSI46:LSI48"/>
    <mergeCell ref="LSJ46:LSJ48"/>
    <mergeCell ref="LSK46:LSK48"/>
    <mergeCell ref="LRZ46:LRZ48"/>
    <mergeCell ref="LSA46:LSA48"/>
    <mergeCell ref="LSB46:LSB48"/>
    <mergeCell ref="LSC46:LSC48"/>
    <mergeCell ref="LSD46:LSD48"/>
    <mergeCell ref="LSE46:LSE48"/>
    <mergeCell ref="LRT46:LRT48"/>
    <mergeCell ref="LRU46:LRU48"/>
    <mergeCell ref="LRV46:LRV48"/>
    <mergeCell ref="LRW46:LRW48"/>
    <mergeCell ref="LRX46:LRX48"/>
    <mergeCell ref="LRY46:LRY48"/>
    <mergeCell ref="LRN46:LRN48"/>
    <mergeCell ref="LRO46:LRO48"/>
    <mergeCell ref="LRP46:LRP48"/>
    <mergeCell ref="LRQ46:LRQ48"/>
    <mergeCell ref="LRR46:LRR48"/>
    <mergeCell ref="LRS46:LRS48"/>
    <mergeCell ref="LRH46:LRH48"/>
    <mergeCell ref="LRI46:LRI48"/>
    <mergeCell ref="LRJ46:LRJ48"/>
    <mergeCell ref="LRK46:LRK48"/>
    <mergeCell ref="LRL46:LRL48"/>
    <mergeCell ref="LRM46:LRM48"/>
    <mergeCell ref="LRB46:LRB48"/>
    <mergeCell ref="LRC46:LRC48"/>
    <mergeCell ref="LRD46:LRD48"/>
    <mergeCell ref="LRE46:LRE48"/>
    <mergeCell ref="LRF46:LRF48"/>
    <mergeCell ref="LRG46:LRG48"/>
    <mergeCell ref="LQV46:LQV48"/>
    <mergeCell ref="LQW46:LQW48"/>
    <mergeCell ref="LQX46:LQX48"/>
    <mergeCell ref="LQY46:LQY48"/>
    <mergeCell ref="LQZ46:LQZ48"/>
    <mergeCell ref="LRA46:LRA48"/>
    <mergeCell ref="LQP46:LQP48"/>
    <mergeCell ref="LQQ46:LQQ48"/>
    <mergeCell ref="LQR46:LQR48"/>
    <mergeCell ref="LQS46:LQS48"/>
    <mergeCell ref="LQT46:LQT48"/>
    <mergeCell ref="LQU46:LQU48"/>
    <mergeCell ref="LQJ46:LQJ48"/>
    <mergeCell ref="LQK46:LQK48"/>
    <mergeCell ref="LQL46:LQL48"/>
    <mergeCell ref="LQM46:LQM48"/>
    <mergeCell ref="LQN46:LQN48"/>
    <mergeCell ref="LQO46:LQO48"/>
    <mergeCell ref="LQD46:LQD48"/>
    <mergeCell ref="LQE46:LQE48"/>
    <mergeCell ref="LQF46:LQF48"/>
    <mergeCell ref="LQG46:LQG48"/>
    <mergeCell ref="LQH46:LQH48"/>
    <mergeCell ref="LQI46:LQI48"/>
    <mergeCell ref="LPX46:LPX48"/>
    <mergeCell ref="LPY46:LPY48"/>
    <mergeCell ref="LPZ46:LPZ48"/>
    <mergeCell ref="LQA46:LQA48"/>
    <mergeCell ref="LQB46:LQB48"/>
    <mergeCell ref="LQC46:LQC48"/>
    <mergeCell ref="LPR46:LPR48"/>
    <mergeCell ref="LPS46:LPS48"/>
    <mergeCell ref="LPT46:LPT48"/>
    <mergeCell ref="LPU46:LPU48"/>
    <mergeCell ref="LPV46:LPV48"/>
    <mergeCell ref="LPW46:LPW48"/>
    <mergeCell ref="LPL46:LPL48"/>
    <mergeCell ref="LPM46:LPM48"/>
    <mergeCell ref="LPN46:LPN48"/>
    <mergeCell ref="LPO46:LPO48"/>
    <mergeCell ref="LPP46:LPP48"/>
    <mergeCell ref="LPQ46:LPQ48"/>
    <mergeCell ref="LPF46:LPF48"/>
    <mergeCell ref="LPG46:LPG48"/>
    <mergeCell ref="LPH46:LPH48"/>
    <mergeCell ref="LPI46:LPI48"/>
    <mergeCell ref="LPJ46:LPJ48"/>
    <mergeCell ref="LPK46:LPK48"/>
    <mergeCell ref="LOZ46:LOZ48"/>
    <mergeCell ref="LPA46:LPA48"/>
    <mergeCell ref="LPB46:LPB48"/>
    <mergeCell ref="LPC46:LPC48"/>
    <mergeCell ref="LPD46:LPD48"/>
    <mergeCell ref="LPE46:LPE48"/>
    <mergeCell ref="LOT46:LOT48"/>
    <mergeCell ref="LOU46:LOU48"/>
    <mergeCell ref="LOV46:LOV48"/>
    <mergeCell ref="LOW46:LOW48"/>
    <mergeCell ref="LOX46:LOX48"/>
    <mergeCell ref="LOY46:LOY48"/>
    <mergeCell ref="LON46:LON48"/>
    <mergeCell ref="LOO46:LOO48"/>
    <mergeCell ref="LOP46:LOP48"/>
    <mergeCell ref="LOQ46:LOQ48"/>
    <mergeCell ref="LOR46:LOR48"/>
    <mergeCell ref="LOS46:LOS48"/>
    <mergeCell ref="LOH46:LOH48"/>
    <mergeCell ref="LOI46:LOI48"/>
    <mergeCell ref="LOJ46:LOJ48"/>
    <mergeCell ref="LOK46:LOK48"/>
    <mergeCell ref="LOL46:LOL48"/>
    <mergeCell ref="LOM46:LOM48"/>
    <mergeCell ref="LOB46:LOB48"/>
    <mergeCell ref="LOC46:LOC48"/>
    <mergeCell ref="LOD46:LOD48"/>
    <mergeCell ref="LOE46:LOE48"/>
    <mergeCell ref="LOF46:LOF48"/>
    <mergeCell ref="LOG46:LOG48"/>
    <mergeCell ref="LNV46:LNV48"/>
    <mergeCell ref="LNW46:LNW48"/>
    <mergeCell ref="LNX46:LNX48"/>
    <mergeCell ref="LNY46:LNY48"/>
    <mergeCell ref="LNZ46:LNZ48"/>
    <mergeCell ref="LOA46:LOA48"/>
    <mergeCell ref="LNP46:LNP48"/>
    <mergeCell ref="LNQ46:LNQ48"/>
    <mergeCell ref="LNR46:LNR48"/>
    <mergeCell ref="LNS46:LNS48"/>
    <mergeCell ref="LNT46:LNT48"/>
    <mergeCell ref="LNU46:LNU48"/>
    <mergeCell ref="LNJ46:LNJ48"/>
    <mergeCell ref="LNK46:LNK48"/>
    <mergeCell ref="LNL46:LNL48"/>
    <mergeCell ref="LNM46:LNM48"/>
    <mergeCell ref="LNN46:LNN48"/>
    <mergeCell ref="LNO46:LNO48"/>
    <mergeCell ref="LND46:LND48"/>
    <mergeCell ref="LNE46:LNE48"/>
    <mergeCell ref="LNF46:LNF48"/>
    <mergeCell ref="LNG46:LNG48"/>
    <mergeCell ref="LNH46:LNH48"/>
    <mergeCell ref="LNI46:LNI48"/>
    <mergeCell ref="LMX46:LMX48"/>
    <mergeCell ref="LMY46:LMY48"/>
    <mergeCell ref="LMZ46:LMZ48"/>
    <mergeCell ref="LNA46:LNA48"/>
    <mergeCell ref="LNB46:LNB48"/>
    <mergeCell ref="LNC46:LNC48"/>
    <mergeCell ref="LMR46:LMR48"/>
    <mergeCell ref="LMS46:LMS48"/>
    <mergeCell ref="LMT46:LMT48"/>
    <mergeCell ref="LMU46:LMU48"/>
    <mergeCell ref="LMV46:LMV48"/>
    <mergeCell ref="LMW46:LMW48"/>
    <mergeCell ref="LML46:LML48"/>
    <mergeCell ref="LMM46:LMM48"/>
    <mergeCell ref="LMN46:LMN48"/>
    <mergeCell ref="LMO46:LMO48"/>
    <mergeCell ref="LMP46:LMP48"/>
    <mergeCell ref="LMQ46:LMQ48"/>
    <mergeCell ref="LMF46:LMF48"/>
    <mergeCell ref="LMG46:LMG48"/>
    <mergeCell ref="LMH46:LMH48"/>
    <mergeCell ref="LMI46:LMI48"/>
    <mergeCell ref="LMJ46:LMJ48"/>
    <mergeCell ref="LMK46:LMK48"/>
    <mergeCell ref="LLZ46:LLZ48"/>
    <mergeCell ref="LMA46:LMA48"/>
    <mergeCell ref="LMB46:LMB48"/>
    <mergeCell ref="LMC46:LMC48"/>
    <mergeCell ref="LMD46:LMD48"/>
    <mergeCell ref="LME46:LME48"/>
    <mergeCell ref="LLT46:LLT48"/>
    <mergeCell ref="LLU46:LLU48"/>
    <mergeCell ref="LLV46:LLV48"/>
    <mergeCell ref="LLW46:LLW48"/>
    <mergeCell ref="LLX46:LLX48"/>
    <mergeCell ref="LLY46:LLY48"/>
    <mergeCell ref="LLN46:LLN48"/>
    <mergeCell ref="LLO46:LLO48"/>
    <mergeCell ref="LLP46:LLP48"/>
    <mergeCell ref="LLQ46:LLQ48"/>
    <mergeCell ref="LLR46:LLR48"/>
    <mergeCell ref="LLS46:LLS48"/>
    <mergeCell ref="LLH46:LLH48"/>
    <mergeCell ref="LLI46:LLI48"/>
    <mergeCell ref="LLJ46:LLJ48"/>
    <mergeCell ref="LLK46:LLK48"/>
    <mergeCell ref="LLL46:LLL48"/>
    <mergeCell ref="LLM46:LLM48"/>
    <mergeCell ref="LLB46:LLB48"/>
    <mergeCell ref="LLC46:LLC48"/>
    <mergeCell ref="LLD46:LLD48"/>
    <mergeCell ref="LLE46:LLE48"/>
    <mergeCell ref="LLF46:LLF48"/>
    <mergeCell ref="LLG46:LLG48"/>
    <mergeCell ref="LKV46:LKV48"/>
    <mergeCell ref="LKW46:LKW48"/>
    <mergeCell ref="LKX46:LKX48"/>
    <mergeCell ref="LKY46:LKY48"/>
    <mergeCell ref="LKZ46:LKZ48"/>
    <mergeCell ref="LLA46:LLA48"/>
    <mergeCell ref="LKP46:LKP48"/>
    <mergeCell ref="LKQ46:LKQ48"/>
    <mergeCell ref="LKR46:LKR48"/>
    <mergeCell ref="LKS46:LKS48"/>
    <mergeCell ref="LKT46:LKT48"/>
    <mergeCell ref="LKU46:LKU48"/>
    <mergeCell ref="LKJ46:LKJ48"/>
    <mergeCell ref="LKK46:LKK48"/>
    <mergeCell ref="LKL46:LKL48"/>
    <mergeCell ref="LKM46:LKM48"/>
    <mergeCell ref="LKN46:LKN48"/>
    <mergeCell ref="LKO46:LKO48"/>
    <mergeCell ref="LKD46:LKD48"/>
    <mergeCell ref="LKE46:LKE48"/>
    <mergeCell ref="LKF46:LKF48"/>
    <mergeCell ref="LKG46:LKG48"/>
    <mergeCell ref="LKH46:LKH48"/>
    <mergeCell ref="LKI46:LKI48"/>
    <mergeCell ref="LJX46:LJX48"/>
    <mergeCell ref="LJY46:LJY48"/>
    <mergeCell ref="LJZ46:LJZ48"/>
    <mergeCell ref="LKA46:LKA48"/>
    <mergeCell ref="LKB46:LKB48"/>
    <mergeCell ref="LKC46:LKC48"/>
    <mergeCell ref="LJR46:LJR48"/>
    <mergeCell ref="LJS46:LJS48"/>
    <mergeCell ref="LJT46:LJT48"/>
    <mergeCell ref="LJU46:LJU48"/>
    <mergeCell ref="LJV46:LJV48"/>
    <mergeCell ref="LJW46:LJW48"/>
    <mergeCell ref="LJL46:LJL48"/>
    <mergeCell ref="LJM46:LJM48"/>
    <mergeCell ref="LJN46:LJN48"/>
    <mergeCell ref="LJO46:LJO48"/>
    <mergeCell ref="LJP46:LJP48"/>
    <mergeCell ref="LJQ46:LJQ48"/>
    <mergeCell ref="LJF46:LJF48"/>
    <mergeCell ref="LJG46:LJG48"/>
    <mergeCell ref="LJH46:LJH48"/>
    <mergeCell ref="LJI46:LJI48"/>
    <mergeCell ref="LJJ46:LJJ48"/>
    <mergeCell ref="LJK46:LJK48"/>
    <mergeCell ref="LIZ46:LIZ48"/>
    <mergeCell ref="LJA46:LJA48"/>
    <mergeCell ref="LJB46:LJB48"/>
    <mergeCell ref="LJC46:LJC48"/>
    <mergeCell ref="LJD46:LJD48"/>
    <mergeCell ref="LJE46:LJE48"/>
    <mergeCell ref="LIT46:LIT48"/>
    <mergeCell ref="LIU46:LIU48"/>
    <mergeCell ref="LIV46:LIV48"/>
    <mergeCell ref="LIW46:LIW48"/>
    <mergeCell ref="LIX46:LIX48"/>
    <mergeCell ref="LIY46:LIY48"/>
    <mergeCell ref="LIN46:LIN48"/>
    <mergeCell ref="LIO46:LIO48"/>
    <mergeCell ref="LIP46:LIP48"/>
    <mergeCell ref="LIQ46:LIQ48"/>
    <mergeCell ref="LIR46:LIR48"/>
    <mergeCell ref="LIS46:LIS48"/>
    <mergeCell ref="LIH46:LIH48"/>
    <mergeCell ref="LII46:LII48"/>
    <mergeCell ref="LIJ46:LIJ48"/>
    <mergeCell ref="LIK46:LIK48"/>
    <mergeCell ref="LIL46:LIL48"/>
    <mergeCell ref="LIM46:LIM48"/>
    <mergeCell ref="LIB46:LIB48"/>
    <mergeCell ref="LIC46:LIC48"/>
    <mergeCell ref="LID46:LID48"/>
    <mergeCell ref="LIE46:LIE48"/>
    <mergeCell ref="LIF46:LIF48"/>
    <mergeCell ref="LIG46:LIG48"/>
    <mergeCell ref="LHV46:LHV48"/>
    <mergeCell ref="LHW46:LHW48"/>
    <mergeCell ref="LHX46:LHX48"/>
    <mergeCell ref="LHY46:LHY48"/>
    <mergeCell ref="LHZ46:LHZ48"/>
    <mergeCell ref="LIA46:LIA48"/>
    <mergeCell ref="LHP46:LHP48"/>
    <mergeCell ref="LHQ46:LHQ48"/>
    <mergeCell ref="LHR46:LHR48"/>
    <mergeCell ref="LHS46:LHS48"/>
    <mergeCell ref="LHT46:LHT48"/>
    <mergeCell ref="LHU46:LHU48"/>
    <mergeCell ref="LHJ46:LHJ48"/>
    <mergeCell ref="LHK46:LHK48"/>
    <mergeCell ref="LHL46:LHL48"/>
    <mergeCell ref="LHM46:LHM48"/>
    <mergeCell ref="LHN46:LHN48"/>
    <mergeCell ref="LHO46:LHO48"/>
    <mergeCell ref="LHD46:LHD48"/>
    <mergeCell ref="LHE46:LHE48"/>
    <mergeCell ref="LHF46:LHF48"/>
    <mergeCell ref="LHG46:LHG48"/>
    <mergeCell ref="LHH46:LHH48"/>
    <mergeCell ref="LHI46:LHI48"/>
    <mergeCell ref="LGX46:LGX48"/>
    <mergeCell ref="LGY46:LGY48"/>
    <mergeCell ref="LGZ46:LGZ48"/>
    <mergeCell ref="LHA46:LHA48"/>
    <mergeCell ref="LHB46:LHB48"/>
    <mergeCell ref="LHC46:LHC48"/>
    <mergeCell ref="LGR46:LGR48"/>
    <mergeCell ref="LGS46:LGS48"/>
    <mergeCell ref="LGT46:LGT48"/>
    <mergeCell ref="LGU46:LGU48"/>
    <mergeCell ref="LGV46:LGV48"/>
    <mergeCell ref="LGW46:LGW48"/>
    <mergeCell ref="LGL46:LGL48"/>
    <mergeCell ref="LGM46:LGM48"/>
    <mergeCell ref="LGN46:LGN48"/>
    <mergeCell ref="LGO46:LGO48"/>
    <mergeCell ref="LGP46:LGP48"/>
    <mergeCell ref="LGQ46:LGQ48"/>
    <mergeCell ref="LGF46:LGF48"/>
    <mergeCell ref="LGG46:LGG48"/>
    <mergeCell ref="LGH46:LGH48"/>
    <mergeCell ref="LGI46:LGI48"/>
    <mergeCell ref="LGJ46:LGJ48"/>
    <mergeCell ref="LGK46:LGK48"/>
    <mergeCell ref="LFZ46:LFZ48"/>
    <mergeCell ref="LGA46:LGA48"/>
    <mergeCell ref="LGB46:LGB48"/>
    <mergeCell ref="LGC46:LGC48"/>
    <mergeCell ref="LGD46:LGD48"/>
    <mergeCell ref="LGE46:LGE48"/>
    <mergeCell ref="LFT46:LFT48"/>
    <mergeCell ref="LFU46:LFU48"/>
    <mergeCell ref="LFV46:LFV48"/>
    <mergeCell ref="LFW46:LFW48"/>
    <mergeCell ref="LFX46:LFX48"/>
    <mergeCell ref="LFY46:LFY48"/>
    <mergeCell ref="LFN46:LFN48"/>
    <mergeCell ref="LFO46:LFO48"/>
    <mergeCell ref="LFP46:LFP48"/>
    <mergeCell ref="LFQ46:LFQ48"/>
    <mergeCell ref="LFR46:LFR48"/>
    <mergeCell ref="LFS46:LFS48"/>
    <mergeCell ref="LFH46:LFH48"/>
    <mergeCell ref="LFI46:LFI48"/>
    <mergeCell ref="LFJ46:LFJ48"/>
    <mergeCell ref="LFK46:LFK48"/>
    <mergeCell ref="LFL46:LFL48"/>
    <mergeCell ref="LFM46:LFM48"/>
    <mergeCell ref="LFB46:LFB48"/>
    <mergeCell ref="LFC46:LFC48"/>
    <mergeCell ref="LFD46:LFD48"/>
    <mergeCell ref="LFE46:LFE48"/>
    <mergeCell ref="LFF46:LFF48"/>
    <mergeCell ref="LFG46:LFG48"/>
    <mergeCell ref="LEV46:LEV48"/>
    <mergeCell ref="LEW46:LEW48"/>
    <mergeCell ref="LEX46:LEX48"/>
    <mergeCell ref="LEY46:LEY48"/>
    <mergeCell ref="LEZ46:LEZ48"/>
    <mergeCell ref="LFA46:LFA48"/>
    <mergeCell ref="LEP46:LEP48"/>
    <mergeCell ref="LEQ46:LEQ48"/>
    <mergeCell ref="LER46:LER48"/>
    <mergeCell ref="LES46:LES48"/>
    <mergeCell ref="LET46:LET48"/>
    <mergeCell ref="LEU46:LEU48"/>
    <mergeCell ref="LEJ46:LEJ48"/>
    <mergeCell ref="LEK46:LEK48"/>
    <mergeCell ref="LEL46:LEL48"/>
    <mergeCell ref="LEM46:LEM48"/>
    <mergeCell ref="LEN46:LEN48"/>
    <mergeCell ref="LEO46:LEO48"/>
    <mergeCell ref="LED46:LED48"/>
    <mergeCell ref="LEE46:LEE48"/>
    <mergeCell ref="LEF46:LEF48"/>
    <mergeCell ref="LEG46:LEG48"/>
    <mergeCell ref="LEH46:LEH48"/>
    <mergeCell ref="LEI46:LEI48"/>
    <mergeCell ref="LDX46:LDX48"/>
    <mergeCell ref="LDY46:LDY48"/>
    <mergeCell ref="LDZ46:LDZ48"/>
    <mergeCell ref="LEA46:LEA48"/>
    <mergeCell ref="LEB46:LEB48"/>
    <mergeCell ref="LEC46:LEC48"/>
    <mergeCell ref="LDR46:LDR48"/>
    <mergeCell ref="LDS46:LDS48"/>
    <mergeCell ref="LDT46:LDT48"/>
    <mergeCell ref="LDU46:LDU48"/>
    <mergeCell ref="LDV46:LDV48"/>
    <mergeCell ref="LDW46:LDW48"/>
    <mergeCell ref="LDL46:LDL48"/>
    <mergeCell ref="LDM46:LDM48"/>
    <mergeCell ref="LDN46:LDN48"/>
    <mergeCell ref="LDO46:LDO48"/>
    <mergeCell ref="LDP46:LDP48"/>
    <mergeCell ref="LDQ46:LDQ48"/>
    <mergeCell ref="LDF46:LDF48"/>
    <mergeCell ref="LDG46:LDG48"/>
    <mergeCell ref="LDH46:LDH48"/>
    <mergeCell ref="LDI46:LDI48"/>
    <mergeCell ref="LDJ46:LDJ48"/>
    <mergeCell ref="LDK46:LDK48"/>
    <mergeCell ref="LCZ46:LCZ48"/>
    <mergeCell ref="LDA46:LDA48"/>
    <mergeCell ref="LDB46:LDB48"/>
    <mergeCell ref="LDC46:LDC48"/>
    <mergeCell ref="LDD46:LDD48"/>
    <mergeCell ref="LDE46:LDE48"/>
    <mergeCell ref="LCT46:LCT48"/>
    <mergeCell ref="LCU46:LCU48"/>
    <mergeCell ref="LCV46:LCV48"/>
    <mergeCell ref="LCW46:LCW48"/>
    <mergeCell ref="LCX46:LCX48"/>
    <mergeCell ref="LCY46:LCY48"/>
    <mergeCell ref="LCN46:LCN48"/>
    <mergeCell ref="LCO46:LCO48"/>
    <mergeCell ref="LCP46:LCP48"/>
    <mergeCell ref="LCQ46:LCQ48"/>
    <mergeCell ref="LCR46:LCR48"/>
    <mergeCell ref="LCS46:LCS48"/>
    <mergeCell ref="LCH46:LCH48"/>
    <mergeCell ref="LCI46:LCI48"/>
    <mergeCell ref="LCJ46:LCJ48"/>
    <mergeCell ref="LCK46:LCK48"/>
    <mergeCell ref="LCL46:LCL48"/>
    <mergeCell ref="LCM46:LCM48"/>
    <mergeCell ref="LCB46:LCB48"/>
    <mergeCell ref="LCC46:LCC48"/>
    <mergeCell ref="LCD46:LCD48"/>
    <mergeCell ref="LCE46:LCE48"/>
    <mergeCell ref="LCF46:LCF48"/>
    <mergeCell ref="LCG46:LCG48"/>
    <mergeCell ref="LBV46:LBV48"/>
    <mergeCell ref="LBW46:LBW48"/>
    <mergeCell ref="LBX46:LBX48"/>
    <mergeCell ref="LBY46:LBY48"/>
    <mergeCell ref="LBZ46:LBZ48"/>
    <mergeCell ref="LCA46:LCA48"/>
    <mergeCell ref="LBP46:LBP48"/>
    <mergeCell ref="LBQ46:LBQ48"/>
    <mergeCell ref="LBR46:LBR48"/>
    <mergeCell ref="LBS46:LBS48"/>
    <mergeCell ref="LBT46:LBT48"/>
    <mergeCell ref="LBU46:LBU48"/>
    <mergeCell ref="LBJ46:LBJ48"/>
    <mergeCell ref="LBK46:LBK48"/>
    <mergeCell ref="LBL46:LBL48"/>
    <mergeCell ref="LBM46:LBM48"/>
    <mergeCell ref="LBN46:LBN48"/>
    <mergeCell ref="LBO46:LBO48"/>
    <mergeCell ref="LBD46:LBD48"/>
    <mergeCell ref="LBE46:LBE48"/>
    <mergeCell ref="LBF46:LBF48"/>
    <mergeCell ref="LBG46:LBG48"/>
    <mergeCell ref="LBH46:LBH48"/>
    <mergeCell ref="LBI46:LBI48"/>
    <mergeCell ref="LAX46:LAX48"/>
    <mergeCell ref="LAY46:LAY48"/>
    <mergeCell ref="LAZ46:LAZ48"/>
    <mergeCell ref="LBA46:LBA48"/>
    <mergeCell ref="LBB46:LBB48"/>
    <mergeCell ref="LBC46:LBC48"/>
    <mergeCell ref="LAR46:LAR48"/>
    <mergeCell ref="LAS46:LAS48"/>
    <mergeCell ref="LAT46:LAT48"/>
    <mergeCell ref="LAU46:LAU48"/>
    <mergeCell ref="LAV46:LAV48"/>
    <mergeCell ref="LAW46:LAW48"/>
    <mergeCell ref="LAL46:LAL48"/>
    <mergeCell ref="LAM46:LAM48"/>
    <mergeCell ref="LAN46:LAN48"/>
    <mergeCell ref="LAO46:LAO48"/>
    <mergeCell ref="LAP46:LAP48"/>
    <mergeCell ref="LAQ46:LAQ48"/>
    <mergeCell ref="LAF46:LAF48"/>
    <mergeCell ref="LAG46:LAG48"/>
    <mergeCell ref="LAH46:LAH48"/>
    <mergeCell ref="LAI46:LAI48"/>
    <mergeCell ref="LAJ46:LAJ48"/>
    <mergeCell ref="LAK46:LAK48"/>
    <mergeCell ref="KZZ46:KZZ48"/>
    <mergeCell ref="LAA46:LAA48"/>
    <mergeCell ref="LAB46:LAB48"/>
    <mergeCell ref="LAC46:LAC48"/>
    <mergeCell ref="LAD46:LAD48"/>
    <mergeCell ref="LAE46:LAE48"/>
    <mergeCell ref="KZT46:KZT48"/>
    <mergeCell ref="KZU46:KZU48"/>
    <mergeCell ref="KZV46:KZV48"/>
    <mergeCell ref="KZW46:KZW48"/>
    <mergeCell ref="KZX46:KZX48"/>
    <mergeCell ref="KZY46:KZY48"/>
    <mergeCell ref="KZN46:KZN48"/>
    <mergeCell ref="KZO46:KZO48"/>
    <mergeCell ref="KZP46:KZP48"/>
    <mergeCell ref="KZQ46:KZQ48"/>
    <mergeCell ref="KZR46:KZR48"/>
    <mergeCell ref="KZS46:KZS48"/>
    <mergeCell ref="KZH46:KZH48"/>
    <mergeCell ref="KZI46:KZI48"/>
    <mergeCell ref="KZJ46:KZJ48"/>
    <mergeCell ref="KZK46:KZK48"/>
    <mergeCell ref="KZL46:KZL48"/>
    <mergeCell ref="KZM46:KZM48"/>
    <mergeCell ref="KZB46:KZB48"/>
    <mergeCell ref="KZC46:KZC48"/>
    <mergeCell ref="KZD46:KZD48"/>
    <mergeCell ref="KZE46:KZE48"/>
    <mergeCell ref="KZF46:KZF48"/>
    <mergeCell ref="KZG46:KZG48"/>
    <mergeCell ref="KYV46:KYV48"/>
    <mergeCell ref="KYW46:KYW48"/>
    <mergeCell ref="KYX46:KYX48"/>
    <mergeCell ref="KYY46:KYY48"/>
    <mergeCell ref="KYZ46:KYZ48"/>
    <mergeCell ref="KZA46:KZA48"/>
    <mergeCell ref="KYP46:KYP48"/>
    <mergeCell ref="KYQ46:KYQ48"/>
    <mergeCell ref="KYR46:KYR48"/>
    <mergeCell ref="KYS46:KYS48"/>
    <mergeCell ref="KYT46:KYT48"/>
    <mergeCell ref="KYU46:KYU48"/>
    <mergeCell ref="KYJ46:KYJ48"/>
    <mergeCell ref="KYK46:KYK48"/>
    <mergeCell ref="KYL46:KYL48"/>
    <mergeCell ref="KYM46:KYM48"/>
    <mergeCell ref="KYN46:KYN48"/>
    <mergeCell ref="KYO46:KYO48"/>
    <mergeCell ref="KYD46:KYD48"/>
    <mergeCell ref="KYE46:KYE48"/>
    <mergeCell ref="KYF46:KYF48"/>
    <mergeCell ref="KYG46:KYG48"/>
    <mergeCell ref="KYH46:KYH48"/>
    <mergeCell ref="KYI46:KYI48"/>
    <mergeCell ref="KXX46:KXX48"/>
    <mergeCell ref="KXY46:KXY48"/>
    <mergeCell ref="KXZ46:KXZ48"/>
    <mergeCell ref="KYA46:KYA48"/>
    <mergeCell ref="KYB46:KYB48"/>
    <mergeCell ref="KYC46:KYC48"/>
    <mergeCell ref="KXR46:KXR48"/>
    <mergeCell ref="KXS46:KXS48"/>
    <mergeCell ref="KXT46:KXT48"/>
    <mergeCell ref="KXU46:KXU48"/>
    <mergeCell ref="KXV46:KXV48"/>
    <mergeCell ref="KXW46:KXW48"/>
    <mergeCell ref="KXL46:KXL48"/>
    <mergeCell ref="KXM46:KXM48"/>
    <mergeCell ref="KXN46:KXN48"/>
    <mergeCell ref="KXO46:KXO48"/>
    <mergeCell ref="KXP46:KXP48"/>
    <mergeCell ref="KXQ46:KXQ48"/>
    <mergeCell ref="KXF46:KXF48"/>
    <mergeCell ref="KXG46:KXG48"/>
    <mergeCell ref="KXH46:KXH48"/>
    <mergeCell ref="KXI46:KXI48"/>
    <mergeCell ref="KXJ46:KXJ48"/>
    <mergeCell ref="KXK46:KXK48"/>
    <mergeCell ref="KWZ46:KWZ48"/>
    <mergeCell ref="KXA46:KXA48"/>
    <mergeCell ref="KXB46:KXB48"/>
    <mergeCell ref="KXC46:KXC48"/>
    <mergeCell ref="KXD46:KXD48"/>
    <mergeCell ref="KXE46:KXE48"/>
    <mergeCell ref="KWT46:KWT48"/>
    <mergeCell ref="KWU46:KWU48"/>
    <mergeCell ref="KWV46:KWV48"/>
    <mergeCell ref="KWW46:KWW48"/>
    <mergeCell ref="KWX46:KWX48"/>
    <mergeCell ref="KWY46:KWY48"/>
    <mergeCell ref="KWN46:KWN48"/>
    <mergeCell ref="KWO46:KWO48"/>
    <mergeCell ref="KWP46:KWP48"/>
    <mergeCell ref="KWQ46:KWQ48"/>
    <mergeCell ref="KWR46:KWR48"/>
    <mergeCell ref="KWS46:KWS48"/>
    <mergeCell ref="KWH46:KWH48"/>
    <mergeCell ref="KWI46:KWI48"/>
    <mergeCell ref="KWJ46:KWJ48"/>
    <mergeCell ref="KWK46:KWK48"/>
    <mergeCell ref="KWL46:KWL48"/>
    <mergeCell ref="KWM46:KWM48"/>
    <mergeCell ref="KWB46:KWB48"/>
    <mergeCell ref="KWC46:KWC48"/>
    <mergeCell ref="KWD46:KWD48"/>
    <mergeCell ref="KWE46:KWE48"/>
    <mergeCell ref="KWF46:KWF48"/>
    <mergeCell ref="KWG46:KWG48"/>
    <mergeCell ref="KVV46:KVV48"/>
    <mergeCell ref="KVW46:KVW48"/>
    <mergeCell ref="KVX46:KVX48"/>
    <mergeCell ref="KVY46:KVY48"/>
    <mergeCell ref="KVZ46:KVZ48"/>
    <mergeCell ref="KWA46:KWA48"/>
    <mergeCell ref="KVP46:KVP48"/>
    <mergeCell ref="KVQ46:KVQ48"/>
    <mergeCell ref="KVR46:KVR48"/>
    <mergeCell ref="KVS46:KVS48"/>
    <mergeCell ref="KVT46:KVT48"/>
    <mergeCell ref="KVU46:KVU48"/>
    <mergeCell ref="KVJ46:KVJ48"/>
    <mergeCell ref="KVK46:KVK48"/>
    <mergeCell ref="KVL46:KVL48"/>
    <mergeCell ref="KVM46:KVM48"/>
    <mergeCell ref="KVN46:KVN48"/>
    <mergeCell ref="KVO46:KVO48"/>
    <mergeCell ref="KVD46:KVD48"/>
    <mergeCell ref="KVE46:KVE48"/>
    <mergeCell ref="KVF46:KVF48"/>
    <mergeCell ref="KVG46:KVG48"/>
    <mergeCell ref="KVH46:KVH48"/>
    <mergeCell ref="KVI46:KVI48"/>
    <mergeCell ref="KUX46:KUX48"/>
    <mergeCell ref="KUY46:KUY48"/>
    <mergeCell ref="KUZ46:KUZ48"/>
    <mergeCell ref="KVA46:KVA48"/>
    <mergeCell ref="KVB46:KVB48"/>
    <mergeCell ref="KVC46:KVC48"/>
    <mergeCell ref="KUR46:KUR48"/>
    <mergeCell ref="KUS46:KUS48"/>
    <mergeCell ref="KUT46:KUT48"/>
    <mergeCell ref="KUU46:KUU48"/>
    <mergeCell ref="KUV46:KUV48"/>
    <mergeCell ref="KUW46:KUW48"/>
    <mergeCell ref="KUL46:KUL48"/>
    <mergeCell ref="KUM46:KUM48"/>
    <mergeCell ref="KUN46:KUN48"/>
    <mergeCell ref="KUO46:KUO48"/>
    <mergeCell ref="KUP46:KUP48"/>
    <mergeCell ref="KUQ46:KUQ48"/>
    <mergeCell ref="KUF46:KUF48"/>
    <mergeCell ref="KUG46:KUG48"/>
    <mergeCell ref="KUH46:KUH48"/>
    <mergeCell ref="KUI46:KUI48"/>
    <mergeCell ref="KUJ46:KUJ48"/>
    <mergeCell ref="KUK46:KUK48"/>
    <mergeCell ref="KTZ46:KTZ48"/>
    <mergeCell ref="KUA46:KUA48"/>
    <mergeCell ref="KUB46:KUB48"/>
    <mergeCell ref="KUC46:KUC48"/>
    <mergeCell ref="KUD46:KUD48"/>
    <mergeCell ref="KUE46:KUE48"/>
    <mergeCell ref="KTT46:KTT48"/>
    <mergeCell ref="KTU46:KTU48"/>
    <mergeCell ref="KTV46:KTV48"/>
    <mergeCell ref="KTW46:KTW48"/>
    <mergeCell ref="KTX46:KTX48"/>
    <mergeCell ref="KTY46:KTY48"/>
    <mergeCell ref="KTN46:KTN48"/>
    <mergeCell ref="KTO46:KTO48"/>
    <mergeCell ref="KTP46:KTP48"/>
    <mergeCell ref="KTQ46:KTQ48"/>
    <mergeCell ref="KTR46:KTR48"/>
    <mergeCell ref="KTS46:KTS48"/>
    <mergeCell ref="KTH46:KTH48"/>
    <mergeCell ref="KTI46:KTI48"/>
    <mergeCell ref="KTJ46:KTJ48"/>
    <mergeCell ref="KTK46:KTK48"/>
    <mergeCell ref="KTL46:KTL48"/>
    <mergeCell ref="KTM46:KTM48"/>
    <mergeCell ref="KTB46:KTB48"/>
    <mergeCell ref="KTC46:KTC48"/>
    <mergeCell ref="KTD46:KTD48"/>
    <mergeCell ref="KTE46:KTE48"/>
    <mergeCell ref="KTF46:KTF48"/>
    <mergeCell ref="KTG46:KTG48"/>
    <mergeCell ref="KSV46:KSV48"/>
    <mergeCell ref="KSW46:KSW48"/>
    <mergeCell ref="KSX46:KSX48"/>
    <mergeCell ref="KSY46:KSY48"/>
    <mergeCell ref="KSZ46:KSZ48"/>
    <mergeCell ref="KTA46:KTA48"/>
    <mergeCell ref="KSP46:KSP48"/>
    <mergeCell ref="KSQ46:KSQ48"/>
    <mergeCell ref="KSR46:KSR48"/>
    <mergeCell ref="KSS46:KSS48"/>
    <mergeCell ref="KST46:KST48"/>
    <mergeCell ref="KSU46:KSU48"/>
    <mergeCell ref="KSJ46:KSJ48"/>
    <mergeCell ref="KSK46:KSK48"/>
    <mergeCell ref="KSL46:KSL48"/>
    <mergeCell ref="KSM46:KSM48"/>
    <mergeCell ref="KSN46:KSN48"/>
    <mergeCell ref="KSO46:KSO48"/>
    <mergeCell ref="KSD46:KSD48"/>
    <mergeCell ref="KSE46:KSE48"/>
    <mergeCell ref="KSF46:KSF48"/>
    <mergeCell ref="KSG46:KSG48"/>
    <mergeCell ref="KSH46:KSH48"/>
    <mergeCell ref="KSI46:KSI48"/>
    <mergeCell ref="KRX46:KRX48"/>
    <mergeCell ref="KRY46:KRY48"/>
    <mergeCell ref="KRZ46:KRZ48"/>
    <mergeCell ref="KSA46:KSA48"/>
    <mergeCell ref="KSB46:KSB48"/>
    <mergeCell ref="KSC46:KSC48"/>
    <mergeCell ref="KRR46:KRR48"/>
    <mergeCell ref="KRS46:KRS48"/>
    <mergeCell ref="KRT46:KRT48"/>
    <mergeCell ref="KRU46:KRU48"/>
    <mergeCell ref="KRV46:KRV48"/>
    <mergeCell ref="KRW46:KRW48"/>
    <mergeCell ref="KRL46:KRL48"/>
    <mergeCell ref="KRM46:KRM48"/>
    <mergeCell ref="KRN46:KRN48"/>
    <mergeCell ref="KRO46:KRO48"/>
    <mergeCell ref="KRP46:KRP48"/>
    <mergeCell ref="KRQ46:KRQ48"/>
    <mergeCell ref="KRF46:KRF48"/>
    <mergeCell ref="KRG46:KRG48"/>
    <mergeCell ref="KRH46:KRH48"/>
    <mergeCell ref="KRI46:KRI48"/>
    <mergeCell ref="KRJ46:KRJ48"/>
    <mergeCell ref="KRK46:KRK48"/>
    <mergeCell ref="KQZ46:KQZ48"/>
    <mergeCell ref="KRA46:KRA48"/>
    <mergeCell ref="KRB46:KRB48"/>
    <mergeCell ref="KRC46:KRC48"/>
    <mergeCell ref="KRD46:KRD48"/>
    <mergeCell ref="KRE46:KRE48"/>
    <mergeCell ref="KQT46:KQT48"/>
    <mergeCell ref="KQU46:KQU48"/>
    <mergeCell ref="KQV46:KQV48"/>
    <mergeCell ref="KQW46:KQW48"/>
    <mergeCell ref="KQX46:KQX48"/>
    <mergeCell ref="KQY46:KQY48"/>
    <mergeCell ref="KQN46:KQN48"/>
    <mergeCell ref="KQO46:KQO48"/>
    <mergeCell ref="KQP46:KQP48"/>
    <mergeCell ref="KQQ46:KQQ48"/>
    <mergeCell ref="KQR46:KQR48"/>
    <mergeCell ref="KQS46:KQS48"/>
    <mergeCell ref="KQH46:KQH48"/>
    <mergeCell ref="KQI46:KQI48"/>
    <mergeCell ref="KQJ46:KQJ48"/>
    <mergeCell ref="KQK46:KQK48"/>
    <mergeCell ref="KQL46:KQL48"/>
    <mergeCell ref="KQM46:KQM48"/>
    <mergeCell ref="KQB46:KQB48"/>
    <mergeCell ref="KQC46:KQC48"/>
    <mergeCell ref="KQD46:KQD48"/>
    <mergeCell ref="KQE46:KQE48"/>
    <mergeCell ref="KQF46:KQF48"/>
    <mergeCell ref="KQG46:KQG48"/>
    <mergeCell ref="KPV46:KPV48"/>
    <mergeCell ref="KPW46:KPW48"/>
    <mergeCell ref="KPX46:KPX48"/>
    <mergeCell ref="KPY46:KPY48"/>
    <mergeCell ref="KPZ46:KPZ48"/>
    <mergeCell ref="KQA46:KQA48"/>
    <mergeCell ref="KPP46:KPP48"/>
    <mergeCell ref="KPQ46:KPQ48"/>
    <mergeCell ref="KPR46:KPR48"/>
    <mergeCell ref="KPS46:KPS48"/>
    <mergeCell ref="KPT46:KPT48"/>
    <mergeCell ref="KPU46:KPU48"/>
    <mergeCell ref="KPJ46:KPJ48"/>
    <mergeCell ref="KPK46:KPK48"/>
    <mergeCell ref="KPL46:KPL48"/>
    <mergeCell ref="KPM46:KPM48"/>
    <mergeCell ref="KPN46:KPN48"/>
    <mergeCell ref="KPO46:KPO48"/>
    <mergeCell ref="KPD46:KPD48"/>
    <mergeCell ref="KPE46:KPE48"/>
    <mergeCell ref="KPF46:KPF48"/>
    <mergeCell ref="KPG46:KPG48"/>
    <mergeCell ref="KPH46:KPH48"/>
    <mergeCell ref="KPI46:KPI48"/>
    <mergeCell ref="KOX46:KOX48"/>
    <mergeCell ref="KOY46:KOY48"/>
    <mergeCell ref="KOZ46:KOZ48"/>
    <mergeCell ref="KPA46:KPA48"/>
    <mergeCell ref="KPB46:KPB48"/>
    <mergeCell ref="KPC46:KPC48"/>
    <mergeCell ref="KOR46:KOR48"/>
    <mergeCell ref="KOS46:KOS48"/>
    <mergeCell ref="KOT46:KOT48"/>
    <mergeCell ref="KOU46:KOU48"/>
    <mergeCell ref="KOV46:KOV48"/>
    <mergeCell ref="KOW46:KOW48"/>
    <mergeCell ref="KOL46:KOL48"/>
    <mergeCell ref="KOM46:KOM48"/>
    <mergeCell ref="KON46:KON48"/>
    <mergeCell ref="KOO46:KOO48"/>
    <mergeCell ref="KOP46:KOP48"/>
    <mergeCell ref="KOQ46:KOQ48"/>
    <mergeCell ref="KOF46:KOF48"/>
    <mergeCell ref="KOG46:KOG48"/>
    <mergeCell ref="KOH46:KOH48"/>
    <mergeCell ref="KOI46:KOI48"/>
    <mergeCell ref="KOJ46:KOJ48"/>
    <mergeCell ref="KOK46:KOK48"/>
    <mergeCell ref="KNZ46:KNZ48"/>
    <mergeCell ref="KOA46:KOA48"/>
    <mergeCell ref="KOB46:KOB48"/>
    <mergeCell ref="KOC46:KOC48"/>
    <mergeCell ref="KOD46:KOD48"/>
    <mergeCell ref="KOE46:KOE48"/>
    <mergeCell ref="KNT46:KNT48"/>
    <mergeCell ref="KNU46:KNU48"/>
    <mergeCell ref="KNV46:KNV48"/>
    <mergeCell ref="KNW46:KNW48"/>
    <mergeCell ref="KNX46:KNX48"/>
    <mergeCell ref="KNY46:KNY48"/>
    <mergeCell ref="KNN46:KNN48"/>
    <mergeCell ref="KNO46:KNO48"/>
    <mergeCell ref="KNP46:KNP48"/>
    <mergeCell ref="KNQ46:KNQ48"/>
    <mergeCell ref="KNR46:KNR48"/>
    <mergeCell ref="KNS46:KNS48"/>
    <mergeCell ref="KNH46:KNH48"/>
    <mergeCell ref="KNI46:KNI48"/>
    <mergeCell ref="KNJ46:KNJ48"/>
    <mergeCell ref="KNK46:KNK48"/>
    <mergeCell ref="KNL46:KNL48"/>
    <mergeCell ref="KNM46:KNM48"/>
    <mergeCell ref="KNB46:KNB48"/>
    <mergeCell ref="KNC46:KNC48"/>
    <mergeCell ref="KND46:KND48"/>
    <mergeCell ref="KNE46:KNE48"/>
    <mergeCell ref="KNF46:KNF48"/>
    <mergeCell ref="KNG46:KNG48"/>
    <mergeCell ref="KMV46:KMV48"/>
    <mergeCell ref="KMW46:KMW48"/>
    <mergeCell ref="KMX46:KMX48"/>
    <mergeCell ref="KMY46:KMY48"/>
    <mergeCell ref="KMZ46:KMZ48"/>
    <mergeCell ref="KNA46:KNA48"/>
    <mergeCell ref="KMP46:KMP48"/>
    <mergeCell ref="KMQ46:KMQ48"/>
    <mergeCell ref="KMR46:KMR48"/>
    <mergeCell ref="KMS46:KMS48"/>
    <mergeCell ref="KMT46:KMT48"/>
    <mergeCell ref="KMU46:KMU48"/>
    <mergeCell ref="KMJ46:KMJ48"/>
    <mergeCell ref="KMK46:KMK48"/>
    <mergeCell ref="KML46:KML48"/>
    <mergeCell ref="KMM46:KMM48"/>
    <mergeCell ref="KMN46:KMN48"/>
    <mergeCell ref="KMO46:KMO48"/>
    <mergeCell ref="KMD46:KMD48"/>
    <mergeCell ref="KME46:KME48"/>
    <mergeCell ref="KMF46:KMF48"/>
    <mergeCell ref="KMG46:KMG48"/>
    <mergeCell ref="KMH46:KMH48"/>
    <mergeCell ref="KMI46:KMI48"/>
    <mergeCell ref="KLX46:KLX48"/>
    <mergeCell ref="KLY46:KLY48"/>
    <mergeCell ref="KLZ46:KLZ48"/>
    <mergeCell ref="KMA46:KMA48"/>
    <mergeCell ref="KMB46:KMB48"/>
    <mergeCell ref="KMC46:KMC48"/>
    <mergeCell ref="KLR46:KLR48"/>
    <mergeCell ref="KLS46:KLS48"/>
    <mergeCell ref="KLT46:KLT48"/>
    <mergeCell ref="KLU46:KLU48"/>
    <mergeCell ref="KLV46:KLV48"/>
    <mergeCell ref="KLW46:KLW48"/>
    <mergeCell ref="KLL46:KLL48"/>
    <mergeCell ref="KLM46:KLM48"/>
    <mergeCell ref="KLN46:KLN48"/>
    <mergeCell ref="KLO46:KLO48"/>
    <mergeCell ref="KLP46:KLP48"/>
    <mergeCell ref="KLQ46:KLQ48"/>
    <mergeCell ref="KLF46:KLF48"/>
    <mergeCell ref="KLG46:KLG48"/>
    <mergeCell ref="KLH46:KLH48"/>
    <mergeCell ref="KLI46:KLI48"/>
    <mergeCell ref="KLJ46:KLJ48"/>
    <mergeCell ref="KLK46:KLK48"/>
    <mergeCell ref="KKZ46:KKZ48"/>
    <mergeCell ref="KLA46:KLA48"/>
    <mergeCell ref="KLB46:KLB48"/>
    <mergeCell ref="KLC46:KLC48"/>
    <mergeCell ref="KLD46:KLD48"/>
    <mergeCell ref="KLE46:KLE48"/>
    <mergeCell ref="KKT46:KKT48"/>
    <mergeCell ref="KKU46:KKU48"/>
    <mergeCell ref="KKV46:KKV48"/>
    <mergeCell ref="KKW46:KKW48"/>
    <mergeCell ref="KKX46:KKX48"/>
    <mergeCell ref="KKY46:KKY48"/>
    <mergeCell ref="KKN46:KKN48"/>
    <mergeCell ref="KKO46:KKO48"/>
    <mergeCell ref="KKP46:KKP48"/>
    <mergeCell ref="KKQ46:KKQ48"/>
    <mergeCell ref="KKR46:KKR48"/>
    <mergeCell ref="KKS46:KKS48"/>
    <mergeCell ref="KKH46:KKH48"/>
    <mergeCell ref="KKI46:KKI48"/>
    <mergeCell ref="KKJ46:KKJ48"/>
    <mergeCell ref="KKK46:KKK48"/>
    <mergeCell ref="KKL46:KKL48"/>
    <mergeCell ref="KKM46:KKM48"/>
    <mergeCell ref="KKB46:KKB48"/>
    <mergeCell ref="KKC46:KKC48"/>
    <mergeCell ref="KKD46:KKD48"/>
    <mergeCell ref="KKE46:KKE48"/>
    <mergeCell ref="KKF46:KKF48"/>
    <mergeCell ref="KKG46:KKG48"/>
    <mergeCell ref="KJV46:KJV48"/>
    <mergeCell ref="KJW46:KJW48"/>
    <mergeCell ref="KJX46:KJX48"/>
    <mergeCell ref="KJY46:KJY48"/>
    <mergeCell ref="KJZ46:KJZ48"/>
    <mergeCell ref="KKA46:KKA48"/>
    <mergeCell ref="KJP46:KJP48"/>
    <mergeCell ref="KJQ46:KJQ48"/>
    <mergeCell ref="KJR46:KJR48"/>
    <mergeCell ref="KJS46:KJS48"/>
    <mergeCell ref="KJT46:KJT48"/>
    <mergeCell ref="KJU46:KJU48"/>
    <mergeCell ref="KJJ46:KJJ48"/>
    <mergeCell ref="KJK46:KJK48"/>
    <mergeCell ref="KJL46:KJL48"/>
    <mergeCell ref="KJM46:KJM48"/>
    <mergeCell ref="KJN46:KJN48"/>
    <mergeCell ref="KJO46:KJO48"/>
    <mergeCell ref="KJD46:KJD48"/>
    <mergeCell ref="KJE46:KJE48"/>
    <mergeCell ref="KJF46:KJF48"/>
    <mergeCell ref="KJG46:KJG48"/>
    <mergeCell ref="KJH46:KJH48"/>
    <mergeCell ref="KJI46:KJI48"/>
    <mergeCell ref="KIX46:KIX48"/>
    <mergeCell ref="KIY46:KIY48"/>
    <mergeCell ref="KIZ46:KIZ48"/>
    <mergeCell ref="KJA46:KJA48"/>
    <mergeCell ref="KJB46:KJB48"/>
    <mergeCell ref="KJC46:KJC48"/>
    <mergeCell ref="KIR46:KIR48"/>
    <mergeCell ref="KIS46:KIS48"/>
    <mergeCell ref="KIT46:KIT48"/>
    <mergeCell ref="KIU46:KIU48"/>
    <mergeCell ref="KIV46:KIV48"/>
    <mergeCell ref="KIW46:KIW48"/>
    <mergeCell ref="KIL46:KIL48"/>
    <mergeCell ref="KIM46:KIM48"/>
    <mergeCell ref="KIN46:KIN48"/>
    <mergeCell ref="KIO46:KIO48"/>
    <mergeCell ref="KIP46:KIP48"/>
    <mergeCell ref="KIQ46:KIQ48"/>
    <mergeCell ref="KIF46:KIF48"/>
    <mergeCell ref="KIG46:KIG48"/>
    <mergeCell ref="KIH46:KIH48"/>
    <mergeCell ref="KII46:KII48"/>
    <mergeCell ref="KIJ46:KIJ48"/>
    <mergeCell ref="KIK46:KIK48"/>
    <mergeCell ref="KHZ46:KHZ48"/>
    <mergeCell ref="KIA46:KIA48"/>
    <mergeCell ref="KIB46:KIB48"/>
    <mergeCell ref="KIC46:KIC48"/>
    <mergeCell ref="KID46:KID48"/>
    <mergeCell ref="KIE46:KIE48"/>
    <mergeCell ref="KHT46:KHT48"/>
    <mergeCell ref="KHU46:KHU48"/>
    <mergeCell ref="KHV46:KHV48"/>
    <mergeCell ref="KHW46:KHW48"/>
    <mergeCell ref="KHX46:KHX48"/>
    <mergeCell ref="KHY46:KHY48"/>
    <mergeCell ref="KHN46:KHN48"/>
    <mergeCell ref="KHO46:KHO48"/>
    <mergeCell ref="KHP46:KHP48"/>
    <mergeCell ref="KHQ46:KHQ48"/>
    <mergeCell ref="KHR46:KHR48"/>
    <mergeCell ref="KHS46:KHS48"/>
    <mergeCell ref="KHH46:KHH48"/>
    <mergeCell ref="KHI46:KHI48"/>
    <mergeCell ref="KHJ46:KHJ48"/>
    <mergeCell ref="KHK46:KHK48"/>
    <mergeCell ref="KHL46:KHL48"/>
    <mergeCell ref="KHM46:KHM48"/>
    <mergeCell ref="KHB46:KHB48"/>
    <mergeCell ref="KHC46:KHC48"/>
    <mergeCell ref="KHD46:KHD48"/>
    <mergeCell ref="KHE46:KHE48"/>
    <mergeCell ref="KHF46:KHF48"/>
    <mergeCell ref="KHG46:KHG48"/>
    <mergeCell ref="KGV46:KGV48"/>
    <mergeCell ref="KGW46:KGW48"/>
    <mergeCell ref="KGX46:KGX48"/>
    <mergeCell ref="KGY46:KGY48"/>
    <mergeCell ref="KGZ46:KGZ48"/>
    <mergeCell ref="KHA46:KHA48"/>
    <mergeCell ref="KGP46:KGP48"/>
    <mergeCell ref="KGQ46:KGQ48"/>
    <mergeCell ref="KGR46:KGR48"/>
    <mergeCell ref="KGS46:KGS48"/>
    <mergeCell ref="KGT46:KGT48"/>
    <mergeCell ref="KGU46:KGU48"/>
    <mergeCell ref="KGJ46:KGJ48"/>
    <mergeCell ref="KGK46:KGK48"/>
    <mergeCell ref="KGL46:KGL48"/>
    <mergeCell ref="KGM46:KGM48"/>
    <mergeCell ref="KGN46:KGN48"/>
    <mergeCell ref="KGO46:KGO48"/>
    <mergeCell ref="KGD46:KGD48"/>
    <mergeCell ref="KGE46:KGE48"/>
    <mergeCell ref="KGF46:KGF48"/>
    <mergeCell ref="KGG46:KGG48"/>
    <mergeCell ref="KGH46:KGH48"/>
    <mergeCell ref="KGI46:KGI48"/>
    <mergeCell ref="KFX46:KFX48"/>
    <mergeCell ref="KFY46:KFY48"/>
    <mergeCell ref="KFZ46:KFZ48"/>
    <mergeCell ref="KGA46:KGA48"/>
    <mergeCell ref="KGB46:KGB48"/>
    <mergeCell ref="KGC46:KGC48"/>
    <mergeCell ref="KFR46:KFR48"/>
    <mergeCell ref="KFS46:KFS48"/>
    <mergeCell ref="KFT46:KFT48"/>
    <mergeCell ref="KFU46:KFU48"/>
    <mergeCell ref="KFV46:KFV48"/>
    <mergeCell ref="KFW46:KFW48"/>
    <mergeCell ref="KFL46:KFL48"/>
    <mergeCell ref="KFM46:KFM48"/>
    <mergeCell ref="KFN46:KFN48"/>
    <mergeCell ref="KFO46:KFO48"/>
    <mergeCell ref="KFP46:KFP48"/>
    <mergeCell ref="KFQ46:KFQ48"/>
    <mergeCell ref="KFF46:KFF48"/>
    <mergeCell ref="KFG46:KFG48"/>
    <mergeCell ref="KFH46:KFH48"/>
    <mergeCell ref="KFI46:KFI48"/>
    <mergeCell ref="KFJ46:KFJ48"/>
    <mergeCell ref="KFK46:KFK48"/>
    <mergeCell ref="KEZ46:KEZ48"/>
    <mergeCell ref="KFA46:KFA48"/>
    <mergeCell ref="KFB46:KFB48"/>
    <mergeCell ref="KFC46:KFC48"/>
    <mergeCell ref="KFD46:KFD48"/>
    <mergeCell ref="KFE46:KFE48"/>
    <mergeCell ref="KET46:KET48"/>
    <mergeCell ref="KEU46:KEU48"/>
    <mergeCell ref="KEV46:KEV48"/>
    <mergeCell ref="KEW46:KEW48"/>
    <mergeCell ref="KEX46:KEX48"/>
    <mergeCell ref="KEY46:KEY48"/>
    <mergeCell ref="KEN46:KEN48"/>
    <mergeCell ref="KEO46:KEO48"/>
    <mergeCell ref="KEP46:KEP48"/>
    <mergeCell ref="KEQ46:KEQ48"/>
    <mergeCell ref="KER46:KER48"/>
    <mergeCell ref="KES46:KES48"/>
    <mergeCell ref="KEH46:KEH48"/>
    <mergeCell ref="KEI46:KEI48"/>
    <mergeCell ref="KEJ46:KEJ48"/>
    <mergeCell ref="KEK46:KEK48"/>
    <mergeCell ref="KEL46:KEL48"/>
    <mergeCell ref="KEM46:KEM48"/>
    <mergeCell ref="KEB46:KEB48"/>
    <mergeCell ref="KEC46:KEC48"/>
    <mergeCell ref="KED46:KED48"/>
    <mergeCell ref="KEE46:KEE48"/>
    <mergeCell ref="KEF46:KEF48"/>
    <mergeCell ref="KEG46:KEG48"/>
    <mergeCell ref="KDV46:KDV48"/>
    <mergeCell ref="KDW46:KDW48"/>
    <mergeCell ref="KDX46:KDX48"/>
    <mergeCell ref="KDY46:KDY48"/>
    <mergeCell ref="KDZ46:KDZ48"/>
    <mergeCell ref="KEA46:KEA48"/>
    <mergeCell ref="KDP46:KDP48"/>
    <mergeCell ref="KDQ46:KDQ48"/>
    <mergeCell ref="KDR46:KDR48"/>
    <mergeCell ref="KDS46:KDS48"/>
    <mergeCell ref="KDT46:KDT48"/>
    <mergeCell ref="KDU46:KDU48"/>
    <mergeCell ref="KDJ46:KDJ48"/>
    <mergeCell ref="KDK46:KDK48"/>
    <mergeCell ref="KDL46:KDL48"/>
    <mergeCell ref="KDM46:KDM48"/>
    <mergeCell ref="KDN46:KDN48"/>
    <mergeCell ref="KDO46:KDO48"/>
    <mergeCell ref="KDD46:KDD48"/>
    <mergeCell ref="KDE46:KDE48"/>
    <mergeCell ref="KDF46:KDF48"/>
    <mergeCell ref="KDG46:KDG48"/>
    <mergeCell ref="KDH46:KDH48"/>
    <mergeCell ref="KDI46:KDI48"/>
    <mergeCell ref="KCX46:KCX48"/>
    <mergeCell ref="KCY46:KCY48"/>
    <mergeCell ref="KCZ46:KCZ48"/>
    <mergeCell ref="KDA46:KDA48"/>
    <mergeCell ref="KDB46:KDB48"/>
    <mergeCell ref="KDC46:KDC48"/>
    <mergeCell ref="KCR46:KCR48"/>
    <mergeCell ref="KCS46:KCS48"/>
    <mergeCell ref="KCT46:KCT48"/>
    <mergeCell ref="KCU46:KCU48"/>
    <mergeCell ref="KCV46:KCV48"/>
    <mergeCell ref="KCW46:KCW48"/>
    <mergeCell ref="KCL46:KCL48"/>
    <mergeCell ref="KCM46:KCM48"/>
    <mergeCell ref="KCN46:KCN48"/>
    <mergeCell ref="KCO46:KCO48"/>
    <mergeCell ref="KCP46:KCP48"/>
    <mergeCell ref="KCQ46:KCQ48"/>
    <mergeCell ref="KCF46:KCF48"/>
    <mergeCell ref="KCG46:KCG48"/>
    <mergeCell ref="KCH46:KCH48"/>
    <mergeCell ref="KCI46:KCI48"/>
    <mergeCell ref="KCJ46:KCJ48"/>
    <mergeCell ref="KCK46:KCK48"/>
    <mergeCell ref="KBZ46:KBZ48"/>
    <mergeCell ref="KCA46:KCA48"/>
    <mergeCell ref="KCB46:KCB48"/>
    <mergeCell ref="KCC46:KCC48"/>
    <mergeCell ref="KCD46:KCD48"/>
    <mergeCell ref="KCE46:KCE48"/>
    <mergeCell ref="KBT46:KBT48"/>
    <mergeCell ref="KBU46:KBU48"/>
    <mergeCell ref="KBV46:KBV48"/>
    <mergeCell ref="KBW46:KBW48"/>
    <mergeCell ref="KBX46:KBX48"/>
    <mergeCell ref="KBY46:KBY48"/>
    <mergeCell ref="KBN46:KBN48"/>
    <mergeCell ref="KBO46:KBO48"/>
    <mergeCell ref="KBP46:KBP48"/>
    <mergeCell ref="KBQ46:KBQ48"/>
    <mergeCell ref="KBR46:KBR48"/>
    <mergeCell ref="KBS46:KBS48"/>
    <mergeCell ref="KBH46:KBH48"/>
    <mergeCell ref="KBI46:KBI48"/>
    <mergeCell ref="KBJ46:KBJ48"/>
    <mergeCell ref="KBK46:KBK48"/>
    <mergeCell ref="KBL46:KBL48"/>
    <mergeCell ref="KBM46:KBM48"/>
    <mergeCell ref="KBB46:KBB48"/>
    <mergeCell ref="KBC46:KBC48"/>
    <mergeCell ref="KBD46:KBD48"/>
    <mergeCell ref="KBE46:KBE48"/>
    <mergeCell ref="KBF46:KBF48"/>
    <mergeCell ref="KBG46:KBG48"/>
    <mergeCell ref="KAV46:KAV48"/>
    <mergeCell ref="KAW46:KAW48"/>
    <mergeCell ref="KAX46:KAX48"/>
    <mergeCell ref="KAY46:KAY48"/>
    <mergeCell ref="KAZ46:KAZ48"/>
    <mergeCell ref="KBA46:KBA48"/>
    <mergeCell ref="KAP46:KAP48"/>
    <mergeCell ref="KAQ46:KAQ48"/>
    <mergeCell ref="KAR46:KAR48"/>
    <mergeCell ref="KAS46:KAS48"/>
    <mergeCell ref="KAT46:KAT48"/>
    <mergeCell ref="KAU46:KAU48"/>
    <mergeCell ref="KAJ46:KAJ48"/>
    <mergeCell ref="KAK46:KAK48"/>
    <mergeCell ref="KAL46:KAL48"/>
    <mergeCell ref="KAM46:KAM48"/>
    <mergeCell ref="KAN46:KAN48"/>
    <mergeCell ref="KAO46:KAO48"/>
    <mergeCell ref="KAD46:KAD48"/>
    <mergeCell ref="KAE46:KAE48"/>
    <mergeCell ref="KAF46:KAF48"/>
    <mergeCell ref="KAG46:KAG48"/>
    <mergeCell ref="KAH46:KAH48"/>
    <mergeCell ref="KAI46:KAI48"/>
    <mergeCell ref="JZX46:JZX48"/>
    <mergeCell ref="JZY46:JZY48"/>
    <mergeCell ref="JZZ46:JZZ48"/>
    <mergeCell ref="KAA46:KAA48"/>
    <mergeCell ref="KAB46:KAB48"/>
    <mergeCell ref="KAC46:KAC48"/>
    <mergeCell ref="JZR46:JZR48"/>
    <mergeCell ref="JZS46:JZS48"/>
    <mergeCell ref="JZT46:JZT48"/>
    <mergeCell ref="JZU46:JZU48"/>
    <mergeCell ref="JZV46:JZV48"/>
    <mergeCell ref="JZW46:JZW48"/>
    <mergeCell ref="JZL46:JZL48"/>
    <mergeCell ref="JZM46:JZM48"/>
    <mergeCell ref="JZN46:JZN48"/>
    <mergeCell ref="JZO46:JZO48"/>
    <mergeCell ref="JZP46:JZP48"/>
    <mergeCell ref="JZQ46:JZQ48"/>
    <mergeCell ref="JZF46:JZF48"/>
    <mergeCell ref="JZG46:JZG48"/>
    <mergeCell ref="JZH46:JZH48"/>
    <mergeCell ref="JZI46:JZI48"/>
    <mergeCell ref="JZJ46:JZJ48"/>
    <mergeCell ref="JZK46:JZK48"/>
    <mergeCell ref="JYZ46:JYZ48"/>
    <mergeCell ref="JZA46:JZA48"/>
    <mergeCell ref="JZB46:JZB48"/>
    <mergeCell ref="JZC46:JZC48"/>
    <mergeCell ref="JZD46:JZD48"/>
    <mergeCell ref="JZE46:JZE48"/>
    <mergeCell ref="JYT46:JYT48"/>
    <mergeCell ref="JYU46:JYU48"/>
    <mergeCell ref="JYV46:JYV48"/>
    <mergeCell ref="JYW46:JYW48"/>
    <mergeCell ref="JYX46:JYX48"/>
    <mergeCell ref="JYY46:JYY48"/>
    <mergeCell ref="JYN46:JYN48"/>
    <mergeCell ref="JYO46:JYO48"/>
    <mergeCell ref="JYP46:JYP48"/>
    <mergeCell ref="JYQ46:JYQ48"/>
    <mergeCell ref="JYR46:JYR48"/>
    <mergeCell ref="JYS46:JYS48"/>
    <mergeCell ref="JYH46:JYH48"/>
    <mergeCell ref="JYI46:JYI48"/>
    <mergeCell ref="JYJ46:JYJ48"/>
    <mergeCell ref="JYK46:JYK48"/>
    <mergeCell ref="JYL46:JYL48"/>
    <mergeCell ref="JYM46:JYM48"/>
    <mergeCell ref="JYB46:JYB48"/>
    <mergeCell ref="JYC46:JYC48"/>
    <mergeCell ref="JYD46:JYD48"/>
    <mergeCell ref="JYE46:JYE48"/>
    <mergeCell ref="JYF46:JYF48"/>
    <mergeCell ref="JYG46:JYG48"/>
    <mergeCell ref="JXV46:JXV48"/>
    <mergeCell ref="JXW46:JXW48"/>
    <mergeCell ref="JXX46:JXX48"/>
    <mergeCell ref="JXY46:JXY48"/>
    <mergeCell ref="JXZ46:JXZ48"/>
    <mergeCell ref="JYA46:JYA48"/>
    <mergeCell ref="JXP46:JXP48"/>
    <mergeCell ref="JXQ46:JXQ48"/>
    <mergeCell ref="JXR46:JXR48"/>
    <mergeCell ref="JXS46:JXS48"/>
    <mergeCell ref="JXT46:JXT48"/>
    <mergeCell ref="JXU46:JXU48"/>
    <mergeCell ref="JXJ46:JXJ48"/>
    <mergeCell ref="JXK46:JXK48"/>
    <mergeCell ref="JXL46:JXL48"/>
    <mergeCell ref="JXM46:JXM48"/>
    <mergeCell ref="JXN46:JXN48"/>
    <mergeCell ref="JXO46:JXO48"/>
    <mergeCell ref="JXD46:JXD48"/>
    <mergeCell ref="JXE46:JXE48"/>
    <mergeCell ref="JXF46:JXF48"/>
    <mergeCell ref="JXG46:JXG48"/>
    <mergeCell ref="JXH46:JXH48"/>
    <mergeCell ref="JXI46:JXI48"/>
    <mergeCell ref="JWX46:JWX48"/>
    <mergeCell ref="JWY46:JWY48"/>
    <mergeCell ref="JWZ46:JWZ48"/>
    <mergeCell ref="JXA46:JXA48"/>
    <mergeCell ref="JXB46:JXB48"/>
    <mergeCell ref="JXC46:JXC48"/>
    <mergeCell ref="JWR46:JWR48"/>
    <mergeCell ref="JWS46:JWS48"/>
    <mergeCell ref="JWT46:JWT48"/>
    <mergeCell ref="JWU46:JWU48"/>
    <mergeCell ref="JWV46:JWV48"/>
    <mergeCell ref="JWW46:JWW48"/>
    <mergeCell ref="JWL46:JWL48"/>
    <mergeCell ref="JWM46:JWM48"/>
    <mergeCell ref="JWN46:JWN48"/>
    <mergeCell ref="JWO46:JWO48"/>
    <mergeCell ref="JWP46:JWP48"/>
    <mergeCell ref="JWQ46:JWQ48"/>
    <mergeCell ref="JWF46:JWF48"/>
    <mergeCell ref="JWG46:JWG48"/>
    <mergeCell ref="JWH46:JWH48"/>
    <mergeCell ref="JWI46:JWI48"/>
    <mergeCell ref="JWJ46:JWJ48"/>
    <mergeCell ref="JWK46:JWK48"/>
    <mergeCell ref="JVZ46:JVZ48"/>
    <mergeCell ref="JWA46:JWA48"/>
    <mergeCell ref="JWB46:JWB48"/>
    <mergeCell ref="JWC46:JWC48"/>
    <mergeCell ref="JWD46:JWD48"/>
    <mergeCell ref="JWE46:JWE48"/>
    <mergeCell ref="JVT46:JVT48"/>
    <mergeCell ref="JVU46:JVU48"/>
    <mergeCell ref="JVV46:JVV48"/>
    <mergeCell ref="JVW46:JVW48"/>
    <mergeCell ref="JVX46:JVX48"/>
    <mergeCell ref="JVY46:JVY48"/>
    <mergeCell ref="JVN46:JVN48"/>
    <mergeCell ref="JVO46:JVO48"/>
    <mergeCell ref="JVP46:JVP48"/>
    <mergeCell ref="JVQ46:JVQ48"/>
    <mergeCell ref="JVR46:JVR48"/>
    <mergeCell ref="JVS46:JVS48"/>
    <mergeCell ref="JVH46:JVH48"/>
    <mergeCell ref="JVI46:JVI48"/>
    <mergeCell ref="JVJ46:JVJ48"/>
    <mergeCell ref="JVK46:JVK48"/>
    <mergeCell ref="JVL46:JVL48"/>
    <mergeCell ref="JVM46:JVM48"/>
    <mergeCell ref="JVB46:JVB48"/>
    <mergeCell ref="JVC46:JVC48"/>
    <mergeCell ref="JVD46:JVD48"/>
    <mergeCell ref="JVE46:JVE48"/>
    <mergeCell ref="JVF46:JVF48"/>
    <mergeCell ref="JVG46:JVG48"/>
    <mergeCell ref="JUV46:JUV48"/>
    <mergeCell ref="JUW46:JUW48"/>
    <mergeCell ref="JUX46:JUX48"/>
    <mergeCell ref="JUY46:JUY48"/>
    <mergeCell ref="JUZ46:JUZ48"/>
    <mergeCell ref="JVA46:JVA48"/>
    <mergeCell ref="JUP46:JUP48"/>
    <mergeCell ref="JUQ46:JUQ48"/>
    <mergeCell ref="JUR46:JUR48"/>
    <mergeCell ref="JUS46:JUS48"/>
    <mergeCell ref="JUT46:JUT48"/>
    <mergeCell ref="JUU46:JUU48"/>
    <mergeCell ref="JUJ46:JUJ48"/>
    <mergeCell ref="JUK46:JUK48"/>
    <mergeCell ref="JUL46:JUL48"/>
    <mergeCell ref="JUM46:JUM48"/>
    <mergeCell ref="JUN46:JUN48"/>
    <mergeCell ref="JUO46:JUO48"/>
    <mergeCell ref="JUD46:JUD48"/>
    <mergeCell ref="JUE46:JUE48"/>
    <mergeCell ref="JUF46:JUF48"/>
    <mergeCell ref="JUG46:JUG48"/>
    <mergeCell ref="JUH46:JUH48"/>
    <mergeCell ref="JUI46:JUI48"/>
    <mergeCell ref="JTX46:JTX48"/>
    <mergeCell ref="JTY46:JTY48"/>
    <mergeCell ref="JTZ46:JTZ48"/>
    <mergeCell ref="JUA46:JUA48"/>
    <mergeCell ref="JUB46:JUB48"/>
    <mergeCell ref="JUC46:JUC48"/>
    <mergeCell ref="JTR46:JTR48"/>
    <mergeCell ref="JTS46:JTS48"/>
    <mergeCell ref="JTT46:JTT48"/>
    <mergeCell ref="JTU46:JTU48"/>
    <mergeCell ref="JTV46:JTV48"/>
    <mergeCell ref="JTW46:JTW48"/>
    <mergeCell ref="JTL46:JTL48"/>
    <mergeCell ref="JTM46:JTM48"/>
    <mergeCell ref="JTN46:JTN48"/>
    <mergeCell ref="JTO46:JTO48"/>
    <mergeCell ref="JTP46:JTP48"/>
    <mergeCell ref="JTQ46:JTQ48"/>
    <mergeCell ref="JTF46:JTF48"/>
    <mergeCell ref="JTG46:JTG48"/>
    <mergeCell ref="JTH46:JTH48"/>
    <mergeCell ref="JTI46:JTI48"/>
    <mergeCell ref="JTJ46:JTJ48"/>
    <mergeCell ref="JTK46:JTK48"/>
    <mergeCell ref="JSZ46:JSZ48"/>
    <mergeCell ref="JTA46:JTA48"/>
    <mergeCell ref="JTB46:JTB48"/>
    <mergeCell ref="JTC46:JTC48"/>
    <mergeCell ref="JTD46:JTD48"/>
    <mergeCell ref="JTE46:JTE48"/>
    <mergeCell ref="JST46:JST48"/>
    <mergeCell ref="JSU46:JSU48"/>
    <mergeCell ref="JSV46:JSV48"/>
    <mergeCell ref="JSW46:JSW48"/>
    <mergeCell ref="JSX46:JSX48"/>
    <mergeCell ref="JSY46:JSY48"/>
    <mergeCell ref="JSN46:JSN48"/>
    <mergeCell ref="JSO46:JSO48"/>
    <mergeCell ref="JSP46:JSP48"/>
    <mergeCell ref="JSQ46:JSQ48"/>
    <mergeCell ref="JSR46:JSR48"/>
    <mergeCell ref="JSS46:JSS48"/>
    <mergeCell ref="JSH46:JSH48"/>
    <mergeCell ref="JSI46:JSI48"/>
    <mergeCell ref="JSJ46:JSJ48"/>
    <mergeCell ref="JSK46:JSK48"/>
    <mergeCell ref="JSL46:JSL48"/>
    <mergeCell ref="JSM46:JSM48"/>
    <mergeCell ref="JSB46:JSB48"/>
    <mergeCell ref="JSC46:JSC48"/>
    <mergeCell ref="JSD46:JSD48"/>
    <mergeCell ref="JSE46:JSE48"/>
    <mergeCell ref="JSF46:JSF48"/>
    <mergeCell ref="JSG46:JSG48"/>
    <mergeCell ref="JRV46:JRV48"/>
    <mergeCell ref="JRW46:JRW48"/>
    <mergeCell ref="JRX46:JRX48"/>
    <mergeCell ref="JRY46:JRY48"/>
    <mergeCell ref="JRZ46:JRZ48"/>
    <mergeCell ref="JSA46:JSA48"/>
    <mergeCell ref="JRP46:JRP48"/>
    <mergeCell ref="JRQ46:JRQ48"/>
    <mergeCell ref="JRR46:JRR48"/>
    <mergeCell ref="JRS46:JRS48"/>
    <mergeCell ref="JRT46:JRT48"/>
    <mergeCell ref="JRU46:JRU48"/>
    <mergeCell ref="JRJ46:JRJ48"/>
    <mergeCell ref="JRK46:JRK48"/>
    <mergeCell ref="JRL46:JRL48"/>
    <mergeCell ref="JRM46:JRM48"/>
    <mergeCell ref="JRN46:JRN48"/>
    <mergeCell ref="JRO46:JRO48"/>
    <mergeCell ref="JRD46:JRD48"/>
    <mergeCell ref="JRE46:JRE48"/>
    <mergeCell ref="JRF46:JRF48"/>
    <mergeCell ref="JRG46:JRG48"/>
    <mergeCell ref="JRH46:JRH48"/>
    <mergeCell ref="JRI46:JRI48"/>
    <mergeCell ref="JQX46:JQX48"/>
    <mergeCell ref="JQY46:JQY48"/>
    <mergeCell ref="JQZ46:JQZ48"/>
    <mergeCell ref="JRA46:JRA48"/>
    <mergeCell ref="JRB46:JRB48"/>
    <mergeCell ref="JRC46:JRC48"/>
    <mergeCell ref="JQR46:JQR48"/>
    <mergeCell ref="JQS46:JQS48"/>
    <mergeCell ref="JQT46:JQT48"/>
    <mergeCell ref="JQU46:JQU48"/>
    <mergeCell ref="JQV46:JQV48"/>
    <mergeCell ref="JQW46:JQW48"/>
    <mergeCell ref="JQL46:JQL48"/>
    <mergeCell ref="JQM46:JQM48"/>
    <mergeCell ref="JQN46:JQN48"/>
    <mergeCell ref="JQO46:JQO48"/>
    <mergeCell ref="JQP46:JQP48"/>
    <mergeCell ref="JQQ46:JQQ48"/>
    <mergeCell ref="JQF46:JQF48"/>
    <mergeCell ref="JQG46:JQG48"/>
    <mergeCell ref="JQH46:JQH48"/>
    <mergeCell ref="JQI46:JQI48"/>
    <mergeCell ref="JQJ46:JQJ48"/>
    <mergeCell ref="JQK46:JQK48"/>
    <mergeCell ref="JPZ46:JPZ48"/>
    <mergeCell ref="JQA46:JQA48"/>
    <mergeCell ref="JQB46:JQB48"/>
    <mergeCell ref="JQC46:JQC48"/>
    <mergeCell ref="JQD46:JQD48"/>
    <mergeCell ref="JQE46:JQE48"/>
    <mergeCell ref="JPT46:JPT48"/>
    <mergeCell ref="JPU46:JPU48"/>
    <mergeCell ref="JPV46:JPV48"/>
    <mergeCell ref="JPW46:JPW48"/>
    <mergeCell ref="JPX46:JPX48"/>
    <mergeCell ref="JPY46:JPY48"/>
    <mergeCell ref="JPN46:JPN48"/>
    <mergeCell ref="JPO46:JPO48"/>
    <mergeCell ref="JPP46:JPP48"/>
    <mergeCell ref="JPQ46:JPQ48"/>
    <mergeCell ref="JPR46:JPR48"/>
    <mergeCell ref="JPS46:JPS48"/>
    <mergeCell ref="JPH46:JPH48"/>
    <mergeCell ref="JPI46:JPI48"/>
    <mergeCell ref="JPJ46:JPJ48"/>
    <mergeCell ref="JPK46:JPK48"/>
    <mergeCell ref="JPL46:JPL48"/>
    <mergeCell ref="JPM46:JPM48"/>
    <mergeCell ref="JPB46:JPB48"/>
    <mergeCell ref="JPC46:JPC48"/>
    <mergeCell ref="JPD46:JPD48"/>
    <mergeCell ref="JPE46:JPE48"/>
    <mergeCell ref="JPF46:JPF48"/>
    <mergeCell ref="JPG46:JPG48"/>
    <mergeCell ref="JOV46:JOV48"/>
    <mergeCell ref="JOW46:JOW48"/>
    <mergeCell ref="JOX46:JOX48"/>
    <mergeCell ref="JOY46:JOY48"/>
    <mergeCell ref="JOZ46:JOZ48"/>
    <mergeCell ref="JPA46:JPA48"/>
    <mergeCell ref="JOP46:JOP48"/>
    <mergeCell ref="JOQ46:JOQ48"/>
    <mergeCell ref="JOR46:JOR48"/>
    <mergeCell ref="JOS46:JOS48"/>
    <mergeCell ref="JOT46:JOT48"/>
    <mergeCell ref="JOU46:JOU48"/>
    <mergeCell ref="JOJ46:JOJ48"/>
    <mergeCell ref="JOK46:JOK48"/>
    <mergeCell ref="JOL46:JOL48"/>
    <mergeCell ref="JOM46:JOM48"/>
    <mergeCell ref="JON46:JON48"/>
    <mergeCell ref="JOO46:JOO48"/>
    <mergeCell ref="JOD46:JOD48"/>
    <mergeCell ref="JOE46:JOE48"/>
    <mergeCell ref="JOF46:JOF48"/>
    <mergeCell ref="JOG46:JOG48"/>
    <mergeCell ref="JOH46:JOH48"/>
    <mergeCell ref="JOI46:JOI48"/>
    <mergeCell ref="JNX46:JNX48"/>
    <mergeCell ref="JNY46:JNY48"/>
    <mergeCell ref="JNZ46:JNZ48"/>
    <mergeCell ref="JOA46:JOA48"/>
    <mergeCell ref="JOB46:JOB48"/>
    <mergeCell ref="JOC46:JOC48"/>
    <mergeCell ref="JNR46:JNR48"/>
    <mergeCell ref="JNS46:JNS48"/>
    <mergeCell ref="JNT46:JNT48"/>
    <mergeCell ref="JNU46:JNU48"/>
    <mergeCell ref="JNV46:JNV48"/>
    <mergeCell ref="JNW46:JNW48"/>
    <mergeCell ref="JNL46:JNL48"/>
    <mergeCell ref="JNM46:JNM48"/>
    <mergeCell ref="JNN46:JNN48"/>
    <mergeCell ref="JNO46:JNO48"/>
    <mergeCell ref="JNP46:JNP48"/>
    <mergeCell ref="JNQ46:JNQ48"/>
    <mergeCell ref="JNF46:JNF48"/>
    <mergeCell ref="JNG46:JNG48"/>
    <mergeCell ref="JNH46:JNH48"/>
    <mergeCell ref="JNI46:JNI48"/>
    <mergeCell ref="JNJ46:JNJ48"/>
    <mergeCell ref="JNK46:JNK48"/>
    <mergeCell ref="JMZ46:JMZ48"/>
    <mergeCell ref="JNA46:JNA48"/>
    <mergeCell ref="JNB46:JNB48"/>
    <mergeCell ref="JNC46:JNC48"/>
    <mergeCell ref="JND46:JND48"/>
    <mergeCell ref="JNE46:JNE48"/>
    <mergeCell ref="JMT46:JMT48"/>
    <mergeCell ref="JMU46:JMU48"/>
    <mergeCell ref="JMV46:JMV48"/>
    <mergeCell ref="JMW46:JMW48"/>
    <mergeCell ref="JMX46:JMX48"/>
    <mergeCell ref="JMY46:JMY48"/>
    <mergeCell ref="JMN46:JMN48"/>
    <mergeCell ref="JMO46:JMO48"/>
    <mergeCell ref="JMP46:JMP48"/>
    <mergeCell ref="JMQ46:JMQ48"/>
    <mergeCell ref="JMR46:JMR48"/>
    <mergeCell ref="JMS46:JMS48"/>
    <mergeCell ref="JMH46:JMH48"/>
    <mergeCell ref="JMI46:JMI48"/>
    <mergeCell ref="JMJ46:JMJ48"/>
    <mergeCell ref="JMK46:JMK48"/>
    <mergeCell ref="JML46:JML48"/>
    <mergeCell ref="JMM46:JMM48"/>
    <mergeCell ref="JMB46:JMB48"/>
    <mergeCell ref="JMC46:JMC48"/>
    <mergeCell ref="JMD46:JMD48"/>
    <mergeCell ref="JME46:JME48"/>
    <mergeCell ref="JMF46:JMF48"/>
    <mergeCell ref="JMG46:JMG48"/>
    <mergeCell ref="JLV46:JLV48"/>
    <mergeCell ref="JLW46:JLW48"/>
    <mergeCell ref="JLX46:JLX48"/>
    <mergeCell ref="JLY46:JLY48"/>
    <mergeCell ref="JLZ46:JLZ48"/>
    <mergeCell ref="JMA46:JMA48"/>
    <mergeCell ref="JLP46:JLP48"/>
    <mergeCell ref="JLQ46:JLQ48"/>
    <mergeCell ref="JLR46:JLR48"/>
    <mergeCell ref="JLS46:JLS48"/>
    <mergeCell ref="JLT46:JLT48"/>
    <mergeCell ref="JLU46:JLU48"/>
    <mergeCell ref="JLJ46:JLJ48"/>
    <mergeCell ref="JLK46:JLK48"/>
    <mergeCell ref="JLL46:JLL48"/>
    <mergeCell ref="JLM46:JLM48"/>
    <mergeCell ref="JLN46:JLN48"/>
    <mergeCell ref="JLO46:JLO48"/>
    <mergeCell ref="JLD46:JLD48"/>
    <mergeCell ref="JLE46:JLE48"/>
    <mergeCell ref="JLF46:JLF48"/>
    <mergeCell ref="JLG46:JLG48"/>
    <mergeCell ref="JLH46:JLH48"/>
    <mergeCell ref="JLI46:JLI48"/>
    <mergeCell ref="JKX46:JKX48"/>
    <mergeCell ref="JKY46:JKY48"/>
    <mergeCell ref="JKZ46:JKZ48"/>
    <mergeCell ref="JLA46:JLA48"/>
    <mergeCell ref="JLB46:JLB48"/>
    <mergeCell ref="JLC46:JLC48"/>
    <mergeCell ref="JKR46:JKR48"/>
    <mergeCell ref="JKS46:JKS48"/>
    <mergeCell ref="JKT46:JKT48"/>
    <mergeCell ref="JKU46:JKU48"/>
    <mergeCell ref="JKV46:JKV48"/>
    <mergeCell ref="JKW46:JKW48"/>
    <mergeCell ref="JKL46:JKL48"/>
    <mergeCell ref="JKM46:JKM48"/>
    <mergeCell ref="JKN46:JKN48"/>
    <mergeCell ref="JKO46:JKO48"/>
    <mergeCell ref="JKP46:JKP48"/>
    <mergeCell ref="JKQ46:JKQ48"/>
    <mergeCell ref="JKF46:JKF48"/>
    <mergeCell ref="JKG46:JKG48"/>
    <mergeCell ref="JKH46:JKH48"/>
    <mergeCell ref="JKI46:JKI48"/>
    <mergeCell ref="JKJ46:JKJ48"/>
    <mergeCell ref="JKK46:JKK48"/>
    <mergeCell ref="JJZ46:JJZ48"/>
    <mergeCell ref="JKA46:JKA48"/>
    <mergeCell ref="JKB46:JKB48"/>
    <mergeCell ref="JKC46:JKC48"/>
    <mergeCell ref="JKD46:JKD48"/>
    <mergeCell ref="JKE46:JKE48"/>
    <mergeCell ref="JJT46:JJT48"/>
    <mergeCell ref="JJU46:JJU48"/>
    <mergeCell ref="JJV46:JJV48"/>
    <mergeCell ref="JJW46:JJW48"/>
    <mergeCell ref="JJX46:JJX48"/>
    <mergeCell ref="JJY46:JJY48"/>
    <mergeCell ref="JJN46:JJN48"/>
    <mergeCell ref="JJO46:JJO48"/>
    <mergeCell ref="JJP46:JJP48"/>
    <mergeCell ref="JJQ46:JJQ48"/>
    <mergeCell ref="JJR46:JJR48"/>
    <mergeCell ref="JJS46:JJS48"/>
    <mergeCell ref="JJH46:JJH48"/>
    <mergeCell ref="JJI46:JJI48"/>
    <mergeCell ref="JJJ46:JJJ48"/>
    <mergeCell ref="JJK46:JJK48"/>
    <mergeCell ref="JJL46:JJL48"/>
    <mergeCell ref="JJM46:JJM48"/>
    <mergeCell ref="JJB46:JJB48"/>
    <mergeCell ref="JJC46:JJC48"/>
    <mergeCell ref="JJD46:JJD48"/>
    <mergeCell ref="JJE46:JJE48"/>
    <mergeCell ref="JJF46:JJF48"/>
    <mergeCell ref="JJG46:JJG48"/>
    <mergeCell ref="JIV46:JIV48"/>
    <mergeCell ref="JIW46:JIW48"/>
    <mergeCell ref="JIX46:JIX48"/>
    <mergeCell ref="JIY46:JIY48"/>
    <mergeCell ref="JIZ46:JIZ48"/>
    <mergeCell ref="JJA46:JJA48"/>
    <mergeCell ref="JIP46:JIP48"/>
    <mergeCell ref="JIQ46:JIQ48"/>
    <mergeCell ref="JIR46:JIR48"/>
    <mergeCell ref="JIS46:JIS48"/>
    <mergeCell ref="JIT46:JIT48"/>
    <mergeCell ref="JIU46:JIU48"/>
    <mergeCell ref="JIJ46:JIJ48"/>
    <mergeCell ref="JIK46:JIK48"/>
    <mergeCell ref="JIL46:JIL48"/>
    <mergeCell ref="JIM46:JIM48"/>
    <mergeCell ref="JIN46:JIN48"/>
    <mergeCell ref="JIO46:JIO48"/>
    <mergeCell ref="JID46:JID48"/>
    <mergeCell ref="JIE46:JIE48"/>
    <mergeCell ref="JIF46:JIF48"/>
    <mergeCell ref="JIG46:JIG48"/>
    <mergeCell ref="JIH46:JIH48"/>
    <mergeCell ref="JII46:JII48"/>
    <mergeCell ref="JHX46:JHX48"/>
    <mergeCell ref="JHY46:JHY48"/>
    <mergeCell ref="JHZ46:JHZ48"/>
    <mergeCell ref="JIA46:JIA48"/>
    <mergeCell ref="JIB46:JIB48"/>
    <mergeCell ref="JIC46:JIC48"/>
    <mergeCell ref="JHR46:JHR48"/>
    <mergeCell ref="JHS46:JHS48"/>
    <mergeCell ref="JHT46:JHT48"/>
    <mergeCell ref="JHU46:JHU48"/>
    <mergeCell ref="JHV46:JHV48"/>
    <mergeCell ref="JHW46:JHW48"/>
    <mergeCell ref="JHL46:JHL48"/>
    <mergeCell ref="JHM46:JHM48"/>
    <mergeCell ref="JHN46:JHN48"/>
    <mergeCell ref="JHO46:JHO48"/>
    <mergeCell ref="JHP46:JHP48"/>
    <mergeCell ref="JHQ46:JHQ48"/>
    <mergeCell ref="JHF46:JHF48"/>
    <mergeCell ref="JHG46:JHG48"/>
    <mergeCell ref="JHH46:JHH48"/>
    <mergeCell ref="JHI46:JHI48"/>
    <mergeCell ref="JHJ46:JHJ48"/>
    <mergeCell ref="JHK46:JHK48"/>
    <mergeCell ref="JGZ46:JGZ48"/>
    <mergeCell ref="JHA46:JHA48"/>
    <mergeCell ref="JHB46:JHB48"/>
    <mergeCell ref="JHC46:JHC48"/>
    <mergeCell ref="JHD46:JHD48"/>
    <mergeCell ref="JHE46:JHE48"/>
    <mergeCell ref="JGT46:JGT48"/>
    <mergeCell ref="JGU46:JGU48"/>
    <mergeCell ref="JGV46:JGV48"/>
    <mergeCell ref="JGW46:JGW48"/>
    <mergeCell ref="JGX46:JGX48"/>
    <mergeCell ref="JGY46:JGY48"/>
    <mergeCell ref="JGN46:JGN48"/>
    <mergeCell ref="JGO46:JGO48"/>
    <mergeCell ref="JGP46:JGP48"/>
    <mergeCell ref="JGQ46:JGQ48"/>
    <mergeCell ref="JGR46:JGR48"/>
    <mergeCell ref="JGS46:JGS48"/>
    <mergeCell ref="JGH46:JGH48"/>
    <mergeCell ref="JGI46:JGI48"/>
    <mergeCell ref="JGJ46:JGJ48"/>
    <mergeCell ref="JGK46:JGK48"/>
    <mergeCell ref="JGL46:JGL48"/>
    <mergeCell ref="JGM46:JGM48"/>
    <mergeCell ref="JGB46:JGB48"/>
    <mergeCell ref="JGC46:JGC48"/>
    <mergeCell ref="JGD46:JGD48"/>
    <mergeCell ref="JGE46:JGE48"/>
    <mergeCell ref="JGF46:JGF48"/>
    <mergeCell ref="JGG46:JGG48"/>
    <mergeCell ref="JFV46:JFV48"/>
    <mergeCell ref="JFW46:JFW48"/>
    <mergeCell ref="JFX46:JFX48"/>
    <mergeCell ref="JFY46:JFY48"/>
    <mergeCell ref="JFZ46:JFZ48"/>
    <mergeCell ref="JGA46:JGA48"/>
    <mergeCell ref="JFP46:JFP48"/>
    <mergeCell ref="JFQ46:JFQ48"/>
    <mergeCell ref="JFR46:JFR48"/>
    <mergeCell ref="JFS46:JFS48"/>
    <mergeCell ref="JFT46:JFT48"/>
    <mergeCell ref="JFU46:JFU48"/>
    <mergeCell ref="JFJ46:JFJ48"/>
    <mergeCell ref="JFK46:JFK48"/>
    <mergeCell ref="JFL46:JFL48"/>
    <mergeCell ref="JFM46:JFM48"/>
    <mergeCell ref="JFN46:JFN48"/>
    <mergeCell ref="JFO46:JFO48"/>
    <mergeCell ref="JFD46:JFD48"/>
    <mergeCell ref="JFE46:JFE48"/>
    <mergeCell ref="JFF46:JFF48"/>
    <mergeCell ref="JFG46:JFG48"/>
    <mergeCell ref="JFH46:JFH48"/>
    <mergeCell ref="JFI46:JFI48"/>
    <mergeCell ref="JEX46:JEX48"/>
    <mergeCell ref="JEY46:JEY48"/>
    <mergeCell ref="JEZ46:JEZ48"/>
    <mergeCell ref="JFA46:JFA48"/>
    <mergeCell ref="JFB46:JFB48"/>
    <mergeCell ref="JFC46:JFC48"/>
    <mergeCell ref="JER46:JER48"/>
    <mergeCell ref="JES46:JES48"/>
    <mergeCell ref="JET46:JET48"/>
    <mergeCell ref="JEU46:JEU48"/>
    <mergeCell ref="JEV46:JEV48"/>
    <mergeCell ref="JEW46:JEW48"/>
    <mergeCell ref="JEL46:JEL48"/>
    <mergeCell ref="JEM46:JEM48"/>
    <mergeCell ref="JEN46:JEN48"/>
    <mergeCell ref="JEO46:JEO48"/>
    <mergeCell ref="JEP46:JEP48"/>
    <mergeCell ref="JEQ46:JEQ48"/>
    <mergeCell ref="JEF46:JEF48"/>
    <mergeCell ref="JEG46:JEG48"/>
    <mergeCell ref="JEH46:JEH48"/>
    <mergeCell ref="JEI46:JEI48"/>
    <mergeCell ref="JEJ46:JEJ48"/>
    <mergeCell ref="JEK46:JEK48"/>
    <mergeCell ref="JDZ46:JDZ48"/>
    <mergeCell ref="JEA46:JEA48"/>
    <mergeCell ref="JEB46:JEB48"/>
    <mergeCell ref="JEC46:JEC48"/>
    <mergeCell ref="JED46:JED48"/>
    <mergeCell ref="JEE46:JEE48"/>
    <mergeCell ref="JDT46:JDT48"/>
    <mergeCell ref="JDU46:JDU48"/>
    <mergeCell ref="JDV46:JDV48"/>
    <mergeCell ref="JDW46:JDW48"/>
    <mergeCell ref="JDX46:JDX48"/>
    <mergeCell ref="JDY46:JDY48"/>
    <mergeCell ref="JDN46:JDN48"/>
    <mergeCell ref="JDO46:JDO48"/>
    <mergeCell ref="JDP46:JDP48"/>
    <mergeCell ref="JDQ46:JDQ48"/>
    <mergeCell ref="JDR46:JDR48"/>
    <mergeCell ref="JDS46:JDS48"/>
    <mergeCell ref="JDH46:JDH48"/>
    <mergeCell ref="JDI46:JDI48"/>
    <mergeCell ref="JDJ46:JDJ48"/>
    <mergeCell ref="JDK46:JDK48"/>
    <mergeCell ref="JDL46:JDL48"/>
    <mergeCell ref="JDM46:JDM48"/>
    <mergeCell ref="JDB46:JDB48"/>
    <mergeCell ref="JDC46:JDC48"/>
    <mergeCell ref="JDD46:JDD48"/>
    <mergeCell ref="JDE46:JDE48"/>
    <mergeCell ref="JDF46:JDF48"/>
    <mergeCell ref="JDG46:JDG48"/>
    <mergeCell ref="JCV46:JCV48"/>
    <mergeCell ref="JCW46:JCW48"/>
    <mergeCell ref="JCX46:JCX48"/>
    <mergeCell ref="JCY46:JCY48"/>
    <mergeCell ref="JCZ46:JCZ48"/>
    <mergeCell ref="JDA46:JDA48"/>
    <mergeCell ref="JCP46:JCP48"/>
    <mergeCell ref="JCQ46:JCQ48"/>
    <mergeCell ref="JCR46:JCR48"/>
    <mergeCell ref="JCS46:JCS48"/>
    <mergeCell ref="JCT46:JCT48"/>
    <mergeCell ref="JCU46:JCU48"/>
    <mergeCell ref="JCJ46:JCJ48"/>
    <mergeCell ref="JCK46:JCK48"/>
    <mergeCell ref="JCL46:JCL48"/>
    <mergeCell ref="JCM46:JCM48"/>
    <mergeCell ref="JCN46:JCN48"/>
    <mergeCell ref="JCO46:JCO48"/>
    <mergeCell ref="JCD46:JCD48"/>
    <mergeCell ref="JCE46:JCE48"/>
    <mergeCell ref="JCF46:JCF48"/>
    <mergeCell ref="JCG46:JCG48"/>
    <mergeCell ref="JCH46:JCH48"/>
    <mergeCell ref="JCI46:JCI48"/>
    <mergeCell ref="JBX46:JBX48"/>
    <mergeCell ref="JBY46:JBY48"/>
    <mergeCell ref="JBZ46:JBZ48"/>
    <mergeCell ref="JCA46:JCA48"/>
    <mergeCell ref="JCB46:JCB48"/>
    <mergeCell ref="JCC46:JCC48"/>
    <mergeCell ref="JBR46:JBR48"/>
    <mergeCell ref="JBS46:JBS48"/>
    <mergeCell ref="JBT46:JBT48"/>
    <mergeCell ref="JBU46:JBU48"/>
    <mergeCell ref="JBV46:JBV48"/>
    <mergeCell ref="JBW46:JBW48"/>
    <mergeCell ref="JBL46:JBL48"/>
    <mergeCell ref="JBM46:JBM48"/>
    <mergeCell ref="JBN46:JBN48"/>
    <mergeCell ref="JBO46:JBO48"/>
    <mergeCell ref="JBP46:JBP48"/>
    <mergeCell ref="JBQ46:JBQ48"/>
    <mergeCell ref="JBF46:JBF48"/>
    <mergeCell ref="JBG46:JBG48"/>
    <mergeCell ref="JBH46:JBH48"/>
    <mergeCell ref="JBI46:JBI48"/>
    <mergeCell ref="JBJ46:JBJ48"/>
    <mergeCell ref="JBK46:JBK48"/>
    <mergeCell ref="JAZ46:JAZ48"/>
    <mergeCell ref="JBA46:JBA48"/>
    <mergeCell ref="JBB46:JBB48"/>
    <mergeCell ref="JBC46:JBC48"/>
    <mergeCell ref="JBD46:JBD48"/>
    <mergeCell ref="JBE46:JBE48"/>
    <mergeCell ref="JAT46:JAT48"/>
    <mergeCell ref="JAU46:JAU48"/>
    <mergeCell ref="JAV46:JAV48"/>
    <mergeCell ref="JAW46:JAW48"/>
    <mergeCell ref="JAX46:JAX48"/>
    <mergeCell ref="JAY46:JAY48"/>
    <mergeCell ref="JAN46:JAN48"/>
    <mergeCell ref="JAO46:JAO48"/>
    <mergeCell ref="JAP46:JAP48"/>
    <mergeCell ref="JAQ46:JAQ48"/>
    <mergeCell ref="JAR46:JAR48"/>
    <mergeCell ref="JAS46:JAS48"/>
    <mergeCell ref="JAH46:JAH48"/>
    <mergeCell ref="JAI46:JAI48"/>
    <mergeCell ref="JAJ46:JAJ48"/>
    <mergeCell ref="JAK46:JAK48"/>
    <mergeCell ref="JAL46:JAL48"/>
    <mergeCell ref="JAM46:JAM48"/>
    <mergeCell ref="JAB46:JAB48"/>
    <mergeCell ref="JAC46:JAC48"/>
    <mergeCell ref="JAD46:JAD48"/>
    <mergeCell ref="JAE46:JAE48"/>
    <mergeCell ref="JAF46:JAF48"/>
    <mergeCell ref="JAG46:JAG48"/>
    <mergeCell ref="IZV46:IZV48"/>
    <mergeCell ref="IZW46:IZW48"/>
    <mergeCell ref="IZX46:IZX48"/>
    <mergeCell ref="IZY46:IZY48"/>
    <mergeCell ref="IZZ46:IZZ48"/>
    <mergeCell ref="JAA46:JAA48"/>
    <mergeCell ref="IZP46:IZP48"/>
    <mergeCell ref="IZQ46:IZQ48"/>
    <mergeCell ref="IZR46:IZR48"/>
    <mergeCell ref="IZS46:IZS48"/>
    <mergeCell ref="IZT46:IZT48"/>
    <mergeCell ref="IZU46:IZU48"/>
    <mergeCell ref="IZJ46:IZJ48"/>
    <mergeCell ref="IZK46:IZK48"/>
    <mergeCell ref="IZL46:IZL48"/>
    <mergeCell ref="IZM46:IZM48"/>
    <mergeCell ref="IZN46:IZN48"/>
    <mergeCell ref="IZO46:IZO48"/>
    <mergeCell ref="IZD46:IZD48"/>
    <mergeCell ref="IZE46:IZE48"/>
    <mergeCell ref="IZF46:IZF48"/>
    <mergeCell ref="IZG46:IZG48"/>
    <mergeCell ref="IZH46:IZH48"/>
    <mergeCell ref="IZI46:IZI48"/>
    <mergeCell ref="IYX46:IYX48"/>
    <mergeCell ref="IYY46:IYY48"/>
    <mergeCell ref="IYZ46:IYZ48"/>
    <mergeCell ref="IZA46:IZA48"/>
    <mergeCell ref="IZB46:IZB48"/>
    <mergeCell ref="IZC46:IZC48"/>
    <mergeCell ref="IYR46:IYR48"/>
    <mergeCell ref="IYS46:IYS48"/>
    <mergeCell ref="IYT46:IYT48"/>
    <mergeCell ref="IYU46:IYU48"/>
    <mergeCell ref="IYV46:IYV48"/>
    <mergeCell ref="IYW46:IYW48"/>
    <mergeCell ref="IYL46:IYL48"/>
    <mergeCell ref="IYM46:IYM48"/>
    <mergeCell ref="IYN46:IYN48"/>
    <mergeCell ref="IYO46:IYO48"/>
    <mergeCell ref="IYP46:IYP48"/>
    <mergeCell ref="IYQ46:IYQ48"/>
    <mergeCell ref="IYF46:IYF48"/>
    <mergeCell ref="IYG46:IYG48"/>
    <mergeCell ref="IYH46:IYH48"/>
    <mergeCell ref="IYI46:IYI48"/>
    <mergeCell ref="IYJ46:IYJ48"/>
    <mergeCell ref="IYK46:IYK48"/>
    <mergeCell ref="IXZ46:IXZ48"/>
    <mergeCell ref="IYA46:IYA48"/>
    <mergeCell ref="IYB46:IYB48"/>
    <mergeCell ref="IYC46:IYC48"/>
    <mergeCell ref="IYD46:IYD48"/>
    <mergeCell ref="IYE46:IYE48"/>
    <mergeCell ref="IXT46:IXT48"/>
    <mergeCell ref="IXU46:IXU48"/>
    <mergeCell ref="IXV46:IXV48"/>
    <mergeCell ref="IXW46:IXW48"/>
    <mergeCell ref="IXX46:IXX48"/>
    <mergeCell ref="IXY46:IXY48"/>
    <mergeCell ref="IXN46:IXN48"/>
    <mergeCell ref="IXO46:IXO48"/>
    <mergeCell ref="IXP46:IXP48"/>
    <mergeCell ref="IXQ46:IXQ48"/>
    <mergeCell ref="IXR46:IXR48"/>
    <mergeCell ref="IXS46:IXS48"/>
    <mergeCell ref="IXH46:IXH48"/>
    <mergeCell ref="IXI46:IXI48"/>
    <mergeCell ref="IXJ46:IXJ48"/>
    <mergeCell ref="IXK46:IXK48"/>
    <mergeCell ref="IXL46:IXL48"/>
    <mergeCell ref="IXM46:IXM48"/>
    <mergeCell ref="IXB46:IXB48"/>
    <mergeCell ref="IXC46:IXC48"/>
    <mergeCell ref="IXD46:IXD48"/>
    <mergeCell ref="IXE46:IXE48"/>
    <mergeCell ref="IXF46:IXF48"/>
    <mergeCell ref="IXG46:IXG48"/>
    <mergeCell ref="IWV46:IWV48"/>
    <mergeCell ref="IWW46:IWW48"/>
    <mergeCell ref="IWX46:IWX48"/>
    <mergeCell ref="IWY46:IWY48"/>
    <mergeCell ref="IWZ46:IWZ48"/>
    <mergeCell ref="IXA46:IXA48"/>
    <mergeCell ref="IWP46:IWP48"/>
    <mergeCell ref="IWQ46:IWQ48"/>
    <mergeCell ref="IWR46:IWR48"/>
    <mergeCell ref="IWS46:IWS48"/>
    <mergeCell ref="IWT46:IWT48"/>
    <mergeCell ref="IWU46:IWU48"/>
    <mergeCell ref="IWJ46:IWJ48"/>
    <mergeCell ref="IWK46:IWK48"/>
    <mergeCell ref="IWL46:IWL48"/>
    <mergeCell ref="IWM46:IWM48"/>
    <mergeCell ref="IWN46:IWN48"/>
    <mergeCell ref="IWO46:IWO48"/>
    <mergeCell ref="IWD46:IWD48"/>
    <mergeCell ref="IWE46:IWE48"/>
    <mergeCell ref="IWF46:IWF48"/>
    <mergeCell ref="IWG46:IWG48"/>
    <mergeCell ref="IWH46:IWH48"/>
    <mergeCell ref="IWI46:IWI48"/>
    <mergeCell ref="IVX46:IVX48"/>
    <mergeCell ref="IVY46:IVY48"/>
    <mergeCell ref="IVZ46:IVZ48"/>
    <mergeCell ref="IWA46:IWA48"/>
    <mergeCell ref="IWB46:IWB48"/>
    <mergeCell ref="IWC46:IWC48"/>
    <mergeCell ref="IVR46:IVR48"/>
    <mergeCell ref="IVS46:IVS48"/>
    <mergeCell ref="IVT46:IVT48"/>
    <mergeCell ref="IVU46:IVU48"/>
    <mergeCell ref="IVV46:IVV48"/>
    <mergeCell ref="IVW46:IVW48"/>
    <mergeCell ref="IVL46:IVL48"/>
    <mergeCell ref="IVM46:IVM48"/>
    <mergeCell ref="IVN46:IVN48"/>
    <mergeCell ref="IVO46:IVO48"/>
    <mergeCell ref="IVP46:IVP48"/>
    <mergeCell ref="IVQ46:IVQ48"/>
    <mergeCell ref="IVF46:IVF48"/>
    <mergeCell ref="IVG46:IVG48"/>
    <mergeCell ref="IVH46:IVH48"/>
    <mergeCell ref="IVI46:IVI48"/>
    <mergeCell ref="IVJ46:IVJ48"/>
    <mergeCell ref="IVK46:IVK48"/>
    <mergeCell ref="IUZ46:IUZ48"/>
    <mergeCell ref="IVA46:IVA48"/>
    <mergeCell ref="IVB46:IVB48"/>
    <mergeCell ref="IVC46:IVC48"/>
    <mergeCell ref="IVD46:IVD48"/>
    <mergeCell ref="IVE46:IVE48"/>
    <mergeCell ref="IUT46:IUT48"/>
    <mergeCell ref="IUU46:IUU48"/>
    <mergeCell ref="IUV46:IUV48"/>
    <mergeCell ref="IUW46:IUW48"/>
    <mergeCell ref="IUX46:IUX48"/>
    <mergeCell ref="IUY46:IUY48"/>
    <mergeCell ref="IUN46:IUN48"/>
    <mergeCell ref="IUO46:IUO48"/>
    <mergeCell ref="IUP46:IUP48"/>
    <mergeCell ref="IUQ46:IUQ48"/>
    <mergeCell ref="IUR46:IUR48"/>
    <mergeCell ref="IUS46:IUS48"/>
    <mergeCell ref="IUH46:IUH48"/>
    <mergeCell ref="IUI46:IUI48"/>
    <mergeCell ref="IUJ46:IUJ48"/>
    <mergeCell ref="IUK46:IUK48"/>
    <mergeCell ref="IUL46:IUL48"/>
    <mergeCell ref="IUM46:IUM48"/>
    <mergeCell ref="IUB46:IUB48"/>
    <mergeCell ref="IUC46:IUC48"/>
    <mergeCell ref="IUD46:IUD48"/>
    <mergeCell ref="IUE46:IUE48"/>
    <mergeCell ref="IUF46:IUF48"/>
    <mergeCell ref="IUG46:IUG48"/>
    <mergeCell ref="ITV46:ITV48"/>
    <mergeCell ref="ITW46:ITW48"/>
    <mergeCell ref="ITX46:ITX48"/>
    <mergeCell ref="ITY46:ITY48"/>
    <mergeCell ref="ITZ46:ITZ48"/>
    <mergeCell ref="IUA46:IUA48"/>
    <mergeCell ref="ITP46:ITP48"/>
    <mergeCell ref="ITQ46:ITQ48"/>
    <mergeCell ref="ITR46:ITR48"/>
    <mergeCell ref="ITS46:ITS48"/>
    <mergeCell ref="ITT46:ITT48"/>
    <mergeCell ref="ITU46:ITU48"/>
    <mergeCell ref="ITJ46:ITJ48"/>
    <mergeCell ref="ITK46:ITK48"/>
    <mergeCell ref="ITL46:ITL48"/>
    <mergeCell ref="ITM46:ITM48"/>
    <mergeCell ref="ITN46:ITN48"/>
    <mergeCell ref="ITO46:ITO48"/>
    <mergeCell ref="ITD46:ITD48"/>
    <mergeCell ref="ITE46:ITE48"/>
    <mergeCell ref="ITF46:ITF48"/>
    <mergeCell ref="ITG46:ITG48"/>
    <mergeCell ref="ITH46:ITH48"/>
    <mergeCell ref="ITI46:ITI48"/>
    <mergeCell ref="ISX46:ISX48"/>
    <mergeCell ref="ISY46:ISY48"/>
    <mergeCell ref="ISZ46:ISZ48"/>
    <mergeCell ref="ITA46:ITA48"/>
    <mergeCell ref="ITB46:ITB48"/>
    <mergeCell ref="ITC46:ITC48"/>
    <mergeCell ref="ISR46:ISR48"/>
    <mergeCell ref="ISS46:ISS48"/>
    <mergeCell ref="IST46:IST48"/>
    <mergeCell ref="ISU46:ISU48"/>
    <mergeCell ref="ISV46:ISV48"/>
    <mergeCell ref="ISW46:ISW48"/>
    <mergeCell ref="ISL46:ISL48"/>
    <mergeCell ref="ISM46:ISM48"/>
    <mergeCell ref="ISN46:ISN48"/>
    <mergeCell ref="ISO46:ISO48"/>
    <mergeCell ref="ISP46:ISP48"/>
    <mergeCell ref="ISQ46:ISQ48"/>
    <mergeCell ref="ISF46:ISF48"/>
    <mergeCell ref="ISG46:ISG48"/>
    <mergeCell ref="ISH46:ISH48"/>
    <mergeCell ref="ISI46:ISI48"/>
    <mergeCell ref="ISJ46:ISJ48"/>
    <mergeCell ref="ISK46:ISK48"/>
    <mergeCell ref="IRZ46:IRZ48"/>
    <mergeCell ref="ISA46:ISA48"/>
    <mergeCell ref="ISB46:ISB48"/>
    <mergeCell ref="ISC46:ISC48"/>
    <mergeCell ref="ISD46:ISD48"/>
    <mergeCell ref="ISE46:ISE48"/>
    <mergeCell ref="IRT46:IRT48"/>
    <mergeCell ref="IRU46:IRU48"/>
    <mergeCell ref="IRV46:IRV48"/>
    <mergeCell ref="IRW46:IRW48"/>
    <mergeCell ref="IRX46:IRX48"/>
    <mergeCell ref="IRY46:IRY48"/>
    <mergeCell ref="IRN46:IRN48"/>
    <mergeCell ref="IRO46:IRO48"/>
    <mergeCell ref="IRP46:IRP48"/>
    <mergeCell ref="IRQ46:IRQ48"/>
    <mergeCell ref="IRR46:IRR48"/>
    <mergeCell ref="IRS46:IRS48"/>
    <mergeCell ref="IRH46:IRH48"/>
    <mergeCell ref="IRI46:IRI48"/>
    <mergeCell ref="IRJ46:IRJ48"/>
    <mergeCell ref="IRK46:IRK48"/>
    <mergeCell ref="IRL46:IRL48"/>
    <mergeCell ref="IRM46:IRM48"/>
    <mergeCell ref="IRB46:IRB48"/>
    <mergeCell ref="IRC46:IRC48"/>
    <mergeCell ref="IRD46:IRD48"/>
    <mergeCell ref="IRE46:IRE48"/>
    <mergeCell ref="IRF46:IRF48"/>
    <mergeCell ref="IRG46:IRG48"/>
    <mergeCell ref="IQV46:IQV48"/>
    <mergeCell ref="IQW46:IQW48"/>
    <mergeCell ref="IQX46:IQX48"/>
    <mergeCell ref="IQY46:IQY48"/>
    <mergeCell ref="IQZ46:IQZ48"/>
    <mergeCell ref="IRA46:IRA48"/>
    <mergeCell ref="IQP46:IQP48"/>
    <mergeCell ref="IQQ46:IQQ48"/>
    <mergeCell ref="IQR46:IQR48"/>
    <mergeCell ref="IQS46:IQS48"/>
    <mergeCell ref="IQT46:IQT48"/>
    <mergeCell ref="IQU46:IQU48"/>
    <mergeCell ref="IQJ46:IQJ48"/>
    <mergeCell ref="IQK46:IQK48"/>
    <mergeCell ref="IQL46:IQL48"/>
    <mergeCell ref="IQM46:IQM48"/>
    <mergeCell ref="IQN46:IQN48"/>
    <mergeCell ref="IQO46:IQO48"/>
    <mergeCell ref="IQD46:IQD48"/>
    <mergeCell ref="IQE46:IQE48"/>
    <mergeCell ref="IQF46:IQF48"/>
    <mergeCell ref="IQG46:IQG48"/>
    <mergeCell ref="IQH46:IQH48"/>
    <mergeCell ref="IQI46:IQI48"/>
    <mergeCell ref="IPX46:IPX48"/>
    <mergeCell ref="IPY46:IPY48"/>
    <mergeCell ref="IPZ46:IPZ48"/>
    <mergeCell ref="IQA46:IQA48"/>
    <mergeCell ref="IQB46:IQB48"/>
    <mergeCell ref="IQC46:IQC48"/>
    <mergeCell ref="IPR46:IPR48"/>
    <mergeCell ref="IPS46:IPS48"/>
    <mergeCell ref="IPT46:IPT48"/>
    <mergeCell ref="IPU46:IPU48"/>
    <mergeCell ref="IPV46:IPV48"/>
    <mergeCell ref="IPW46:IPW48"/>
    <mergeCell ref="IPL46:IPL48"/>
    <mergeCell ref="IPM46:IPM48"/>
    <mergeCell ref="IPN46:IPN48"/>
    <mergeCell ref="IPO46:IPO48"/>
    <mergeCell ref="IPP46:IPP48"/>
    <mergeCell ref="IPQ46:IPQ48"/>
    <mergeCell ref="IPF46:IPF48"/>
    <mergeCell ref="IPG46:IPG48"/>
    <mergeCell ref="IPH46:IPH48"/>
    <mergeCell ref="IPI46:IPI48"/>
    <mergeCell ref="IPJ46:IPJ48"/>
    <mergeCell ref="IPK46:IPK48"/>
    <mergeCell ref="IOZ46:IOZ48"/>
    <mergeCell ref="IPA46:IPA48"/>
    <mergeCell ref="IPB46:IPB48"/>
    <mergeCell ref="IPC46:IPC48"/>
    <mergeCell ref="IPD46:IPD48"/>
    <mergeCell ref="IPE46:IPE48"/>
    <mergeCell ref="IOT46:IOT48"/>
    <mergeCell ref="IOU46:IOU48"/>
    <mergeCell ref="IOV46:IOV48"/>
    <mergeCell ref="IOW46:IOW48"/>
    <mergeCell ref="IOX46:IOX48"/>
    <mergeCell ref="IOY46:IOY48"/>
    <mergeCell ref="ION46:ION48"/>
    <mergeCell ref="IOO46:IOO48"/>
    <mergeCell ref="IOP46:IOP48"/>
    <mergeCell ref="IOQ46:IOQ48"/>
    <mergeCell ref="IOR46:IOR48"/>
    <mergeCell ref="IOS46:IOS48"/>
    <mergeCell ref="IOH46:IOH48"/>
    <mergeCell ref="IOI46:IOI48"/>
    <mergeCell ref="IOJ46:IOJ48"/>
    <mergeCell ref="IOK46:IOK48"/>
    <mergeCell ref="IOL46:IOL48"/>
    <mergeCell ref="IOM46:IOM48"/>
    <mergeCell ref="IOB46:IOB48"/>
    <mergeCell ref="IOC46:IOC48"/>
    <mergeCell ref="IOD46:IOD48"/>
    <mergeCell ref="IOE46:IOE48"/>
    <mergeCell ref="IOF46:IOF48"/>
    <mergeCell ref="IOG46:IOG48"/>
    <mergeCell ref="INV46:INV48"/>
    <mergeCell ref="INW46:INW48"/>
    <mergeCell ref="INX46:INX48"/>
    <mergeCell ref="INY46:INY48"/>
    <mergeCell ref="INZ46:INZ48"/>
    <mergeCell ref="IOA46:IOA48"/>
    <mergeCell ref="INP46:INP48"/>
    <mergeCell ref="INQ46:INQ48"/>
    <mergeCell ref="INR46:INR48"/>
    <mergeCell ref="INS46:INS48"/>
    <mergeCell ref="INT46:INT48"/>
    <mergeCell ref="INU46:INU48"/>
    <mergeCell ref="INJ46:INJ48"/>
    <mergeCell ref="INK46:INK48"/>
    <mergeCell ref="INL46:INL48"/>
    <mergeCell ref="INM46:INM48"/>
    <mergeCell ref="INN46:INN48"/>
    <mergeCell ref="INO46:INO48"/>
    <mergeCell ref="IND46:IND48"/>
    <mergeCell ref="INE46:INE48"/>
    <mergeCell ref="INF46:INF48"/>
    <mergeCell ref="ING46:ING48"/>
    <mergeCell ref="INH46:INH48"/>
    <mergeCell ref="INI46:INI48"/>
    <mergeCell ref="IMX46:IMX48"/>
    <mergeCell ref="IMY46:IMY48"/>
    <mergeCell ref="IMZ46:IMZ48"/>
    <mergeCell ref="INA46:INA48"/>
    <mergeCell ref="INB46:INB48"/>
    <mergeCell ref="INC46:INC48"/>
    <mergeCell ref="IMR46:IMR48"/>
    <mergeCell ref="IMS46:IMS48"/>
    <mergeCell ref="IMT46:IMT48"/>
    <mergeCell ref="IMU46:IMU48"/>
    <mergeCell ref="IMV46:IMV48"/>
    <mergeCell ref="IMW46:IMW48"/>
    <mergeCell ref="IML46:IML48"/>
    <mergeCell ref="IMM46:IMM48"/>
    <mergeCell ref="IMN46:IMN48"/>
    <mergeCell ref="IMO46:IMO48"/>
    <mergeCell ref="IMP46:IMP48"/>
    <mergeCell ref="IMQ46:IMQ48"/>
    <mergeCell ref="IMF46:IMF48"/>
    <mergeCell ref="IMG46:IMG48"/>
    <mergeCell ref="IMH46:IMH48"/>
    <mergeCell ref="IMI46:IMI48"/>
    <mergeCell ref="IMJ46:IMJ48"/>
    <mergeCell ref="IMK46:IMK48"/>
    <mergeCell ref="ILZ46:ILZ48"/>
    <mergeCell ref="IMA46:IMA48"/>
    <mergeCell ref="IMB46:IMB48"/>
    <mergeCell ref="IMC46:IMC48"/>
    <mergeCell ref="IMD46:IMD48"/>
    <mergeCell ref="IME46:IME48"/>
    <mergeCell ref="ILT46:ILT48"/>
    <mergeCell ref="ILU46:ILU48"/>
    <mergeCell ref="ILV46:ILV48"/>
    <mergeCell ref="ILW46:ILW48"/>
    <mergeCell ref="ILX46:ILX48"/>
    <mergeCell ref="ILY46:ILY48"/>
    <mergeCell ref="ILN46:ILN48"/>
    <mergeCell ref="ILO46:ILO48"/>
    <mergeCell ref="ILP46:ILP48"/>
    <mergeCell ref="ILQ46:ILQ48"/>
    <mergeCell ref="ILR46:ILR48"/>
    <mergeCell ref="ILS46:ILS48"/>
    <mergeCell ref="ILH46:ILH48"/>
    <mergeCell ref="ILI46:ILI48"/>
    <mergeCell ref="ILJ46:ILJ48"/>
    <mergeCell ref="ILK46:ILK48"/>
    <mergeCell ref="ILL46:ILL48"/>
    <mergeCell ref="ILM46:ILM48"/>
    <mergeCell ref="ILB46:ILB48"/>
    <mergeCell ref="ILC46:ILC48"/>
    <mergeCell ref="ILD46:ILD48"/>
    <mergeCell ref="ILE46:ILE48"/>
    <mergeCell ref="ILF46:ILF48"/>
    <mergeCell ref="ILG46:ILG48"/>
    <mergeCell ref="IKV46:IKV48"/>
    <mergeCell ref="IKW46:IKW48"/>
    <mergeCell ref="IKX46:IKX48"/>
    <mergeCell ref="IKY46:IKY48"/>
    <mergeCell ref="IKZ46:IKZ48"/>
    <mergeCell ref="ILA46:ILA48"/>
    <mergeCell ref="IKP46:IKP48"/>
    <mergeCell ref="IKQ46:IKQ48"/>
    <mergeCell ref="IKR46:IKR48"/>
    <mergeCell ref="IKS46:IKS48"/>
    <mergeCell ref="IKT46:IKT48"/>
    <mergeCell ref="IKU46:IKU48"/>
    <mergeCell ref="IKJ46:IKJ48"/>
    <mergeCell ref="IKK46:IKK48"/>
    <mergeCell ref="IKL46:IKL48"/>
    <mergeCell ref="IKM46:IKM48"/>
    <mergeCell ref="IKN46:IKN48"/>
    <mergeCell ref="IKO46:IKO48"/>
    <mergeCell ref="IKD46:IKD48"/>
    <mergeCell ref="IKE46:IKE48"/>
    <mergeCell ref="IKF46:IKF48"/>
    <mergeCell ref="IKG46:IKG48"/>
    <mergeCell ref="IKH46:IKH48"/>
    <mergeCell ref="IKI46:IKI48"/>
    <mergeCell ref="IJX46:IJX48"/>
    <mergeCell ref="IJY46:IJY48"/>
    <mergeCell ref="IJZ46:IJZ48"/>
    <mergeCell ref="IKA46:IKA48"/>
    <mergeCell ref="IKB46:IKB48"/>
    <mergeCell ref="IKC46:IKC48"/>
    <mergeCell ref="IJR46:IJR48"/>
    <mergeCell ref="IJS46:IJS48"/>
    <mergeCell ref="IJT46:IJT48"/>
    <mergeCell ref="IJU46:IJU48"/>
    <mergeCell ref="IJV46:IJV48"/>
    <mergeCell ref="IJW46:IJW48"/>
    <mergeCell ref="IJL46:IJL48"/>
    <mergeCell ref="IJM46:IJM48"/>
    <mergeCell ref="IJN46:IJN48"/>
    <mergeCell ref="IJO46:IJO48"/>
    <mergeCell ref="IJP46:IJP48"/>
    <mergeCell ref="IJQ46:IJQ48"/>
    <mergeCell ref="IJF46:IJF48"/>
    <mergeCell ref="IJG46:IJG48"/>
    <mergeCell ref="IJH46:IJH48"/>
    <mergeCell ref="IJI46:IJI48"/>
    <mergeCell ref="IJJ46:IJJ48"/>
    <mergeCell ref="IJK46:IJK48"/>
    <mergeCell ref="IIZ46:IIZ48"/>
    <mergeCell ref="IJA46:IJA48"/>
    <mergeCell ref="IJB46:IJB48"/>
    <mergeCell ref="IJC46:IJC48"/>
    <mergeCell ref="IJD46:IJD48"/>
    <mergeCell ref="IJE46:IJE48"/>
    <mergeCell ref="IIT46:IIT48"/>
    <mergeCell ref="IIU46:IIU48"/>
    <mergeCell ref="IIV46:IIV48"/>
    <mergeCell ref="IIW46:IIW48"/>
    <mergeCell ref="IIX46:IIX48"/>
    <mergeCell ref="IIY46:IIY48"/>
    <mergeCell ref="IIN46:IIN48"/>
    <mergeCell ref="IIO46:IIO48"/>
    <mergeCell ref="IIP46:IIP48"/>
    <mergeCell ref="IIQ46:IIQ48"/>
    <mergeCell ref="IIR46:IIR48"/>
    <mergeCell ref="IIS46:IIS48"/>
    <mergeCell ref="IIH46:IIH48"/>
    <mergeCell ref="III46:III48"/>
    <mergeCell ref="IIJ46:IIJ48"/>
    <mergeCell ref="IIK46:IIK48"/>
    <mergeCell ref="IIL46:IIL48"/>
    <mergeCell ref="IIM46:IIM48"/>
    <mergeCell ref="IIB46:IIB48"/>
    <mergeCell ref="IIC46:IIC48"/>
    <mergeCell ref="IID46:IID48"/>
    <mergeCell ref="IIE46:IIE48"/>
    <mergeCell ref="IIF46:IIF48"/>
    <mergeCell ref="IIG46:IIG48"/>
    <mergeCell ref="IHV46:IHV48"/>
    <mergeCell ref="IHW46:IHW48"/>
    <mergeCell ref="IHX46:IHX48"/>
    <mergeCell ref="IHY46:IHY48"/>
    <mergeCell ref="IHZ46:IHZ48"/>
    <mergeCell ref="IIA46:IIA48"/>
    <mergeCell ref="IHP46:IHP48"/>
    <mergeCell ref="IHQ46:IHQ48"/>
    <mergeCell ref="IHR46:IHR48"/>
    <mergeCell ref="IHS46:IHS48"/>
    <mergeCell ref="IHT46:IHT48"/>
    <mergeCell ref="IHU46:IHU48"/>
    <mergeCell ref="IHJ46:IHJ48"/>
    <mergeCell ref="IHK46:IHK48"/>
    <mergeCell ref="IHL46:IHL48"/>
    <mergeCell ref="IHM46:IHM48"/>
    <mergeCell ref="IHN46:IHN48"/>
    <mergeCell ref="IHO46:IHO48"/>
    <mergeCell ref="IHD46:IHD48"/>
    <mergeCell ref="IHE46:IHE48"/>
    <mergeCell ref="IHF46:IHF48"/>
    <mergeCell ref="IHG46:IHG48"/>
    <mergeCell ref="IHH46:IHH48"/>
    <mergeCell ref="IHI46:IHI48"/>
    <mergeCell ref="IGX46:IGX48"/>
    <mergeCell ref="IGY46:IGY48"/>
    <mergeCell ref="IGZ46:IGZ48"/>
    <mergeCell ref="IHA46:IHA48"/>
    <mergeCell ref="IHB46:IHB48"/>
    <mergeCell ref="IHC46:IHC48"/>
    <mergeCell ref="IGR46:IGR48"/>
    <mergeCell ref="IGS46:IGS48"/>
    <mergeCell ref="IGT46:IGT48"/>
    <mergeCell ref="IGU46:IGU48"/>
    <mergeCell ref="IGV46:IGV48"/>
    <mergeCell ref="IGW46:IGW48"/>
    <mergeCell ref="IGL46:IGL48"/>
    <mergeCell ref="IGM46:IGM48"/>
    <mergeCell ref="IGN46:IGN48"/>
    <mergeCell ref="IGO46:IGO48"/>
    <mergeCell ref="IGP46:IGP48"/>
    <mergeCell ref="IGQ46:IGQ48"/>
    <mergeCell ref="IGF46:IGF48"/>
    <mergeCell ref="IGG46:IGG48"/>
    <mergeCell ref="IGH46:IGH48"/>
    <mergeCell ref="IGI46:IGI48"/>
    <mergeCell ref="IGJ46:IGJ48"/>
    <mergeCell ref="IGK46:IGK48"/>
    <mergeCell ref="IFZ46:IFZ48"/>
    <mergeCell ref="IGA46:IGA48"/>
    <mergeCell ref="IGB46:IGB48"/>
    <mergeCell ref="IGC46:IGC48"/>
    <mergeCell ref="IGD46:IGD48"/>
    <mergeCell ref="IGE46:IGE48"/>
    <mergeCell ref="IFT46:IFT48"/>
    <mergeCell ref="IFU46:IFU48"/>
    <mergeCell ref="IFV46:IFV48"/>
    <mergeCell ref="IFW46:IFW48"/>
    <mergeCell ref="IFX46:IFX48"/>
    <mergeCell ref="IFY46:IFY48"/>
    <mergeCell ref="IFN46:IFN48"/>
    <mergeCell ref="IFO46:IFO48"/>
    <mergeCell ref="IFP46:IFP48"/>
    <mergeCell ref="IFQ46:IFQ48"/>
    <mergeCell ref="IFR46:IFR48"/>
    <mergeCell ref="IFS46:IFS48"/>
    <mergeCell ref="IFH46:IFH48"/>
    <mergeCell ref="IFI46:IFI48"/>
    <mergeCell ref="IFJ46:IFJ48"/>
    <mergeCell ref="IFK46:IFK48"/>
    <mergeCell ref="IFL46:IFL48"/>
    <mergeCell ref="IFM46:IFM48"/>
    <mergeCell ref="IFB46:IFB48"/>
    <mergeCell ref="IFC46:IFC48"/>
    <mergeCell ref="IFD46:IFD48"/>
    <mergeCell ref="IFE46:IFE48"/>
    <mergeCell ref="IFF46:IFF48"/>
    <mergeCell ref="IFG46:IFG48"/>
    <mergeCell ref="IEV46:IEV48"/>
    <mergeCell ref="IEW46:IEW48"/>
    <mergeCell ref="IEX46:IEX48"/>
    <mergeCell ref="IEY46:IEY48"/>
    <mergeCell ref="IEZ46:IEZ48"/>
    <mergeCell ref="IFA46:IFA48"/>
    <mergeCell ref="IEP46:IEP48"/>
    <mergeCell ref="IEQ46:IEQ48"/>
    <mergeCell ref="IER46:IER48"/>
    <mergeCell ref="IES46:IES48"/>
    <mergeCell ref="IET46:IET48"/>
    <mergeCell ref="IEU46:IEU48"/>
    <mergeCell ref="IEJ46:IEJ48"/>
    <mergeCell ref="IEK46:IEK48"/>
    <mergeCell ref="IEL46:IEL48"/>
    <mergeCell ref="IEM46:IEM48"/>
    <mergeCell ref="IEN46:IEN48"/>
    <mergeCell ref="IEO46:IEO48"/>
    <mergeCell ref="IED46:IED48"/>
    <mergeCell ref="IEE46:IEE48"/>
    <mergeCell ref="IEF46:IEF48"/>
    <mergeCell ref="IEG46:IEG48"/>
    <mergeCell ref="IEH46:IEH48"/>
    <mergeCell ref="IEI46:IEI48"/>
    <mergeCell ref="IDX46:IDX48"/>
    <mergeCell ref="IDY46:IDY48"/>
    <mergeCell ref="IDZ46:IDZ48"/>
    <mergeCell ref="IEA46:IEA48"/>
    <mergeCell ref="IEB46:IEB48"/>
    <mergeCell ref="IEC46:IEC48"/>
    <mergeCell ref="IDR46:IDR48"/>
    <mergeCell ref="IDS46:IDS48"/>
    <mergeCell ref="IDT46:IDT48"/>
    <mergeCell ref="IDU46:IDU48"/>
    <mergeCell ref="IDV46:IDV48"/>
    <mergeCell ref="IDW46:IDW48"/>
    <mergeCell ref="IDL46:IDL48"/>
    <mergeCell ref="IDM46:IDM48"/>
    <mergeCell ref="IDN46:IDN48"/>
    <mergeCell ref="IDO46:IDO48"/>
    <mergeCell ref="IDP46:IDP48"/>
    <mergeCell ref="IDQ46:IDQ48"/>
    <mergeCell ref="IDF46:IDF48"/>
    <mergeCell ref="IDG46:IDG48"/>
    <mergeCell ref="IDH46:IDH48"/>
    <mergeCell ref="IDI46:IDI48"/>
    <mergeCell ref="IDJ46:IDJ48"/>
    <mergeCell ref="IDK46:IDK48"/>
    <mergeCell ref="ICZ46:ICZ48"/>
    <mergeCell ref="IDA46:IDA48"/>
    <mergeCell ref="IDB46:IDB48"/>
    <mergeCell ref="IDC46:IDC48"/>
    <mergeCell ref="IDD46:IDD48"/>
    <mergeCell ref="IDE46:IDE48"/>
    <mergeCell ref="ICT46:ICT48"/>
    <mergeCell ref="ICU46:ICU48"/>
    <mergeCell ref="ICV46:ICV48"/>
    <mergeCell ref="ICW46:ICW48"/>
    <mergeCell ref="ICX46:ICX48"/>
    <mergeCell ref="ICY46:ICY48"/>
    <mergeCell ref="ICN46:ICN48"/>
    <mergeCell ref="ICO46:ICO48"/>
    <mergeCell ref="ICP46:ICP48"/>
    <mergeCell ref="ICQ46:ICQ48"/>
    <mergeCell ref="ICR46:ICR48"/>
    <mergeCell ref="ICS46:ICS48"/>
    <mergeCell ref="ICH46:ICH48"/>
    <mergeCell ref="ICI46:ICI48"/>
    <mergeCell ref="ICJ46:ICJ48"/>
    <mergeCell ref="ICK46:ICK48"/>
    <mergeCell ref="ICL46:ICL48"/>
    <mergeCell ref="ICM46:ICM48"/>
    <mergeCell ref="ICB46:ICB48"/>
    <mergeCell ref="ICC46:ICC48"/>
    <mergeCell ref="ICD46:ICD48"/>
    <mergeCell ref="ICE46:ICE48"/>
    <mergeCell ref="ICF46:ICF48"/>
    <mergeCell ref="ICG46:ICG48"/>
    <mergeCell ref="IBV46:IBV48"/>
    <mergeCell ref="IBW46:IBW48"/>
    <mergeCell ref="IBX46:IBX48"/>
    <mergeCell ref="IBY46:IBY48"/>
    <mergeCell ref="IBZ46:IBZ48"/>
    <mergeCell ref="ICA46:ICA48"/>
    <mergeCell ref="IBP46:IBP48"/>
    <mergeCell ref="IBQ46:IBQ48"/>
    <mergeCell ref="IBR46:IBR48"/>
    <mergeCell ref="IBS46:IBS48"/>
    <mergeCell ref="IBT46:IBT48"/>
    <mergeCell ref="IBU46:IBU48"/>
    <mergeCell ref="IBJ46:IBJ48"/>
    <mergeCell ref="IBK46:IBK48"/>
    <mergeCell ref="IBL46:IBL48"/>
    <mergeCell ref="IBM46:IBM48"/>
    <mergeCell ref="IBN46:IBN48"/>
    <mergeCell ref="IBO46:IBO48"/>
    <mergeCell ref="IBD46:IBD48"/>
    <mergeCell ref="IBE46:IBE48"/>
    <mergeCell ref="IBF46:IBF48"/>
    <mergeCell ref="IBG46:IBG48"/>
    <mergeCell ref="IBH46:IBH48"/>
    <mergeCell ref="IBI46:IBI48"/>
    <mergeCell ref="IAX46:IAX48"/>
    <mergeCell ref="IAY46:IAY48"/>
    <mergeCell ref="IAZ46:IAZ48"/>
    <mergeCell ref="IBA46:IBA48"/>
    <mergeCell ref="IBB46:IBB48"/>
    <mergeCell ref="IBC46:IBC48"/>
    <mergeCell ref="IAR46:IAR48"/>
    <mergeCell ref="IAS46:IAS48"/>
    <mergeCell ref="IAT46:IAT48"/>
    <mergeCell ref="IAU46:IAU48"/>
    <mergeCell ref="IAV46:IAV48"/>
    <mergeCell ref="IAW46:IAW48"/>
    <mergeCell ref="IAL46:IAL48"/>
    <mergeCell ref="IAM46:IAM48"/>
    <mergeCell ref="IAN46:IAN48"/>
    <mergeCell ref="IAO46:IAO48"/>
    <mergeCell ref="IAP46:IAP48"/>
    <mergeCell ref="IAQ46:IAQ48"/>
    <mergeCell ref="IAF46:IAF48"/>
    <mergeCell ref="IAG46:IAG48"/>
    <mergeCell ref="IAH46:IAH48"/>
    <mergeCell ref="IAI46:IAI48"/>
    <mergeCell ref="IAJ46:IAJ48"/>
    <mergeCell ref="IAK46:IAK48"/>
    <mergeCell ref="HZZ46:HZZ48"/>
    <mergeCell ref="IAA46:IAA48"/>
    <mergeCell ref="IAB46:IAB48"/>
    <mergeCell ref="IAC46:IAC48"/>
    <mergeCell ref="IAD46:IAD48"/>
    <mergeCell ref="IAE46:IAE48"/>
    <mergeCell ref="HZT46:HZT48"/>
    <mergeCell ref="HZU46:HZU48"/>
    <mergeCell ref="HZV46:HZV48"/>
    <mergeCell ref="HZW46:HZW48"/>
    <mergeCell ref="HZX46:HZX48"/>
    <mergeCell ref="HZY46:HZY48"/>
    <mergeCell ref="HZN46:HZN48"/>
    <mergeCell ref="HZO46:HZO48"/>
    <mergeCell ref="HZP46:HZP48"/>
    <mergeCell ref="HZQ46:HZQ48"/>
    <mergeCell ref="HZR46:HZR48"/>
    <mergeCell ref="HZS46:HZS48"/>
    <mergeCell ref="HZH46:HZH48"/>
    <mergeCell ref="HZI46:HZI48"/>
    <mergeCell ref="HZJ46:HZJ48"/>
    <mergeCell ref="HZK46:HZK48"/>
    <mergeCell ref="HZL46:HZL48"/>
    <mergeCell ref="HZM46:HZM48"/>
    <mergeCell ref="HZB46:HZB48"/>
    <mergeCell ref="HZC46:HZC48"/>
    <mergeCell ref="HZD46:HZD48"/>
    <mergeCell ref="HZE46:HZE48"/>
    <mergeCell ref="HZF46:HZF48"/>
    <mergeCell ref="HZG46:HZG48"/>
    <mergeCell ref="HYV46:HYV48"/>
    <mergeCell ref="HYW46:HYW48"/>
    <mergeCell ref="HYX46:HYX48"/>
    <mergeCell ref="HYY46:HYY48"/>
    <mergeCell ref="HYZ46:HYZ48"/>
    <mergeCell ref="HZA46:HZA48"/>
    <mergeCell ref="HYP46:HYP48"/>
    <mergeCell ref="HYQ46:HYQ48"/>
    <mergeCell ref="HYR46:HYR48"/>
    <mergeCell ref="HYS46:HYS48"/>
    <mergeCell ref="HYT46:HYT48"/>
    <mergeCell ref="HYU46:HYU48"/>
    <mergeCell ref="HYJ46:HYJ48"/>
    <mergeCell ref="HYK46:HYK48"/>
    <mergeCell ref="HYL46:HYL48"/>
    <mergeCell ref="HYM46:HYM48"/>
    <mergeCell ref="HYN46:HYN48"/>
    <mergeCell ref="HYO46:HYO48"/>
    <mergeCell ref="HYD46:HYD48"/>
    <mergeCell ref="HYE46:HYE48"/>
    <mergeCell ref="HYF46:HYF48"/>
    <mergeCell ref="HYG46:HYG48"/>
    <mergeCell ref="HYH46:HYH48"/>
    <mergeCell ref="HYI46:HYI48"/>
    <mergeCell ref="HXX46:HXX48"/>
    <mergeCell ref="HXY46:HXY48"/>
    <mergeCell ref="HXZ46:HXZ48"/>
    <mergeCell ref="HYA46:HYA48"/>
    <mergeCell ref="HYB46:HYB48"/>
    <mergeCell ref="HYC46:HYC48"/>
    <mergeCell ref="HXR46:HXR48"/>
    <mergeCell ref="HXS46:HXS48"/>
    <mergeCell ref="HXT46:HXT48"/>
    <mergeCell ref="HXU46:HXU48"/>
    <mergeCell ref="HXV46:HXV48"/>
    <mergeCell ref="HXW46:HXW48"/>
    <mergeCell ref="HXL46:HXL48"/>
    <mergeCell ref="HXM46:HXM48"/>
    <mergeCell ref="HXN46:HXN48"/>
    <mergeCell ref="HXO46:HXO48"/>
    <mergeCell ref="HXP46:HXP48"/>
    <mergeCell ref="HXQ46:HXQ48"/>
    <mergeCell ref="HXF46:HXF48"/>
    <mergeCell ref="HXG46:HXG48"/>
    <mergeCell ref="HXH46:HXH48"/>
    <mergeCell ref="HXI46:HXI48"/>
    <mergeCell ref="HXJ46:HXJ48"/>
    <mergeCell ref="HXK46:HXK48"/>
    <mergeCell ref="HWZ46:HWZ48"/>
    <mergeCell ref="HXA46:HXA48"/>
    <mergeCell ref="HXB46:HXB48"/>
    <mergeCell ref="HXC46:HXC48"/>
    <mergeCell ref="HXD46:HXD48"/>
    <mergeCell ref="HXE46:HXE48"/>
    <mergeCell ref="HWT46:HWT48"/>
    <mergeCell ref="HWU46:HWU48"/>
    <mergeCell ref="HWV46:HWV48"/>
    <mergeCell ref="HWW46:HWW48"/>
    <mergeCell ref="HWX46:HWX48"/>
    <mergeCell ref="HWY46:HWY48"/>
    <mergeCell ref="HWN46:HWN48"/>
    <mergeCell ref="HWO46:HWO48"/>
    <mergeCell ref="HWP46:HWP48"/>
    <mergeCell ref="HWQ46:HWQ48"/>
    <mergeCell ref="HWR46:HWR48"/>
    <mergeCell ref="HWS46:HWS48"/>
    <mergeCell ref="HWH46:HWH48"/>
    <mergeCell ref="HWI46:HWI48"/>
    <mergeCell ref="HWJ46:HWJ48"/>
    <mergeCell ref="HWK46:HWK48"/>
    <mergeCell ref="HWL46:HWL48"/>
    <mergeCell ref="HWM46:HWM48"/>
    <mergeCell ref="HWB46:HWB48"/>
    <mergeCell ref="HWC46:HWC48"/>
    <mergeCell ref="HWD46:HWD48"/>
    <mergeCell ref="HWE46:HWE48"/>
    <mergeCell ref="HWF46:HWF48"/>
    <mergeCell ref="HWG46:HWG48"/>
    <mergeCell ref="HVV46:HVV48"/>
    <mergeCell ref="HVW46:HVW48"/>
    <mergeCell ref="HVX46:HVX48"/>
    <mergeCell ref="HVY46:HVY48"/>
    <mergeCell ref="HVZ46:HVZ48"/>
    <mergeCell ref="HWA46:HWA48"/>
    <mergeCell ref="HVP46:HVP48"/>
    <mergeCell ref="HVQ46:HVQ48"/>
    <mergeCell ref="HVR46:HVR48"/>
    <mergeCell ref="HVS46:HVS48"/>
    <mergeCell ref="HVT46:HVT48"/>
    <mergeCell ref="HVU46:HVU48"/>
    <mergeCell ref="HVJ46:HVJ48"/>
    <mergeCell ref="HVK46:HVK48"/>
    <mergeCell ref="HVL46:HVL48"/>
    <mergeCell ref="HVM46:HVM48"/>
    <mergeCell ref="HVN46:HVN48"/>
    <mergeCell ref="HVO46:HVO48"/>
    <mergeCell ref="HVD46:HVD48"/>
    <mergeCell ref="HVE46:HVE48"/>
    <mergeCell ref="HVF46:HVF48"/>
    <mergeCell ref="HVG46:HVG48"/>
    <mergeCell ref="HVH46:HVH48"/>
    <mergeCell ref="HVI46:HVI48"/>
    <mergeCell ref="HUX46:HUX48"/>
    <mergeCell ref="HUY46:HUY48"/>
    <mergeCell ref="HUZ46:HUZ48"/>
    <mergeCell ref="HVA46:HVA48"/>
    <mergeCell ref="HVB46:HVB48"/>
    <mergeCell ref="HVC46:HVC48"/>
    <mergeCell ref="HUR46:HUR48"/>
    <mergeCell ref="HUS46:HUS48"/>
    <mergeCell ref="HUT46:HUT48"/>
    <mergeCell ref="HUU46:HUU48"/>
    <mergeCell ref="HUV46:HUV48"/>
    <mergeCell ref="HUW46:HUW48"/>
    <mergeCell ref="HUL46:HUL48"/>
    <mergeCell ref="HUM46:HUM48"/>
    <mergeCell ref="HUN46:HUN48"/>
    <mergeCell ref="HUO46:HUO48"/>
    <mergeCell ref="HUP46:HUP48"/>
    <mergeCell ref="HUQ46:HUQ48"/>
    <mergeCell ref="HUF46:HUF48"/>
    <mergeCell ref="HUG46:HUG48"/>
    <mergeCell ref="HUH46:HUH48"/>
    <mergeCell ref="HUI46:HUI48"/>
    <mergeCell ref="HUJ46:HUJ48"/>
    <mergeCell ref="HUK46:HUK48"/>
    <mergeCell ref="HTZ46:HTZ48"/>
    <mergeCell ref="HUA46:HUA48"/>
    <mergeCell ref="HUB46:HUB48"/>
    <mergeCell ref="HUC46:HUC48"/>
    <mergeCell ref="HUD46:HUD48"/>
    <mergeCell ref="HUE46:HUE48"/>
    <mergeCell ref="HTT46:HTT48"/>
    <mergeCell ref="HTU46:HTU48"/>
    <mergeCell ref="HTV46:HTV48"/>
    <mergeCell ref="HTW46:HTW48"/>
    <mergeCell ref="HTX46:HTX48"/>
    <mergeCell ref="HTY46:HTY48"/>
    <mergeCell ref="HTN46:HTN48"/>
    <mergeCell ref="HTO46:HTO48"/>
    <mergeCell ref="HTP46:HTP48"/>
    <mergeCell ref="HTQ46:HTQ48"/>
    <mergeCell ref="HTR46:HTR48"/>
    <mergeCell ref="HTS46:HTS48"/>
    <mergeCell ref="HTH46:HTH48"/>
    <mergeCell ref="HTI46:HTI48"/>
    <mergeCell ref="HTJ46:HTJ48"/>
    <mergeCell ref="HTK46:HTK48"/>
    <mergeCell ref="HTL46:HTL48"/>
    <mergeCell ref="HTM46:HTM48"/>
    <mergeCell ref="HTB46:HTB48"/>
    <mergeCell ref="HTC46:HTC48"/>
    <mergeCell ref="HTD46:HTD48"/>
    <mergeCell ref="HTE46:HTE48"/>
    <mergeCell ref="HTF46:HTF48"/>
    <mergeCell ref="HTG46:HTG48"/>
    <mergeCell ref="HSV46:HSV48"/>
    <mergeCell ref="HSW46:HSW48"/>
    <mergeCell ref="HSX46:HSX48"/>
    <mergeCell ref="HSY46:HSY48"/>
    <mergeCell ref="HSZ46:HSZ48"/>
    <mergeCell ref="HTA46:HTA48"/>
    <mergeCell ref="HSP46:HSP48"/>
    <mergeCell ref="HSQ46:HSQ48"/>
    <mergeCell ref="HSR46:HSR48"/>
    <mergeCell ref="HSS46:HSS48"/>
    <mergeCell ref="HST46:HST48"/>
    <mergeCell ref="HSU46:HSU48"/>
    <mergeCell ref="HSJ46:HSJ48"/>
    <mergeCell ref="HSK46:HSK48"/>
    <mergeCell ref="HSL46:HSL48"/>
    <mergeCell ref="HSM46:HSM48"/>
    <mergeCell ref="HSN46:HSN48"/>
    <mergeCell ref="HSO46:HSO48"/>
    <mergeCell ref="HSD46:HSD48"/>
    <mergeCell ref="HSE46:HSE48"/>
    <mergeCell ref="HSF46:HSF48"/>
    <mergeCell ref="HSG46:HSG48"/>
    <mergeCell ref="HSH46:HSH48"/>
    <mergeCell ref="HSI46:HSI48"/>
    <mergeCell ref="HRX46:HRX48"/>
    <mergeCell ref="HRY46:HRY48"/>
    <mergeCell ref="HRZ46:HRZ48"/>
    <mergeCell ref="HSA46:HSA48"/>
    <mergeCell ref="HSB46:HSB48"/>
    <mergeCell ref="HSC46:HSC48"/>
    <mergeCell ref="HRR46:HRR48"/>
    <mergeCell ref="HRS46:HRS48"/>
    <mergeCell ref="HRT46:HRT48"/>
    <mergeCell ref="HRU46:HRU48"/>
    <mergeCell ref="HRV46:HRV48"/>
    <mergeCell ref="HRW46:HRW48"/>
    <mergeCell ref="HRL46:HRL48"/>
    <mergeCell ref="HRM46:HRM48"/>
    <mergeCell ref="HRN46:HRN48"/>
    <mergeCell ref="HRO46:HRO48"/>
    <mergeCell ref="HRP46:HRP48"/>
    <mergeCell ref="HRQ46:HRQ48"/>
    <mergeCell ref="HRF46:HRF48"/>
    <mergeCell ref="HRG46:HRG48"/>
    <mergeCell ref="HRH46:HRH48"/>
    <mergeCell ref="HRI46:HRI48"/>
    <mergeCell ref="HRJ46:HRJ48"/>
    <mergeCell ref="HRK46:HRK48"/>
    <mergeCell ref="HQZ46:HQZ48"/>
    <mergeCell ref="HRA46:HRA48"/>
    <mergeCell ref="HRB46:HRB48"/>
    <mergeCell ref="HRC46:HRC48"/>
    <mergeCell ref="HRD46:HRD48"/>
    <mergeCell ref="HRE46:HRE48"/>
    <mergeCell ref="HQT46:HQT48"/>
    <mergeCell ref="HQU46:HQU48"/>
    <mergeCell ref="HQV46:HQV48"/>
    <mergeCell ref="HQW46:HQW48"/>
    <mergeCell ref="HQX46:HQX48"/>
    <mergeCell ref="HQY46:HQY48"/>
    <mergeCell ref="HQN46:HQN48"/>
    <mergeCell ref="HQO46:HQO48"/>
    <mergeCell ref="HQP46:HQP48"/>
    <mergeCell ref="HQQ46:HQQ48"/>
    <mergeCell ref="HQR46:HQR48"/>
    <mergeCell ref="HQS46:HQS48"/>
    <mergeCell ref="HQH46:HQH48"/>
    <mergeCell ref="HQI46:HQI48"/>
    <mergeCell ref="HQJ46:HQJ48"/>
    <mergeCell ref="HQK46:HQK48"/>
    <mergeCell ref="HQL46:HQL48"/>
    <mergeCell ref="HQM46:HQM48"/>
    <mergeCell ref="HQB46:HQB48"/>
    <mergeCell ref="HQC46:HQC48"/>
    <mergeCell ref="HQD46:HQD48"/>
    <mergeCell ref="HQE46:HQE48"/>
    <mergeCell ref="HQF46:HQF48"/>
    <mergeCell ref="HQG46:HQG48"/>
    <mergeCell ref="HPV46:HPV48"/>
    <mergeCell ref="HPW46:HPW48"/>
    <mergeCell ref="HPX46:HPX48"/>
    <mergeCell ref="HPY46:HPY48"/>
    <mergeCell ref="HPZ46:HPZ48"/>
    <mergeCell ref="HQA46:HQA48"/>
    <mergeCell ref="HPP46:HPP48"/>
    <mergeCell ref="HPQ46:HPQ48"/>
    <mergeCell ref="HPR46:HPR48"/>
    <mergeCell ref="HPS46:HPS48"/>
    <mergeCell ref="HPT46:HPT48"/>
    <mergeCell ref="HPU46:HPU48"/>
    <mergeCell ref="HPJ46:HPJ48"/>
    <mergeCell ref="HPK46:HPK48"/>
    <mergeCell ref="HPL46:HPL48"/>
    <mergeCell ref="HPM46:HPM48"/>
    <mergeCell ref="HPN46:HPN48"/>
    <mergeCell ref="HPO46:HPO48"/>
    <mergeCell ref="HPD46:HPD48"/>
    <mergeCell ref="HPE46:HPE48"/>
    <mergeCell ref="HPF46:HPF48"/>
    <mergeCell ref="HPG46:HPG48"/>
    <mergeCell ref="HPH46:HPH48"/>
    <mergeCell ref="HPI46:HPI48"/>
    <mergeCell ref="HOX46:HOX48"/>
    <mergeCell ref="HOY46:HOY48"/>
    <mergeCell ref="HOZ46:HOZ48"/>
    <mergeCell ref="HPA46:HPA48"/>
    <mergeCell ref="HPB46:HPB48"/>
    <mergeCell ref="HPC46:HPC48"/>
    <mergeCell ref="HOR46:HOR48"/>
    <mergeCell ref="HOS46:HOS48"/>
    <mergeCell ref="HOT46:HOT48"/>
    <mergeCell ref="HOU46:HOU48"/>
    <mergeCell ref="HOV46:HOV48"/>
    <mergeCell ref="HOW46:HOW48"/>
    <mergeCell ref="HOL46:HOL48"/>
    <mergeCell ref="HOM46:HOM48"/>
    <mergeCell ref="HON46:HON48"/>
    <mergeCell ref="HOO46:HOO48"/>
    <mergeCell ref="HOP46:HOP48"/>
    <mergeCell ref="HOQ46:HOQ48"/>
    <mergeCell ref="HOF46:HOF48"/>
    <mergeCell ref="HOG46:HOG48"/>
    <mergeCell ref="HOH46:HOH48"/>
    <mergeCell ref="HOI46:HOI48"/>
    <mergeCell ref="HOJ46:HOJ48"/>
    <mergeCell ref="HOK46:HOK48"/>
    <mergeCell ref="HNZ46:HNZ48"/>
    <mergeCell ref="HOA46:HOA48"/>
    <mergeCell ref="HOB46:HOB48"/>
    <mergeCell ref="HOC46:HOC48"/>
    <mergeCell ref="HOD46:HOD48"/>
    <mergeCell ref="HOE46:HOE48"/>
    <mergeCell ref="HNT46:HNT48"/>
    <mergeCell ref="HNU46:HNU48"/>
    <mergeCell ref="HNV46:HNV48"/>
    <mergeCell ref="HNW46:HNW48"/>
    <mergeCell ref="HNX46:HNX48"/>
    <mergeCell ref="HNY46:HNY48"/>
    <mergeCell ref="HNN46:HNN48"/>
    <mergeCell ref="HNO46:HNO48"/>
    <mergeCell ref="HNP46:HNP48"/>
    <mergeCell ref="HNQ46:HNQ48"/>
    <mergeCell ref="HNR46:HNR48"/>
    <mergeCell ref="HNS46:HNS48"/>
    <mergeCell ref="HNH46:HNH48"/>
    <mergeCell ref="HNI46:HNI48"/>
    <mergeCell ref="HNJ46:HNJ48"/>
    <mergeCell ref="HNK46:HNK48"/>
    <mergeCell ref="HNL46:HNL48"/>
    <mergeCell ref="HNM46:HNM48"/>
    <mergeCell ref="HNB46:HNB48"/>
    <mergeCell ref="HNC46:HNC48"/>
    <mergeCell ref="HND46:HND48"/>
    <mergeCell ref="HNE46:HNE48"/>
    <mergeCell ref="HNF46:HNF48"/>
    <mergeCell ref="HNG46:HNG48"/>
    <mergeCell ref="HMV46:HMV48"/>
    <mergeCell ref="HMW46:HMW48"/>
    <mergeCell ref="HMX46:HMX48"/>
    <mergeCell ref="HMY46:HMY48"/>
    <mergeCell ref="HMZ46:HMZ48"/>
    <mergeCell ref="HNA46:HNA48"/>
    <mergeCell ref="HMP46:HMP48"/>
    <mergeCell ref="HMQ46:HMQ48"/>
    <mergeCell ref="HMR46:HMR48"/>
    <mergeCell ref="HMS46:HMS48"/>
    <mergeCell ref="HMT46:HMT48"/>
    <mergeCell ref="HMU46:HMU48"/>
    <mergeCell ref="HMJ46:HMJ48"/>
    <mergeCell ref="HMK46:HMK48"/>
    <mergeCell ref="HML46:HML48"/>
    <mergeCell ref="HMM46:HMM48"/>
    <mergeCell ref="HMN46:HMN48"/>
    <mergeCell ref="HMO46:HMO48"/>
    <mergeCell ref="HMD46:HMD48"/>
    <mergeCell ref="HME46:HME48"/>
    <mergeCell ref="HMF46:HMF48"/>
    <mergeCell ref="HMG46:HMG48"/>
    <mergeCell ref="HMH46:HMH48"/>
    <mergeCell ref="HMI46:HMI48"/>
    <mergeCell ref="HLX46:HLX48"/>
    <mergeCell ref="HLY46:HLY48"/>
    <mergeCell ref="HLZ46:HLZ48"/>
    <mergeCell ref="HMA46:HMA48"/>
    <mergeCell ref="HMB46:HMB48"/>
    <mergeCell ref="HMC46:HMC48"/>
    <mergeCell ref="HLR46:HLR48"/>
    <mergeCell ref="HLS46:HLS48"/>
    <mergeCell ref="HLT46:HLT48"/>
    <mergeCell ref="HLU46:HLU48"/>
    <mergeCell ref="HLV46:HLV48"/>
    <mergeCell ref="HLW46:HLW48"/>
    <mergeCell ref="HLL46:HLL48"/>
    <mergeCell ref="HLM46:HLM48"/>
    <mergeCell ref="HLN46:HLN48"/>
    <mergeCell ref="HLO46:HLO48"/>
    <mergeCell ref="HLP46:HLP48"/>
    <mergeCell ref="HLQ46:HLQ48"/>
    <mergeCell ref="HLF46:HLF48"/>
    <mergeCell ref="HLG46:HLG48"/>
    <mergeCell ref="HLH46:HLH48"/>
    <mergeCell ref="HLI46:HLI48"/>
    <mergeCell ref="HLJ46:HLJ48"/>
    <mergeCell ref="HLK46:HLK48"/>
    <mergeCell ref="HKZ46:HKZ48"/>
    <mergeCell ref="HLA46:HLA48"/>
    <mergeCell ref="HLB46:HLB48"/>
    <mergeCell ref="HLC46:HLC48"/>
    <mergeCell ref="HLD46:HLD48"/>
    <mergeCell ref="HLE46:HLE48"/>
    <mergeCell ref="HKT46:HKT48"/>
    <mergeCell ref="HKU46:HKU48"/>
    <mergeCell ref="HKV46:HKV48"/>
    <mergeCell ref="HKW46:HKW48"/>
    <mergeCell ref="HKX46:HKX48"/>
    <mergeCell ref="HKY46:HKY48"/>
    <mergeCell ref="HKN46:HKN48"/>
    <mergeCell ref="HKO46:HKO48"/>
    <mergeCell ref="HKP46:HKP48"/>
    <mergeCell ref="HKQ46:HKQ48"/>
    <mergeCell ref="HKR46:HKR48"/>
    <mergeCell ref="HKS46:HKS48"/>
    <mergeCell ref="HKH46:HKH48"/>
    <mergeCell ref="HKI46:HKI48"/>
    <mergeCell ref="HKJ46:HKJ48"/>
    <mergeCell ref="HKK46:HKK48"/>
    <mergeCell ref="HKL46:HKL48"/>
    <mergeCell ref="HKM46:HKM48"/>
    <mergeCell ref="HKB46:HKB48"/>
    <mergeCell ref="HKC46:HKC48"/>
    <mergeCell ref="HKD46:HKD48"/>
    <mergeCell ref="HKE46:HKE48"/>
    <mergeCell ref="HKF46:HKF48"/>
    <mergeCell ref="HKG46:HKG48"/>
    <mergeCell ref="HJV46:HJV48"/>
    <mergeCell ref="HJW46:HJW48"/>
    <mergeCell ref="HJX46:HJX48"/>
    <mergeCell ref="HJY46:HJY48"/>
    <mergeCell ref="HJZ46:HJZ48"/>
    <mergeCell ref="HKA46:HKA48"/>
    <mergeCell ref="HJP46:HJP48"/>
    <mergeCell ref="HJQ46:HJQ48"/>
    <mergeCell ref="HJR46:HJR48"/>
    <mergeCell ref="HJS46:HJS48"/>
    <mergeCell ref="HJT46:HJT48"/>
    <mergeCell ref="HJU46:HJU48"/>
    <mergeCell ref="HJJ46:HJJ48"/>
    <mergeCell ref="HJK46:HJK48"/>
    <mergeCell ref="HJL46:HJL48"/>
    <mergeCell ref="HJM46:HJM48"/>
    <mergeCell ref="HJN46:HJN48"/>
    <mergeCell ref="HJO46:HJO48"/>
    <mergeCell ref="HJD46:HJD48"/>
    <mergeCell ref="HJE46:HJE48"/>
    <mergeCell ref="HJF46:HJF48"/>
    <mergeCell ref="HJG46:HJG48"/>
    <mergeCell ref="HJH46:HJH48"/>
    <mergeCell ref="HJI46:HJI48"/>
    <mergeCell ref="HIX46:HIX48"/>
    <mergeCell ref="HIY46:HIY48"/>
    <mergeCell ref="HIZ46:HIZ48"/>
    <mergeCell ref="HJA46:HJA48"/>
    <mergeCell ref="HJB46:HJB48"/>
    <mergeCell ref="HJC46:HJC48"/>
    <mergeCell ref="HIR46:HIR48"/>
    <mergeCell ref="HIS46:HIS48"/>
    <mergeCell ref="HIT46:HIT48"/>
    <mergeCell ref="HIU46:HIU48"/>
    <mergeCell ref="HIV46:HIV48"/>
    <mergeCell ref="HIW46:HIW48"/>
    <mergeCell ref="HIL46:HIL48"/>
    <mergeCell ref="HIM46:HIM48"/>
    <mergeCell ref="HIN46:HIN48"/>
    <mergeCell ref="HIO46:HIO48"/>
    <mergeCell ref="HIP46:HIP48"/>
    <mergeCell ref="HIQ46:HIQ48"/>
    <mergeCell ref="HIF46:HIF48"/>
    <mergeCell ref="HIG46:HIG48"/>
    <mergeCell ref="HIH46:HIH48"/>
    <mergeCell ref="HII46:HII48"/>
    <mergeCell ref="HIJ46:HIJ48"/>
    <mergeCell ref="HIK46:HIK48"/>
    <mergeCell ref="HHZ46:HHZ48"/>
    <mergeCell ref="HIA46:HIA48"/>
    <mergeCell ref="HIB46:HIB48"/>
    <mergeCell ref="HIC46:HIC48"/>
    <mergeCell ref="HID46:HID48"/>
    <mergeCell ref="HIE46:HIE48"/>
    <mergeCell ref="HHT46:HHT48"/>
    <mergeCell ref="HHU46:HHU48"/>
    <mergeCell ref="HHV46:HHV48"/>
    <mergeCell ref="HHW46:HHW48"/>
    <mergeCell ref="HHX46:HHX48"/>
    <mergeCell ref="HHY46:HHY48"/>
    <mergeCell ref="HHN46:HHN48"/>
    <mergeCell ref="HHO46:HHO48"/>
    <mergeCell ref="HHP46:HHP48"/>
    <mergeCell ref="HHQ46:HHQ48"/>
    <mergeCell ref="HHR46:HHR48"/>
    <mergeCell ref="HHS46:HHS48"/>
    <mergeCell ref="HHH46:HHH48"/>
    <mergeCell ref="HHI46:HHI48"/>
    <mergeCell ref="HHJ46:HHJ48"/>
    <mergeCell ref="HHK46:HHK48"/>
    <mergeCell ref="HHL46:HHL48"/>
    <mergeCell ref="HHM46:HHM48"/>
    <mergeCell ref="HHB46:HHB48"/>
    <mergeCell ref="HHC46:HHC48"/>
    <mergeCell ref="HHD46:HHD48"/>
    <mergeCell ref="HHE46:HHE48"/>
    <mergeCell ref="HHF46:HHF48"/>
    <mergeCell ref="HHG46:HHG48"/>
    <mergeCell ref="HGV46:HGV48"/>
    <mergeCell ref="HGW46:HGW48"/>
    <mergeCell ref="HGX46:HGX48"/>
    <mergeCell ref="HGY46:HGY48"/>
    <mergeCell ref="HGZ46:HGZ48"/>
    <mergeCell ref="HHA46:HHA48"/>
    <mergeCell ref="HGP46:HGP48"/>
    <mergeCell ref="HGQ46:HGQ48"/>
    <mergeCell ref="HGR46:HGR48"/>
    <mergeCell ref="HGS46:HGS48"/>
    <mergeCell ref="HGT46:HGT48"/>
    <mergeCell ref="HGU46:HGU48"/>
    <mergeCell ref="HGJ46:HGJ48"/>
    <mergeCell ref="HGK46:HGK48"/>
    <mergeCell ref="HGL46:HGL48"/>
    <mergeCell ref="HGM46:HGM48"/>
    <mergeCell ref="HGN46:HGN48"/>
    <mergeCell ref="HGO46:HGO48"/>
    <mergeCell ref="HGD46:HGD48"/>
    <mergeCell ref="HGE46:HGE48"/>
    <mergeCell ref="HGF46:HGF48"/>
    <mergeCell ref="HGG46:HGG48"/>
    <mergeCell ref="HGH46:HGH48"/>
    <mergeCell ref="HGI46:HGI48"/>
    <mergeCell ref="HFX46:HFX48"/>
    <mergeCell ref="HFY46:HFY48"/>
    <mergeCell ref="HFZ46:HFZ48"/>
    <mergeCell ref="HGA46:HGA48"/>
    <mergeCell ref="HGB46:HGB48"/>
    <mergeCell ref="HGC46:HGC48"/>
    <mergeCell ref="HFR46:HFR48"/>
    <mergeCell ref="HFS46:HFS48"/>
    <mergeCell ref="HFT46:HFT48"/>
    <mergeCell ref="HFU46:HFU48"/>
    <mergeCell ref="HFV46:HFV48"/>
    <mergeCell ref="HFW46:HFW48"/>
    <mergeCell ref="HFL46:HFL48"/>
    <mergeCell ref="HFM46:HFM48"/>
    <mergeCell ref="HFN46:HFN48"/>
    <mergeCell ref="HFO46:HFO48"/>
    <mergeCell ref="HFP46:HFP48"/>
    <mergeCell ref="HFQ46:HFQ48"/>
    <mergeCell ref="HFF46:HFF48"/>
    <mergeCell ref="HFG46:HFG48"/>
    <mergeCell ref="HFH46:HFH48"/>
    <mergeCell ref="HFI46:HFI48"/>
    <mergeCell ref="HFJ46:HFJ48"/>
    <mergeCell ref="HFK46:HFK48"/>
    <mergeCell ref="HEZ46:HEZ48"/>
    <mergeCell ref="HFA46:HFA48"/>
    <mergeCell ref="HFB46:HFB48"/>
    <mergeCell ref="HFC46:HFC48"/>
    <mergeCell ref="HFD46:HFD48"/>
    <mergeCell ref="HFE46:HFE48"/>
    <mergeCell ref="HET46:HET48"/>
    <mergeCell ref="HEU46:HEU48"/>
    <mergeCell ref="HEV46:HEV48"/>
    <mergeCell ref="HEW46:HEW48"/>
    <mergeCell ref="HEX46:HEX48"/>
    <mergeCell ref="HEY46:HEY48"/>
    <mergeCell ref="HEN46:HEN48"/>
    <mergeCell ref="HEO46:HEO48"/>
    <mergeCell ref="HEP46:HEP48"/>
    <mergeCell ref="HEQ46:HEQ48"/>
    <mergeCell ref="HER46:HER48"/>
    <mergeCell ref="HES46:HES48"/>
    <mergeCell ref="HEH46:HEH48"/>
    <mergeCell ref="HEI46:HEI48"/>
    <mergeCell ref="HEJ46:HEJ48"/>
    <mergeCell ref="HEK46:HEK48"/>
    <mergeCell ref="HEL46:HEL48"/>
    <mergeCell ref="HEM46:HEM48"/>
    <mergeCell ref="HEB46:HEB48"/>
    <mergeCell ref="HEC46:HEC48"/>
    <mergeCell ref="HED46:HED48"/>
    <mergeCell ref="HEE46:HEE48"/>
    <mergeCell ref="HEF46:HEF48"/>
    <mergeCell ref="HEG46:HEG48"/>
    <mergeCell ref="HDV46:HDV48"/>
    <mergeCell ref="HDW46:HDW48"/>
    <mergeCell ref="HDX46:HDX48"/>
    <mergeCell ref="HDY46:HDY48"/>
    <mergeCell ref="HDZ46:HDZ48"/>
    <mergeCell ref="HEA46:HEA48"/>
    <mergeCell ref="HDP46:HDP48"/>
    <mergeCell ref="HDQ46:HDQ48"/>
    <mergeCell ref="HDR46:HDR48"/>
    <mergeCell ref="HDS46:HDS48"/>
    <mergeCell ref="HDT46:HDT48"/>
    <mergeCell ref="HDU46:HDU48"/>
    <mergeCell ref="HDJ46:HDJ48"/>
    <mergeCell ref="HDK46:HDK48"/>
    <mergeCell ref="HDL46:HDL48"/>
    <mergeCell ref="HDM46:HDM48"/>
    <mergeCell ref="HDN46:HDN48"/>
    <mergeCell ref="HDO46:HDO48"/>
    <mergeCell ref="HDD46:HDD48"/>
    <mergeCell ref="HDE46:HDE48"/>
    <mergeCell ref="HDF46:HDF48"/>
    <mergeCell ref="HDG46:HDG48"/>
    <mergeCell ref="HDH46:HDH48"/>
    <mergeCell ref="HDI46:HDI48"/>
    <mergeCell ref="HCX46:HCX48"/>
    <mergeCell ref="HCY46:HCY48"/>
    <mergeCell ref="HCZ46:HCZ48"/>
    <mergeCell ref="HDA46:HDA48"/>
    <mergeCell ref="HDB46:HDB48"/>
    <mergeCell ref="HDC46:HDC48"/>
    <mergeCell ref="HCR46:HCR48"/>
    <mergeCell ref="HCS46:HCS48"/>
    <mergeCell ref="HCT46:HCT48"/>
    <mergeCell ref="HCU46:HCU48"/>
    <mergeCell ref="HCV46:HCV48"/>
    <mergeCell ref="HCW46:HCW48"/>
    <mergeCell ref="HCL46:HCL48"/>
    <mergeCell ref="HCM46:HCM48"/>
    <mergeCell ref="HCN46:HCN48"/>
    <mergeCell ref="HCO46:HCO48"/>
    <mergeCell ref="HCP46:HCP48"/>
    <mergeCell ref="HCQ46:HCQ48"/>
    <mergeCell ref="HCF46:HCF48"/>
    <mergeCell ref="HCG46:HCG48"/>
    <mergeCell ref="HCH46:HCH48"/>
    <mergeCell ref="HCI46:HCI48"/>
    <mergeCell ref="HCJ46:HCJ48"/>
    <mergeCell ref="HCK46:HCK48"/>
    <mergeCell ref="HBZ46:HBZ48"/>
    <mergeCell ref="HCA46:HCA48"/>
    <mergeCell ref="HCB46:HCB48"/>
    <mergeCell ref="HCC46:HCC48"/>
    <mergeCell ref="HCD46:HCD48"/>
    <mergeCell ref="HCE46:HCE48"/>
    <mergeCell ref="HBT46:HBT48"/>
    <mergeCell ref="HBU46:HBU48"/>
    <mergeCell ref="HBV46:HBV48"/>
    <mergeCell ref="HBW46:HBW48"/>
    <mergeCell ref="HBX46:HBX48"/>
    <mergeCell ref="HBY46:HBY48"/>
    <mergeCell ref="HBN46:HBN48"/>
    <mergeCell ref="HBO46:HBO48"/>
    <mergeCell ref="HBP46:HBP48"/>
    <mergeCell ref="HBQ46:HBQ48"/>
    <mergeCell ref="HBR46:HBR48"/>
    <mergeCell ref="HBS46:HBS48"/>
    <mergeCell ref="HBH46:HBH48"/>
    <mergeCell ref="HBI46:HBI48"/>
    <mergeCell ref="HBJ46:HBJ48"/>
    <mergeCell ref="HBK46:HBK48"/>
    <mergeCell ref="HBL46:HBL48"/>
    <mergeCell ref="HBM46:HBM48"/>
    <mergeCell ref="HBB46:HBB48"/>
    <mergeCell ref="HBC46:HBC48"/>
    <mergeCell ref="HBD46:HBD48"/>
    <mergeCell ref="HBE46:HBE48"/>
    <mergeCell ref="HBF46:HBF48"/>
    <mergeCell ref="HBG46:HBG48"/>
    <mergeCell ref="HAV46:HAV48"/>
    <mergeCell ref="HAW46:HAW48"/>
    <mergeCell ref="HAX46:HAX48"/>
    <mergeCell ref="HAY46:HAY48"/>
    <mergeCell ref="HAZ46:HAZ48"/>
    <mergeCell ref="HBA46:HBA48"/>
    <mergeCell ref="HAP46:HAP48"/>
    <mergeCell ref="HAQ46:HAQ48"/>
    <mergeCell ref="HAR46:HAR48"/>
    <mergeCell ref="HAS46:HAS48"/>
    <mergeCell ref="HAT46:HAT48"/>
    <mergeCell ref="HAU46:HAU48"/>
    <mergeCell ref="HAJ46:HAJ48"/>
    <mergeCell ref="HAK46:HAK48"/>
    <mergeCell ref="HAL46:HAL48"/>
    <mergeCell ref="HAM46:HAM48"/>
    <mergeCell ref="HAN46:HAN48"/>
    <mergeCell ref="HAO46:HAO48"/>
    <mergeCell ref="HAD46:HAD48"/>
    <mergeCell ref="HAE46:HAE48"/>
    <mergeCell ref="HAF46:HAF48"/>
    <mergeCell ref="HAG46:HAG48"/>
    <mergeCell ref="HAH46:HAH48"/>
    <mergeCell ref="HAI46:HAI48"/>
    <mergeCell ref="GZX46:GZX48"/>
    <mergeCell ref="GZY46:GZY48"/>
    <mergeCell ref="GZZ46:GZZ48"/>
    <mergeCell ref="HAA46:HAA48"/>
    <mergeCell ref="HAB46:HAB48"/>
    <mergeCell ref="HAC46:HAC48"/>
    <mergeCell ref="GZR46:GZR48"/>
    <mergeCell ref="GZS46:GZS48"/>
    <mergeCell ref="GZT46:GZT48"/>
    <mergeCell ref="GZU46:GZU48"/>
    <mergeCell ref="GZV46:GZV48"/>
    <mergeCell ref="GZW46:GZW48"/>
    <mergeCell ref="GZL46:GZL48"/>
    <mergeCell ref="GZM46:GZM48"/>
    <mergeCell ref="GZN46:GZN48"/>
    <mergeCell ref="GZO46:GZO48"/>
    <mergeCell ref="GZP46:GZP48"/>
    <mergeCell ref="GZQ46:GZQ48"/>
    <mergeCell ref="GZF46:GZF48"/>
    <mergeCell ref="GZG46:GZG48"/>
    <mergeCell ref="GZH46:GZH48"/>
    <mergeCell ref="GZI46:GZI48"/>
    <mergeCell ref="GZJ46:GZJ48"/>
    <mergeCell ref="GZK46:GZK48"/>
    <mergeCell ref="GYZ46:GYZ48"/>
    <mergeCell ref="GZA46:GZA48"/>
    <mergeCell ref="GZB46:GZB48"/>
    <mergeCell ref="GZC46:GZC48"/>
    <mergeCell ref="GZD46:GZD48"/>
    <mergeCell ref="GZE46:GZE48"/>
    <mergeCell ref="GYT46:GYT48"/>
    <mergeCell ref="GYU46:GYU48"/>
    <mergeCell ref="GYV46:GYV48"/>
    <mergeCell ref="GYW46:GYW48"/>
    <mergeCell ref="GYX46:GYX48"/>
    <mergeCell ref="GYY46:GYY48"/>
    <mergeCell ref="GYN46:GYN48"/>
    <mergeCell ref="GYO46:GYO48"/>
    <mergeCell ref="GYP46:GYP48"/>
    <mergeCell ref="GYQ46:GYQ48"/>
    <mergeCell ref="GYR46:GYR48"/>
    <mergeCell ref="GYS46:GYS48"/>
    <mergeCell ref="GYH46:GYH48"/>
    <mergeCell ref="GYI46:GYI48"/>
    <mergeCell ref="GYJ46:GYJ48"/>
    <mergeCell ref="GYK46:GYK48"/>
    <mergeCell ref="GYL46:GYL48"/>
    <mergeCell ref="GYM46:GYM48"/>
    <mergeCell ref="GYB46:GYB48"/>
    <mergeCell ref="GYC46:GYC48"/>
    <mergeCell ref="GYD46:GYD48"/>
    <mergeCell ref="GYE46:GYE48"/>
    <mergeCell ref="GYF46:GYF48"/>
    <mergeCell ref="GYG46:GYG48"/>
    <mergeCell ref="GXV46:GXV48"/>
    <mergeCell ref="GXW46:GXW48"/>
    <mergeCell ref="GXX46:GXX48"/>
    <mergeCell ref="GXY46:GXY48"/>
    <mergeCell ref="GXZ46:GXZ48"/>
    <mergeCell ref="GYA46:GYA48"/>
    <mergeCell ref="GXP46:GXP48"/>
    <mergeCell ref="GXQ46:GXQ48"/>
    <mergeCell ref="GXR46:GXR48"/>
    <mergeCell ref="GXS46:GXS48"/>
    <mergeCell ref="GXT46:GXT48"/>
    <mergeCell ref="GXU46:GXU48"/>
    <mergeCell ref="GXJ46:GXJ48"/>
    <mergeCell ref="GXK46:GXK48"/>
    <mergeCell ref="GXL46:GXL48"/>
    <mergeCell ref="GXM46:GXM48"/>
    <mergeCell ref="GXN46:GXN48"/>
    <mergeCell ref="GXO46:GXO48"/>
    <mergeCell ref="GXD46:GXD48"/>
    <mergeCell ref="GXE46:GXE48"/>
    <mergeCell ref="GXF46:GXF48"/>
    <mergeCell ref="GXG46:GXG48"/>
    <mergeCell ref="GXH46:GXH48"/>
    <mergeCell ref="GXI46:GXI48"/>
    <mergeCell ref="GWX46:GWX48"/>
    <mergeCell ref="GWY46:GWY48"/>
    <mergeCell ref="GWZ46:GWZ48"/>
    <mergeCell ref="GXA46:GXA48"/>
    <mergeCell ref="GXB46:GXB48"/>
    <mergeCell ref="GXC46:GXC48"/>
    <mergeCell ref="GWR46:GWR48"/>
    <mergeCell ref="GWS46:GWS48"/>
    <mergeCell ref="GWT46:GWT48"/>
    <mergeCell ref="GWU46:GWU48"/>
    <mergeCell ref="GWV46:GWV48"/>
    <mergeCell ref="GWW46:GWW48"/>
    <mergeCell ref="GWL46:GWL48"/>
    <mergeCell ref="GWM46:GWM48"/>
    <mergeCell ref="GWN46:GWN48"/>
    <mergeCell ref="GWO46:GWO48"/>
    <mergeCell ref="GWP46:GWP48"/>
    <mergeCell ref="GWQ46:GWQ48"/>
    <mergeCell ref="GWF46:GWF48"/>
    <mergeCell ref="GWG46:GWG48"/>
    <mergeCell ref="GWH46:GWH48"/>
    <mergeCell ref="GWI46:GWI48"/>
    <mergeCell ref="GWJ46:GWJ48"/>
    <mergeCell ref="GWK46:GWK48"/>
    <mergeCell ref="GVZ46:GVZ48"/>
    <mergeCell ref="GWA46:GWA48"/>
    <mergeCell ref="GWB46:GWB48"/>
    <mergeCell ref="GWC46:GWC48"/>
    <mergeCell ref="GWD46:GWD48"/>
    <mergeCell ref="GWE46:GWE48"/>
    <mergeCell ref="GVT46:GVT48"/>
    <mergeCell ref="GVU46:GVU48"/>
    <mergeCell ref="GVV46:GVV48"/>
    <mergeCell ref="GVW46:GVW48"/>
    <mergeCell ref="GVX46:GVX48"/>
    <mergeCell ref="GVY46:GVY48"/>
    <mergeCell ref="GVN46:GVN48"/>
    <mergeCell ref="GVO46:GVO48"/>
    <mergeCell ref="GVP46:GVP48"/>
    <mergeCell ref="GVQ46:GVQ48"/>
    <mergeCell ref="GVR46:GVR48"/>
    <mergeCell ref="GVS46:GVS48"/>
    <mergeCell ref="GVH46:GVH48"/>
    <mergeCell ref="GVI46:GVI48"/>
    <mergeCell ref="GVJ46:GVJ48"/>
    <mergeCell ref="GVK46:GVK48"/>
    <mergeCell ref="GVL46:GVL48"/>
    <mergeCell ref="GVM46:GVM48"/>
    <mergeCell ref="GVB46:GVB48"/>
    <mergeCell ref="GVC46:GVC48"/>
    <mergeCell ref="GVD46:GVD48"/>
    <mergeCell ref="GVE46:GVE48"/>
    <mergeCell ref="GVF46:GVF48"/>
    <mergeCell ref="GVG46:GVG48"/>
    <mergeCell ref="GUV46:GUV48"/>
    <mergeCell ref="GUW46:GUW48"/>
    <mergeCell ref="GUX46:GUX48"/>
    <mergeCell ref="GUY46:GUY48"/>
    <mergeCell ref="GUZ46:GUZ48"/>
    <mergeCell ref="GVA46:GVA48"/>
    <mergeCell ref="GUP46:GUP48"/>
    <mergeCell ref="GUQ46:GUQ48"/>
    <mergeCell ref="GUR46:GUR48"/>
    <mergeCell ref="GUS46:GUS48"/>
    <mergeCell ref="GUT46:GUT48"/>
    <mergeCell ref="GUU46:GUU48"/>
    <mergeCell ref="GUJ46:GUJ48"/>
    <mergeCell ref="GUK46:GUK48"/>
    <mergeCell ref="GUL46:GUL48"/>
    <mergeCell ref="GUM46:GUM48"/>
    <mergeCell ref="GUN46:GUN48"/>
    <mergeCell ref="GUO46:GUO48"/>
    <mergeCell ref="GUD46:GUD48"/>
    <mergeCell ref="GUE46:GUE48"/>
    <mergeCell ref="GUF46:GUF48"/>
    <mergeCell ref="GUG46:GUG48"/>
    <mergeCell ref="GUH46:GUH48"/>
    <mergeCell ref="GUI46:GUI48"/>
    <mergeCell ref="GTX46:GTX48"/>
    <mergeCell ref="GTY46:GTY48"/>
    <mergeCell ref="GTZ46:GTZ48"/>
    <mergeCell ref="GUA46:GUA48"/>
    <mergeCell ref="GUB46:GUB48"/>
    <mergeCell ref="GUC46:GUC48"/>
    <mergeCell ref="GTR46:GTR48"/>
    <mergeCell ref="GTS46:GTS48"/>
    <mergeCell ref="GTT46:GTT48"/>
    <mergeCell ref="GTU46:GTU48"/>
    <mergeCell ref="GTV46:GTV48"/>
    <mergeCell ref="GTW46:GTW48"/>
    <mergeCell ref="GTL46:GTL48"/>
    <mergeCell ref="GTM46:GTM48"/>
    <mergeCell ref="GTN46:GTN48"/>
    <mergeCell ref="GTO46:GTO48"/>
    <mergeCell ref="GTP46:GTP48"/>
    <mergeCell ref="GTQ46:GTQ48"/>
    <mergeCell ref="GTF46:GTF48"/>
    <mergeCell ref="GTG46:GTG48"/>
    <mergeCell ref="GTH46:GTH48"/>
    <mergeCell ref="GTI46:GTI48"/>
    <mergeCell ref="GTJ46:GTJ48"/>
    <mergeCell ref="GTK46:GTK48"/>
    <mergeCell ref="GSZ46:GSZ48"/>
    <mergeCell ref="GTA46:GTA48"/>
    <mergeCell ref="GTB46:GTB48"/>
    <mergeCell ref="GTC46:GTC48"/>
    <mergeCell ref="GTD46:GTD48"/>
    <mergeCell ref="GTE46:GTE48"/>
    <mergeCell ref="GST46:GST48"/>
    <mergeCell ref="GSU46:GSU48"/>
    <mergeCell ref="GSV46:GSV48"/>
    <mergeCell ref="GSW46:GSW48"/>
    <mergeCell ref="GSX46:GSX48"/>
    <mergeCell ref="GSY46:GSY48"/>
    <mergeCell ref="GSN46:GSN48"/>
    <mergeCell ref="GSO46:GSO48"/>
    <mergeCell ref="GSP46:GSP48"/>
    <mergeCell ref="GSQ46:GSQ48"/>
    <mergeCell ref="GSR46:GSR48"/>
    <mergeCell ref="GSS46:GSS48"/>
    <mergeCell ref="GSH46:GSH48"/>
    <mergeCell ref="GSI46:GSI48"/>
    <mergeCell ref="GSJ46:GSJ48"/>
    <mergeCell ref="GSK46:GSK48"/>
    <mergeCell ref="GSL46:GSL48"/>
    <mergeCell ref="GSM46:GSM48"/>
    <mergeCell ref="GSB46:GSB48"/>
    <mergeCell ref="GSC46:GSC48"/>
    <mergeCell ref="GSD46:GSD48"/>
    <mergeCell ref="GSE46:GSE48"/>
    <mergeCell ref="GSF46:GSF48"/>
    <mergeCell ref="GSG46:GSG48"/>
    <mergeCell ref="GRV46:GRV48"/>
    <mergeCell ref="GRW46:GRW48"/>
    <mergeCell ref="GRX46:GRX48"/>
    <mergeCell ref="GRY46:GRY48"/>
    <mergeCell ref="GRZ46:GRZ48"/>
    <mergeCell ref="GSA46:GSA48"/>
    <mergeCell ref="GRP46:GRP48"/>
    <mergeCell ref="GRQ46:GRQ48"/>
    <mergeCell ref="GRR46:GRR48"/>
    <mergeCell ref="GRS46:GRS48"/>
    <mergeCell ref="GRT46:GRT48"/>
    <mergeCell ref="GRU46:GRU48"/>
    <mergeCell ref="GRJ46:GRJ48"/>
    <mergeCell ref="GRK46:GRK48"/>
    <mergeCell ref="GRL46:GRL48"/>
    <mergeCell ref="GRM46:GRM48"/>
    <mergeCell ref="GRN46:GRN48"/>
    <mergeCell ref="GRO46:GRO48"/>
    <mergeCell ref="GRD46:GRD48"/>
    <mergeCell ref="GRE46:GRE48"/>
    <mergeCell ref="GRF46:GRF48"/>
    <mergeCell ref="GRG46:GRG48"/>
    <mergeCell ref="GRH46:GRH48"/>
    <mergeCell ref="GRI46:GRI48"/>
    <mergeCell ref="GQX46:GQX48"/>
    <mergeCell ref="GQY46:GQY48"/>
    <mergeCell ref="GQZ46:GQZ48"/>
    <mergeCell ref="GRA46:GRA48"/>
    <mergeCell ref="GRB46:GRB48"/>
    <mergeCell ref="GRC46:GRC48"/>
    <mergeCell ref="GQR46:GQR48"/>
    <mergeCell ref="GQS46:GQS48"/>
    <mergeCell ref="GQT46:GQT48"/>
    <mergeCell ref="GQU46:GQU48"/>
    <mergeCell ref="GQV46:GQV48"/>
    <mergeCell ref="GQW46:GQW48"/>
    <mergeCell ref="GQL46:GQL48"/>
    <mergeCell ref="GQM46:GQM48"/>
    <mergeCell ref="GQN46:GQN48"/>
    <mergeCell ref="GQO46:GQO48"/>
    <mergeCell ref="GQP46:GQP48"/>
    <mergeCell ref="GQQ46:GQQ48"/>
    <mergeCell ref="GQF46:GQF48"/>
    <mergeCell ref="GQG46:GQG48"/>
    <mergeCell ref="GQH46:GQH48"/>
    <mergeCell ref="GQI46:GQI48"/>
    <mergeCell ref="GQJ46:GQJ48"/>
    <mergeCell ref="GQK46:GQK48"/>
    <mergeCell ref="GPZ46:GPZ48"/>
    <mergeCell ref="GQA46:GQA48"/>
    <mergeCell ref="GQB46:GQB48"/>
    <mergeCell ref="GQC46:GQC48"/>
    <mergeCell ref="GQD46:GQD48"/>
    <mergeCell ref="GQE46:GQE48"/>
    <mergeCell ref="GPT46:GPT48"/>
    <mergeCell ref="GPU46:GPU48"/>
    <mergeCell ref="GPV46:GPV48"/>
    <mergeCell ref="GPW46:GPW48"/>
    <mergeCell ref="GPX46:GPX48"/>
    <mergeCell ref="GPY46:GPY48"/>
    <mergeCell ref="GPN46:GPN48"/>
    <mergeCell ref="GPO46:GPO48"/>
    <mergeCell ref="GPP46:GPP48"/>
    <mergeCell ref="GPQ46:GPQ48"/>
    <mergeCell ref="GPR46:GPR48"/>
    <mergeCell ref="GPS46:GPS48"/>
    <mergeCell ref="GPH46:GPH48"/>
    <mergeCell ref="GPI46:GPI48"/>
    <mergeCell ref="GPJ46:GPJ48"/>
    <mergeCell ref="GPK46:GPK48"/>
    <mergeCell ref="GPL46:GPL48"/>
    <mergeCell ref="GPM46:GPM48"/>
    <mergeCell ref="GPB46:GPB48"/>
    <mergeCell ref="GPC46:GPC48"/>
    <mergeCell ref="GPD46:GPD48"/>
    <mergeCell ref="GPE46:GPE48"/>
    <mergeCell ref="GPF46:GPF48"/>
    <mergeCell ref="GPG46:GPG48"/>
    <mergeCell ref="GOV46:GOV48"/>
    <mergeCell ref="GOW46:GOW48"/>
    <mergeCell ref="GOX46:GOX48"/>
    <mergeCell ref="GOY46:GOY48"/>
    <mergeCell ref="GOZ46:GOZ48"/>
    <mergeCell ref="GPA46:GPA48"/>
    <mergeCell ref="GOP46:GOP48"/>
    <mergeCell ref="GOQ46:GOQ48"/>
    <mergeCell ref="GOR46:GOR48"/>
    <mergeCell ref="GOS46:GOS48"/>
    <mergeCell ref="GOT46:GOT48"/>
    <mergeCell ref="GOU46:GOU48"/>
    <mergeCell ref="GOJ46:GOJ48"/>
    <mergeCell ref="GOK46:GOK48"/>
    <mergeCell ref="GOL46:GOL48"/>
    <mergeCell ref="GOM46:GOM48"/>
    <mergeCell ref="GON46:GON48"/>
    <mergeCell ref="GOO46:GOO48"/>
    <mergeCell ref="GOD46:GOD48"/>
    <mergeCell ref="GOE46:GOE48"/>
    <mergeCell ref="GOF46:GOF48"/>
    <mergeCell ref="GOG46:GOG48"/>
    <mergeCell ref="GOH46:GOH48"/>
    <mergeCell ref="GOI46:GOI48"/>
    <mergeCell ref="GNX46:GNX48"/>
    <mergeCell ref="GNY46:GNY48"/>
    <mergeCell ref="GNZ46:GNZ48"/>
    <mergeCell ref="GOA46:GOA48"/>
    <mergeCell ref="GOB46:GOB48"/>
    <mergeCell ref="GOC46:GOC48"/>
    <mergeCell ref="GNR46:GNR48"/>
    <mergeCell ref="GNS46:GNS48"/>
    <mergeCell ref="GNT46:GNT48"/>
    <mergeCell ref="GNU46:GNU48"/>
    <mergeCell ref="GNV46:GNV48"/>
    <mergeCell ref="GNW46:GNW48"/>
    <mergeCell ref="GNL46:GNL48"/>
    <mergeCell ref="GNM46:GNM48"/>
    <mergeCell ref="GNN46:GNN48"/>
    <mergeCell ref="GNO46:GNO48"/>
    <mergeCell ref="GNP46:GNP48"/>
    <mergeCell ref="GNQ46:GNQ48"/>
    <mergeCell ref="GNF46:GNF48"/>
    <mergeCell ref="GNG46:GNG48"/>
    <mergeCell ref="GNH46:GNH48"/>
    <mergeCell ref="GNI46:GNI48"/>
    <mergeCell ref="GNJ46:GNJ48"/>
    <mergeCell ref="GNK46:GNK48"/>
    <mergeCell ref="GMZ46:GMZ48"/>
    <mergeCell ref="GNA46:GNA48"/>
    <mergeCell ref="GNB46:GNB48"/>
    <mergeCell ref="GNC46:GNC48"/>
    <mergeCell ref="GND46:GND48"/>
    <mergeCell ref="GNE46:GNE48"/>
    <mergeCell ref="GMT46:GMT48"/>
    <mergeCell ref="GMU46:GMU48"/>
    <mergeCell ref="GMV46:GMV48"/>
    <mergeCell ref="GMW46:GMW48"/>
    <mergeCell ref="GMX46:GMX48"/>
    <mergeCell ref="GMY46:GMY48"/>
    <mergeCell ref="GMN46:GMN48"/>
    <mergeCell ref="GMO46:GMO48"/>
    <mergeCell ref="GMP46:GMP48"/>
    <mergeCell ref="GMQ46:GMQ48"/>
    <mergeCell ref="GMR46:GMR48"/>
    <mergeCell ref="GMS46:GMS48"/>
    <mergeCell ref="GMH46:GMH48"/>
    <mergeCell ref="GMI46:GMI48"/>
    <mergeCell ref="GMJ46:GMJ48"/>
    <mergeCell ref="GMK46:GMK48"/>
    <mergeCell ref="GML46:GML48"/>
    <mergeCell ref="GMM46:GMM48"/>
    <mergeCell ref="GMB46:GMB48"/>
    <mergeCell ref="GMC46:GMC48"/>
    <mergeCell ref="GMD46:GMD48"/>
    <mergeCell ref="GME46:GME48"/>
    <mergeCell ref="GMF46:GMF48"/>
    <mergeCell ref="GMG46:GMG48"/>
    <mergeCell ref="GLV46:GLV48"/>
    <mergeCell ref="GLW46:GLW48"/>
    <mergeCell ref="GLX46:GLX48"/>
    <mergeCell ref="GLY46:GLY48"/>
    <mergeCell ref="GLZ46:GLZ48"/>
    <mergeCell ref="GMA46:GMA48"/>
    <mergeCell ref="GLP46:GLP48"/>
    <mergeCell ref="GLQ46:GLQ48"/>
    <mergeCell ref="GLR46:GLR48"/>
    <mergeCell ref="GLS46:GLS48"/>
    <mergeCell ref="GLT46:GLT48"/>
    <mergeCell ref="GLU46:GLU48"/>
    <mergeCell ref="GLJ46:GLJ48"/>
    <mergeCell ref="GLK46:GLK48"/>
    <mergeCell ref="GLL46:GLL48"/>
    <mergeCell ref="GLM46:GLM48"/>
    <mergeCell ref="GLN46:GLN48"/>
    <mergeCell ref="GLO46:GLO48"/>
    <mergeCell ref="GLD46:GLD48"/>
    <mergeCell ref="GLE46:GLE48"/>
    <mergeCell ref="GLF46:GLF48"/>
    <mergeCell ref="GLG46:GLG48"/>
    <mergeCell ref="GLH46:GLH48"/>
    <mergeCell ref="GLI46:GLI48"/>
    <mergeCell ref="GKX46:GKX48"/>
    <mergeCell ref="GKY46:GKY48"/>
    <mergeCell ref="GKZ46:GKZ48"/>
    <mergeCell ref="GLA46:GLA48"/>
    <mergeCell ref="GLB46:GLB48"/>
    <mergeCell ref="GLC46:GLC48"/>
    <mergeCell ref="GKR46:GKR48"/>
    <mergeCell ref="GKS46:GKS48"/>
    <mergeCell ref="GKT46:GKT48"/>
    <mergeCell ref="GKU46:GKU48"/>
    <mergeCell ref="GKV46:GKV48"/>
    <mergeCell ref="GKW46:GKW48"/>
    <mergeCell ref="GKL46:GKL48"/>
    <mergeCell ref="GKM46:GKM48"/>
    <mergeCell ref="GKN46:GKN48"/>
    <mergeCell ref="GKO46:GKO48"/>
    <mergeCell ref="GKP46:GKP48"/>
    <mergeCell ref="GKQ46:GKQ48"/>
    <mergeCell ref="GKF46:GKF48"/>
    <mergeCell ref="GKG46:GKG48"/>
    <mergeCell ref="GKH46:GKH48"/>
    <mergeCell ref="GKI46:GKI48"/>
    <mergeCell ref="GKJ46:GKJ48"/>
    <mergeCell ref="GKK46:GKK48"/>
    <mergeCell ref="GJZ46:GJZ48"/>
    <mergeCell ref="GKA46:GKA48"/>
    <mergeCell ref="GKB46:GKB48"/>
    <mergeCell ref="GKC46:GKC48"/>
    <mergeCell ref="GKD46:GKD48"/>
    <mergeCell ref="GKE46:GKE48"/>
    <mergeCell ref="GJT46:GJT48"/>
    <mergeCell ref="GJU46:GJU48"/>
    <mergeCell ref="GJV46:GJV48"/>
    <mergeCell ref="GJW46:GJW48"/>
    <mergeCell ref="GJX46:GJX48"/>
    <mergeCell ref="GJY46:GJY48"/>
    <mergeCell ref="GJN46:GJN48"/>
    <mergeCell ref="GJO46:GJO48"/>
    <mergeCell ref="GJP46:GJP48"/>
    <mergeCell ref="GJQ46:GJQ48"/>
    <mergeCell ref="GJR46:GJR48"/>
    <mergeCell ref="GJS46:GJS48"/>
    <mergeCell ref="GJH46:GJH48"/>
    <mergeCell ref="GJI46:GJI48"/>
    <mergeCell ref="GJJ46:GJJ48"/>
    <mergeCell ref="GJK46:GJK48"/>
    <mergeCell ref="GJL46:GJL48"/>
    <mergeCell ref="GJM46:GJM48"/>
    <mergeCell ref="GJB46:GJB48"/>
    <mergeCell ref="GJC46:GJC48"/>
    <mergeCell ref="GJD46:GJD48"/>
    <mergeCell ref="GJE46:GJE48"/>
    <mergeCell ref="GJF46:GJF48"/>
    <mergeCell ref="GJG46:GJG48"/>
    <mergeCell ref="GIV46:GIV48"/>
    <mergeCell ref="GIW46:GIW48"/>
    <mergeCell ref="GIX46:GIX48"/>
    <mergeCell ref="GIY46:GIY48"/>
    <mergeCell ref="GIZ46:GIZ48"/>
    <mergeCell ref="GJA46:GJA48"/>
    <mergeCell ref="GIP46:GIP48"/>
    <mergeCell ref="GIQ46:GIQ48"/>
    <mergeCell ref="GIR46:GIR48"/>
    <mergeCell ref="GIS46:GIS48"/>
    <mergeCell ref="GIT46:GIT48"/>
    <mergeCell ref="GIU46:GIU48"/>
    <mergeCell ref="GIJ46:GIJ48"/>
    <mergeCell ref="GIK46:GIK48"/>
    <mergeCell ref="GIL46:GIL48"/>
    <mergeCell ref="GIM46:GIM48"/>
    <mergeCell ref="GIN46:GIN48"/>
    <mergeCell ref="GIO46:GIO48"/>
    <mergeCell ref="GID46:GID48"/>
    <mergeCell ref="GIE46:GIE48"/>
    <mergeCell ref="GIF46:GIF48"/>
    <mergeCell ref="GIG46:GIG48"/>
    <mergeCell ref="GIH46:GIH48"/>
    <mergeCell ref="GII46:GII48"/>
    <mergeCell ref="GHX46:GHX48"/>
    <mergeCell ref="GHY46:GHY48"/>
    <mergeCell ref="GHZ46:GHZ48"/>
    <mergeCell ref="GIA46:GIA48"/>
    <mergeCell ref="GIB46:GIB48"/>
    <mergeCell ref="GIC46:GIC48"/>
    <mergeCell ref="GHR46:GHR48"/>
    <mergeCell ref="GHS46:GHS48"/>
    <mergeCell ref="GHT46:GHT48"/>
    <mergeCell ref="GHU46:GHU48"/>
    <mergeCell ref="GHV46:GHV48"/>
    <mergeCell ref="GHW46:GHW48"/>
    <mergeCell ref="GHL46:GHL48"/>
    <mergeCell ref="GHM46:GHM48"/>
    <mergeCell ref="GHN46:GHN48"/>
    <mergeCell ref="GHO46:GHO48"/>
    <mergeCell ref="GHP46:GHP48"/>
    <mergeCell ref="GHQ46:GHQ48"/>
    <mergeCell ref="GHF46:GHF48"/>
    <mergeCell ref="GHG46:GHG48"/>
    <mergeCell ref="GHH46:GHH48"/>
    <mergeCell ref="GHI46:GHI48"/>
    <mergeCell ref="GHJ46:GHJ48"/>
    <mergeCell ref="GHK46:GHK48"/>
    <mergeCell ref="GGZ46:GGZ48"/>
    <mergeCell ref="GHA46:GHA48"/>
    <mergeCell ref="GHB46:GHB48"/>
    <mergeCell ref="GHC46:GHC48"/>
    <mergeCell ref="GHD46:GHD48"/>
    <mergeCell ref="GHE46:GHE48"/>
    <mergeCell ref="GGT46:GGT48"/>
    <mergeCell ref="GGU46:GGU48"/>
    <mergeCell ref="GGV46:GGV48"/>
    <mergeCell ref="GGW46:GGW48"/>
    <mergeCell ref="GGX46:GGX48"/>
    <mergeCell ref="GGY46:GGY48"/>
    <mergeCell ref="GGN46:GGN48"/>
    <mergeCell ref="GGO46:GGO48"/>
    <mergeCell ref="GGP46:GGP48"/>
    <mergeCell ref="GGQ46:GGQ48"/>
    <mergeCell ref="GGR46:GGR48"/>
    <mergeCell ref="GGS46:GGS48"/>
    <mergeCell ref="GGH46:GGH48"/>
    <mergeCell ref="GGI46:GGI48"/>
    <mergeCell ref="GGJ46:GGJ48"/>
    <mergeCell ref="GGK46:GGK48"/>
    <mergeCell ref="GGL46:GGL48"/>
    <mergeCell ref="GGM46:GGM48"/>
    <mergeCell ref="GGB46:GGB48"/>
    <mergeCell ref="GGC46:GGC48"/>
    <mergeCell ref="GGD46:GGD48"/>
    <mergeCell ref="GGE46:GGE48"/>
    <mergeCell ref="GGF46:GGF48"/>
    <mergeCell ref="GGG46:GGG48"/>
    <mergeCell ref="GFV46:GFV48"/>
    <mergeCell ref="GFW46:GFW48"/>
    <mergeCell ref="GFX46:GFX48"/>
    <mergeCell ref="GFY46:GFY48"/>
    <mergeCell ref="GFZ46:GFZ48"/>
    <mergeCell ref="GGA46:GGA48"/>
    <mergeCell ref="GFP46:GFP48"/>
    <mergeCell ref="GFQ46:GFQ48"/>
    <mergeCell ref="GFR46:GFR48"/>
    <mergeCell ref="GFS46:GFS48"/>
    <mergeCell ref="GFT46:GFT48"/>
    <mergeCell ref="GFU46:GFU48"/>
    <mergeCell ref="GFJ46:GFJ48"/>
    <mergeCell ref="GFK46:GFK48"/>
    <mergeCell ref="GFL46:GFL48"/>
    <mergeCell ref="GFM46:GFM48"/>
    <mergeCell ref="GFN46:GFN48"/>
    <mergeCell ref="GFO46:GFO48"/>
    <mergeCell ref="GFD46:GFD48"/>
    <mergeCell ref="GFE46:GFE48"/>
    <mergeCell ref="GFF46:GFF48"/>
    <mergeCell ref="GFG46:GFG48"/>
    <mergeCell ref="GFH46:GFH48"/>
    <mergeCell ref="GFI46:GFI48"/>
    <mergeCell ref="GEX46:GEX48"/>
    <mergeCell ref="GEY46:GEY48"/>
    <mergeCell ref="GEZ46:GEZ48"/>
    <mergeCell ref="GFA46:GFA48"/>
    <mergeCell ref="GFB46:GFB48"/>
    <mergeCell ref="GFC46:GFC48"/>
    <mergeCell ref="GER46:GER48"/>
    <mergeCell ref="GES46:GES48"/>
    <mergeCell ref="GET46:GET48"/>
    <mergeCell ref="GEU46:GEU48"/>
    <mergeCell ref="GEV46:GEV48"/>
    <mergeCell ref="GEW46:GEW48"/>
    <mergeCell ref="GEL46:GEL48"/>
    <mergeCell ref="GEM46:GEM48"/>
    <mergeCell ref="GEN46:GEN48"/>
    <mergeCell ref="GEO46:GEO48"/>
    <mergeCell ref="GEP46:GEP48"/>
    <mergeCell ref="GEQ46:GEQ48"/>
    <mergeCell ref="GEF46:GEF48"/>
    <mergeCell ref="GEG46:GEG48"/>
    <mergeCell ref="GEH46:GEH48"/>
    <mergeCell ref="GEI46:GEI48"/>
    <mergeCell ref="GEJ46:GEJ48"/>
    <mergeCell ref="GEK46:GEK48"/>
    <mergeCell ref="GDZ46:GDZ48"/>
    <mergeCell ref="GEA46:GEA48"/>
    <mergeCell ref="GEB46:GEB48"/>
    <mergeCell ref="GEC46:GEC48"/>
    <mergeCell ref="GED46:GED48"/>
    <mergeCell ref="GEE46:GEE48"/>
    <mergeCell ref="GDT46:GDT48"/>
    <mergeCell ref="GDU46:GDU48"/>
    <mergeCell ref="GDV46:GDV48"/>
    <mergeCell ref="GDW46:GDW48"/>
    <mergeCell ref="GDX46:GDX48"/>
    <mergeCell ref="GDY46:GDY48"/>
    <mergeCell ref="GDN46:GDN48"/>
    <mergeCell ref="GDO46:GDO48"/>
    <mergeCell ref="GDP46:GDP48"/>
    <mergeCell ref="GDQ46:GDQ48"/>
    <mergeCell ref="GDR46:GDR48"/>
    <mergeCell ref="GDS46:GDS48"/>
    <mergeCell ref="GDH46:GDH48"/>
    <mergeCell ref="GDI46:GDI48"/>
    <mergeCell ref="GDJ46:GDJ48"/>
    <mergeCell ref="GDK46:GDK48"/>
    <mergeCell ref="GDL46:GDL48"/>
    <mergeCell ref="GDM46:GDM48"/>
    <mergeCell ref="GDB46:GDB48"/>
    <mergeCell ref="GDC46:GDC48"/>
    <mergeCell ref="GDD46:GDD48"/>
    <mergeCell ref="GDE46:GDE48"/>
    <mergeCell ref="GDF46:GDF48"/>
    <mergeCell ref="GDG46:GDG48"/>
    <mergeCell ref="GCV46:GCV48"/>
    <mergeCell ref="GCW46:GCW48"/>
    <mergeCell ref="GCX46:GCX48"/>
    <mergeCell ref="GCY46:GCY48"/>
    <mergeCell ref="GCZ46:GCZ48"/>
    <mergeCell ref="GDA46:GDA48"/>
    <mergeCell ref="GCP46:GCP48"/>
    <mergeCell ref="GCQ46:GCQ48"/>
    <mergeCell ref="GCR46:GCR48"/>
    <mergeCell ref="GCS46:GCS48"/>
    <mergeCell ref="GCT46:GCT48"/>
    <mergeCell ref="GCU46:GCU48"/>
    <mergeCell ref="GCJ46:GCJ48"/>
    <mergeCell ref="GCK46:GCK48"/>
    <mergeCell ref="GCL46:GCL48"/>
    <mergeCell ref="GCM46:GCM48"/>
    <mergeCell ref="GCN46:GCN48"/>
    <mergeCell ref="GCO46:GCO48"/>
    <mergeCell ref="GCD46:GCD48"/>
    <mergeCell ref="GCE46:GCE48"/>
    <mergeCell ref="GCF46:GCF48"/>
    <mergeCell ref="GCG46:GCG48"/>
    <mergeCell ref="GCH46:GCH48"/>
    <mergeCell ref="GCI46:GCI48"/>
    <mergeCell ref="GBX46:GBX48"/>
    <mergeCell ref="GBY46:GBY48"/>
    <mergeCell ref="GBZ46:GBZ48"/>
    <mergeCell ref="GCA46:GCA48"/>
    <mergeCell ref="GCB46:GCB48"/>
    <mergeCell ref="GCC46:GCC48"/>
    <mergeCell ref="GBR46:GBR48"/>
    <mergeCell ref="GBS46:GBS48"/>
    <mergeCell ref="GBT46:GBT48"/>
    <mergeCell ref="GBU46:GBU48"/>
    <mergeCell ref="GBV46:GBV48"/>
    <mergeCell ref="GBW46:GBW48"/>
    <mergeCell ref="GBL46:GBL48"/>
    <mergeCell ref="GBM46:GBM48"/>
    <mergeCell ref="GBN46:GBN48"/>
    <mergeCell ref="GBO46:GBO48"/>
    <mergeCell ref="GBP46:GBP48"/>
    <mergeCell ref="GBQ46:GBQ48"/>
    <mergeCell ref="GBF46:GBF48"/>
    <mergeCell ref="GBG46:GBG48"/>
    <mergeCell ref="GBH46:GBH48"/>
    <mergeCell ref="GBI46:GBI48"/>
    <mergeCell ref="GBJ46:GBJ48"/>
    <mergeCell ref="GBK46:GBK48"/>
    <mergeCell ref="GAZ46:GAZ48"/>
    <mergeCell ref="GBA46:GBA48"/>
    <mergeCell ref="GBB46:GBB48"/>
    <mergeCell ref="GBC46:GBC48"/>
    <mergeCell ref="GBD46:GBD48"/>
    <mergeCell ref="GBE46:GBE48"/>
    <mergeCell ref="GAT46:GAT48"/>
    <mergeCell ref="GAU46:GAU48"/>
    <mergeCell ref="GAV46:GAV48"/>
    <mergeCell ref="GAW46:GAW48"/>
    <mergeCell ref="GAX46:GAX48"/>
    <mergeCell ref="GAY46:GAY48"/>
    <mergeCell ref="GAN46:GAN48"/>
    <mergeCell ref="GAO46:GAO48"/>
    <mergeCell ref="GAP46:GAP48"/>
    <mergeCell ref="GAQ46:GAQ48"/>
    <mergeCell ref="GAR46:GAR48"/>
    <mergeCell ref="GAS46:GAS48"/>
    <mergeCell ref="GAH46:GAH48"/>
    <mergeCell ref="GAI46:GAI48"/>
    <mergeCell ref="GAJ46:GAJ48"/>
    <mergeCell ref="GAK46:GAK48"/>
    <mergeCell ref="GAL46:GAL48"/>
    <mergeCell ref="GAM46:GAM48"/>
    <mergeCell ref="GAB46:GAB48"/>
    <mergeCell ref="GAC46:GAC48"/>
    <mergeCell ref="GAD46:GAD48"/>
    <mergeCell ref="GAE46:GAE48"/>
    <mergeCell ref="GAF46:GAF48"/>
    <mergeCell ref="GAG46:GAG48"/>
    <mergeCell ref="FZV46:FZV48"/>
    <mergeCell ref="FZW46:FZW48"/>
    <mergeCell ref="FZX46:FZX48"/>
    <mergeCell ref="FZY46:FZY48"/>
    <mergeCell ref="FZZ46:FZZ48"/>
    <mergeCell ref="GAA46:GAA48"/>
    <mergeCell ref="FZP46:FZP48"/>
    <mergeCell ref="FZQ46:FZQ48"/>
    <mergeCell ref="FZR46:FZR48"/>
    <mergeCell ref="FZS46:FZS48"/>
    <mergeCell ref="FZT46:FZT48"/>
    <mergeCell ref="FZU46:FZU48"/>
    <mergeCell ref="FZJ46:FZJ48"/>
    <mergeCell ref="FZK46:FZK48"/>
    <mergeCell ref="FZL46:FZL48"/>
    <mergeCell ref="FZM46:FZM48"/>
    <mergeCell ref="FZN46:FZN48"/>
    <mergeCell ref="FZO46:FZO48"/>
    <mergeCell ref="FZD46:FZD48"/>
    <mergeCell ref="FZE46:FZE48"/>
    <mergeCell ref="FZF46:FZF48"/>
    <mergeCell ref="FZG46:FZG48"/>
    <mergeCell ref="FZH46:FZH48"/>
    <mergeCell ref="FZI46:FZI48"/>
    <mergeCell ref="FYX46:FYX48"/>
    <mergeCell ref="FYY46:FYY48"/>
    <mergeCell ref="FYZ46:FYZ48"/>
    <mergeCell ref="FZA46:FZA48"/>
    <mergeCell ref="FZB46:FZB48"/>
    <mergeCell ref="FZC46:FZC48"/>
    <mergeCell ref="FYR46:FYR48"/>
    <mergeCell ref="FYS46:FYS48"/>
    <mergeCell ref="FYT46:FYT48"/>
    <mergeCell ref="FYU46:FYU48"/>
    <mergeCell ref="FYV46:FYV48"/>
    <mergeCell ref="FYW46:FYW48"/>
    <mergeCell ref="FYL46:FYL48"/>
    <mergeCell ref="FYM46:FYM48"/>
    <mergeCell ref="FYN46:FYN48"/>
    <mergeCell ref="FYO46:FYO48"/>
    <mergeCell ref="FYP46:FYP48"/>
    <mergeCell ref="FYQ46:FYQ48"/>
    <mergeCell ref="FYF46:FYF48"/>
    <mergeCell ref="FYG46:FYG48"/>
    <mergeCell ref="FYH46:FYH48"/>
    <mergeCell ref="FYI46:FYI48"/>
    <mergeCell ref="FYJ46:FYJ48"/>
    <mergeCell ref="FYK46:FYK48"/>
    <mergeCell ref="FXZ46:FXZ48"/>
    <mergeCell ref="FYA46:FYA48"/>
    <mergeCell ref="FYB46:FYB48"/>
    <mergeCell ref="FYC46:FYC48"/>
    <mergeCell ref="FYD46:FYD48"/>
    <mergeCell ref="FYE46:FYE48"/>
    <mergeCell ref="FXT46:FXT48"/>
    <mergeCell ref="FXU46:FXU48"/>
    <mergeCell ref="FXV46:FXV48"/>
    <mergeCell ref="FXW46:FXW48"/>
    <mergeCell ref="FXX46:FXX48"/>
    <mergeCell ref="FXY46:FXY48"/>
    <mergeCell ref="FXN46:FXN48"/>
    <mergeCell ref="FXO46:FXO48"/>
    <mergeCell ref="FXP46:FXP48"/>
    <mergeCell ref="FXQ46:FXQ48"/>
    <mergeCell ref="FXR46:FXR48"/>
    <mergeCell ref="FXS46:FXS48"/>
    <mergeCell ref="FXH46:FXH48"/>
    <mergeCell ref="FXI46:FXI48"/>
    <mergeCell ref="FXJ46:FXJ48"/>
    <mergeCell ref="FXK46:FXK48"/>
    <mergeCell ref="FXL46:FXL48"/>
    <mergeCell ref="FXM46:FXM48"/>
    <mergeCell ref="FXB46:FXB48"/>
    <mergeCell ref="FXC46:FXC48"/>
    <mergeCell ref="FXD46:FXD48"/>
    <mergeCell ref="FXE46:FXE48"/>
    <mergeCell ref="FXF46:FXF48"/>
    <mergeCell ref="FXG46:FXG48"/>
    <mergeCell ref="FWV46:FWV48"/>
    <mergeCell ref="FWW46:FWW48"/>
    <mergeCell ref="FWX46:FWX48"/>
    <mergeCell ref="FWY46:FWY48"/>
    <mergeCell ref="FWZ46:FWZ48"/>
    <mergeCell ref="FXA46:FXA48"/>
    <mergeCell ref="FWP46:FWP48"/>
    <mergeCell ref="FWQ46:FWQ48"/>
    <mergeCell ref="FWR46:FWR48"/>
    <mergeCell ref="FWS46:FWS48"/>
    <mergeCell ref="FWT46:FWT48"/>
    <mergeCell ref="FWU46:FWU48"/>
    <mergeCell ref="FWJ46:FWJ48"/>
    <mergeCell ref="FWK46:FWK48"/>
    <mergeCell ref="FWL46:FWL48"/>
    <mergeCell ref="FWM46:FWM48"/>
    <mergeCell ref="FWN46:FWN48"/>
    <mergeCell ref="FWO46:FWO48"/>
    <mergeCell ref="FWD46:FWD48"/>
    <mergeCell ref="FWE46:FWE48"/>
    <mergeCell ref="FWF46:FWF48"/>
    <mergeCell ref="FWG46:FWG48"/>
    <mergeCell ref="FWH46:FWH48"/>
    <mergeCell ref="FWI46:FWI48"/>
    <mergeCell ref="FVX46:FVX48"/>
    <mergeCell ref="FVY46:FVY48"/>
    <mergeCell ref="FVZ46:FVZ48"/>
    <mergeCell ref="FWA46:FWA48"/>
    <mergeCell ref="FWB46:FWB48"/>
    <mergeCell ref="FWC46:FWC48"/>
    <mergeCell ref="FVR46:FVR48"/>
    <mergeCell ref="FVS46:FVS48"/>
    <mergeCell ref="FVT46:FVT48"/>
    <mergeCell ref="FVU46:FVU48"/>
    <mergeCell ref="FVV46:FVV48"/>
    <mergeCell ref="FVW46:FVW48"/>
    <mergeCell ref="FVL46:FVL48"/>
    <mergeCell ref="FVM46:FVM48"/>
    <mergeCell ref="FVN46:FVN48"/>
    <mergeCell ref="FVO46:FVO48"/>
    <mergeCell ref="FVP46:FVP48"/>
    <mergeCell ref="FVQ46:FVQ48"/>
    <mergeCell ref="FVF46:FVF48"/>
    <mergeCell ref="FVG46:FVG48"/>
    <mergeCell ref="FVH46:FVH48"/>
    <mergeCell ref="FVI46:FVI48"/>
    <mergeCell ref="FVJ46:FVJ48"/>
    <mergeCell ref="FVK46:FVK48"/>
    <mergeCell ref="FUZ46:FUZ48"/>
    <mergeCell ref="FVA46:FVA48"/>
    <mergeCell ref="FVB46:FVB48"/>
    <mergeCell ref="FVC46:FVC48"/>
    <mergeCell ref="FVD46:FVD48"/>
    <mergeCell ref="FVE46:FVE48"/>
    <mergeCell ref="FUT46:FUT48"/>
    <mergeCell ref="FUU46:FUU48"/>
    <mergeCell ref="FUV46:FUV48"/>
    <mergeCell ref="FUW46:FUW48"/>
    <mergeCell ref="FUX46:FUX48"/>
    <mergeCell ref="FUY46:FUY48"/>
    <mergeCell ref="FUN46:FUN48"/>
    <mergeCell ref="FUO46:FUO48"/>
    <mergeCell ref="FUP46:FUP48"/>
    <mergeCell ref="FUQ46:FUQ48"/>
    <mergeCell ref="FUR46:FUR48"/>
    <mergeCell ref="FUS46:FUS48"/>
    <mergeCell ref="FUH46:FUH48"/>
    <mergeCell ref="FUI46:FUI48"/>
    <mergeCell ref="FUJ46:FUJ48"/>
    <mergeCell ref="FUK46:FUK48"/>
    <mergeCell ref="FUL46:FUL48"/>
    <mergeCell ref="FUM46:FUM48"/>
    <mergeCell ref="FUB46:FUB48"/>
    <mergeCell ref="FUC46:FUC48"/>
    <mergeCell ref="FUD46:FUD48"/>
    <mergeCell ref="FUE46:FUE48"/>
    <mergeCell ref="FUF46:FUF48"/>
    <mergeCell ref="FUG46:FUG48"/>
    <mergeCell ref="FTV46:FTV48"/>
    <mergeCell ref="FTW46:FTW48"/>
    <mergeCell ref="FTX46:FTX48"/>
    <mergeCell ref="FTY46:FTY48"/>
    <mergeCell ref="FTZ46:FTZ48"/>
    <mergeCell ref="FUA46:FUA48"/>
    <mergeCell ref="FTP46:FTP48"/>
    <mergeCell ref="FTQ46:FTQ48"/>
    <mergeCell ref="FTR46:FTR48"/>
    <mergeCell ref="FTS46:FTS48"/>
    <mergeCell ref="FTT46:FTT48"/>
    <mergeCell ref="FTU46:FTU48"/>
    <mergeCell ref="FTJ46:FTJ48"/>
    <mergeCell ref="FTK46:FTK48"/>
    <mergeCell ref="FTL46:FTL48"/>
    <mergeCell ref="FTM46:FTM48"/>
    <mergeCell ref="FTN46:FTN48"/>
    <mergeCell ref="FTO46:FTO48"/>
    <mergeCell ref="FTD46:FTD48"/>
    <mergeCell ref="FTE46:FTE48"/>
    <mergeCell ref="FTF46:FTF48"/>
    <mergeCell ref="FTG46:FTG48"/>
    <mergeCell ref="FTH46:FTH48"/>
    <mergeCell ref="FTI46:FTI48"/>
    <mergeCell ref="FSX46:FSX48"/>
    <mergeCell ref="FSY46:FSY48"/>
    <mergeCell ref="FSZ46:FSZ48"/>
    <mergeCell ref="FTA46:FTA48"/>
    <mergeCell ref="FTB46:FTB48"/>
    <mergeCell ref="FTC46:FTC48"/>
    <mergeCell ref="FSR46:FSR48"/>
    <mergeCell ref="FSS46:FSS48"/>
    <mergeCell ref="FST46:FST48"/>
    <mergeCell ref="FSU46:FSU48"/>
    <mergeCell ref="FSV46:FSV48"/>
    <mergeCell ref="FSW46:FSW48"/>
    <mergeCell ref="FSL46:FSL48"/>
    <mergeCell ref="FSM46:FSM48"/>
    <mergeCell ref="FSN46:FSN48"/>
    <mergeCell ref="FSO46:FSO48"/>
    <mergeCell ref="FSP46:FSP48"/>
    <mergeCell ref="FSQ46:FSQ48"/>
    <mergeCell ref="FSF46:FSF48"/>
    <mergeCell ref="FSG46:FSG48"/>
    <mergeCell ref="FSH46:FSH48"/>
    <mergeCell ref="FSI46:FSI48"/>
    <mergeCell ref="FSJ46:FSJ48"/>
    <mergeCell ref="FSK46:FSK48"/>
    <mergeCell ref="FRZ46:FRZ48"/>
    <mergeCell ref="FSA46:FSA48"/>
    <mergeCell ref="FSB46:FSB48"/>
    <mergeCell ref="FSC46:FSC48"/>
    <mergeCell ref="FSD46:FSD48"/>
    <mergeCell ref="FSE46:FSE48"/>
    <mergeCell ref="FRT46:FRT48"/>
    <mergeCell ref="FRU46:FRU48"/>
    <mergeCell ref="FRV46:FRV48"/>
    <mergeCell ref="FRW46:FRW48"/>
    <mergeCell ref="FRX46:FRX48"/>
    <mergeCell ref="FRY46:FRY48"/>
    <mergeCell ref="FRN46:FRN48"/>
    <mergeCell ref="FRO46:FRO48"/>
    <mergeCell ref="FRP46:FRP48"/>
    <mergeCell ref="FRQ46:FRQ48"/>
    <mergeCell ref="FRR46:FRR48"/>
    <mergeCell ref="FRS46:FRS48"/>
    <mergeCell ref="FRH46:FRH48"/>
    <mergeCell ref="FRI46:FRI48"/>
    <mergeCell ref="FRJ46:FRJ48"/>
    <mergeCell ref="FRK46:FRK48"/>
    <mergeCell ref="FRL46:FRL48"/>
    <mergeCell ref="FRM46:FRM48"/>
    <mergeCell ref="FRB46:FRB48"/>
    <mergeCell ref="FRC46:FRC48"/>
    <mergeCell ref="FRD46:FRD48"/>
    <mergeCell ref="FRE46:FRE48"/>
    <mergeCell ref="FRF46:FRF48"/>
    <mergeCell ref="FRG46:FRG48"/>
    <mergeCell ref="FQV46:FQV48"/>
    <mergeCell ref="FQW46:FQW48"/>
    <mergeCell ref="FQX46:FQX48"/>
    <mergeCell ref="FQY46:FQY48"/>
    <mergeCell ref="FQZ46:FQZ48"/>
    <mergeCell ref="FRA46:FRA48"/>
    <mergeCell ref="FQP46:FQP48"/>
    <mergeCell ref="FQQ46:FQQ48"/>
    <mergeCell ref="FQR46:FQR48"/>
    <mergeCell ref="FQS46:FQS48"/>
    <mergeCell ref="FQT46:FQT48"/>
    <mergeCell ref="FQU46:FQU48"/>
    <mergeCell ref="FQJ46:FQJ48"/>
    <mergeCell ref="FQK46:FQK48"/>
    <mergeCell ref="FQL46:FQL48"/>
    <mergeCell ref="FQM46:FQM48"/>
    <mergeCell ref="FQN46:FQN48"/>
    <mergeCell ref="FQO46:FQO48"/>
    <mergeCell ref="FQD46:FQD48"/>
    <mergeCell ref="FQE46:FQE48"/>
    <mergeCell ref="FQF46:FQF48"/>
    <mergeCell ref="FQG46:FQG48"/>
    <mergeCell ref="FQH46:FQH48"/>
    <mergeCell ref="FQI46:FQI48"/>
    <mergeCell ref="FPX46:FPX48"/>
    <mergeCell ref="FPY46:FPY48"/>
    <mergeCell ref="FPZ46:FPZ48"/>
    <mergeCell ref="FQA46:FQA48"/>
    <mergeCell ref="FQB46:FQB48"/>
    <mergeCell ref="FQC46:FQC48"/>
    <mergeCell ref="FPR46:FPR48"/>
    <mergeCell ref="FPS46:FPS48"/>
    <mergeCell ref="FPT46:FPT48"/>
    <mergeCell ref="FPU46:FPU48"/>
    <mergeCell ref="FPV46:FPV48"/>
    <mergeCell ref="FPW46:FPW48"/>
    <mergeCell ref="FPL46:FPL48"/>
    <mergeCell ref="FPM46:FPM48"/>
    <mergeCell ref="FPN46:FPN48"/>
    <mergeCell ref="FPO46:FPO48"/>
    <mergeCell ref="FPP46:FPP48"/>
    <mergeCell ref="FPQ46:FPQ48"/>
    <mergeCell ref="FPF46:FPF48"/>
    <mergeCell ref="FPG46:FPG48"/>
    <mergeCell ref="FPH46:FPH48"/>
    <mergeCell ref="FPI46:FPI48"/>
    <mergeCell ref="FPJ46:FPJ48"/>
    <mergeCell ref="FPK46:FPK48"/>
    <mergeCell ref="FOZ46:FOZ48"/>
    <mergeCell ref="FPA46:FPA48"/>
    <mergeCell ref="FPB46:FPB48"/>
    <mergeCell ref="FPC46:FPC48"/>
    <mergeCell ref="FPD46:FPD48"/>
    <mergeCell ref="FPE46:FPE48"/>
    <mergeCell ref="FOT46:FOT48"/>
    <mergeCell ref="FOU46:FOU48"/>
    <mergeCell ref="FOV46:FOV48"/>
    <mergeCell ref="FOW46:FOW48"/>
    <mergeCell ref="FOX46:FOX48"/>
    <mergeCell ref="FOY46:FOY48"/>
    <mergeCell ref="FON46:FON48"/>
    <mergeCell ref="FOO46:FOO48"/>
    <mergeCell ref="FOP46:FOP48"/>
    <mergeCell ref="FOQ46:FOQ48"/>
    <mergeCell ref="FOR46:FOR48"/>
    <mergeCell ref="FOS46:FOS48"/>
    <mergeCell ref="FOH46:FOH48"/>
    <mergeCell ref="FOI46:FOI48"/>
    <mergeCell ref="FOJ46:FOJ48"/>
    <mergeCell ref="FOK46:FOK48"/>
    <mergeCell ref="FOL46:FOL48"/>
    <mergeCell ref="FOM46:FOM48"/>
    <mergeCell ref="FOB46:FOB48"/>
    <mergeCell ref="FOC46:FOC48"/>
    <mergeCell ref="FOD46:FOD48"/>
    <mergeCell ref="FOE46:FOE48"/>
    <mergeCell ref="FOF46:FOF48"/>
    <mergeCell ref="FOG46:FOG48"/>
    <mergeCell ref="FNV46:FNV48"/>
    <mergeCell ref="FNW46:FNW48"/>
    <mergeCell ref="FNX46:FNX48"/>
    <mergeCell ref="FNY46:FNY48"/>
    <mergeCell ref="FNZ46:FNZ48"/>
    <mergeCell ref="FOA46:FOA48"/>
    <mergeCell ref="FNP46:FNP48"/>
    <mergeCell ref="FNQ46:FNQ48"/>
    <mergeCell ref="FNR46:FNR48"/>
    <mergeCell ref="FNS46:FNS48"/>
    <mergeCell ref="FNT46:FNT48"/>
    <mergeCell ref="FNU46:FNU48"/>
    <mergeCell ref="FNJ46:FNJ48"/>
    <mergeCell ref="FNK46:FNK48"/>
    <mergeCell ref="FNL46:FNL48"/>
    <mergeCell ref="FNM46:FNM48"/>
    <mergeCell ref="FNN46:FNN48"/>
    <mergeCell ref="FNO46:FNO48"/>
    <mergeCell ref="FND46:FND48"/>
    <mergeCell ref="FNE46:FNE48"/>
    <mergeCell ref="FNF46:FNF48"/>
    <mergeCell ref="FNG46:FNG48"/>
    <mergeCell ref="FNH46:FNH48"/>
    <mergeCell ref="FNI46:FNI48"/>
    <mergeCell ref="FMX46:FMX48"/>
    <mergeCell ref="FMY46:FMY48"/>
    <mergeCell ref="FMZ46:FMZ48"/>
    <mergeCell ref="FNA46:FNA48"/>
    <mergeCell ref="FNB46:FNB48"/>
    <mergeCell ref="FNC46:FNC48"/>
    <mergeCell ref="FMR46:FMR48"/>
    <mergeCell ref="FMS46:FMS48"/>
    <mergeCell ref="FMT46:FMT48"/>
    <mergeCell ref="FMU46:FMU48"/>
    <mergeCell ref="FMV46:FMV48"/>
    <mergeCell ref="FMW46:FMW48"/>
    <mergeCell ref="FML46:FML48"/>
    <mergeCell ref="FMM46:FMM48"/>
    <mergeCell ref="FMN46:FMN48"/>
    <mergeCell ref="FMO46:FMO48"/>
    <mergeCell ref="FMP46:FMP48"/>
    <mergeCell ref="FMQ46:FMQ48"/>
    <mergeCell ref="FMF46:FMF48"/>
    <mergeCell ref="FMG46:FMG48"/>
    <mergeCell ref="FMH46:FMH48"/>
    <mergeCell ref="FMI46:FMI48"/>
    <mergeCell ref="FMJ46:FMJ48"/>
    <mergeCell ref="FMK46:FMK48"/>
    <mergeCell ref="FLZ46:FLZ48"/>
    <mergeCell ref="FMA46:FMA48"/>
    <mergeCell ref="FMB46:FMB48"/>
    <mergeCell ref="FMC46:FMC48"/>
    <mergeCell ref="FMD46:FMD48"/>
    <mergeCell ref="FME46:FME48"/>
    <mergeCell ref="FLT46:FLT48"/>
    <mergeCell ref="FLU46:FLU48"/>
    <mergeCell ref="FLV46:FLV48"/>
    <mergeCell ref="FLW46:FLW48"/>
    <mergeCell ref="FLX46:FLX48"/>
    <mergeCell ref="FLY46:FLY48"/>
    <mergeCell ref="FLN46:FLN48"/>
    <mergeCell ref="FLO46:FLO48"/>
    <mergeCell ref="FLP46:FLP48"/>
    <mergeCell ref="FLQ46:FLQ48"/>
    <mergeCell ref="FLR46:FLR48"/>
    <mergeCell ref="FLS46:FLS48"/>
    <mergeCell ref="FLH46:FLH48"/>
    <mergeCell ref="FLI46:FLI48"/>
    <mergeCell ref="FLJ46:FLJ48"/>
    <mergeCell ref="FLK46:FLK48"/>
    <mergeCell ref="FLL46:FLL48"/>
    <mergeCell ref="FLM46:FLM48"/>
    <mergeCell ref="FLB46:FLB48"/>
    <mergeCell ref="FLC46:FLC48"/>
    <mergeCell ref="FLD46:FLD48"/>
    <mergeCell ref="FLE46:FLE48"/>
    <mergeCell ref="FLF46:FLF48"/>
    <mergeCell ref="FLG46:FLG48"/>
    <mergeCell ref="FKV46:FKV48"/>
    <mergeCell ref="FKW46:FKW48"/>
    <mergeCell ref="FKX46:FKX48"/>
    <mergeCell ref="FKY46:FKY48"/>
    <mergeCell ref="FKZ46:FKZ48"/>
    <mergeCell ref="FLA46:FLA48"/>
    <mergeCell ref="FKP46:FKP48"/>
    <mergeCell ref="FKQ46:FKQ48"/>
    <mergeCell ref="FKR46:FKR48"/>
    <mergeCell ref="FKS46:FKS48"/>
    <mergeCell ref="FKT46:FKT48"/>
    <mergeCell ref="FKU46:FKU48"/>
    <mergeCell ref="FKJ46:FKJ48"/>
    <mergeCell ref="FKK46:FKK48"/>
    <mergeCell ref="FKL46:FKL48"/>
    <mergeCell ref="FKM46:FKM48"/>
    <mergeCell ref="FKN46:FKN48"/>
    <mergeCell ref="FKO46:FKO48"/>
    <mergeCell ref="FKD46:FKD48"/>
    <mergeCell ref="FKE46:FKE48"/>
    <mergeCell ref="FKF46:FKF48"/>
    <mergeCell ref="FKG46:FKG48"/>
    <mergeCell ref="FKH46:FKH48"/>
    <mergeCell ref="FKI46:FKI48"/>
    <mergeCell ref="FJX46:FJX48"/>
    <mergeCell ref="FJY46:FJY48"/>
    <mergeCell ref="FJZ46:FJZ48"/>
    <mergeCell ref="FKA46:FKA48"/>
    <mergeCell ref="FKB46:FKB48"/>
    <mergeCell ref="FKC46:FKC48"/>
    <mergeCell ref="FJR46:FJR48"/>
    <mergeCell ref="FJS46:FJS48"/>
    <mergeCell ref="FJT46:FJT48"/>
    <mergeCell ref="FJU46:FJU48"/>
    <mergeCell ref="FJV46:FJV48"/>
    <mergeCell ref="FJW46:FJW48"/>
    <mergeCell ref="FJL46:FJL48"/>
    <mergeCell ref="FJM46:FJM48"/>
    <mergeCell ref="FJN46:FJN48"/>
    <mergeCell ref="FJO46:FJO48"/>
    <mergeCell ref="FJP46:FJP48"/>
    <mergeCell ref="FJQ46:FJQ48"/>
    <mergeCell ref="FJF46:FJF48"/>
    <mergeCell ref="FJG46:FJG48"/>
    <mergeCell ref="FJH46:FJH48"/>
    <mergeCell ref="FJI46:FJI48"/>
    <mergeCell ref="FJJ46:FJJ48"/>
    <mergeCell ref="FJK46:FJK48"/>
    <mergeCell ref="FIZ46:FIZ48"/>
    <mergeCell ref="FJA46:FJA48"/>
    <mergeCell ref="FJB46:FJB48"/>
    <mergeCell ref="FJC46:FJC48"/>
    <mergeCell ref="FJD46:FJD48"/>
    <mergeCell ref="FJE46:FJE48"/>
    <mergeCell ref="FIT46:FIT48"/>
    <mergeCell ref="FIU46:FIU48"/>
    <mergeCell ref="FIV46:FIV48"/>
    <mergeCell ref="FIW46:FIW48"/>
    <mergeCell ref="FIX46:FIX48"/>
    <mergeCell ref="FIY46:FIY48"/>
    <mergeCell ref="FIN46:FIN48"/>
    <mergeCell ref="FIO46:FIO48"/>
    <mergeCell ref="FIP46:FIP48"/>
    <mergeCell ref="FIQ46:FIQ48"/>
    <mergeCell ref="FIR46:FIR48"/>
    <mergeCell ref="FIS46:FIS48"/>
    <mergeCell ref="FIH46:FIH48"/>
    <mergeCell ref="FII46:FII48"/>
    <mergeCell ref="FIJ46:FIJ48"/>
    <mergeCell ref="FIK46:FIK48"/>
    <mergeCell ref="FIL46:FIL48"/>
    <mergeCell ref="FIM46:FIM48"/>
    <mergeCell ref="FIB46:FIB48"/>
    <mergeCell ref="FIC46:FIC48"/>
    <mergeCell ref="FID46:FID48"/>
    <mergeCell ref="FIE46:FIE48"/>
    <mergeCell ref="FIF46:FIF48"/>
    <mergeCell ref="FIG46:FIG48"/>
    <mergeCell ref="FHV46:FHV48"/>
    <mergeCell ref="FHW46:FHW48"/>
    <mergeCell ref="FHX46:FHX48"/>
    <mergeCell ref="FHY46:FHY48"/>
    <mergeCell ref="FHZ46:FHZ48"/>
    <mergeCell ref="FIA46:FIA48"/>
    <mergeCell ref="FHP46:FHP48"/>
    <mergeCell ref="FHQ46:FHQ48"/>
    <mergeCell ref="FHR46:FHR48"/>
    <mergeCell ref="FHS46:FHS48"/>
    <mergeCell ref="FHT46:FHT48"/>
    <mergeCell ref="FHU46:FHU48"/>
    <mergeCell ref="FHJ46:FHJ48"/>
    <mergeCell ref="FHK46:FHK48"/>
    <mergeCell ref="FHL46:FHL48"/>
    <mergeCell ref="FHM46:FHM48"/>
    <mergeCell ref="FHN46:FHN48"/>
    <mergeCell ref="FHO46:FHO48"/>
    <mergeCell ref="FHD46:FHD48"/>
    <mergeCell ref="FHE46:FHE48"/>
    <mergeCell ref="FHF46:FHF48"/>
    <mergeCell ref="FHG46:FHG48"/>
    <mergeCell ref="FHH46:FHH48"/>
    <mergeCell ref="FHI46:FHI48"/>
    <mergeCell ref="FGX46:FGX48"/>
    <mergeCell ref="FGY46:FGY48"/>
    <mergeCell ref="FGZ46:FGZ48"/>
    <mergeCell ref="FHA46:FHA48"/>
    <mergeCell ref="FHB46:FHB48"/>
    <mergeCell ref="FHC46:FHC48"/>
    <mergeCell ref="FGR46:FGR48"/>
    <mergeCell ref="FGS46:FGS48"/>
    <mergeCell ref="FGT46:FGT48"/>
    <mergeCell ref="FGU46:FGU48"/>
    <mergeCell ref="FGV46:FGV48"/>
    <mergeCell ref="FGW46:FGW48"/>
    <mergeCell ref="FGL46:FGL48"/>
    <mergeCell ref="FGM46:FGM48"/>
    <mergeCell ref="FGN46:FGN48"/>
    <mergeCell ref="FGO46:FGO48"/>
    <mergeCell ref="FGP46:FGP48"/>
    <mergeCell ref="FGQ46:FGQ48"/>
    <mergeCell ref="FGF46:FGF48"/>
    <mergeCell ref="FGG46:FGG48"/>
    <mergeCell ref="FGH46:FGH48"/>
    <mergeCell ref="FGI46:FGI48"/>
    <mergeCell ref="FGJ46:FGJ48"/>
    <mergeCell ref="FGK46:FGK48"/>
    <mergeCell ref="FFZ46:FFZ48"/>
    <mergeCell ref="FGA46:FGA48"/>
    <mergeCell ref="FGB46:FGB48"/>
    <mergeCell ref="FGC46:FGC48"/>
    <mergeCell ref="FGD46:FGD48"/>
    <mergeCell ref="FGE46:FGE48"/>
    <mergeCell ref="FFT46:FFT48"/>
    <mergeCell ref="FFU46:FFU48"/>
    <mergeCell ref="FFV46:FFV48"/>
    <mergeCell ref="FFW46:FFW48"/>
    <mergeCell ref="FFX46:FFX48"/>
    <mergeCell ref="FFY46:FFY48"/>
    <mergeCell ref="FFN46:FFN48"/>
    <mergeCell ref="FFO46:FFO48"/>
    <mergeCell ref="FFP46:FFP48"/>
    <mergeCell ref="FFQ46:FFQ48"/>
    <mergeCell ref="FFR46:FFR48"/>
    <mergeCell ref="FFS46:FFS48"/>
    <mergeCell ref="FFH46:FFH48"/>
    <mergeCell ref="FFI46:FFI48"/>
    <mergeCell ref="FFJ46:FFJ48"/>
    <mergeCell ref="FFK46:FFK48"/>
    <mergeCell ref="FFL46:FFL48"/>
    <mergeCell ref="FFM46:FFM48"/>
    <mergeCell ref="FFB46:FFB48"/>
    <mergeCell ref="FFC46:FFC48"/>
    <mergeCell ref="FFD46:FFD48"/>
    <mergeCell ref="FFE46:FFE48"/>
    <mergeCell ref="FFF46:FFF48"/>
    <mergeCell ref="FFG46:FFG48"/>
    <mergeCell ref="FEV46:FEV48"/>
    <mergeCell ref="FEW46:FEW48"/>
    <mergeCell ref="FEX46:FEX48"/>
    <mergeCell ref="FEY46:FEY48"/>
    <mergeCell ref="FEZ46:FEZ48"/>
    <mergeCell ref="FFA46:FFA48"/>
    <mergeCell ref="FEP46:FEP48"/>
    <mergeCell ref="FEQ46:FEQ48"/>
    <mergeCell ref="FER46:FER48"/>
    <mergeCell ref="FES46:FES48"/>
    <mergeCell ref="FET46:FET48"/>
    <mergeCell ref="FEU46:FEU48"/>
    <mergeCell ref="FEJ46:FEJ48"/>
    <mergeCell ref="FEK46:FEK48"/>
    <mergeCell ref="FEL46:FEL48"/>
    <mergeCell ref="FEM46:FEM48"/>
    <mergeCell ref="FEN46:FEN48"/>
    <mergeCell ref="FEO46:FEO48"/>
    <mergeCell ref="FED46:FED48"/>
    <mergeCell ref="FEE46:FEE48"/>
    <mergeCell ref="FEF46:FEF48"/>
    <mergeCell ref="FEG46:FEG48"/>
    <mergeCell ref="FEH46:FEH48"/>
    <mergeCell ref="FEI46:FEI48"/>
    <mergeCell ref="FDX46:FDX48"/>
    <mergeCell ref="FDY46:FDY48"/>
    <mergeCell ref="FDZ46:FDZ48"/>
    <mergeCell ref="FEA46:FEA48"/>
    <mergeCell ref="FEB46:FEB48"/>
    <mergeCell ref="FEC46:FEC48"/>
    <mergeCell ref="FDR46:FDR48"/>
    <mergeCell ref="FDS46:FDS48"/>
    <mergeCell ref="FDT46:FDT48"/>
    <mergeCell ref="FDU46:FDU48"/>
    <mergeCell ref="FDV46:FDV48"/>
    <mergeCell ref="FDW46:FDW48"/>
    <mergeCell ref="FDL46:FDL48"/>
    <mergeCell ref="FDM46:FDM48"/>
    <mergeCell ref="FDN46:FDN48"/>
    <mergeCell ref="FDO46:FDO48"/>
    <mergeCell ref="FDP46:FDP48"/>
    <mergeCell ref="FDQ46:FDQ48"/>
    <mergeCell ref="FDF46:FDF48"/>
    <mergeCell ref="FDG46:FDG48"/>
    <mergeCell ref="FDH46:FDH48"/>
    <mergeCell ref="FDI46:FDI48"/>
    <mergeCell ref="FDJ46:FDJ48"/>
    <mergeCell ref="FDK46:FDK48"/>
    <mergeCell ref="FCZ46:FCZ48"/>
    <mergeCell ref="FDA46:FDA48"/>
    <mergeCell ref="FDB46:FDB48"/>
    <mergeCell ref="FDC46:FDC48"/>
    <mergeCell ref="FDD46:FDD48"/>
    <mergeCell ref="FDE46:FDE48"/>
    <mergeCell ref="FCT46:FCT48"/>
    <mergeCell ref="FCU46:FCU48"/>
    <mergeCell ref="FCV46:FCV48"/>
    <mergeCell ref="FCW46:FCW48"/>
    <mergeCell ref="FCX46:FCX48"/>
    <mergeCell ref="FCY46:FCY48"/>
    <mergeCell ref="FCN46:FCN48"/>
    <mergeCell ref="FCO46:FCO48"/>
    <mergeCell ref="FCP46:FCP48"/>
    <mergeCell ref="FCQ46:FCQ48"/>
    <mergeCell ref="FCR46:FCR48"/>
    <mergeCell ref="FCS46:FCS48"/>
    <mergeCell ref="FCH46:FCH48"/>
    <mergeCell ref="FCI46:FCI48"/>
    <mergeCell ref="FCJ46:FCJ48"/>
    <mergeCell ref="FCK46:FCK48"/>
    <mergeCell ref="FCL46:FCL48"/>
    <mergeCell ref="FCM46:FCM48"/>
    <mergeCell ref="FCB46:FCB48"/>
    <mergeCell ref="FCC46:FCC48"/>
    <mergeCell ref="FCD46:FCD48"/>
    <mergeCell ref="FCE46:FCE48"/>
    <mergeCell ref="FCF46:FCF48"/>
    <mergeCell ref="FCG46:FCG48"/>
    <mergeCell ref="FBV46:FBV48"/>
    <mergeCell ref="FBW46:FBW48"/>
    <mergeCell ref="FBX46:FBX48"/>
    <mergeCell ref="FBY46:FBY48"/>
    <mergeCell ref="FBZ46:FBZ48"/>
    <mergeCell ref="FCA46:FCA48"/>
    <mergeCell ref="FBP46:FBP48"/>
    <mergeCell ref="FBQ46:FBQ48"/>
    <mergeCell ref="FBR46:FBR48"/>
    <mergeCell ref="FBS46:FBS48"/>
    <mergeCell ref="FBT46:FBT48"/>
    <mergeCell ref="FBU46:FBU48"/>
    <mergeCell ref="FBJ46:FBJ48"/>
    <mergeCell ref="FBK46:FBK48"/>
    <mergeCell ref="FBL46:FBL48"/>
    <mergeCell ref="FBM46:FBM48"/>
    <mergeCell ref="FBN46:FBN48"/>
    <mergeCell ref="FBO46:FBO48"/>
    <mergeCell ref="FBD46:FBD48"/>
    <mergeCell ref="FBE46:FBE48"/>
    <mergeCell ref="FBF46:FBF48"/>
    <mergeCell ref="FBG46:FBG48"/>
    <mergeCell ref="FBH46:FBH48"/>
    <mergeCell ref="FBI46:FBI48"/>
    <mergeCell ref="FAX46:FAX48"/>
    <mergeCell ref="FAY46:FAY48"/>
    <mergeCell ref="FAZ46:FAZ48"/>
    <mergeCell ref="FBA46:FBA48"/>
    <mergeCell ref="FBB46:FBB48"/>
    <mergeCell ref="FBC46:FBC48"/>
    <mergeCell ref="FAR46:FAR48"/>
    <mergeCell ref="FAS46:FAS48"/>
    <mergeCell ref="FAT46:FAT48"/>
    <mergeCell ref="FAU46:FAU48"/>
    <mergeCell ref="FAV46:FAV48"/>
    <mergeCell ref="FAW46:FAW48"/>
    <mergeCell ref="FAL46:FAL48"/>
    <mergeCell ref="FAM46:FAM48"/>
    <mergeCell ref="FAN46:FAN48"/>
    <mergeCell ref="FAO46:FAO48"/>
    <mergeCell ref="FAP46:FAP48"/>
    <mergeCell ref="FAQ46:FAQ48"/>
    <mergeCell ref="FAF46:FAF48"/>
    <mergeCell ref="FAG46:FAG48"/>
    <mergeCell ref="FAH46:FAH48"/>
    <mergeCell ref="FAI46:FAI48"/>
    <mergeCell ref="FAJ46:FAJ48"/>
    <mergeCell ref="FAK46:FAK48"/>
    <mergeCell ref="EZZ46:EZZ48"/>
    <mergeCell ref="FAA46:FAA48"/>
    <mergeCell ref="FAB46:FAB48"/>
    <mergeCell ref="FAC46:FAC48"/>
    <mergeCell ref="FAD46:FAD48"/>
    <mergeCell ref="FAE46:FAE48"/>
    <mergeCell ref="EZT46:EZT48"/>
    <mergeCell ref="EZU46:EZU48"/>
    <mergeCell ref="EZV46:EZV48"/>
    <mergeCell ref="EZW46:EZW48"/>
    <mergeCell ref="EZX46:EZX48"/>
    <mergeCell ref="EZY46:EZY48"/>
    <mergeCell ref="EZN46:EZN48"/>
    <mergeCell ref="EZO46:EZO48"/>
    <mergeCell ref="EZP46:EZP48"/>
    <mergeCell ref="EZQ46:EZQ48"/>
    <mergeCell ref="EZR46:EZR48"/>
    <mergeCell ref="EZS46:EZS48"/>
    <mergeCell ref="EZH46:EZH48"/>
    <mergeCell ref="EZI46:EZI48"/>
    <mergeCell ref="EZJ46:EZJ48"/>
    <mergeCell ref="EZK46:EZK48"/>
    <mergeCell ref="EZL46:EZL48"/>
    <mergeCell ref="EZM46:EZM48"/>
    <mergeCell ref="EZB46:EZB48"/>
    <mergeCell ref="EZC46:EZC48"/>
    <mergeCell ref="EZD46:EZD48"/>
    <mergeCell ref="EZE46:EZE48"/>
    <mergeCell ref="EZF46:EZF48"/>
    <mergeCell ref="EZG46:EZG48"/>
    <mergeCell ref="EYV46:EYV48"/>
    <mergeCell ref="EYW46:EYW48"/>
    <mergeCell ref="EYX46:EYX48"/>
    <mergeCell ref="EYY46:EYY48"/>
    <mergeCell ref="EYZ46:EYZ48"/>
    <mergeCell ref="EZA46:EZA48"/>
    <mergeCell ref="EYP46:EYP48"/>
    <mergeCell ref="EYQ46:EYQ48"/>
    <mergeCell ref="EYR46:EYR48"/>
    <mergeCell ref="EYS46:EYS48"/>
    <mergeCell ref="EYT46:EYT48"/>
    <mergeCell ref="EYU46:EYU48"/>
    <mergeCell ref="EYJ46:EYJ48"/>
    <mergeCell ref="EYK46:EYK48"/>
    <mergeCell ref="EYL46:EYL48"/>
    <mergeCell ref="EYM46:EYM48"/>
    <mergeCell ref="EYN46:EYN48"/>
    <mergeCell ref="EYO46:EYO48"/>
    <mergeCell ref="EYD46:EYD48"/>
    <mergeCell ref="EYE46:EYE48"/>
    <mergeCell ref="EYF46:EYF48"/>
    <mergeCell ref="EYG46:EYG48"/>
    <mergeCell ref="EYH46:EYH48"/>
    <mergeCell ref="EYI46:EYI48"/>
    <mergeCell ref="EXX46:EXX48"/>
    <mergeCell ref="EXY46:EXY48"/>
    <mergeCell ref="EXZ46:EXZ48"/>
    <mergeCell ref="EYA46:EYA48"/>
    <mergeCell ref="EYB46:EYB48"/>
    <mergeCell ref="EYC46:EYC48"/>
    <mergeCell ref="EXR46:EXR48"/>
    <mergeCell ref="EXS46:EXS48"/>
    <mergeCell ref="EXT46:EXT48"/>
    <mergeCell ref="EXU46:EXU48"/>
    <mergeCell ref="EXV46:EXV48"/>
    <mergeCell ref="EXW46:EXW48"/>
    <mergeCell ref="EXL46:EXL48"/>
    <mergeCell ref="EXM46:EXM48"/>
    <mergeCell ref="EXN46:EXN48"/>
    <mergeCell ref="EXO46:EXO48"/>
    <mergeCell ref="EXP46:EXP48"/>
    <mergeCell ref="EXQ46:EXQ48"/>
    <mergeCell ref="EXF46:EXF48"/>
    <mergeCell ref="EXG46:EXG48"/>
    <mergeCell ref="EXH46:EXH48"/>
    <mergeCell ref="EXI46:EXI48"/>
    <mergeCell ref="EXJ46:EXJ48"/>
    <mergeCell ref="EXK46:EXK48"/>
    <mergeCell ref="EWZ46:EWZ48"/>
    <mergeCell ref="EXA46:EXA48"/>
    <mergeCell ref="EXB46:EXB48"/>
    <mergeCell ref="EXC46:EXC48"/>
    <mergeCell ref="EXD46:EXD48"/>
    <mergeCell ref="EXE46:EXE48"/>
    <mergeCell ref="EWT46:EWT48"/>
    <mergeCell ref="EWU46:EWU48"/>
    <mergeCell ref="EWV46:EWV48"/>
    <mergeCell ref="EWW46:EWW48"/>
    <mergeCell ref="EWX46:EWX48"/>
    <mergeCell ref="EWY46:EWY48"/>
    <mergeCell ref="EWN46:EWN48"/>
    <mergeCell ref="EWO46:EWO48"/>
    <mergeCell ref="EWP46:EWP48"/>
    <mergeCell ref="EWQ46:EWQ48"/>
    <mergeCell ref="EWR46:EWR48"/>
    <mergeCell ref="EWS46:EWS48"/>
    <mergeCell ref="EWH46:EWH48"/>
    <mergeCell ref="EWI46:EWI48"/>
    <mergeCell ref="EWJ46:EWJ48"/>
    <mergeCell ref="EWK46:EWK48"/>
    <mergeCell ref="EWL46:EWL48"/>
    <mergeCell ref="EWM46:EWM48"/>
    <mergeCell ref="EWB46:EWB48"/>
    <mergeCell ref="EWC46:EWC48"/>
    <mergeCell ref="EWD46:EWD48"/>
    <mergeCell ref="EWE46:EWE48"/>
    <mergeCell ref="EWF46:EWF48"/>
    <mergeCell ref="EWG46:EWG48"/>
    <mergeCell ref="EVV46:EVV48"/>
    <mergeCell ref="EVW46:EVW48"/>
    <mergeCell ref="EVX46:EVX48"/>
    <mergeCell ref="EVY46:EVY48"/>
    <mergeCell ref="EVZ46:EVZ48"/>
    <mergeCell ref="EWA46:EWA48"/>
    <mergeCell ref="EVP46:EVP48"/>
    <mergeCell ref="EVQ46:EVQ48"/>
    <mergeCell ref="EVR46:EVR48"/>
    <mergeCell ref="EVS46:EVS48"/>
    <mergeCell ref="EVT46:EVT48"/>
    <mergeCell ref="EVU46:EVU48"/>
    <mergeCell ref="EVJ46:EVJ48"/>
    <mergeCell ref="EVK46:EVK48"/>
    <mergeCell ref="EVL46:EVL48"/>
    <mergeCell ref="EVM46:EVM48"/>
    <mergeCell ref="EVN46:EVN48"/>
    <mergeCell ref="EVO46:EVO48"/>
    <mergeCell ref="EVD46:EVD48"/>
    <mergeCell ref="EVE46:EVE48"/>
    <mergeCell ref="EVF46:EVF48"/>
    <mergeCell ref="EVG46:EVG48"/>
    <mergeCell ref="EVH46:EVH48"/>
    <mergeCell ref="EVI46:EVI48"/>
    <mergeCell ref="EUX46:EUX48"/>
    <mergeCell ref="EUY46:EUY48"/>
    <mergeCell ref="EUZ46:EUZ48"/>
    <mergeCell ref="EVA46:EVA48"/>
    <mergeCell ref="EVB46:EVB48"/>
    <mergeCell ref="EVC46:EVC48"/>
    <mergeCell ref="EUR46:EUR48"/>
    <mergeCell ref="EUS46:EUS48"/>
    <mergeCell ref="EUT46:EUT48"/>
    <mergeCell ref="EUU46:EUU48"/>
    <mergeCell ref="EUV46:EUV48"/>
    <mergeCell ref="EUW46:EUW48"/>
    <mergeCell ref="EUL46:EUL48"/>
    <mergeCell ref="EUM46:EUM48"/>
    <mergeCell ref="EUN46:EUN48"/>
    <mergeCell ref="EUO46:EUO48"/>
    <mergeCell ref="EUP46:EUP48"/>
    <mergeCell ref="EUQ46:EUQ48"/>
    <mergeCell ref="EUF46:EUF48"/>
    <mergeCell ref="EUG46:EUG48"/>
    <mergeCell ref="EUH46:EUH48"/>
    <mergeCell ref="EUI46:EUI48"/>
    <mergeCell ref="EUJ46:EUJ48"/>
    <mergeCell ref="EUK46:EUK48"/>
    <mergeCell ref="ETZ46:ETZ48"/>
    <mergeCell ref="EUA46:EUA48"/>
    <mergeCell ref="EUB46:EUB48"/>
    <mergeCell ref="EUC46:EUC48"/>
    <mergeCell ref="EUD46:EUD48"/>
    <mergeCell ref="EUE46:EUE48"/>
    <mergeCell ref="ETT46:ETT48"/>
    <mergeCell ref="ETU46:ETU48"/>
    <mergeCell ref="ETV46:ETV48"/>
    <mergeCell ref="ETW46:ETW48"/>
    <mergeCell ref="ETX46:ETX48"/>
    <mergeCell ref="ETY46:ETY48"/>
    <mergeCell ref="ETN46:ETN48"/>
    <mergeCell ref="ETO46:ETO48"/>
    <mergeCell ref="ETP46:ETP48"/>
    <mergeCell ref="ETQ46:ETQ48"/>
    <mergeCell ref="ETR46:ETR48"/>
    <mergeCell ref="ETS46:ETS48"/>
    <mergeCell ref="ETH46:ETH48"/>
    <mergeCell ref="ETI46:ETI48"/>
    <mergeCell ref="ETJ46:ETJ48"/>
    <mergeCell ref="ETK46:ETK48"/>
    <mergeCell ref="ETL46:ETL48"/>
    <mergeCell ref="ETM46:ETM48"/>
    <mergeCell ref="ETB46:ETB48"/>
    <mergeCell ref="ETC46:ETC48"/>
    <mergeCell ref="ETD46:ETD48"/>
    <mergeCell ref="ETE46:ETE48"/>
    <mergeCell ref="ETF46:ETF48"/>
    <mergeCell ref="ETG46:ETG48"/>
    <mergeCell ref="ESV46:ESV48"/>
    <mergeCell ref="ESW46:ESW48"/>
    <mergeCell ref="ESX46:ESX48"/>
    <mergeCell ref="ESY46:ESY48"/>
    <mergeCell ref="ESZ46:ESZ48"/>
    <mergeCell ref="ETA46:ETA48"/>
    <mergeCell ref="ESP46:ESP48"/>
    <mergeCell ref="ESQ46:ESQ48"/>
    <mergeCell ref="ESR46:ESR48"/>
    <mergeCell ref="ESS46:ESS48"/>
    <mergeCell ref="EST46:EST48"/>
    <mergeCell ref="ESU46:ESU48"/>
    <mergeCell ref="ESJ46:ESJ48"/>
    <mergeCell ref="ESK46:ESK48"/>
    <mergeCell ref="ESL46:ESL48"/>
    <mergeCell ref="ESM46:ESM48"/>
    <mergeCell ref="ESN46:ESN48"/>
    <mergeCell ref="ESO46:ESO48"/>
    <mergeCell ref="ESD46:ESD48"/>
    <mergeCell ref="ESE46:ESE48"/>
    <mergeCell ref="ESF46:ESF48"/>
    <mergeCell ref="ESG46:ESG48"/>
    <mergeCell ref="ESH46:ESH48"/>
    <mergeCell ref="ESI46:ESI48"/>
    <mergeCell ref="ERX46:ERX48"/>
    <mergeCell ref="ERY46:ERY48"/>
    <mergeCell ref="ERZ46:ERZ48"/>
    <mergeCell ref="ESA46:ESA48"/>
    <mergeCell ref="ESB46:ESB48"/>
    <mergeCell ref="ESC46:ESC48"/>
    <mergeCell ref="ERR46:ERR48"/>
    <mergeCell ref="ERS46:ERS48"/>
    <mergeCell ref="ERT46:ERT48"/>
    <mergeCell ref="ERU46:ERU48"/>
    <mergeCell ref="ERV46:ERV48"/>
    <mergeCell ref="ERW46:ERW48"/>
    <mergeCell ref="ERL46:ERL48"/>
    <mergeCell ref="ERM46:ERM48"/>
    <mergeCell ref="ERN46:ERN48"/>
    <mergeCell ref="ERO46:ERO48"/>
    <mergeCell ref="ERP46:ERP48"/>
    <mergeCell ref="ERQ46:ERQ48"/>
    <mergeCell ref="ERF46:ERF48"/>
    <mergeCell ref="ERG46:ERG48"/>
    <mergeCell ref="ERH46:ERH48"/>
    <mergeCell ref="ERI46:ERI48"/>
    <mergeCell ref="ERJ46:ERJ48"/>
    <mergeCell ref="ERK46:ERK48"/>
    <mergeCell ref="EQZ46:EQZ48"/>
    <mergeCell ref="ERA46:ERA48"/>
    <mergeCell ref="ERB46:ERB48"/>
    <mergeCell ref="ERC46:ERC48"/>
    <mergeCell ref="ERD46:ERD48"/>
    <mergeCell ref="ERE46:ERE48"/>
    <mergeCell ref="EQT46:EQT48"/>
    <mergeCell ref="EQU46:EQU48"/>
    <mergeCell ref="EQV46:EQV48"/>
    <mergeCell ref="EQW46:EQW48"/>
    <mergeCell ref="EQX46:EQX48"/>
    <mergeCell ref="EQY46:EQY48"/>
    <mergeCell ref="EQN46:EQN48"/>
    <mergeCell ref="EQO46:EQO48"/>
    <mergeCell ref="EQP46:EQP48"/>
    <mergeCell ref="EQQ46:EQQ48"/>
    <mergeCell ref="EQR46:EQR48"/>
    <mergeCell ref="EQS46:EQS48"/>
    <mergeCell ref="EQH46:EQH48"/>
    <mergeCell ref="EQI46:EQI48"/>
    <mergeCell ref="EQJ46:EQJ48"/>
    <mergeCell ref="EQK46:EQK48"/>
    <mergeCell ref="EQL46:EQL48"/>
    <mergeCell ref="EQM46:EQM48"/>
    <mergeCell ref="EQB46:EQB48"/>
    <mergeCell ref="EQC46:EQC48"/>
    <mergeCell ref="EQD46:EQD48"/>
    <mergeCell ref="EQE46:EQE48"/>
    <mergeCell ref="EQF46:EQF48"/>
    <mergeCell ref="EQG46:EQG48"/>
    <mergeCell ref="EPV46:EPV48"/>
    <mergeCell ref="EPW46:EPW48"/>
    <mergeCell ref="EPX46:EPX48"/>
    <mergeCell ref="EPY46:EPY48"/>
    <mergeCell ref="EPZ46:EPZ48"/>
    <mergeCell ref="EQA46:EQA48"/>
    <mergeCell ref="EPP46:EPP48"/>
    <mergeCell ref="EPQ46:EPQ48"/>
    <mergeCell ref="EPR46:EPR48"/>
    <mergeCell ref="EPS46:EPS48"/>
    <mergeCell ref="EPT46:EPT48"/>
    <mergeCell ref="EPU46:EPU48"/>
    <mergeCell ref="EPJ46:EPJ48"/>
    <mergeCell ref="EPK46:EPK48"/>
    <mergeCell ref="EPL46:EPL48"/>
    <mergeCell ref="EPM46:EPM48"/>
    <mergeCell ref="EPN46:EPN48"/>
    <mergeCell ref="EPO46:EPO48"/>
    <mergeCell ref="EPD46:EPD48"/>
    <mergeCell ref="EPE46:EPE48"/>
    <mergeCell ref="EPF46:EPF48"/>
    <mergeCell ref="EPG46:EPG48"/>
    <mergeCell ref="EPH46:EPH48"/>
    <mergeCell ref="EPI46:EPI48"/>
    <mergeCell ref="EOX46:EOX48"/>
    <mergeCell ref="EOY46:EOY48"/>
    <mergeCell ref="EOZ46:EOZ48"/>
    <mergeCell ref="EPA46:EPA48"/>
    <mergeCell ref="EPB46:EPB48"/>
    <mergeCell ref="EPC46:EPC48"/>
    <mergeCell ref="EOR46:EOR48"/>
    <mergeCell ref="EOS46:EOS48"/>
    <mergeCell ref="EOT46:EOT48"/>
    <mergeCell ref="EOU46:EOU48"/>
    <mergeCell ref="EOV46:EOV48"/>
    <mergeCell ref="EOW46:EOW48"/>
    <mergeCell ref="EOL46:EOL48"/>
    <mergeCell ref="EOM46:EOM48"/>
    <mergeCell ref="EON46:EON48"/>
    <mergeCell ref="EOO46:EOO48"/>
    <mergeCell ref="EOP46:EOP48"/>
    <mergeCell ref="EOQ46:EOQ48"/>
    <mergeCell ref="EOF46:EOF48"/>
    <mergeCell ref="EOG46:EOG48"/>
    <mergeCell ref="EOH46:EOH48"/>
    <mergeCell ref="EOI46:EOI48"/>
    <mergeCell ref="EOJ46:EOJ48"/>
    <mergeCell ref="EOK46:EOK48"/>
    <mergeCell ref="ENZ46:ENZ48"/>
    <mergeCell ref="EOA46:EOA48"/>
    <mergeCell ref="EOB46:EOB48"/>
    <mergeCell ref="EOC46:EOC48"/>
    <mergeCell ref="EOD46:EOD48"/>
    <mergeCell ref="EOE46:EOE48"/>
    <mergeCell ref="ENT46:ENT48"/>
    <mergeCell ref="ENU46:ENU48"/>
    <mergeCell ref="ENV46:ENV48"/>
    <mergeCell ref="ENW46:ENW48"/>
    <mergeCell ref="ENX46:ENX48"/>
    <mergeCell ref="ENY46:ENY48"/>
    <mergeCell ref="ENN46:ENN48"/>
    <mergeCell ref="ENO46:ENO48"/>
    <mergeCell ref="ENP46:ENP48"/>
    <mergeCell ref="ENQ46:ENQ48"/>
    <mergeCell ref="ENR46:ENR48"/>
    <mergeCell ref="ENS46:ENS48"/>
    <mergeCell ref="ENH46:ENH48"/>
    <mergeCell ref="ENI46:ENI48"/>
    <mergeCell ref="ENJ46:ENJ48"/>
    <mergeCell ref="ENK46:ENK48"/>
    <mergeCell ref="ENL46:ENL48"/>
    <mergeCell ref="ENM46:ENM48"/>
    <mergeCell ref="ENB46:ENB48"/>
    <mergeCell ref="ENC46:ENC48"/>
    <mergeCell ref="END46:END48"/>
    <mergeCell ref="ENE46:ENE48"/>
    <mergeCell ref="ENF46:ENF48"/>
    <mergeCell ref="ENG46:ENG48"/>
    <mergeCell ref="EMV46:EMV48"/>
    <mergeCell ref="EMW46:EMW48"/>
    <mergeCell ref="EMX46:EMX48"/>
    <mergeCell ref="EMY46:EMY48"/>
    <mergeCell ref="EMZ46:EMZ48"/>
    <mergeCell ref="ENA46:ENA48"/>
    <mergeCell ref="EMP46:EMP48"/>
    <mergeCell ref="EMQ46:EMQ48"/>
    <mergeCell ref="EMR46:EMR48"/>
    <mergeCell ref="EMS46:EMS48"/>
    <mergeCell ref="EMT46:EMT48"/>
    <mergeCell ref="EMU46:EMU48"/>
    <mergeCell ref="EMJ46:EMJ48"/>
    <mergeCell ref="EMK46:EMK48"/>
    <mergeCell ref="EML46:EML48"/>
    <mergeCell ref="EMM46:EMM48"/>
    <mergeCell ref="EMN46:EMN48"/>
    <mergeCell ref="EMO46:EMO48"/>
    <mergeCell ref="EMD46:EMD48"/>
    <mergeCell ref="EME46:EME48"/>
    <mergeCell ref="EMF46:EMF48"/>
    <mergeCell ref="EMG46:EMG48"/>
    <mergeCell ref="EMH46:EMH48"/>
    <mergeCell ref="EMI46:EMI48"/>
    <mergeCell ref="ELX46:ELX48"/>
    <mergeCell ref="ELY46:ELY48"/>
    <mergeCell ref="ELZ46:ELZ48"/>
    <mergeCell ref="EMA46:EMA48"/>
    <mergeCell ref="EMB46:EMB48"/>
    <mergeCell ref="EMC46:EMC48"/>
    <mergeCell ref="ELR46:ELR48"/>
    <mergeCell ref="ELS46:ELS48"/>
    <mergeCell ref="ELT46:ELT48"/>
    <mergeCell ref="ELU46:ELU48"/>
    <mergeCell ref="ELV46:ELV48"/>
    <mergeCell ref="ELW46:ELW48"/>
    <mergeCell ref="ELL46:ELL48"/>
    <mergeCell ref="ELM46:ELM48"/>
    <mergeCell ref="ELN46:ELN48"/>
    <mergeCell ref="ELO46:ELO48"/>
    <mergeCell ref="ELP46:ELP48"/>
    <mergeCell ref="ELQ46:ELQ48"/>
    <mergeCell ref="ELF46:ELF48"/>
    <mergeCell ref="ELG46:ELG48"/>
    <mergeCell ref="ELH46:ELH48"/>
    <mergeCell ref="ELI46:ELI48"/>
    <mergeCell ref="ELJ46:ELJ48"/>
    <mergeCell ref="ELK46:ELK48"/>
    <mergeCell ref="EKZ46:EKZ48"/>
    <mergeCell ref="ELA46:ELA48"/>
    <mergeCell ref="ELB46:ELB48"/>
    <mergeCell ref="ELC46:ELC48"/>
    <mergeCell ref="ELD46:ELD48"/>
    <mergeCell ref="ELE46:ELE48"/>
    <mergeCell ref="EKT46:EKT48"/>
    <mergeCell ref="EKU46:EKU48"/>
    <mergeCell ref="EKV46:EKV48"/>
    <mergeCell ref="EKW46:EKW48"/>
    <mergeCell ref="EKX46:EKX48"/>
    <mergeCell ref="EKY46:EKY48"/>
    <mergeCell ref="EKN46:EKN48"/>
    <mergeCell ref="EKO46:EKO48"/>
    <mergeCell ref="EKP46:EKP48"/>
    <mergeCell ref="EKQ46:EKQ48"/>
    <mergeCell ref="EKR46:EKR48"/>
    <mergeCell ref="EKS46:EKS48"/>
    <mergeCell ref="EKH46:EKH48"/>
    <mergeCell ref="EKI46:EKI48"/>
    <mergeCell ref="EKJ46:EKJ48"/>
    <mergeCell ref="EKK46:EKK48"/>
    <mergeCell ref="EKL46:EKL48"/>
    <mergeCell ref="EKM46:EKM48"/>
    <mergeCell ref="EKB46:EKB48"/>
    <mergeCell ref="EKC46:EKC48"/>
    <mergeCell ref="EKD46:EKD48"/>
    <mergeCell ref="EKE46:EKE48"/>
    <mergeCell ref="EKF46:EKF48"/>
    <mergeCell ref="EKG46:EKG48"/>
    <mergeCell ref="EJV46:EJV48"/>
    <mergeCell ref="EJW46:EJW48"/>
    <mergeCell ref="EJX46:EJX48"/>
    <mergeCell ref="EJY46:EJY48"/>
    <mergeCell ref="EJZ46:EJZ48"/>
    <mergeCell ref="EKA46:EKA48"/>
    <mergeCell ref="EJP46:EJP48"/>
    <mergeCell ref="EJQ46:EJQ48"/>
    <mergeCell ref="EJR46:EJR48"/>
    <mergeCell ref="EJS46:EJS48"/>
    <mergeCell ref="EJT46:EJT48"/>
    <mergeCell ref="EJU46:EJU48"/>
    <mergeCell ref="EJJ46:EJJ48"/>
    <mergeCell ref="EJK46:EJK48"/>
    <mergeCell ref="EJL46:EJL48"/>
    <mergeCell ref="EJM46:EJM48"/>
    <mergeCell ref="EJN46:EJN48"/>
    <mergeCell ref="EJO46:EJO48"/>
    <mergeCell ref="EJD46:EJD48"/>
    <mergeCell ref="EJE46:EJE48"/>
    <mergeCell ref="EJF46:EJF48"/>
    <mergeCell ref="EJG46:EJG48"/>
    <mergeCell ref="EJH46:EJH48"/>
    <mergeCell ref="EJI46:EJI48"/>
    <mergeCell ref="EIX46:EIX48"/>
    <mergeCell ref="EIY46:EIY48"/>
    <mergeCell ref="EIZ46:EIZ48"/>
    <mergeCell ref="EJA46:EJA48"/>
    <mergeCell ref="EJB46:EJB48"/>
    <mergeCell ref="EJC46:EJC48"/>
    <mergeCell ref="EIR46:EIR48"/>
    <mergeCell ref="EIS46:EIS48"/>
    <mergeCell ref="EIT46:EIT48"/>
    <mergeCell ref="EIU46:EIU48"/>
    <mergeCell ref="EIV46:EIV48"/>
    <mergeCell ref="EIW46:EIW48"/>
    <mergeCell ref="EIL46:EIL48"/>
    <mergeCell ref="EIM46:EIM48"/>
    <mergeCell ref="EIN46:EIN48"/>
    <mergeCell ref="EIO46:EIO48"/>
    <mergeCell ref="EIP46:EIP48"/>
    <mergeCell ref="EIQ46:EIQ48"/>
    <mergeCell ref="EIF46:EIF48"/>
    <mergeCell ref="EIG46:EIG48"/>
    <mergeCell ref="EIH46:EIH48"/>
    <mergeCell ref="EII46:EII48"/>
    <mergeCell ref="EIJ46:EIJ48"/>
    <mergeCell ref="EIK46:EIK48"/>
    <mergeCell ref="EHZ46:EHZ48"/>
    <mergeCell ref="EIA46:EIA48"/>
    <mergeCell ref="EIB46:EIB48"/>
    <mergeCell ref="EIC46:EIC48"/>
    <mergeCell ref="EID46:EID48"/>
    <mergeCell ref="EIE46:EIE48"/>
    <mergeCell ref="EHT46:EHT48"/>
    <mergeCell ref="EHU46:EHU48"/>
    <mergeCell ref="EHV46:EHV48"/>
    <mergeCell ref="EHW46:EHW48"/>
    <mergeCell ref="EHX46:EHX48"/>
    <mergeCell ref="EHY46:EHY48"/>
    <mergeCell ref="EHN46:EHN48"/>
    <mergeCell ref="EHO46:EHO48"/>
    <mergeCell ref="EHP46:EHP48"/>
    <mergeCell ref="EHQ46:EHQ48"/>
    <mergeCell ref="EHR46:EHR48"/>
    <mergeCell ref="EHS46:EHS48"/>
    <mergeCell ref="EHH46:EHH48"/>
    <mergeCell ref="EHI46:EHI48"/>
    <mergeCell ref="EHJ46:EHJ48"/>
    <mergeCell ref="EHK46:EHK48"/>
    <mergeCell ref="EHL46:EHL48"/>
    <mergeCell ref="EHM46:EHM48"/>
    <mergeCell ref="EHB46:EHB48"/>
    <mergeCell ref="EHC46:EHC48"/>
    <mergeCell ref="EHD46:EHD48"/>
    <mergeCell ref="EHE46:EHE48"/>
    <mergeCell ref="EHF46:EHF48"/>
    <mergeCell ref="EHG46:EHG48"/>
    <mergeCell ref="EGV46:EGV48"/>
    <mergeCell ref="EGW46:EGW48"/>
    <mergeCell ref="EGX46:EGX48"/>
    <mergeCell ref="EGY46:EGY48"/>
    <mergeCell ref="EGZ46:EGZ48"/>
    <mergeCell ref="EHA46:EHA48"/>
    <mergeCell ref="EGP46:EGP48"/>
    <mergeCell ref="EGQ46:EGQ48"/>
    <mergeCell ref="EGR46:EGR48"/>
    <mergeCell ref="EGS46:EGS48"/>
    <mergeCell ref="EGT46:EGT48"/>
    <mergeCell ref="EGU46:EGU48"/>
    <mergeCell ref="EGJ46:EGJ48"/>
    <mergeCell ref="EGK46:EGK48"/>
    <mergeCell ref="EGL46:EGL48"/>
    <mergeCell ref="EGM46:EGM48"/>
    <mergeCell ref="EGN46:EGN48"/>
    <mergeCell ref="EGO46:EGO48"/>
    <mergeCell ref="EGD46:EGD48"/>
    <mergeCell ref="EGE46:EGE48"/>
    <mergeCell ref="EGF46:EGF48"/>
    <mergeCell ref="EGG46:EGG48"/>
    <mergeCell ref="EGH46:EGH48"/>
    <mergeCell ref="EGI46:EGI48"/>
    <mergeCell ref="EFX46:EFX48"/>
    <mergeCell ref="EFY46:EFY48"/>
    <mergeCell ref="EFZ46:EFZ48"/>
    <mergeCell ref="EGA46:EGA48"/>
    <mergeCell ref="EGB46:EGB48"/>
    <mergeCell ref="EGC46:EGC48"/>
    <mergeCell ref="EFR46:EFR48"/>
    <mergeCell ref="EFS46:EFS48"/>
    <mergeCell ref="EFT46:EFT48"/>
    <mergeCell ref="EFU46:EFU48"/>
    <mergeCell ref="EFV46:EFV48"/>
    <mergeCell ref="EFW46:EFW48"/>
    <mergeCell ref="EFL46:EFL48"/>
    <mergeCell ref="EFM46:EFM48"/>
    <mergeCell ref="EFN46:EFN48"/>
    <mergeCell ref="EFO46:EFO48"/>
    <mergeCell ref="EFP46:EFP48"/>
    <mergeCell ref="EFQ46:EFQ48"/>
    <mergeCell ref="EFF46:EFF48"/>
    <mergeCell ref="EFG46:EFG48"/>
    <mergeCell ref="EFH46:EFH48"/>
    <mergeCell ref="EFI46:EFI48"/>
    <mergeCell ref="EFJ46:EFJ48"/>
    <mergeCell ref="EFK46:EFK48"/>
    <mergeCell ref="EEZ46:EEZ48"/>
    <mergeCell ref="EFA46:EFA48"/>
    <mergeCell ref="EFB46:EFB48"/>
    <mergeCell ref="EFC46:EFC48"/>
    <mergeCell ref="EFD46:EFD48"/>
    <mergeCell ref="EFE46:EFE48"/>
    <mergeCell ref="EET46:EET48"/>
    <mergeCell ref="EEU46:EEU48"/>
    <mergeCell ref="EEV46:EEV48"/>
    <mergeCell ref="EEW46:EEW48"/>
    <mergeCell ref="EEX46:EEX48"/>
    <mergeCell ref="EEY46:EEY48"/>
    <mergeCell ref="EEN46:EEN48"/>
    <mergeCell ref="EEO46:EEO48"/>
    <mergeCell ref="EEP46:EEP48"/>
    <mergeCell ref="EEQ46:EEQ48"/>
    <mergeCell ref="EER46:EER48"/>
    <mergeCell ref="EES46:EES48"/>
    <mergeCell ref="EEH46:EEH48"/>
    <mergeCell ref="EEI46:EEI48"/>
    <mergeCell ref="EEJ46:EEJ48"/>
    <mergeCell ref="EEK46:EEK48"/>
    <mergeCell ref="EEL46:EEL48"/>
    <mergeCell ref="EEM46:EEM48"/>
    <mergeCell ref="EEB46:EEB48"/>
    <mergeCell ref="EEC46:EEC48"/>
    <mergeCell ref="EED46:EED48"/>
    <mergeCell ref="EEE46:EEE48"/>
    <mergeCell ref="EEF46:EEF48"/>
    <mergeCell ref="EEG46:EEG48"/>
    <mergeCell ref="EDV46:EDV48"/>
    <mergeCell ref="EDW46:EDW48"/>
    <mergeCell ref="EDX46:EDX48"/>
    <mergeCell ref="EDY46:EDY48"/>
    <mergeCell ref="EDZ46:EDZ48"/>
    <mergeCell ref="EEA46:EEA48"/>
    <mergeCell ref="EDP46:EDP48"/>
    <mergeCell ref="EDQ46:EDQ48"/>
    <mergeCell ref="EDR46:EDR48"/>
    <mergeCell ref="EDS46:EDS48"/>
    <mergeCell ref="EDT46:EDT48"/>
    <mergeCell ref="EDU46:EDU48"/>
    <mergeCell ref="EDJ46:EDJ48"/>
    <mergeCell ref="EDK46:EDK48"/>
    <mergeCell ref="EDL46:EDL48"/>
    <mergeCell ref="EDM46:EDM48"/>
    <mergeCell ref="EDN46:EDN48"/>
    <mergeCell ref="EDO46:EDO48"/>
    <mergeCell ref="EDD46:EDD48"/>
    <mergeCell ref="EDE46:EDE48"/>
    <mergeCell ref="EDF46:EDF48"/>
    <mergeCell ref="EDG46:EDG48"/>
    <mergeCell ref="EDH46:EDH48"/>
    <mergeCell ref="EDI46:EDI48"/>
    <mergeCell ref="ECX46:ECX48"/>
    <mergeCell ref="ECY46:ECY48"/>
    <mergeCell ref="ECZ46:ECZ48"/>
    <mergeCell ref="EDA46:EDA48"/>
    <mergeCell ref="EDB46:EDB48"/>
    <mergeCell ref="EDC46:EDC48"/>
    <mergeCell ref="ECR46:ECR48"/>
    <mergeCell ref="ECS46:ECS48"/>
    <mergeCell ref="ECT46:ECT48"/>
    <mergeCell ref="ECU46:ECU48"/>
    <mergeCell ref="ECV46:ECV48"/>
    <mergeCell ref="ECW46:ECW48"/>
    <mergeCell ref="ECL46:ECL48"/>
    <mergeCell ref="ECM46:ECM48"/>
    <mergeCell ref="ECN46:ECN48"/>
    <mergeCell ref="ECO46:ECO48"/>
    <mergeCell ref="ECP46:ECP48"/>
    <mergeCell ref="ECQ46:ECQ48"/>
    <mergeCell ref="ECF46:ECF48"/>
    <mergeCell ref="ECG46:ECG48"/>
    <mergeCell ref="ECH46:ECH48"/>
    <mergeCell ref="ECI46:ECI48"/>
    <mergeCell ref="ECJ46:ECJ48"/>
    <mergeCell ref="ECK46:ECK48"/>
    <mergeCell ref="EBZ46:EBZ48"/>
    <mergeCell ref="ECA46:ECA48"/>
    <mergeCell ref="ECB46:ECB48"/>
    <mergeCell ref="ECC46:ECC48"/>
    <mergeCell ref="ECD46:ECD48"/>
    <mergeCell ref="ECE46:ECE48"/>
    <mergeCell ref="EBT46:EBT48"/>
    <mergeCell ref="EBU46:EBU48"/>
    <mergeCell ref="EBV46:EBV48"/>
    <mergeCell ref="EBW46:EBW48"/>
    <mergeCell ref="EBX46:EBX48"/>
    <mergeCell ref="EBY46:EBY48"/>
    <mergeCell ref="EBN46:EBN48"/>
    <mergeCell ref="EBO46:EBO48"/>
    <mergeCell ref="EBP46:EBP48"/>
    <mergeCell ref="EBQ46:EBQ48"/>
    <mergeCell ref="EBR46:EBR48"/>
    <mergeCell ref="EBS46:EBS48"/>
    <mergeCell ref="EBH46:EBH48"/>
    <mergeCell ref="EBI46:EBI48"/>
    <mergeCell ref="EBJ46:EBJ48"/>
    <mergeCell ref="EBK46:EBK48"/>
    <mergeCell ref="EBL46:EBL48"/>
    <mergeCell ref="EBM46:EBM48"/>
    <mergeCell ref="EBB46:EBB48"/>
    <mergeCell ref="EBC46:EBC48"/>
    <mergeCell ref="EBD46:EBD48"/>
    <mergeCell ref="EBE46:EBE48"/>
    <mergeCell ref="EBF46:EBF48"/>
    <mergeCell ref="EBG46:EBG48"/>
    <mergeCell ref="EAV46:EAV48"/>
    <mergeCell ref="EAW46:EAW48"/>
    <mergeCell ref="EAX46:EAX48"/>
    <mergeCell ref="EAY46:EAY48"/>
    <mergeCell ref="EAZ46:EAZ48"/>
    <mergeCell ref="EBA46:EBA48"/>
    <mergeCell ref="EAP46:EAP48"/>
    <mergeCell ref="EAQ46:EAQ48"/>
    <mergeCell ref="EAR46:EAR48"/>
    <mergeCell ref="EAS46:EAS48"/>
    <mergeCell ref="EAT46:EAT48"/>
    <mergeCell ref="EAU46:EAU48"/>
    <mergeCell ref="EAJ46:EAJ48"/>
    <mergeCell ref="EAK46:EAK48"/>
    <mergeCell ref="EAL46:EAL48"/>
    <mergeCell ref="EAM46:EAM48"/>
    <mergeCell ref="EAN46:EAN48"/>
    <mergeCell ref="EAO46:EAO48"/>
    <mergeCell ref="EAD46:EAD48"/>
    <mergeCell ref="EAE46:EAE48"/>
    <mergeCell ref="EAF46:EAF48"/>
    <mergeCell ref="EAG46:EAG48"/>
    <mergeCell ref="EAH46:EAH48"/>
    <mergeCell ref="EAI46:EAI48"/>
    <mergeCell ref="DZX46:DZX48"/>
    <mergeCell ref="DZY46:DZY48"/>
    <mergeCell ref="DZZ46:DZZ48"/>
    <mergeCell ref="EAA46:EAA48"/>
    <mergeCell ref="EAB46:EAB48"/>
    <mergeCell ref="EAC46:EAC48"/>
    <mergeCell ref="DZR46:DZR48"/>
    <mergeCell ref="DZS46:DZS48"/>
    <mergeCell ref="DZT46:DZT48"/>
    <mergeCell ref="DZU46:DZU48"/>
    <mergeCell ref="DZV46:DZV48"/>
    <mergeCell ref="DZW46:DZW48"/>
    <mergeCell ref="DZL46:DZL48"/>
    <mergeCell ref="DZM46:DZM48"/>
    <mergeCell ref="DZN46:DZN48"/>
    <mergeCell ref="DZO46:DZO48"/>
    <mergeCell ref="DZP46:DZP48"/>
    <mergeCell ref="DZQ46:DZQ48"/>
    <mergeCell ref="DZF46:DZF48"/>
    <mergeCell ref="DZG46:DZG48"/>
    <mergeCell ref="DZH46:DZH48"/>
    <mergeCell ref="DZI46:DZI48"/>
    <mergeCell ref="DZJ46:DZJ48"/>
    <mergeCell ref="DZK46:DZK48"/>
    <mergeCell ref="DYZ46:DYZ48"/>
    <mergeCell ref="DZA46:DZA48"/>
    <mergeCell ref="DZB46:DZB48"/>
    <mergeCell ref="DZC46:DZC48"/>
    <mergeCell ref="DZD46:DZD48"/>
    <mergeCell ref="DZE46:DZE48"/>
    <mergeCell ref="DYT46:DYT48"/>
    <mergeCell ref="DYU46:DYU48"/>
    <mergeCell ref="DYV46:DYV48"/>
    <mergeCell ref="DYW46:DYW48"/>
    <mergeCell ref="DYX46:DYX48"/>
    <mergeCell ref="DYY46:DYY48"/>
    <mergeCell ref="DYN46:DYN48"/>
    <mergeCell ref="DYO46:DYO48"/>
    <mergeCell ref="DYP46:DYP48"/>
    <mergeCell ref="DYQ46:DYQ48"/>
    <mergeCell ref="DYR46:DYR48"/>
    <mergeCell ref="DYS46:DYS48"/>
    <mergeCell ref="DYH46:DYH48"/>
    <mergeCell ref="DYI46:DYI48"/>
    <mergeCell ref="DYJ46:DYJ48"/>
    <mergeCell ref="DYK46:DYK48"/>
    <mergeCell ref="DYL46:DYL48"/>
    <mergeCell ref="DYM46:DYM48"/>
    <mergeCell ref="DYB46:DYB48"/>
    <mergeCell ref="DYC46:DYC48"/>
    <mergeCell ref="DYD46:DYD48"/>
    <mergeCell ref="DYE46:DYE48"/>
    <mergeCell ref="DYF46:DYF48"/>
    <mergeCell ref="DYG46:DYG48"/>
    <mergeCell ref="DXV46:DXV48"/>
    <mergeCell ref="DXW46:DXW48"/>
    <mergeCell ref="DXX46:DXX48"/>
    <mergeCell ref="DXY46:DXY48"/>
    <mergeCell ref="DXZ46:DXZ48"/>
    <mergeCell ref="DYA46:DYA48"/>
    <mergeCell ref="DXP46:DXP48"/>
    <mergeCell ref="DXQ46:DXQ48"/>
    <mergeCell ref="DXR46:DXR48"/>
    <mergeCell ref="DXS46:DXS48"/>
    <mergeCell ref="DXT46:DXT48"/>
    <mergeCell ref="DXU46:DXU48"/>
    <mergeCell ref="DXJ46:DXJ48"/>
    <mergeCell ref="DXK46:DXK48"/>
    <mergeCell ref="DXL46:DXL48"/>
    <mergeCell ref="DXM46:DXM48"/>
    <mergeCell ref="DXN46:DXN48"/>
    <mergeCell ref="DXO46:DXO48"/>
    <mergeCell ref="DXD46:DXD48"/>
    <mergeCell ref="DXE46:DXE48"/>
    <mergeCell ref="DXF46:DXF48"/>
    <mergeCell ref="DXG46:DXG48"/>
    <mergeCell ref="DXH46:DXH48"/>
    <mergeCell ref="DXI46:DXI48"/>
    <mergeCell ref="DWX46:DWX48"/>
    <mergeCell ref="DWY46:DWY48"/>
    <mergeCell ref="DWZ46:DWZ48"/>
    <mergeCell ref="DXA46:DXA48"/>
    <mergeCell ref="DXB46:DXB48"/>
    <mergeCell ref="DXC46:DXC48"/>
    <mergeCell ref="DWR46:DWR48"/>
    <mergeCell ref="DWS46:DWS48"/>
    <mergeCell ref="DWT46:DWT48"/>
    <mergeCell ref="DWU46:DWU48"/>
    <mergeCell ref="DWV46:DWV48"/>
    <mergeCell ref="DWW46:DWW48"/>
    <mergeCell ref="DWL46:DWL48"/>
    <mergeCell ref="DWM46:DWM48"/>
    <mergeCell ref="DWN46:DWN48"/>
    <mergeCell ref="DWO46:DWO48"/>
    <mergeCell ref="DWP46:DWP48"/>
    <mergeCell ref="DWQ46:DWQ48"/>
    <mergeCell ref="DWF46:DWF48"/>
    <mergeCell ref="DWG46:DWG48"/>
    <mergeCell ref="DWH46:DWH48"/>
    <mergeCell ref="DWI46:DWI48"/>
    <mergeCell ref="DWJ46:DWJ48"/>
    <mergeCell ref="DWK46:DWK48"/>
    <mergeCell ref="DVZ46:DVZ48"/>
    <mergeCell ref="DWA46:DWA48"/>
    <mergeCell ref="DWB46:DWB48"/>
    <mergeCell ref="DWC46:DWC48"/>
    <mergeCell ref="DWD46:DWD48"/>
    <mergeCell ref="DWE46:DWE48"/>
    <mergeCell ref="DVT46:DVT48"/>
    <mergeCell ref="DVU46:DVU48"/>
    <mergeCell ref="DVV46:DVV48"/>
    <mergeCell ref="DVW46:DVW48"/>
    <mergeCell ref="DVX46:DVX48"/>
    <mergeCell ref="DVY46:DVY48"/>
    <mergeCell ref="DVN46:DVN48"/>
    <mergeCell ref="DVO46:DVO48"/>
    <mergeCell ref="DVP46:DVP48"/>
    <mergeCell ref="DVQ46:DVQ48"/>
    <mergeCell ref="DVR46:DVR48"/>
    <mergeCell ref="DVS46:DVS48"/>
    <mergeCell ref="DVH46:DVH48"/>
    <mergeCell ref="DVI46:DVI48"/>
    <mergeCell ref="DVJ46:DVJ48"/>
    <mergeCell ref="DVK46:DVK48"/>
    <mergeCell ref="DVL46:DVL48"/>
    <mergeCell ref="DVM46:DVM48"/>
    <mergeCell ref="DVB46:DVB48"/>
    <mergeCell ref="DVC46:DVC48"/>
    <mergeCell ref="DVD46:DVD48"/>
    <mergeCell ref="DVE46:DVE48"/>
    <mergeCell ref="DVF46:DVF48"/>
    <mergeCell ref="DVG46:DVG48"/>
    <mergeCell ref="DUV46:DUV48"/>
    <mergeCell ref="DUW46:DUW48"/>
    <mergeCell ref="DUX46:DUX48"/>
    <mergeCell ref="DUY46:DUY48"/>
    <mergeCell ref="DUZ46:DUZ48"/>
    <mergeCell ref="DVA46:DVA48"/>
    <mergeCell ref="DUP46:DUP48"/>
    <mergeCell ref="DUQ46:DUQ48"/>
    <mergeCell ref="DUR46:DUR48"/>
    <mergeCell ref="DUS46:DUS48"/>
    <mergeCell ref="DUT46:DUT48"/>
    <mergeCell ref="DUU46:DUU48"/>
    <mergeCell ref="DUJ46:DUJ48"/>
    <mergeCell ref="DUK46:DUK48"/>
    <mergeCell ref="DUL46:DUL48"/>
    <mergeCell ref="DUM46:DUM48"/>
    <mergeCell ref="DUN46:DUN48"/>
    <mergeCell ref="DUO46:DUO48"/>
    <mergeCell ref="DUD46:DUD48"/>
    <mergeCell ref="DUE46:DUE48"/>
    <mergeCell ref="DUF46:DUF48"/>
    <mergeCell ref="DUG46:DUG48"/>
    <mergeCell ref="DUH46:DUH48"/>
    <mergeCell ref="DUI46:DUI48"/>
    <mergeCell ref="DTX46:DTX48"/>
    <mergeCell ref="DTY46:DTY48"/>
    <mergeCell ref="DTZ46:DTZ48"/>
    <mergeCell ref="DUA46:DUA48"/>
    <mergeCell ref="DUB46:DUB48"/>
    <mergeCell ref="DUC46:DUC48"/>
    <mergeCell ref="DTR46:DTR48"/>
    <mergeCell ref="DTS46:DTS48"/>
    <mergeCell ref="DTT46:DTT48"/>
    <mergeCell ref="DTU46:DTU48"/>
    <mergeCell ref="DTV46:DTV48"/>
    <mergeCell ref="DTW46:DTW48"/>
    <mergeCell ref="DTL46:DTL48"/>
    <mergeCell ref="DTM46:DTM48"/>
    <mergeCell ref="DTN46:DTN48"/>
    <mergeCell ref="DTO46:DTO48"/>
    <mergeCell ref="DTP46:DTP48"/>
    <mergeCell ref="DTQ46:DTQ48"/>
    <mergeCell ref="DTF46:DTF48"/>
    <mergeCell ref="DTG46:DTG48"/>
    <mergeCell ref="DTH46:DTH48"/>
    <mergeCell ref="DTI46:DTI48"/>
    <mergeCell ref="DTJ46:DTJ48"/>
    <mergeCell ref="DTK46:DTK48"/>
    <mergeCell ref="DSZ46:DSZ48"/>
    <mergeCell ref="DTA46:DTA48"/>
    <mergeCell ref="DTB46:DTB48"/>
    <mergeCell ref="DTC46:DTC48"/>
    <mergeCell ref="DTD46:DTD48"/>
    <mergeCell ref="DTE46:DTE48"/>
    <mergeCell ref="DST46:DST48"/>
    <mergeCell ref="DSU46:DSU48"/>
    <mergeCell ref="DSV46:DSV48"/>
    <mergeCell ref="DSW46:DSW48"/>
    <mergeCell ref="DSX46:DSX48"/>
    <mergeCell ref="DSY46:DSY48"/>
    <mergeCell ref="DSN46:DSN48"/>
    <mergeCell ref="DSO46:DSO48"/>
    <mergeCell ref="DSP46:DSP48"/>
    <mergeCell ref="DSQ46:DSQ48"/>
    <mergeCell ref="DSR46:DSR48"/>
    <mergeCell ref="DSS46:DSS48"/>
    <mergeCell ref="DSH46:DSH48"/>
    <mergeCell ref="DSI46:DSI48"/>
    <mergeCell ref="DSJ46:DSJ48"/>
    <mergeCell ref="DSK46:DSK48"/>
    <mergeCell ref="DSL46:DSL48"/>
    <mergeCell ref="DSM46:DSM48"/>
    <mergeCell ref="DSB46:DSB48"/>
    <mergeCell ref="DSC46:DSC48"/>
    <mergeCell ref="DSD46:DSD48"/>
    <mergeCell ref="DSE46:DSE48"/>
    <mergeCell ref="DSF46:DSF48"/>
    <mergeCell ref="DSG46:DSG48"/>
    <mergeCell ref="DRV46:DRV48"/>
    <mergeCell ref="DRW46:DRW48"/>
    <mergeCell ref="DRX46:DRX48"/>
    <mergeCell ref="DRY46:DRY48"/>
    <mergeCell ref="DRZ46:DRZ48"/>
    <mergeCell ref="DSA46:DSA48"/>
    <mergeCell ref="DRP46:DRP48"/>
    <mergeCell ref="DRQ46:DRQ48"/>
    <mergeCell ref="DRR46:DRR48"/>
    <mergeCell ref="DRS46:DRS48"/>
    <mergeCell ref="DRT46:DRT48"/>
    <mergeCell ref="DRU46:DRU48"/>
    <mergeCell ref="DRJ46:DRJ48"/>
    <mergeCell ref="DRK46:DRK48"/>
    <mergeCell ref="DRL46:DRL48"/>
    <mergeCell ref="DRM46:DRM48"/>
    <mergeCell ref="DRN46:DRN48"/>
    <mergeCell ref="DRO46:DRO48"/>
    <mergeCell ref="DRD46:DRD48"/>
    <mergeCell ref="DRE46:DRE48"/>
    <mergeCell ref="DRF46:DRF48"/>
    <mergeCell ref="DRG46:DRG48"/>
    <mergeCell ref="DRH46:DRH48"/>
    <mergeCell ref="DRI46:DRI48"/>
    <mergeCell ref="DQX46:DQX48"/>
    <mergeCell ref="DQY46:DQY48"/>
    <mergeCell ref="DQZ46:DQZ48"/>
    <mergeCell ref="DRA46:DRA48"/>
    <mergeCell ref="DRB46:DRB48"/>
    <mergeCell ref="DRC46:DRC48"/>
    <mergeCell ref="DQR46:DQR48"/>
    <mergeCell ref="DQS46:DQS48"/>
    <mergeCell ref="DQT46:DQT48"/>
    <mergeCell ref="DQU46:DQU48"/>
    <mergeCell ref="DQV46:DQV48"/>
    <mergeCell ref="DQW46:DQW48"/>
    <mergeCell ref="DQL46:DQL48"/>
    <mergeCell ref="DQM46:DQM48"/>
    <mergeCell ref="DQN46:DQN48"/>
    <mergeCell ref="DQO46:DQO48"/>
    <mergeCell ref="DQP46:DQP48"/>
    <mergeCell ref="DQQ46:DQQ48"/>
    <mergeCell ref="DQF46:DQF48"/>
    <mergeCell ref="DQG46:DQG48"/>
    <mergeCell ref="DQH46:DQH48"/>
    <mergeCell ref="DQI46:DQI48"/>
    <mergeCell ref="DQJ46:DQJ48"/>
    <mergeCell ref="DQK46:DQK48"/>
    <mergeCell ref="DPZ46:DPZ48"/>
    <mergeCell ref="DQA46:DQA48"/>
    <mergeCell ref="DQB46:DQB48"/>
    <mergeCell ref="DQC46:DQC48"/>
    <mergeCell ref="DQD46:DQD48"/>
    <mergeCell ref="DQE46:DQE48"/>
    <mergeCell ref="DPT46:DPT48"/>
    <mergeCell ref="DPU46:DPU48"/>
    <mergeCell ref="DPV46:DPV48"/>
    <mergeCell ref="DPW46:DPW48"/>
    <mergeCell ref="DPX46:DPX48"/>
    <mergeCell ref="DPY46:DPY48"/>
    <mergeCell ref="DPN46:DPN48"/>
    <mergeCell ref="DPO46:DPO48"/>
    <mergeCell ref="DPP46:DPP48"/>
    <mergeCell ref="DPQ46:DPQ48"/>
    <mergeCell ref="DPR46:DPR48"/>
    <mergeCell ref="DPS46:DPS48"/>
    <mergeCell ref="DPH46:DPH48"/>
    <mergeCell ref="DPI46:DPI48"/>
    <mergeCell ref="DPJ46:DPJ48"/>
    <mergeCell ref="DPK46:DPK48"/>
    <mergeCell ref="DPL46:DPL48"/>
    <mergeCell ref="DPM46:DPM48"/>
    <mergeCell ref="DPB46:DPB48"/>
    <mergeCell ref="DPC46:DPC48"/>
    <mergeCell ref="DPD46:DPD48"/>
    <mergeCell ref="DPE46:DPE48"/>
    <mergeCell ref="DPF46:DPF48"/>
    <mergeCell ref="DPG46:DPG48"/>
    <mergeCell ref="DOV46:DOV48"/>
    <mergeCell ref="DOW46:DOW48"/>
    <mergeCell ref="DOX46:DOX48"/>
    <mergeCell ref="DOY46:DOY48"/>
    <mergeCell ref="DOZ46:DOZ48"/>
    <mergeCell ref="DPA46:DPA48"/>
    <mergeCell ref="DOP46:DOP48"/>
    <mergeCell ref="DOQ46:DOQ48"/>
    <mergeCell ref="DOR46:DOR48"/>
    <mergeCell ref="DOS46:DOS48"/>
    <mergeCell ref="DOT46:DOT48"/>
    <mergeCell ref="DOU46:DOU48"/>
    <mergeCell ref="DOJ46:DOJ48"/>
    <mergeCell ref="DOK46:DOK48"/>
    <mergeCell ref="DOL46:DOL48"/>
    <mergeCell ref="DOM46:DOM48"/>
    <mergeCell ref="DON46:DON48"/>
    <mergeCell ref="DOO46:DOO48"/>
    <mergeCell ref="DOD46:DOD48"/>
    <mergeCell ref="DOE46:DOE48"/>
    <mergeCell ref="DOF46:DOF48"/>
    <mergeCell ref="DOG46:DOG48"/>
    <mergeCell ref="DOH46:DOH48"/>
    <mergeCell ref="DOI46:DOI48"/>
    <mergeCell ref="DNX46:DNX48"/>
    <mergeCell ref="DNY46:DNY48"/>
    <mergeCell ref="DNZ46:DNZ48"/>
    <mergeCell ref="DOA46:DOA48"/>
    <mergeCell ref="DOB46:DOB48"/>
    <mergeCell ref="DOC46:DOC48"/>
    <mergeCell ref="DNR46:DNR48"/>
    <mergeCell ref="DNS46:DNS48"/>
    <mergeCell ref="DNT46:DNT48"/>
    <mergeCell ref="DNU46:DNU48"/>
    <mergeCell ref="DNV46:DNV48"/>
    <mergeCell ref="DNW46:DNW48"/>
    <mergeCell ref="DNL46:DNL48"/>
    <mergeCell ref="DNM46:DNM48"/>
    <mergeCell ref="DNN46:DNN48"/>
    <mergeCell ref="DNO46:DNO48"/>
    <mergeCell ref="DNP46:DNP48"/>
    <mergeCell ref="DNQ46:DNQ48"/>
    <mergeCell ref="DNF46:DNF48"/>
    <mergeCell ref="DNG46:DNG48"/>
    <mergeCell ref="DNH46:DNH48"/>
    <mergeCell ref="DNI46:DNI48"/>
    <mergeCell ref="DNJ46:DNJ48"/>
    <mergeCell ref="DNK46:DNK48"/>
    <mergeCell ref="DMZ46:DMZ48"/>
    <mergeCell ref="DNA46:DNA48"/>
    <mergeCell ref="DNB46:DNB48"/>
    <mergeCell ref="DNC46:DNC48"/>
    <mergeCell ref="DND46:DND48"/>
    <mergeCell ref="DNE46:DNE48"/>
    <mergeCell ref="DMT46:DMT48"/>
    <mergeCell ref="DMU46:DMU48"/>
    <mergeCell ref="DMV46:DMV48"/>
    <mergeCell ref="DMW46:DMW48"/>
    <mergeCell ref="DMX46:DMX48"/>
    <mergeCell ref="DMY46:DMY48"/>
    <mergeCell ref="DMN46:DMN48"/>
    <mergeCell ref="DMO46:DMO48"/>
    <mergeCell ref="DMP46:DMP48"/>
    <mergeCell ref="DMQ46:DMQ48"/>
    <mergeCell ref="DMR46:DMR48"/>
    <mergeCell ref="DMS46:DMS48"/>
    <mergeCell ref="DMH46:DMH48"/>
    <mergeCell ref="DMI46:DMI48"/>
    <mergeCell ref="DMJ46:DMJ48"/>
    <mergeCell ref="DMK46:DMK48"/>
    <mergeCell ref="DML46:DML48"/>
    <mergeCell ref="DMM46:DMM48"/>
    <mergeCell ref="DMB46:DMB48"/>
    <mergeCell ref="DMC46:DMC48"/>
    <mergeCell ref="DMD46:DMD48"/>
    <mergeCell ref="DME46:DME48"/>
    <mergeCell ref="DMF46:DMF48"/>
    <mergeCell ref="DMG46:DMG48"/>
    <mergeCell ref="DLV46:DLV48"/>
    <mergeCell ref="DLW46:DLW48"/>
    <mergeCell ref="DLX46:DLX48"/>
    <mergeCell ref="DLY46:DLY48"/>
    <mergeCell ref="DLZ46:DLZ48"/>
    <mergeCell ref="DMA46:DMA48"/>
    <mergeCell ref="DLP46:DLP48"/>
    <mergeCell ref="DLQ46:DLQ48"/>
    <mergeCell ref="DLR46:DLR48"/>
    <mergeCell ref="DLS46:DLS48"/>
    <mergeCell ref="DLT46:DLT48"/>
    <mergeCell ref="DLU46:DLU48"/>
    <mergeCell ref="DLJ46:DLJ48"/>
    <mergeCell ref="DLK46:DLK48"/>
    <mergeCell ref="DLL46:DLL48"/>
    <mergeCell ref="DLM46:DLM48"/>
    <mergeCell ref="DLN46:DLN48"/>
    <mergeCell ref="DLO46:DLO48"/>
    <mergeCell ref="DLD46:DLD48"/>
    <mergeCell ref="DLE46:DLE48"/>
    <mergeCell ref="DLF46:DLF48"/>
    <mergeCell ref="DLG46:DLG48"/>
    <mergeCell ref="DLH46:DLH48"/>
    <mergeCell ref="DLI46:DLI48"/>
    <mergeCell ref="DKX46:DKX48"/>
    <mergeCell ref="DKY46:DKY48"/>
    <mergeCell ref="DKZ46:DKZ48"/>
    <mergeCell ref="DLA46:DLA48"/>
    <mergeCell ref="DLB46:DLB48"/>
    <mergeCell ref="DLC46:DLC48"/>
    <mergeCell ref="DKR46:DKR48"/>
    <mergeCell ref="DKS46:DKS48"/>
    <mergeCell ref="DKT46:DKT48"/>
    <mergeCell ref="DKU46:DKU48"/>
    <mergeCell ref="DKV46:DKV48"/>
    <mergeCell ref="DKW46:DKW48"/>
    <mergeCell ref="DKL46:DKL48"/>
    <mergeCell ref="DKM46:DKM48"/>
    <mergeCell ref="DKN46:DKN48"/>
    <mergeCell ref="DKO46:DKO48"/>
    <mergeCell ref="DKP46:DKP48"/>
    <mergeCell ref="DKQ46:DKQ48"/>
    <mergeCell ref="DKF46:DKF48"/>
    <mergeCell ref="DKG46:DKG48"/>
    <mergeCell ref="DKH46:DKH48"/>
    <mergeCell ref="DKI46:DKI48"/>
    <mergeCell ref="DKJ46:DKJ48"/>
    <mergeCell ref="DKK46:DKK48"/>
    <mergeCell ref="DJZ46:DJZ48"/>
    <mergeCell ref="DKA46:DKA48"/>
    <mergeCell ref="DKB46:DKB48"/>
    <mergeCell ref="DKC46:DKC48"/>
    <mergeCell ref="DKD46:DKD48"/>
    <mergeCell ref="DKE46:DKE48"/>
    <mergeCell ref="DJT46:DJT48"/>
    <mergeCell ref="DJU46:DJU48"/>
    <mergeCell ref="DJV46:DJV48"/>
    <mergeCell ref="DJW46:DJW48"/>
    <mergeCell ref="DJX46:DJX48"/>
    <mergeCell ref="DJY46:DJY48"/>
    <mergeCell ref="DJN46:DJN48"/>
    <mergeCell ref="DJO46:DJO48"/>
    <mergeCell ref="DJP46:DJP48"/>
    <mergeCell ref="DJQ46:DJQ48"/>
    <mergeCell ref="DJR46:DJR48"/>
    <mergeCell ref="DJS46:DJS48"/>
    <mergeCell ref="DJH46:DJH48"/>
    <mergeCell ref="DJI46:DJI48"/>
    <mergeCell ref="DJJ46:DJJ48"/>
    <mergeCell ref="DJK46:DJK48"/>
    <mergeCell ref="DJL46:DJL48"/>
    <mergeCell ref="DJM46:DJM48"/>
    <mergeCell ref="DJB46:DJB48"/>
    <mergeCell ref="DJC46:DJC48"/>
    <mergeCell ref="DJD46:DJD48"/>
    <mergeCell ref="DJE46:DJE48"/>
    <mergeCell ref="DJF46:DJF48"/>
    <mergeCell ref="DJG46:DJG48"/>
    <mergeCell ref="DIV46:DIV48"/>
    <mergeCell ref="DIW46:DIW48"/>
    <mergeCell ref="DIX46:DIX48"/>
    <mergeCell ref="DIY46:DIY48"/>
    <mergeCell ref="DIZ46:DIZ48"/>
    <mergeCell ref="DJA46:DJA48"/>
    <mergeCell ref="DIP46:DIP48"/>
    <mergeCell ref="DIQ46:DIQ48"/>
    <mergeCell ref="DIR46:DIR48"/>
    <mergeCell ref="DIS46:DIS48"/>
    <mergeCell ref="DIT46:DIT48"/>
    <mergeCell ref="DIU46:DIU48"/>
    <mergeCell ref="DIJ46:DIJ48"/>
    <mergeCell ref="DIK46:DIK48"/>
    <mergeCell ref="DIL46:DIL48"/>
    <mergeCell ref="DIM46:DIM48"/>
    <mergeCell ref="DIN46:DIN48"/>
    <mergeCell ref="DIO46:DIO48"/>
    <mergeCell ref="DID46:DID48"/>
    <mergeCell ref="DIE46:DIE48"/>
    <mergeCell ref="DIF46:DIF48"/>
    <mergeCell ref="DIG46:DIG48"/>
    <mergeCell ref="DIH46:DIH48"/>
    <mergeCell ref="DII46:DII48"/>
    <mergeCell ref="DHX46:DHX48"/>
    <mergeCell ref="DHY46:DHY48"/>
    <mergeCell ref="DHZ46:DHZ48"/>
    <mergeCell ref="DIA46:DIA48"/>
    <mergeCell ref="DIB46:DIB48"/>
    <mergeCell ref="DIC46:DIC48"/>
    <mergeCell ref="DHR46:DHR48"/>
    <mergeCell ref="DHS46:DHS48"/>
    <mergeCell ref="DHT46:DHT48"/>
    <mergeCell ref="DHU46:DHU48"/>
    <mergeCell ref="DHV46:DHV48"/>
    <mergeCell ref="DHW46:DHW48"/>
    <mergeCell ref="DHL46:DHL48"/>
    <mergeCell ref="DHM46:DHM48"/>
    <mergeCell ref="DHN46:DHN48"/>
    <mergeCell ref="DHO46:DHO48"/>
    <mergeCell ref="DHP46:DHP48"/>
    <mergeCell ref="DHQ46:DHQ48"/>
    <mergeCell ref="DHF46:DHF48"/>
    <mergeCell ref="DHG46:DHG48"/>
    <mergeCell ref="DHH46:DHH48"/>
    <mergeCell ref="DHI46:DHI48"/>
    <mergeCell ref="DHJ46:DHJ48"/>
    <mergeCell ref="DHK46:DHK48"/>
    <mergeCell ref="DGZ46:DGZ48"/>
    <mergeCell ref="DHA46:DHA48"/>
    <mergeCell ref="DHB46:DHB48"/>
    <mergeCell ref="DHC46:DHC48"/>
    <mergeCell ref="DHD46:DHD48"/>
    <mergeCell ref="DHE46:DHE48"/>
    <mergeCell ref="DGT46:DGT48"/>
    <mergeCell ref="DGU46:DGU48"/>
    <mergeCell ref="DGV46:DGV48"/>
    <mergeCell ref="DGW46:DGW48"/>
    <mergeCell ref="DGX46:DGX48"/>
    <mergeCell ref="DGY46:DGY48"/>
    <mergeCell ref="DGN46:DGN48"/>
    <mergeCell ref="DGO46:DGO48"/>
    <mergeCell ref="DGP46:DGP48"/>
    <mergeCell ref="DGQ46:DGQ48"/>
    <mergeCell ref="DGR46:DGR48"/>
    <mergeCell ref="DGS46:DGS48"/>
    <mergeCell ref="DGH46:DGH48"/>
    <mergeCell ref="DGI46:DGI48"/>
    <mergeCell ref="DGJ46:DGJ48"/>
    <mergeCell ref="DGK46:DGK48"/>
    <mergeCell ref="DGL46:DGL48"/>
    <mergeCell ref="DGM46:DGM48"/>
    <mergeCell ref="DGB46:DGB48"/>
    <mergeCell ref="DGC46:DGC48"/>
    <mergeCell ref="DGD46:DGD48"/>
    <mergeCell ref="DGE46:DGE48"/>
    <mergeCell ref="DGF46:DGF48"/>
    <mergeCell ref="DGG46:DGG48"/>
    <mergeCell ref="DFV46:DFV48"/>
    <mergeCell ref="DFW46:DFW48"/>
    <mergeCell ref="DFX46:DFX48"/>
    <mergeCell ref="DFY46:DFY48"/>
    <mergeCell ref="DFZ46:DFZ48"/>
    <mergeCell ref="DGA46:DGA48"/>
    <mergeCell ref="DFP46:DFP48"/>
    <mergeCell ref="DFQ46:DFQ48"/>
    <mergeCell ref="DFR46:DFR48"/>
    <mergeCell ref="DFS46:DFS48"/>
    <mergeCell ref="DFT46:DFT48"/>
    <mergeCell ref="DFU46:DFU48"/>
    <mergeCell ref="DFJ46:DFJ48"/>
    <mergeCell ref="DFK46:DFK48"/>
    <mergeCell ref="DFL46:DFL48"/>
    <mergeCell ref="DFM46:DFM48"/>
    <mergeCell ref="DFN46:DFN48"/>
    <mergeCell ref="DFO46:DFO48"/>
    <mergeCell ref="DFD46:DFD48"/>
    <mergeCell ref="DFE46:DFE48"/>
    <mergeCell ref="DFF46:DFF48"/>
    <mergeCell ref="DFG46:DFG48"/>
    <mergeCell ref="DFH46:DFH48"/>
    <mergeCell ref="DFI46:DFI48"/>
    <mergeCell ref="DEX46:DEX48"/>
    <mergeCell ref="DEY46:DEY48"/>
    <mergeCell ref="DEZ46:DEZ48"/>
    <mergeCell ref="DFA46:DFA48"/>
    <mergeCell ref="DFB46:DFB48"/>
    <mergeCell ref="DFC46:DFC48"/>
    <mergeCell ref="DER46:DER48"/>
    <mergeCell ref="DES46:DES48"/>
    <mergeCell ref="DET46:DET48"/>
    <mergeCell ref="DEU46:DEU48"/>
    <mergeCell ref="DEV46:DEV48"/>
    <mergeCell ref="DEW46:DEW48"/>
    <mergeCell ref="DEL46:DEL48"/>
    <mergeCell ref="DEM46:DEM48"/>
    <mergeCell ref="DEN46:DEN48"/>
    <mergeCell ref="DEO46:DEO48"/>
    <mergeCell ref="DEP46:DEP48"/>
    <mergeCell ref="DEQ46:DEQ48"/>
    <mergeCell ref="DEF46:DEF48"/>
    <mergeCell ref="DEG46:DEG48"/>
    <mergeCell ref="DEH46:DEH48"/>
    <mergeCell ref="DEI46:DEI48"/>
    <mergeCell ref="DEJ46:DEJ48"/>
    <mergeCell ref="DEK46:DEK48"/>
    <mergeCell ref="DDZ46:DDZ48"/>
    <mergeCell ref="DEA46:DEA48"/>
    <mergeCell ref="DEB46:DEB48"/>
    <mergeCell ref="DEC46:DEC48"/>
    <mergeCell ref="DED46:DED48"/>
    <mergeCell ref="DEE46:DEE48"/>
    <mergeCell ref="DDT46:DDT48"/>
    <mergeCell ref="DDU46:DDU48"/>
    <mergeCell ref="DDV46:DDV48"/>
    <mergeCell ref="DDW46:DDW48"/>
    <mergeCell ref="DDX46:DDX48"/>
    <mergeCell ref="DDY46:DDY48"/>
    <mergeCell ref="DDN46:DDN48"/>
    <mergeCell ref="DDO46:DDO48"/>
    <mergeCell ref="DDP46:DDP48"/>
    <mergeCell ref="DDQ46:DDQ48"/>
    <mergeCell ref="DDR46:DDR48"/>
    <mergeCell ref="DDS46:DDS48"/>
    <mergeCell ref="DDH46:DDH48"/>
    <mergeCell ref="DDI46:DDI48"/>
    <mergeCell ref="DDJ46:DDJ48"/>
    <mergeCell ref="DDK46:DDK48"/>
    <mergeCell ref="DDL46:DDL48"/>
    <mergeCell ref="DDM46:DDM48"/>
    <mergeCell ref="DDB46:DDB48"/>
    <mergeCell ref="DDC46:DDC48"/>
    <mergeCell ref="DDD46:DDD48"/>
    <mergeCell ref="DDE46:DDE48"/>
    <mergeCell ref="DDF46:DDF48"/>
    <mergeCell ref="DDG46:DDG48"/>
    <mergeCell ref="DCV46:DCV48"/>
    <mergeCell ref="DCW46:DCW48"/>
    <mergeCell ref="DCX46:DCX48"/>
    <mergeCell ref="DCY46:DCY48"/>
    <mergeCell ref="DCZ46:DCZ48"/>
    <mergeCell ref="DDA46:DDA48"/>
    <mergeCell ref="DCP46:DCP48"/>
    <mergeCell ref="DCQ46:DCQ48"/>
    <mergeCell ref="DCR46:DCR48"/>
    <mergeCell ref="DCS46:DCS48"/>
    <mergeCell ref="DCT46:DCT48"/>
    <mergeCell ref="DCU46:DCU48"/>
    <mergeCell ref="DCJ46:DCJ48"/>
    <mergeCell ref="DCK46:DCK48"/>
    <mergeCell ref="DCL46:DCL48"/>
    <mergeCell ref="DCM46:DCM48"/>
    <mergeCell ref="DCN46:DCN48"/>
    <mergeCell ref="DCO46:DCO48"/>
    <mergeCell ref="DCD46:DCD48"/>
    <mergeCell ref="DCE46:DCE48"/>
    <mergeCell ref="DCF46:DCF48"/>
    <mergeCell ref="DCG46:DCG48"/>
    <mergeCell ref="DCH46:DCH48"/>
    <mergeCell ref="DCI46:DCI48"/>
    <mergeCell ref="DBX46:DBX48"/>
    <mergeCell ref="DBY46:DBY48"/>
    <mergeCell ref="DBZ46:DBZ48"/>
    <mergeCell ref="DCA46:DCA48"/>
    <mergeCell ref="DCB46:DCB48"/>
    <mergeCell ref="DCC46:DCC48"/>
    <mergeCell ref="DBR46:DBR48"/>
    <mergeCell ref="DBS46:DBS48"/>
    <mergeCell ref="DBT46:DBT48"/>
    <mergeCell ref="DBU46:DBU48"/>
    <mergeCell ref="DBV46:DBV48"/>
    <mergeCell ref="DBW46:DBW48"/>
    <mergeCell ref="DBL46:DBL48"/>
    <mergeCell ref="DBM46:DBM48"/>
    <mergeCell ref="DBN46:DBN48"/>
    <mergeCell ref="DBO46:DBO48"/>
    <mergeCell ref="DBP46:DBP48"/>
    <mergeCell ref="DBQ46:DBQ48"/>
    <mergeCell ref="DBF46:DBF48"/>
    <mergeCell ref="DBG46:DBG48"/>
    <mergeCell ref="DBH46:DBH48"/>
    <mergeCell ref="DBI46:DBI48"/>
    <mergeCell ref="DBJ46:DBJ48"/>
    <mergeCell ref="DBK46:DBK48"/>
    <mergeCell ref="DAZ46:DAZ48"/>
    <mergeCell ref="DBA46:DBA48"/>
    <mergeCell ref="DBB46:DBB48"/>
    <mergeCell ref="DBC46:DBC48"/>
    <mergeCell ref="DBD46:DBD48"/>
    <mergeCell ref="DBE46:DBE48"/>
    <mergeCell ref="DAT46:DAT48"/>
    <mergeCell ref="DAU46:DAU48"/>
    <mergeCell ref="DAV46:DAV48"/>
    <mergeCell ref="DAW46:DAW48"/>
    <mergeCell ref="DAX46:DAX48"/>
    <mergeCell ref="DAY46:DAY48"/>
    <mergeCell ref="DAN46:DAN48"/>
    <mergeCell ref="DAO46:DAO48"/>
    <mergeCell ref="DAP46:DAP48"/>
    <mergeCell ref="DAQ46:DAQ48"/>
    <mergeCell ref="DAR46:DAR48"/>
    <mergeCell ref="DAS46:DAS48"/>
    <mergeCell ref="DAH46:DAH48"/>
    <mergeCell ref="DAI46:DAI48"/>
    <mergeCell ref="DAJ46:DAJ48"/>
    <mergeCell ref="DAK46:DAK48"/>
    <mergeCell ref="DAL46:DAL48"/>
    <mergeCell ref="DAM46:DAM48"/>
    <mergeCell ref="DAB46:DAB48"/>
    <mergeCell ref="DAC46:DAC48"/>
    <mergeCell ref="DAD46:DAD48"/>
    <mergeCell ref="DAE46:DAE48"/>
    <mergeCell ref="DAF46:DAF48"/>
    <mergeCell ref="DAG46:DAG48"/>
    <mergeCell ref="CZV46:CZV48"/>
    <mergeCell ref="CZW46:CZW48"/>
    <mergeCell ref="CZX46:CZX48"/>
    <mergeCell ref="CZY46:CZY48"/>
    <mergeCell ref="CZZ46:CZZ48"/>
    <mergeCell ref="DAA46:DAA48"/>
    <mergeCell ref="CZP46:CZP48"/>
    <mergeCell ref="CZQ46:CZQ48"/>
    <mergeCell ref="CZR46:CZR48"/>
    <mergeCell ref="CZS46:CZS48"/>
    <mergeCell ref="CZT46:CZT48"/>
    <mergeCell ref="CZU46:CZU48"/>
    <mergeCell ref="CZJ46:CZJ48"/>
    <mergeCell ref="CZK46:CZK48"/>
    <mergeCell ref="CZL46:CZL48"/>
    <mergeCell ref="CZM46:CZM48"/>
    <mergeCell ref="CZN46:CZN48"/>
    <mergeCell ref="CZO46:CZO48"/>
    <mergeCell ref="CZD46:CZD48"/>
    <mergeCell ref="CZE46:CZE48"/>
    <mergeCell ref="CZF46:CZF48"/>
    <mergeCell ref="CZG46:CZG48"/>
    <mergeCell ref="CZH46:CZH48"/>
    <mergeCell ref="CZI46:CZI48"/>
    <mergeCell ref="CYX46:CYX48"/>
    <mergeCell ref="CYY46:CYY48"/>
    <mergeCell ref="CYZ46:CYZ48"/>
    <mergeCell ref="CZA46:CZA48"/>
    <mergeCell ref="CZB46:CZB48"/>
    <mergeCell ref="CZC46:CZC48"/>
    <mergeCell ref="CYR46:CYR48"/>
    <mergeCell ref="CYS46:CYS48"/>
    <mergeCell ref="CYT46:CYT48"/>
    <mergeCell ref="CYU46:CYU48"/>
    <mergeCell ref="CYV46:CYV48"/>
    <mergeCell ref="CYW46:CYW48"/>
    <mergeCell ref="CYL46:CYL48"/>
    <mergeCell ref="CYM46:CYM48"/>
    <mergeCell ref="CYN46:CYN48"/>
    <mergeCell ref="CYO46:CYO48"/>
    <mergeCell ref="CYP46:CYP48"/>
    <mergeCell ref="CYQ46:CYQ48"/>
    <mergeCell ref="CYF46:CYF48"/>
    <mergeCell ref="CYG46:CYG48"/>
    <mergeCell ref="CYH46:CYH48"/>
    <mergeCell ref="CYI46:CYI48"/>
    <mergeCell ref="CYJ46:CYJ48"/>
    <mergeCell ref="CYK46:CYK48"/>
    <mergeCell ref="CXZ46:CXZ48"/>
    <mergeCell ref="CYA46:CYA48"/>
    <mergeCell ref="CYB46:CYB48"/>
    <mergeCell ref="CYC46:CYC48"/>
    <mergeCell ref="CYD46:CYD48"/>
    <mergeCell ref="CYE46:CYE48"/>
    <mergeCell ref="CXT46:CXT48"/>
    <mergeCell ref="CXU46:CXU48"/>
    <mergeCell ref="CXV46:CXV48"/>
    <mergeCell ref="CXW46:CXW48"/>
    <mergeCell ref="CXX46:CXX48"/>
    <mergeCell ref="CXY46:CXY48"/>
    <mergeCell ref="CXN46:CXN48"/>
    <mergeCell ref="CXO46:CXO48"/>
    <mergeCell ref="CXP46:CXP48"/>
    <mergeCell ref="CXQ46:CXQ48"/>
    <mergeCell ref="CXR46:CXR48"/>
    <mergeCell ref="CXS46:CXS48"/>
    <mergeCell ref="CXH46:CXH48"/>
    <mergeCell ref="CXI46:CXI48"/>
    <mergeCell ref="CXJ46:CXJ48"/>
    <mergeCell ref="CXK46:CXK48"/>
    <mergeCell ref="CXL46:CXL48"/>
    <mergeCell ref="CXM46:CXM48"/>
    <mergeCell ref="CXB46:CXB48"/>
    <mergeCell ref="CXC46:CXC48"/>
    <mergeCell ref="CXD46:CXD48"/>
    <mergeCell ref="CXE46:CXE48"/>
    <mergeCell ref="CXF46:CXF48"/>
    <mergeCell ref="CXG46:CXG48"/>
    <mergeCell ref="CWV46:CWV48"/>
    <mergeCell ref="CWW46:CWW48"/>
    <mergeCell ref="CWX46:CWX48"/>
    <mergeCell ref="CWY46:CWY48"/>
    <mergeCell ref="CWZ46:CWZ48"/>
    <mergeCell ref="CXA46:CXA48"/>
    <mergeCell ref="CWP46:CWP48"/>
    <mergeCell ref="CWQ46:CWQ48"/>
    <mergeCell ref="CWR46:CWR48"/>
    <mergeCell ref="CWS46:CWS48"/>
    <mergeCell ref="CWT46:CWT48"/>
    <mergeCell ref="CWU46:CWU48"/>
    <mergeCell ref="CWJ46:CWJ48"/>
    <mergeCell ref="CWK46:CWK48"/>
    <mergeCell ref="CWL46:CWL48"/>
    <mergeCell ref="CWM46:CWM48"/>
    <mergeCell ref="CWN46:CWN48"/>
    <mergeCell ref="CWO46:CWO48"/>
    <mergeCell ref="CWD46:CWD48"/>
    <mergeCell ref="CWE46:CWE48"/>
    <mergeCell ref="CWF46:CWF48"/>
    <mergeCell ref="CWG46:CWG48"/>
    <mergeCell ref="CWH46:CWH48"/>
    <mergeCell ref="CWI46:CWI48"/>
    <mergeCell ref="CVX46:CVX48"/>
    <mergeCell ref="CVY46:CVY48"/>
    <mergeCell ref="CVZ46:CVZ48"/>
    <mergeCell ref="CWA46:CWA48"/>
    <mergeCell ref="CWB46:CWB48"/>
    <mergeCell ref="CWC46:CWC48"/>
    <mergeCell ref="CVR46:CVR48"/>
    <mergeCell ref="CVS46:CVS48"/>
    <mergeCell ref="CVT46:CVT48"/>
    <mergeCell ref="CVU46:CVU48"/>
    <mergeCell ref="CVV46:CVV48"/>
    <mergeCell ref="CVW46:CVW48"/>
    <mergeCell ref="CVL46:CVL48"/>
    <mergeCell ref="CVM46:CVM48"/>
    <mergeCell ref="CVN46:CVN48"/>
    <mergeCell ref="CVO46:CVO48"/>
    <mergeCell ref="CVP46:CVP48"/>
    <mergeCell ref="CVQ46:CVQ48"/>
    <mergeCell ref="CVF46:CVF48"/>
    <mergeCell ref="CVG46:CVG48"/>
    <mergeCell ref="CVH46:CVH48"/>
    <mergeCell ref="CVI46:CVI48"/>
    <mergeCell ref="CVJ46:CVJ48"/>
    <mergeCell ref="CVK46:CVK48"/>
    <mergeCell ref="CUZ46:CUZ48"/>
    <mergeCell ref="CVA46:CVA48"/>
    <mergeCell ref="CVB46:CVB48"/>
    <mergeCell ref="CVC46:CVC48"/>
    <mergeCell ref="CVD46:CVD48"/>
    <mergeCell ref="CVE46:CVE48"/>
    <mergeCell ref="CUT46:CUT48"/>
    <mergeCell ref="CUU46:CUU48"/>
    <mergeCell ref="CUV46:CUV48"/>
    <mergeCell ref="CUW46:CUW48"/>
    <mergeCell ref="CUX46:CUX48"/>
    <mergeCell ref="CUY46:CUY48"/>
    <mergeCell ref="CUN46:CUN48"/>
    <mergeCell ref="CUO46:CUO48"/>
    <mergeCell ref="CUP46:CUP48"/>
    <mergeCell ref="CUQ46:CUQ48"/>
    <mergeCell ref="CUR46:CUR48"/>
    <mergeCell ref="CUS46:CUS48"/>
    <mergeCell ref="CUH46:CUH48"/>
    <mergeCell ref="CUI46:CUI48"/>
    <mergeCell ref="CUJ46:CUJ48"/>
    <mergeCell ref="CUK46:CUK48"/>
    <mergeCell ref="CUL46:CUL48"/>
    <mergeCell ref="CUM46:CUM48"/>
    <mergeCell ref="CUB46:CUB48"/>
    <mergeCell ref="CUC46:CUC48"/>
    <mergeCell ref="CUD46:CUD48"/>
    <mergeCell ref="CUE46:CUE48"/>
    <mergeCell ref="CUF46:CUF48"/>
    <mergeCell ref="CUG46:CUG48"/>
    <mergeCell ref="CTV46:CTV48"/>
    <mergeCell ref="CTW46:CTW48"/>
    <mergeCell ref="CTX46:CTX48"/>
    <mergeCell ref="CTY46:CTY48"/>
    <mergeCell ref="CTZ46:CTZ48"/>
    <mergeCell ref="CUA46:CUA48"/>
    <mergeCell ref="CTP46:CTP48"/>
    <mergeCell ref="CTQ46:CTQ48"/>
    <mergeCell ref="CTR46:CTR48"/>
    <mergeCell ref="CTS46:CTS48"/>
    <mergeCell ref="CTT46:CTT48"/>
    <mergeCell ref="CTU46:CTU48"/>
    <mergeCell ref="CTJ46:CTJ48"/>
    <mergeCell ref="CTK46:CTK48"/>
    <mergeCell ref="CTL46:CTL48"/>
    <mergeCell ref="CTM46:CTM48"/>
    <mergeCell ref="CTN46:CTN48"/>
    <mergeCell ref="CTO46:CTO48"/>
    <mergeCell ref="CTD46:CTD48"/>
    <mergeCell ref="CTE46:CTE48"/>
    <mergeCell ref="CTF46:CTF48"/>
    <mergeCell ref="CTG46:CTG48"/>
    <mergeCell ref="CTH46:CTH48"/>
    <mergeCell ref="CTI46:CTI48"/>
    <mergeCell ref="CSX46:CSX48"/>
    <mergeCell ref="CSY46:CSY48"/>
    <mergeCell ref="CSZ46:CSZ48"/>
    <mergeCell ref="CTA46:CTA48"/>
    <mergeCell ref="CTB46:CTB48"/>
    <mergeCell ref="CTC46:CTC48"/>
    <mergeCell ref="CSR46:CSR48"/>
    <mergeCell ref="CSS46:CSS48"/>
    <mergeCell ref="CST46:CST48"/>
    <mergeCell ref="CSU46:CSU48"/>
    <mergeCell ref="CSV46:CSV48"/>
    <mergeCell ref="CSW46:CSW48"/>
    <mergeCell ref="CSL46:CSL48"/>
    <mergeCell ref="CSM46:CSM48"/>
    <mergeCell ref="CSN46:CSN48"/>
    <mergeCell ref="CSO46:CSO48"/>
    <mergeCell ref="CSP46:CSP48"/>
    <mergeCell ref="CSQ46:CSQ48"/>
    <mergeCell ref="CSF46:CSF48"/>
    <mergeCell ref="CSG46:CSG48"/>
    <mergeCell ref="CSH46:CSH48"/>
    <mergeCell ref="CSI46:CSI48"/>
    <mergeCell ref="CSJ46:CSJ48"/>
    <mergeCell ref="CSK46:CSK48"/>
    <mergeCell ref="CRZ46:CRZ48"/>
    <mergeCell ref="CSA46:CSA48"/>
    <mergeCell ref="CSB46:CSB48"/>
    <mergeCell ref="CSC46:CSC48"/>
    <mergeCell ref="CSD46:CSD48"/>
    <mergeCell ref="CSE46:CSE48"/>
    <mergeCell ref="CRT46:CRT48"/>
    <mergeCell ref="CRU46:CRU48"/>
    <mergeCell ref="CRV46:CRV48"/>
    <mergeCell ref="CRW46:CRW48"/>
    <mergeCell ref="CRX46:CRX48"/>
    <mergeCell ref="CRY46:CRY48"/>
    <mergeCell ref="CRN46:CRN48"/>
    <mergeCell ref="CRO46:CRO48"/>
    <mergeCell ref="CRP46:CRP48"/>
    <mergeCell ref="CRQ46:CRQ48"/>
    <mergeCell ref="CRR46:CRR48"/>
    <mergeCell ref="CRS46:CRS48"/>
    <mergeCell ref="CRH46:CRH48"/>
    <mergeCell ref="CRI46:CRI48"/>
    <mergeCell ref="CRJ46:CRJ48"/>
    <mergeCell ref="CRK46:CRK48"/>
    <mergeCell ref="CRL46:CRL48"/>
    <mergeCell ref="CRM46:CRM48"/>
    <mergeCell ref="CRB46:CRB48"/>
    <mergeCell ref="CRC46:CRC48"/>
    <mergeCell ref="CRD46:CRD48"/>
    <mergeCell ref="CRE46:CRE48"/>
    <mergeCell ref="CRF46:CRF48"/>
    <mergeCell ref="CRG46:CRG48"/>
    <mergeCell ref="CQV46:CQV48"/>
    <mergeCell ref="CQW46:CQW48"/>
    <mergeCell ref="CQX46:CQX48"/>
    <mergeCell ref="CQY46:CQY48"/>
    <mergeCell ref="CQZ46:CQZ48"/>
    <mergeCell ref="CRA46:CRA48"/>
    <mergeCell ref="CQP46:CQP48"/>
    <mergeCell ref="CQQ46:CQQ48"/>
    <mergeCell ref="CQR46:CQR48"/>
    <mergeCell ref="CQS46:CQS48"/>
    <mergeCell ref="CQT46:CQT48"/>
    <mergeCell ref="CQU46:CQU48"/>
    <mergeCell ref="CQJ46:CQJ48"/>
    <mergeCell ref="CQK46:CQK48"/>
    <mergeCell ref="CQL46:CQL48"/>
    <mergeCell ref="CQM46:CQM48"/>
    <mergeCell ref="CQN46:CQN48"/>
    <mergeCell ref="CQO46:CQO48"/>
    <mergeCell ref="CQD46:CQD48"/>
    <mergeCell ref="CQE46:CQE48"/>
    <mergeCell ref="CQF46:CQF48"/>
    <mergeCell ref="CQG46:CQG48"/>
    <mergeCell ref="CQH46:CQH48"/>
    <mergeCell ref="CQI46:CQI48"/>
    <mergeCell ref="CPX46:CPX48"/>
    <mergeCell ref="CPY46:CPY48"/>
    <mergeCell ref="CPZ46:CPZ48"/>
    <mergeCell ref="CQA46:CQA48"/>
    <mergeCell ref="CQB46:CQB48"/>
    <mergeCell ref="CQC46:CQC48"/>
    <mergeCell ref="CPR46:CPR48"/>
    <mergeCell ref="CPS46:CPS48"/>
    <mergeCell ref="CPT46:CPT48"/>
    <mergeCell ref="CPU46:CPU48"/>
    <mergeCell ref="CPV46:CPV48"/>
    <mergeCell ref="CPW46:CPW48"/>
    <mergeCell ref="CPL46:CPL48"/>
    <mergeCell ref="CPM46:CPM48"/>
    <mergeCell ref="CPN46:CPN48"/>
    <mergeCell ref="CPO46:CPO48"/>
    <mergeCell ref="CPP46:CPP48"/>
    <mergeCell ref="CPQ46:CPQ48"/>
    <mergeCell ref="CPF46:CPF48"/>
    <mergeCell ref="CPG46:CPG48"/>
    <mergeCell ref="CPH46:CPH48"/>
    <mergeCell ref="CPI46:CPI48"/>
    <mergeCell ref="CPJ46:CPJ48"/>
    <mergeCell ref="CPK46:CPK48"/>
    <mergeCell ref="COZ46:COZ48"/>
    <mergeCell ref="CPA46:CPA48"/>
    <mergeCell ref="CPB46:CPB48"/>
    <mergeCell ref="CPC46:CPC48"/>
    <mergeCell ref="CPD46:CPD48"/>
    <mergeCell ref="CPE46:CPE48"/>
    <mergeCell ref="COT46:COT48"/>
    <mergeCell ref="COU46:COU48"/>
    <mergeCell ref="COV46:COV48"/>
    <mergeCell ref="COW46:COW48"/>
    <mergeCell ref="COX46:COX48"/>
    <mergeCell ref="COY46:COY48"/>
    <mergeCell ref="CON46:CON48"/>
    <mergeCell ref="COO46:COO48"/>
    <mergeCell ref="COP46:COP48"/>
    <mergeCell ref="COQ46:COQ48"/>
    <mergeCell ref="COR46:COR48"/>
    <mergeCell ref="COS46:COS48"/>
    <mergeCell ref="COH46:COH48"/>
    <mergeCell ref="COI46:COI48"/>
    <mergeCell ref="COJ46:COJ48"/>
    <mergeCell ref="COK46:COK48"/>
    <mergeCell ref="COL46:COL48"/>
    <mergeCell ref="COM46:COM48"/>
    <mergeCell ref="COB46:COB48"/>
    <mergeCell ref="COC46:COC48"/>
    <mergeCell ref="COD46:COD48"/>
    <mergeCell ref="COE46:COE48"/>
    <mergeCell ref="COF46:COF48"/>
    <mergeCell ref="COG46:COG48"/>
    <mergeCell ref="CNV46:CNV48"/>
    <mergeCell ref="CNW46:CNW48"/>
    <mergeCell ref="CNX46:CNX48"/>
    <mergeCell ref="CNY46:CNY48"/>
    <mergeCell ref="CNZ46:CNZ48"/>
    <mergeCell ref="COA46:COA48"/>
    <mergeCell ref="CNP46:CNP48"/>
    <mergeCell ref="CNQ46:CNQ48"/>
    <mergeCell ref="CNR46:CNR48"/>
    <mergeCell ref="CNS46:CNS48"/>
    <mergeCell ref="CNT46:CNT48"/>
    <mergeCell ref="CNU46:CNU48"/>
    <mergeCell ref="CNJ46:CNJ48"/>
    <mergeCell ref="CNK46:CNK48"/>
    <mergeCell ref="CNL46:CNL48"/>
    <mergeCell ref="CNM46:CNM48"/>
    <mergeCell ref="CNN46:CNN48"/>
    <mergeCell ref="CNO46:CNO48"/>
    <mergeCell ref="CND46:CND48"/>
    <mergeCell ref="CNE46:CNE48"/>
    <mergeCell ref="CNF46:CNF48"/>
    <mergeCell ref="CNG46:CNG48"/>
    <mergeCell ref="CNH46:CNH48"/>
    <mergeCell ref="CNI46:CNI48"/>
    <mergeCell ref="CMX46:CMX48"/>
    <mergeCell ref="CMY46:CMY48"/>
    <mergeCell ref="CMZ46:CMZ48"/>
    <mergeCell ref="CNA46:CNA48"/>
    <mergeCell ref="CNB46:CNB48"/>
    <mergeCell ref="CNC46:CNC48"/>
    <mergeCell ref="CMR46:CMR48"/>
    <mergeCell ref="CMS46:CMS48"/>
    <mergeCell ref="CMT46:CMT48"/>
    <mergeCell ref="CMU46:CMU48"/>
    <mergeCell ref="CMV46:CMV48"/>
    <mergeCell ref="CMW46:CMW48"/>
    <mergeCell ref="CML46:CML48"/>
    <mergeCell ref="CMM46:CMM48"/>
    <mergeCell ref="CMN46:CMN48"/>
    <mergeCell ref="CMO46:CMO48"/>
    <mergeCell ref="CMP46:CMP48"/>
    <mergeCell ref="CMQ46:CMQ48"/>
    <mergeCell ref="CMF46:CMF48"/>
    <mergeCell ref="CMG46:CMG48"/>
    <mergeCell ref="CMH46:CMH48"/>
    <mergeCell ref="CMI46:CMI48"/>
    <mergeCell ref="CMJ46:CMJ48"/>
    <mergeCell ref="CMK46:CMK48"/>
    <mergeCell ref="CLZ46:CLZ48"/>
    <mergeCell ref="CMA46:CMA48"/>
    <mergeCell ref="CMB46:CMB48"/>
    <mergeCell ref="CMC46:CMC48"/>
    <mergeCell ref="CMD46:CMD48"/>
    <mergeCell ref="CME46:CME48"/>
    <mergeCell ref="CLT46:CLT48"/>
    <mergeCell ref="CLU46:CLU48"/>
    <mergeCell ref="CLV46:CLV48"/>
    <mergeCell ref="CLW46:CLW48"/>
    <mergeCell ref="CLX46:CLX48"/>
    <mergeCell ref="CLY46:CLY48"/>
    <mergeCell ref="CLN46:CLN48"/>
    <mergeCell ref="CLO46:CLO48"/>
    <mergeCell ref="CLP46:CLP48"/>
    <mergeCell ref="CLQ46:CLQ48"/>
    <mergeCell ref="CLR46:CLR48"/>
    <mergeCell ref="CLS46:CLS48"/>
    <mergeCell ref="CLH46:CLH48"/>
    <mergeCell ref="CLI46:CLI48"/>
    <mergeCell ref="CLJ46:CLJ48"/>
    <mergeCell ref="CLK46:CLK48"/>
    <mergeCell ref="CLL46:CLL48"/>
    <mergeCell ref="CLM46:CLM48"/>
    <mergeCell ref="CLB46:CLB48"/>
    <mergeCell ref="CLC46:CLC48"/>
    <mergeCell ref="CLD46:CLD48"/>
    <mergeCell ref="CLE46:CLE48"/>
    <mergeCell ref="CLF46:CLF48"/>
    <mergeCell ref="CLG46:CLG48"/>
    <mergeCell ref="CKV46:CKV48"/>
    <mergeCell ref="CKW46:CKW48"/>
    <mergeCell ref="CKX46:CKX48"/>
    <mergeCell ref="CKY46:CKY48"/>
    <mergeCell ref="CKZ46:CKZ48"/>
    <mergeCell ref="CLA46:CLA48"/>
    <mergeCell ref="CKP46:CKP48"/>
    <mergeCell ref="CKQ46:CKQ48"/>
    <mergeCell ref="CKR46:CKR48"/>
    <mergeCell ref="CKS46:CKS48"/>
    <mergeCell ref="CKT46:CKT48"/>
    <mergeCell ref="CKU46:CKU48"/>
    <mergeCell ref="CKJ46:CKJ48"/>
    <mergeCell ref="CKK46:CKK48"/>
    <mergeCell ref="CKL46:CKL48"/>
    <mergeCell ref="CKM46:CKM48"/>
    <mergeCell ref="CKN46:CKN48"/>
    <mergeCell ref="CKO46:CKO48"/>
    <mergeCell ref="CKD46:CKD48"/>
    <mergeCell ref="CKE46:CKE48"/>
    <mergeCell ref="CKF46:CKF48"/>
    <mergeCell ref="CKG46:CKG48"/>
    <mergeCell ref="CKH46:CKH48"/>
    <mergeCell ref="CKI46:CKI48"/>
    <mergeCell ref="CJX46:CJX48"/>
    <mergeCell ref="CJY46:CJY48"/>
    <mergeCell ref="CJZ46:CJZ48"/>
    <mergeCell ref="CKA46:CKA48"/>
    <mergeCell ref="CKB46:CKB48"/>
    <mergeCell ref="CKC46:CKC48"/>
    <mergeCell ref="CJR46:CJR48"/>
    <mergeCell ref="CJS46:CJS48"/>
    <mergeCell ref="CJT46:CJT48"/>
    <mergeCell ref="CJU46:CJU48"/>
    <mergeCell ref="CJV46:CJV48"/>
    <mergeCell ref="CJW46:CJW48"/>
    <mergeCell ref="CJL46:CJL48"/>
    <mergeCell ref="CJM46:CJM48"/>
    <mergeCell ref="CJN46:CJN48"/>
    <mergeCell ref="CJO46:CJO48"/>
    <mergeCell ref="CJP46:CJP48"/>
    <mergeCell ref="CJQ46:CJQ48"/>
    <mergeCell ref="CJF46:CJF48"/>
    <mergeCell ref="CJG46:CJG48"/>
    <mergeCell ref="CJH46:CJH48"/>
    <mergeCell ref="CJI46:CJI48"/>
    <mergeCell ref="CJJ46:CJJ48"/>
    <mergeCell ref="CJK46:CJK48"/>
    <mergeCell ref="CIZ46:CIZ48"/>
    <mergeCell ref="CJA46:CJA48"/>
    <mergeCell ref="CJB46:CJB48"/>
    <mergeCell ref="CJC46:CJC48"/>
    <mergeCell ref="CJD46:CJD48"/>
    <mergeCell ref="CJE46:CJE48"/>
    <mergeCell ref="CIT46:CIT48"/>
    <mergeCell ref="CIU46:CIU48"/>
    <mergeCell ref="CIV46:CIV48"/>
    <mergeCell ref="CIW46:CIW48"/>
    <mergeCell ref="CIX46:CIX48"/>
    <mergeCell ref="CIY46:CIY48"/>
    <mergeCell ref="CIN46:CIN48"/>
    <mergeCell ref="CIO46:CIO48"/>
    <mergeCell ref="CIP46:CIP48"/>
    <mergeCell ref="CIQ46:CIQ48"/>
    <mergeCell ref="CIR46:CIR48"/>
    <mergeCell ref="CIS46:CIS48"/>
    <mergeCell ref="CIH46:CIH48"/>
    <mergeCell ref="CII46:CII48"/>
    <mergeCell ref="CIJ46:CIJ48"/>
    <mergeCell ref="CIK46:CIK48"/>
    <mergeCell ref="CIL46:CIL48"/>
    <mergeCell ref="CIM46:CIM48"/>
    <mergeCell ref="CIB46:CIB48"/>
    <mergeCell ref="CIC46:CIC48"/>
    <mergeCell ref="CID46:CID48"/>
    <mergeCell ref="CIE46:CIE48"/>
    <mergeCell ref="CIF46:CIF48"/>
    <mergeCell ref="CIG46:CIG48"/>
    <mergeCell ref="CHV46:CHV48"/>
    <mergeCell ref="CHW46:CHW48"/>
    <mergeCell ref="CHX46:CHX48"/>
    <mergeCell ref="CHY46:CHY48"/>
    <mergeCell ref="CHZ46:CHZ48"/>
    <mergeCell ref="CIA46:CIA48"/>
    <mergeCell ref="CHP46:CHP48"/>
    <mergeCell ref="CHQ46:CHQ48"/>
    <mergeCell ref="CHR46:CHR48"/>
    <mergeCell ref="CHS46:CHS48"/>
    <mergeCell ref="CHT46:CHT48"/>
    <mergeCell ref="CHU46:CHU48"/>
    <mergeCell ref="CHJ46:CHJ48"/>
    <mergeCell ref="CHK46:CHK48"/>
    <mergeCell ref="CHL46:CHL48"/>
    <mergeCell ref="CHM46:CHM48"/>
    <mergeCell ref="CHN46:CHN48"/>
    <mergeCell ref="CHO46:CHO48"/>
    <mergeCell ref="CHD46:CHD48"/>
    <mergeCell ref="CHE46:CHE48"/>
    <mergeCell ref="CHF46:CHF48"/>
    <mergeCell ref="CHG46:CHG48"/>
    <mergeCell ref="CHH46:CHH48"/>
    <mergeCell ref="CHI46:CHI48"/>
    <mergeCell ref="CGX46:CGX48"/>
    <mergeCell ref="CGY46:CGY48"/>
    <mergeCell ref="CGZ46:CGZ48"/>
    <mergeCell ref="CHA46:CHA48"/>
    <mergeCell ref="CHB46:CHB48"/>
    <mergeCell ref="CHC46:CHC48"/>
    <mergeCell ref="CGR46:CGR48"/>
    <mergeCell ref="CGS46:CGS48"/>
    <mergeCell ref="CGT46:CGT48"/>
    <mergeCell ref="CGU46:CGU48"/>
    <mergeCell ref="CGV46:CGV48"/>
    <mergeCell ref="CGW46:CGW48"/>
    <mergeCell ref="CGL46:CGL48"/>
    <mergeCell ref="CGM46:CGM48"/>
    <mergeCell ref="CGN46:CGN48"/>
    <mergeCell ref="CGO46:CGO48"/>
    <mergeCell ref="CGP46:CGP48"/>
    <mergeCell ref="CGQ46:CGQ48"/>
    <mergeCell ref="CGF46:CGF48"/>
    <mergeCell ref="CGG46:CGG48"/>
    <mergeCell ref="CGH46:CGH48"/>
    <mergeCell ref="CGI46:CGI48"/>
    <mergeCell ref="CGJ46:CGJ48"/>
    <mergeCell ref="CGK46:CGK48"/>
    <mergeCell ref="CFZ46:CFZ48"/>
    <mergeCell ref="CGA46:CGA48"/>
    <mergeCell ref="CGB46:CGB48"/>
    <mergeCell ref="CGC46:CGC48"/>
    <mergeCell ref="CGD46:CGD48"/>
    <mergeCell ref="CGE46:CGE48"/>
    <mergeCell ref="CFT46:CFT48"/>
    <mergeCell ref="CFU46:CFU48"/>
    <mergeCell ref="CFV46:CFV48"/>
    <mergeCell ref="CFW46:CFW48"/>
    <mergeCell ref="CFX46:CFX48"/>
    <mergeCell ref="CFY46:CFY48"/>
    <mergeCell ref="CFN46:CFN48"/>
    <mergeCell ref="CFO46:CFO48"/>
    <mergeCell ref="CFP46:CFP48"/>
    <mergeCell ref="CFQ46:CFQ48"/>
    <mergeCell ref="CFR46:CFR48"/>
    <mergeCell ref="CFS46:CFS48"/>
    <mergeCell ref="CFH46:CFH48"/>
    <mergeCell ref="CFI46:CFI48"/>
    <mergeCell ref="CFJ46:CFJ48"/>
    <mergeCell ref="CFK46:CFK48"/>
    <mergeCell ref="CFL46:CFL48"/>
    <mergeCell ref="CFM46:CFM48"/>
    <mergeCell ref="CFB46:CFB48"/>
    <mergeCell ref="CFC46:CFC48"/>
    <mergeCell ref="CFD46:CFD48"/>
    <mergeCell ref="CFE46:CFE48"/>
    <mergeCell ref="CFF46:CFF48"/>
    <mergeCell ref="CFG46:CFG48"/>
    <mergeCell ref="CEV46:CEV48"/>
    <mergeCell ref="CEW46:CEW48"/>
    <mergeCell ref="CEX46:CEX48"/>
    <mergeCell ref="CEY46:CEY48"/>
    <mergeCell ref="CEZ46:CEZ48"/>
    <mergeCell ref="CFA46:CFA48"/>
    <mergeCell ref="CEP46:CEP48"/>
    <mergeCell ref="CEQ46:CEQ48"/>
    <mergeCell ref="CER46:CER48"/>
    <mergeCell ref="CES46:CES48"/>
    <mergeCell ref="CET46:CET48"/>
    <mergeCell ref="CEU46:CEU48"/>
    <mergeCell ref="CEJ46:CEJ48"/>
    <mergeCell ref="CEK46:CEK48"/>
    <mergeCell ref="CEL46:CEL48"/>
    <mergeCell ref="CEM46:CEM48"/>
    <mergeCell ref="CEN46:CEN48"/>
    <mergeCell ref="CEO46:CEO48"/>
    <mergeCell ref="CED46:CED48"/>
    <mergeCell ref="CEE46:CEE48"/>
    <mergeCell ref="CEF46:CEF48"/>
    <mergeCell ref="CEG46:CEG48"/>
    <mergeCell ref="CEH46:CEH48"/>
    <mergeCell ref="CEI46:CEI48"/>
    <mergeCell ref="CDX46:CDX48"/>
    <mergeCell ref="CDY46:CDY48"/>
    <mergeCell ref="CDZ46:CDZ48"/>
    <mergeCell ref="CEA46:CEA48"/>
    <mergeCell ref="CEB46:CEB48"/>
    <mergeCell ref="CEC46:CEC48"/>
    <mergeCell ref="CDR46:CDR48"/>
    <mergeCell ref="CDS46:CDS48"/>
    <mergeCell ref="CDT46:CDT48"/>
    <mergeCell ref="CDU46:CDU48"/>
    <mergeCell ref="CDV46:CDV48"/>
    <mergeCell ref="CDW46:CDW48"/>
    <mergeCell ref="CDL46:CDL48"/>
    <mergeCell ref="CDM46:CDM48"/>
    <mergeCell ref="CDN46:CDN48"/>
    <mergeCell ref="CDO46:CDO48"/>
    <mergeCell ref="CDP46:CDP48"/>
    <mergeCell ref="CDQ46:CDQ48"/>
    <mergeCell ref="CDF46:CDF48"/>
    <mergeCell ref="CDG46:CDG48"/>
    <mergeCell ref="CDH46:CDH48"/>
    <mergeCell ref="CDI46:CDI48"/>
    <mergeCell ref="CDJ46:CDJ48"/>
    <mergeCell ref="CDK46:CDK48"/>
    <mergeCell ref="CCZ46:CCZ48"/>
    <mergeCell ref="CDA46:CDA48"/>
    <mergeCell ref="CDB46:CDB48"/>
    <mergeCell ref="CDC46:CDC48"/>
    <mergeCell ref="CDD46:CDD48"/>
    <mergeCell ref="CDE46:CDE48"/>
    <mergeCell ref="CCT46:CCT48"/>
    <mergeCell ref="CCU46:CCU48"/>
    <mergeCell ref="CCV46:CCV48"/>
    <mergeCell ref="CCW46:CCW48"/>
    <mergeCell ref="CCX46:CCX48"/>
    <mergeCell ref="CCY46:CCY48"/>
    <mergeCell ref="CCN46:CCN48"/>
    <mergeCell ref="CCO46:CCO48"/>
    <mergeCell ref="CCP46:CCP48"/>
    <mergeCell ref="CCQ46:CCQ48"/>
    <mergeCell ref="CCR46:CCR48"/>
    <mergeCell ref="CCS46:CCS48"/>
    <mergeCell ref="CCH46:CCH48"/>
    <mergeCell ref="CCI46:CCI48"/>
    <mergeCell ref="CCJ46:CCJ48"/>
    <mergeCell ref="CCK46:CCK48"/>
    <mergeCell ref="CCL46:CCL48"/>
    <mergeCell ref="CCM46:CCM48"/>
    <mergeCell ref="CCB46:CCB48"/>
    <mergeCell ref="CCC46:CCC48"/>
    <mergeCell ref="CCD46:CCD48"/>
    <mergeCell ref="CCE46:CCE48"/>
    <mergeCell ref="CCF46:CCF48"/>
    <mergeCell ref="CCG46:CCG48"/>
    <mergeCell ref="CBV46:CBV48"/>
    <mergeCell ref="CBW46:CBW48"/>
    <mergeCell ref="CBX46:CBX48"/>
    <mergeCell ref="CBY46:CBY48"/>
    <mergeCell ref="CBZ46:CBZ48"/>
    <mergeCell ref="CCA46:CCA48"/>
    <mergeCell ref="CBP46:CBP48"/>
    <mergeCell ref="CBQ46:CBQ48"/>
    <mergeCell ref="CBR46:CBR48"/>
    <mergeCell ref="CBS46:CBS48"/>
    <mergeCell ref="CBT46:CBT48"/>
    <mergeCell ref="CBU46:CBU48"/>
    <mergeCell ref="CBJ46:CBJ48"/>
    <mergeCell ref="CBK46:CBK48"/>
    <mergeCell ref="CBL46:CBL48"/>
    <mergeCell ref="CBM46:CBM48"/>
    <mergeCell ref="CBN46:CBN48"/>
    <mergeCell ref="CBO46:CBO48"/>
    <mergeCell ref="CBD46:CBD48"/>
    <mergeCell ref="CBE46:CBE48"/>
    <mergeCell ref="CBF46:CBF48"/>
    <mergeCell ref="CBG46:CBG48"/>
    <mergeCell ref="CBH46:CBH48"/>
    <mergeCell ref="CBI46:CBI48"/>
    <mergeCell ref="CAX46:CAX48"/>
    <mergeCell ref="CAY46:CAY48"/>
    <mergeCell ref="CAZ46:CAZ48"/>
    <mergeCell ref="CBA46:CBA48"/>
    <mergeCell ref="CBB46:CBB48"/>
    <mergeCell ref="CBC46:CBC48"/>
    <mergeCell ref="CAR46:CAR48"/>
    <mergeCell ref="CAS46:CAS48"/>
    <mergeCell ref="CAT46:CAT48"/>
    <mergeCell ref="CAU46:CAU48"/>
    <mergeCell ref="CAV46:CAV48"/>
    <mergeCell ref="CAW46:CAW48"/>
    <mergeCell ref="CAL46:CAL48"/>
    <mergeCell ref="CAM46:CAM48"/>
    <mergeCell ref="CAN46:CAN48"/>
    <mergeCell ref="CAO46:CAO48"/>
    <mergeCell ref="CAP46:CAP48"/>
    <mergeCell ref="CAQ46:CAQ48"/>
    <mergeCell ref="CAF46:CAF48"/>
    <mergeCell ref="CAG46:CAG48"/>
    <mergeCell ref="CAH46:CAH48"/>
    <mergeCell ref="CAI46:CAI48"/>
    <mergeCell ref="CAJ46:CAJ48"/>
    <mergeCell ref="CAK46:CAK48"/>
    <mergeCell ref="BZZ46:BZZ48"/>
    <mergeCell ref="CAA46:CAA48"/>
    <mergeCell ref="CAB46:CAB48"/>
    <mergeCell ref="CAC46:CAC48"/>
    <mergeCell ref="CAD46:CAD48"/>
    <mergeCell ref="CAE46:CAE48"/>
    <mergeCell ref="BZT46:BZT48"/>
    <mergeCell ref="BZU46:BZU48"/>
    <mergeCell ref="BZV46:BZV48"/>
    <mergeCell ref="BZW46:BZW48"/>
    <mergeCell ref="BZX46:BZX48"/>
    <mergeCell ref="BZY46:BZY48"/>
    <mergeCell ref="BZN46:BZN48"/>
    <mergeCell ref="BZO46:BZO48"/>
    <mergeCell ref="BZP46:BZP48"/>
    <mergeCell ref="BZQ46:BZQ48"/>
    <mergeCell ref="BZR46:BZR48"/>
    <mergeCell ref="BZS46:BZS48"/>
    <mergeCell ref="BZH46:BZH48"/>
    <mergeCell ref="BZI46:BZI48"/>
    <mergeCell ref="BZJ46:BZJ48"/>
    <mergeCell ref="BZK46:BZK48"/>
    <mergeCell ref="BZL46:BZL48"/>
    <mergeCell ref="BZM46:BZM48"/>
    <mergeCell ref="BZB46:BZB48"/>
    <mergeCell ref="BZC46:BZC48"/>
    <mergeCell ref="BZD46:BZD48"/>
    <mergeCell ref="BZE46:BZE48"/>
    <mergeCell ref="BZF46:BZF48"/>
    <mergeCell ref="BZG46:BZG48"/>
    <mergeCell ref="BYV46:BYV48"/>
    <mergeCell ref="BYW46:BYW48"/>
    <mergeCell ref="BYX46:BYX48"/>
    <mergeCell ref="BYY46:BYY48"/>
    <mergeCell ref="BYZ46:BYZ48"/>
    <mergeCell ref="BZA46:BZA48"/>
    <mergeCell ref="BYP46:BYP48"/>
    <mergeCell ref="BYQ46:BYQ48"/>
    <mergeCell ref="BYR46:BYR48"/>
    <mergeCell ref="BYS46:BYS48"/>
    <mergeCell ref="BYT46:BYT48"/>
    <mergeCell ref="BYU46:BYU48"/>
    <mergeCell ref="BYJ46:BYJ48"/>
    <mergeCell ref="BYK46:BYK48"/>
    <mergeCell ref="BYL46:BYL48"/>
    <mergeCell ref="BYM46:BYM48"/>
    <mergeCell ref="BYN46:BYN48"/>
    <mergeCell ref="BYO46:BYO48"/>
    <mergeCell ref="BYD46:BYD48"/>
    <mergeCell ref="BYE46:BYE48"/>
    <mergeCell ref="BYF46:BYF48"/>
    <mergeCell ref="BYG46:BYG48"/>
    <mergeCell ref="BYH46:BYH48"/>
    <mergeCell ref="BYI46:BYI48"/>
    <mergeCell ref="BXX46:BXX48"/>
    <mergeCell ref="BXY46:BXY48"/>
    <mergeCell ref="BXZ46:BXZ48"/>
    <mergeCell ref="BYA46:BYA48"/>
    <mergeCell ref="BYB46:BYB48"/>
    <mergeCell ref="BYC46:BYC48"/>
    <mergeCell ref="BXR46:BXR48"/>
    <mergeCell ref="BXS46:BXS48"/>
    <mergeCell ref="BXT46:BXT48"/>
    <mergeCell ref="BXU46:BXU48"/>
    <mergeCell ref="BXV46:BXV48"/>
    <mergeCell ref="BXW46:BXW48"/>
    <mergeCell ref="BXL46:BXL48"/>
    <mergeCell ref="BXM46:BXM48"/>
    <mergeCell ref="BXN46:BXN48"/>
    <mergeCell ref="BXO46:BXO48"/>
    <mergeCell ref="BXP46:BXP48"/>
    <mergeCell ref="BXQ46:BXQ48"/>
    <mergeCell ref="BXF46:BXF48"/>
    <mergeCell ref="BXG46:BXG48"/>
    <mergeCell ref="BXH46:BXH48"/>
    <mergeCell ref="BXI46:BXI48"/>
    <mergeCell ref="BXJ46:BXJ48"/>
    <mergeCell ref="BXK46:BXK48"/>
    <mergeCell ref="BWZ46:BWZ48"/>
    <mergeCell ref="BXA46:BXA48"/>
    <mergeCell ref="BXB46:BXB48"/>
    <mergeCell ref="BXC46:BXC48"/>
    <mergeCell ref="BXD46:BXD48"/>
    <mergeCell ref="BXE46:BXE48"/>
    <mergeCell ref="BWT46:BWT48"/>
    <mergeCell ref="BWU46:BWU48"/>
    <mergeCell ref="BWV46:BWV48"/>
    <mergeCell ref="BWW46:BWW48"/>
    <mergeCell ref="BWX46:BWX48"/>
    <mergeCell ref="BWY46:BWY48"/>
    <mergeCell ref="BWN46:BWN48"/>
    <mergeCell ref="BWO46:BWO48"/>
    <mergeCell ref="BWP46:BWP48"/>
    <mergeCell ref="BWQ46:BWQ48"/>
    <mergeCell ref="BWR46:BWR48"/>
    <mergeCell ref="BWS46:BWS48"/>
    <mergeCell ref="BWH46:BWH48"/>
    <mergeCell ref="BWI46:BWI48"/>
    <mergeCell ref="BWJ46:BWJ48"/>
    <mergeCell ref="BWK46:BWK48"/>
    <mergeCell ref="BWL46:BWL48"/>
    <mergeCell ref="BWM46:BWM48"/>
    <mergeCell ref="BWB46:BWB48"/>
    <mergeCell ref="BWC46:BWC48"/>
    <mergeCell ref="BWD46:BWD48"/>
    <mergeCell ref="BWE46:BWE48"/>
    <mergeCell ref="BWF46:BWF48"/>
    <mergeCell ref="BWG46:BWG48"/>
    <mergeCell ref="BVV46:BVV48"/>
    <mergeCell ref="BVW46:BVW48"/>
    <mergeCell ref="BVX46:BVX48"/>
    <mergeCell ref="BVY46:BVY48"/>
    <mergeCell ref="BVZ46:BVZ48"/>
    <mergeCell ref="BWA46:BWA48"/>
    <mergeCell ref="BVP46:BVP48"/>
    <mergeCell ref="BVQ46:BVQ48"/>
    <mergeCell ref="BVR46:BVR48"/>
    <mergeCell ref="BVS46:BVS48"/>
    <mergeCell ref="BVT46:BVT48"/>
    <mergeCell ref="BVU46:BVU48"/>
    <mergeCell ref="BVJ46:BVJ48"/>
    <mergeCell ref="BVK46:BVK48"/>
    <mergeCell ref="BVL46:BVL48"/>
    <mergeCell ref="BVM46:BVM48"/>
    <mergeCell ref="BVN46:BVN48"/>
    <mergeCell ref="BVO46:BVO48"/>
    <mergeCell ref="BVD46:BVD48"/>
    <mergeCell ref="BVE46:BVE48"/>
    <mergeCell ref="BVF46:BVF48"/>
    <mergeCell ref="BVG46:BVG48"/>
    <mergeCell ref="BVH46:BVH48"/>
    <mergeCell ref="BVI46:BVI48"/>
    <mergeCell ref="BUX46:BUX48"/>
    <mergeCell ref="BUY46:BUY48"/>
    <mergeCell ref="BUZ46:BUZ48"/>
    <mergeCell ref="BVA46:BVA48"/>
    <mergeCell ref="BVB46:BVB48"/>
    <mergeCell ref="BVC46:BVC48"/>
    <mergeCell ref="BUR46:BUR48"/>
    <mergeCell ref="BUS46:BUS48"/>
    <mergeCell ref="BUT46:BUT48"/>
    <mergeCell ref="BUU46:BUU48"/>
    <mergeCell ref="BUV46:BUV48"/>
    <mergeCell ref="BUW46:BUW48"/>
    <mergeCell ref="BUL46:BUL48"/>
    <mergeCell ref="BUM46:BUM48"/>
    <mergeCell ref="BUN46:BUN48"/>
    <mergeCell ref="BUO46:BUO48"/>
    <mergeCell ref="BUP46:BUP48"/>
    <mergeCell ref="BUQ46:BUQ48"/>
    <mergeCell ref="BUF46:BUF48"/>
    <mergeCell ref="BUG46:BUG48"/>
    <mergeCell ref="BUH46:BUH48"/>
    <mergeCell ref="BUI46:BUI48"/>
    <mergeCell ref="BUJ46:BUJ48"/>
    <mergeCell ref="BUK46:BUK48"/>
    <mergeCell ref="BTZ46:BTZ48"/>
    <mergeCell ref="BUA46:BUA48"/>
    <mergeCell ref="BUB46:BUB48"/>
    <mergeCell ref="BUC46:BUC48"/>
    <mergeCell ref="BUD46:BUD48"/>
    <mergeCell ref="BUE46:BUE48"/>
    <mergeCell ref="BTT46:BTT48"/>
    <mergeCell ref="BTU46:BTU48"/>
    <mergeCell ref="BTV46:BTV48"/>
    <mergeCell ref="BTW46:BTW48"/>
    <mergeCell ref="BTX46:BTX48"/>
    <mergeCell ref="BTY46:BTY48"/>
    <mergeCell ref="BTN46:BTN48"/>
    <mergeCell ref="BTO46:BTO48"/>
    <mergeCell ref="BTP46:BTP48"/>
    <mergeCell ref="BTQ46:BTQ48"/>
    <mergeCell ref="BTR46:BTR48"/>
    <mergeCell ref="BTS46:BTS48"/>
    <mergeCell ref="BTH46:BTH48"/>
    <mergeCell ref="BTI46:BTI48"/>
    <mergeCell ref="BTJ46:BTJ48"/>
    <mergeCell ref="BTK46:BTK48"/>
    <mergeCell ref="BTL46:BTL48"/>
    <mergeCell ref="BTM46:BTM48"/>
    <mergeCell ref="BTB46:BTB48"/>
    <mergeCell ref="BTC46:BTC48"/>
    <mergeCell ref="BTD46:BTD48"/>
    <mergeCell ref="BTE46:BTE48"/>
    <mergeCell ref="BTF46:BTF48"/>
    <mergeCell ref="BTG46:BTG48"/>
    <mergeCell ref="BSV46:BSV48"/>
    <mergeCell ref="BSW46:BSW48"/>
    <mergeCell ref="BSX46:BSX48"/>
    <mergeCell ref="BSY46:BSY48"/>
    <mergeCell ref="BSZ46:BSZ48"/>
    <mergeCell ref="BTA46:BTA48"/>
    <mergeCell ref="BSP46:BSP48"/>
    <mergeCell ref="BSQ46:BSQ48"/>
    <mergeCell ref="BSR46:BSR48"/>
    <mergeCell ref="BSS46:BSS48"/>
    <mergeCell ref="BST46:BST48"/>
    <mergeCell ref="BSU46:BSU48"/>
    <mergeCell ref="BSJ46:BSJ48"/>
    <mergeCell ref="BSK46:BSK48"/>
    <mergeCell ref="BSL46:BSL48"/>
    <mergeCell ref="BSM46:BSM48"/>
    <mergeCell ref="BSN46:BSN48"/>
    <mergeCell ref="BSO46:BSO48"/>
    <mergeCell ref="BSD46:BSD48"/>
    <mergeCell ref="BSE46:BSE48"/>
    <mergeCell ref="BSF46:BSF48"/>
    <mergeCell ref="BSG46:BSG48"/>
    <mergeCell ref="BSH46:BSH48"/>
    <mergeCell ref="BSI46:BSI48"/>
    <mergeCell ref="BRX46:BRX48"/>
    <mergeCell ref="BRY46:BRY48"/>
    <mergeCell ref="BRZ46:BRZ48"/>
    <mergeCell ref="BSA46:BSA48"/>
    <mergeCell ref="BSB46:BSB48"/>
    <mergeCell ref="BSC46:BSC48"/>
    <mergeCell ref="BRR46:BRR48"/>
    <mergeCell ref="BRS46:BRS48"/>
    <mergeCell ref="BRT46:BRT48"/>
    <mergeCell ref="BRU46:BRU48"/>
    <mergeCell ref="BRV46:BRV48"/>
    <mergeCell ref="BRW46:BRW48"/>
    <mergeCell ref="BRL46:BRL48"/>
    <mergeCell ref="BRM46:BRM48"/>
    <mergeCell ref="BRN46:BRN48"/>
    <mergeCell ref="BRO46:BRO48"/>
    <mergeCell ref="BRP46:BRP48"/>
    <mergeCell ref="BRQ46:BRQ48"/>
    <mergeCell ref="BRF46:BRF48"/>
    <mergeCell ref="BRG46:BRG48"/>
    <mergeCell ref="BRH46:BRH48"/>
    <mergeCell ref="BRI46:BRI48"/>
    <mergeCell ref="BRJ46:BRJ48"/>
    <mergeCell ref="BRK46:BRK48"/>
    <mergeCell ref="BQZ46:BQZ48"/>
    <mergeCell ref="BRA46:BRA48"/>
    <mergeCell ref="BRB46:BRB48"/>
    <mergeCell ref="BRC46:BRC48"/>
    <mergeCell ref="BRD46:BRD48"/>
    <mergeCell ref="BRE46:BRE48"/>
    <mergeCell ref="BQT46:BQT48"/>
    <mergeCell ref="BQU46:BQU48"/>
    <mergeCell ref="BQV46:BQV48"/>
    <mergeCell ref="BQW46:BQW48"/>
    <mergeCell ref="BQX46:BQX48"/>
    <mergeCell ref="BQY46:BQY48"/>
    <mergeCell ref="BQN46:BQN48"/>
    <mergeCell ref="BQO46:BQO48"/>
    <mergeCell ref="BQP46:BQP48"/>
    <mergeCell ref="BQQ46:BQQ48"/>
    <mergeCell ref="BQR46:BQR48"/>
    <mergeCell ref="BQS46:BQS48"/>
    <mergeCell ref="BQH46:BQH48"/>
    <mergeCell ref="BQI46:BQI48"/>
    <mergeCell ref="BQJ46:BQJ48"/>
    <mergeCell ref="BQK46:BQK48"/>
    <mergeCell ref="BQL46:BQL48"/>
    <mergeCell ref="BQM46:BQM48"/>
    <mergeCell ref="BQB46:BQB48"/>
    <mergeCell ref="BQC46:BQC48"/>
    <mergeCell ref="BQD46:BQD48"/>
    <mergeCell ref="BQE46:BQE48"/>
    <mergeCell ref="BQF46:BQF48"/>
    <mergeCell ref="BQG46:BQG48"/>
    <mergeCell ref="BPV46:BPV48"/>
    <mergeCell ref="BPW46:BPW48"/>
    <mergeCell ref="BPX46:BPX48"/>
    <mergeCell ref="BPY46:BPY48"/>
    <mergeCell ref="BPZ46:BPZ48"/>
    <mergeCell ref="BQA46:BQA48"/>
    <mergeCell ref="BPP46:BPP48"/>
    <mergeCell ref="BPQ46:BPQ48"/>
    <mergeCell ref="BPR46:BPR48"/>
    <mergeCell ref="BPS46:BPS48"/>
    <mergeCell ref="BPT46:BPT48"/>
    <mergeCell ref="BPU46:BPU48"/>
    <mergeCell ref="BPJ46:BPJ48"/>
    <mergeCell ref="BPK46:BPK48"/>
    <mergeCell ref="BPL46:BPL48"/>
    <mergeCell ref="BPM46:BPM48"/>
    <mergeCell ref="BPN46:BPN48"/>
    <mergeCell ref="BPO46:BPO48"/>
    <mergeCell ref="BPD46:BPD48"/>
    <mergeCell ref="BPE46:BPE48"/>
    <mergeCell ref="BPF46:BPF48"/>
    <mergeCell ref="BPG46:BPG48"/>
    <mergeCell ref="BPH46:BPH48"/>
    <mergeCell ref="BPI46:BPI48"/>
    <mergeCell ref="BOX46:BOX48"/>
    <mergeCell ref="BOY46:BOY48"/>
    <mergeCell ref="BOZ46:BOZ48"/>
    <mergeCell ref="BPA46:BPA48"/>
    <mergeCell ref="BPB46:BPB48"/>
    <mergeCell ref="BPC46:BPC48"/>
    <mergeCell ref="BOR46:BOR48"/>
    <mergeCell ref="BOS46:BOS48"/>
    <mergeCell ref="BOT46:BOT48"/>
    <mergeCell ref="BOU46:BOU48"/>
    <mergeCell ref="BOV46:BOV48"/>
    <mergeCell ref="BOW46:BOW48"/>
    <mergeCell ref="BOL46:BOL48"/>
    <mergeCell ref="BOM46:BOM48"/>
    <mergeCell ref="BON46:BON48"/>
    <mergeCell ref="BOO46:BOO48"/>
    <mergeCell ref="BOP46:BOP48"/>
    <mergeCell ref="BOQ46:BOQ48"/>
    <mergeCell ref="BOF46:BOF48"/>
    <mergeCell ref="BOG46:BOG48"/>
    <mergeCell ref="BOH46:BOH48"/>
    <mergeCell ref="BOI46:BOI48"/>
    <mergeCell ref="BOJ46:BOJ48"/>
    <mergeCell ref="BOK46:BOK48"/>
    <mergeCell ref="BNZ46:BNZ48"/>
    <mergeCell ref="BOA46:BOA48"/>
    <mergeCell ref="BOB46:BOB48"/>
    <mergeCell ref="BOC46:BOC48"/>
    <mergeCell ref="BOD46:BOD48"/>
    <mergeCell ref="BOE46:BOE48"/>
    <mergeCell ref="BNT46:BNT48"/>
    <mergeCell ref="BNU46:BNU48"/>
    <mergeCell ref="BNV46:BNV48"/>
    <mergeCell ref="BNW46:BNW48"/>
    <mergeCell ref="BNX46:BNX48"/>
    <mergeCell ref="BNY46:BNY48"/>
    <mergeCell ref="BNN46:BNN48"/>
    <mergeCell ref="BNO46:BNO48"/>
    <mergeCell ref="BNP46:BNP48"/>
    <mergeCell ref="BNQ46:BNQ48"/>
    <mergeCell ref="BNR46:BNR48"/>
    <mergeCell ref="BNS46:BNS48"/>
    <mergeCell ref="BNH46:BNH48"/>
    <mergeCell ref="BNI46:BNI48"/>
    <mergeCell ref="BNJ46:BNJ48"/>
    <mergeCell ref="BNK46:BNK48"/>
    <mergeCell ref="BNL46:BNL48"/>
    <mergeCell ref="BNM46:BNM48"/>
    <mergeCell ref="BNB46:BNB48"/>
    <mergeCell ref="BNC46:BNC48"/>
    <mergeCell ref="BND46:BND48"/>
    <mergeCell ref="BNE46:BNE48"/>
    <mergeCell ref="BNF46:BNF48"/>
    <mergeCell ref="BNG46:BNG48"/>
    <mergeCell ref="BMV46:BMV48"/>
    <mergeCell ref="BMW46:BMW48"/>
    <mergeCell ref="BMX46:BMX48"/>
    <mergeCell ref="BMY46:BMY48"/>
    <mergeCell ref="BMZ46:BMZ48"/>
    <mergeCell ref="BNA46:BNA48"/>
    <mergeCell ref="BMP46:BMP48"/>
    <mergeCell ref="BMQ46:BMQ48"/>
    <mergeCell ref="BMR46:BMR48"/>
    <mergeCell ref="BMS46:BMS48"/>
    <mergeCell ref="BMT46:BMT48"/>
    <mergeCell ref="BMU46:BMU48"/>
    <mergeCell ref="BMJ46:BMJ48"/>
    <mergeCell ref="BMK46:BMK48"/>
    <mergeCell ref="BML46:BML48"/>
    <mergeCell ref="BMM46:BMM48"/>
    <mergeCell ref="BMN46:BMN48"/>
    <mergeCell ref="BMO46:BMO48"/>
    <mergeCell ref="BMD46:BMD48"/>
    <mergeCell ref="BME46:BME48"/>
    <mergeCell ref="BMF46:BMF48"/>
    <mergeCell ref="BMG46:BMG48"/>
    <mergeCell ref="BMH46:BMH48"/>
    <mergeCell ref="BMI46:BMI48"/>
    <mergeCell ref="BLX46:BLX48"/>
    <mergeCell ref="BLY46:BLY48"/>
    <mergeCell ref="BLZ46:BLZ48"/>
    <mergeCell ref="BMA46:BMA48"/>
    <mergeCell ref="BMB46:BMB48"/>
    <mergeCell ref="BMC46:BMC48"/>
    <mergeCell ref="BLR46:BLR48"/>
    <mergeCell ref="BLS46:BLS48"/>
    <mergeCell ref="BLT46:BLT48"/>
    <mergeCell ref="BLU46:BLU48"/>
    <mergeCell ref="BLV46:BLV48"/>
    <mergeCell ref="BLW46:BLW48"/>
    <mergeCell ref="BLL46:BLL48"/>
    <mergeCell ref="BLM46:BLM48"/>
    <mergeCell ref="BLN46:BLN48"/>
    <mergeCell ref="BLO46:BLO48"/>
    <mergeCell ref="BLP46:BLP48"/>
    <mergeCell ref="BLQ46:BLQ48"/>
    <mergeCell ref="BLF46:BLF48"/>
    <mergeCell ref="BLG46:BLG48"/>
    <mergeCell ref="BLH46:BLH48"/>
    <mergeCell ref="BLI46:BLI48"/>
    <mergeCell ref="BLJ46:BLJ48"/>
    <mergeCell ref="BLK46:BLK48"/>
    <mergeCell ref="BKZ46:BKZ48"/>
    <mergeCell ref="BLA46:BLA48"/>
    <mergeCell ref="BLB46:BLB48"/>
    <mergeCell ref="BLC46:BLC48"/>
    <mergeCell ref="BLD46:BLD48"/>
    <mergeCell ref="BLE46:BLE48"/>
    <mergeCell ref="BKT46:BKT48"/>
    <mergeCell ref="BKU46:BKU48"/>
    <mergeCell ref="BKV46:BKV48"/>
    <mergeCell ref="BKW46:BKW48"/>
    <mergeCell ref="BKX46:BKX48"/>
    <mergeCell ref="BKY46:BKY48"/>
    <mergeCell ref="BKN46:BKN48"/>
    <mergeCell ref="BKO46:BKO48"/>
    <mergeCell ref="BKP46:BKP48"/>
    <mergeCell ref="BKQ46:BKQ48"/>
    <mergeCell ref="BKR46:BKR48"/>
    <mergeCell ref="BKS46:BKS48"/>
    <mergeCell ref="BKH46:BKH48"/>
    <mergeCell ref="BKI46:BKI48"/>
    <mergeCell ref="BKJ46:BKJ48"/>
    <mergeCell ref="BKK46:BKK48"/>
    <mergeCell ref="BKL46:BKL48"/>
    <mergeCell ref="BKM46:BKM48"/>
    <mergeCell ref="BKB46:BKB48"/>
    <mergeCell ref="BKC46:BKC48"/>
    <mergeCell ref="BKD46:BKD48"/>
    <mergeCell ref="BKE46:BKE48"/>
    <mergeCell ref="BKF46:BKF48"/>
    <mergeCell ref="BKG46:BKG48"/>
    <mergeCell ref="BJV46:BJV48"/>
    <mergeCell ref="BJW46:BJW48"/>
    <mergeCell ref="BJX46:BJX48"/>
    <mergeCell ref="BJY46:BJY48"/>
    <mergeCell ref="BJZ46:BJZ48"/>
    <mergeCell ref="BKA46:BKA48"/>
    <mergeCell ref="BJP46:BJP48"/>
    <mergeCell ref="BJQ46:BJQ48"/>
    <mergeCell ref="BJR46:BJR48"/>
    <mergeCell ref="BJS46:BJS48"/>
    <mergeCell ref="BJT46:BJT48"/>
    <mergeCell ref="BJU46:BJU48"/>
    <mergeCell ref="BJJ46:BJJ48"/>
    <mergeCell ref="BJK46:BJK48"/>
    <mergeCell ref="BJL46:BJL48"/>
    <mergeCell ref="BJM46:BJM48"/>
    <mergeCell ref="BJN46:BJN48"/>
    <mergeCell ref="BJO46:BJO48"/>
    <mergeCell ref="BJD46:BJD48"/>
    <mergeCell ref="BJE46:BJE48"/>
    <mergeCell ref="BJF46:BJF48"/>
    <mergeCell ref="BJG46:BJG48"/>
    <mergeCell ref="BJH46:BJH48"/>
    <mergeCell ref="BJI46:BJI48"/>
    <mergeCell ref="BIX46:BIX48"/>
    <mergeCell ref="BIY46:BIY48"/>
    <mergeCell ref="BIZ46:BIZ48"/>
    <mergeCell ref="BJA46:BJA48"/>
    <mergeCell ref="BJB46:BJB48"/>
    <mergeCell ref="BJC46:BJC48"/>
    <mergeCell ref="BIR46:BIR48"/>
    <mergeCell ref="BIS46:BIS48"/>
    <mergeCell ref="BIT46:BIT48"/>
    <mergeCell ref="BIU46:BIU48"/>
    <mergeCell ref="BIV46:BIV48"/>
    <mergeCell ref="BIW46:BIW48"/>
    <mergeCell ref="BIL46:BIL48"/>
    <mergeCell ref="BIM46:BIM48"/>
    <mergeCell ref="BIN46:BIN48"/>
    <mergeCell ref="BIO46:BIO48"/>
    <mergeCell ref="BIP46:BIP48"/>
    <mergeCell ref="BIQ46:BIQ48"/>
    <mergeCell ref="BIF46:BIF48"/>
    <mergeCell ref="BIG46:BIG48"/>
    <mergeCell ref="BIH46:BIH48"/>
    <mergeCell ref="BII46:BII48"/>
    <mergeCell ref="BIJ46:BIJ48"/>
    <mergeCell ref="BIK46:BIK48"/>
    <mergeCell ref="BHZ46:BHZ48"/>
    <mergeCell ref="BIA46:BIA48"/>
    <mergeCell ref="BIB46:BIB48"/>
    <mergeCell ref="BIC46:BIC48"/>
    <mergeCell ref="BID46:BID48"/>
    <mergeCell ref="BIE46:BIE48"/>
    <mergeCell ref="BHT46:BHT48"/>
    <mergeCell ref="BHU46:BHU48"/>
    <mergeCell ref="BHV46:BHV48"/>
    <mergeCell ref="BHW46:BHW48"/>
    <mergeCell ref="BHX46:BHX48"/>
    <mergeCell ref="BHY46:BHY48"/>
    <mergeCell ref="BHN46:BHN48"/>
    <mergeCell ref="BHO46:BHO48"/>
    <mergeCell ref="BHP46:BHP48"/>
    <mergeCell ref="BHQ46:BHQ48"/>
    <mergeCell ref="BHR46:BHR48"/>
    <mergeCell ref="BHS46:BHS48"/>
    <mergeCell ref="BHH46:BHH48"/>
    <mergeCell ref="BHI46:BHI48"/>
    <mergeCell ref="BHJ46:BHJ48"/>
    <mergeCell ref="BHK46:BHK48"/>
    <mergeCell ref="BHL46:BHL48"/>
    <mergeCell ref="BHM46:BHM48"/>
    <mergeCell ref="BHB46:BHB48"/>
    <mergeCell ref="BHC46:BHC48"/>
    <mergeCell ref="BHD46:BHD48"/>
    <mergeCell ref="BHE46:BHE48"/>
    <mergeCell ref="BHF46:BHF48"/>
    <mergeCell ref="BHG46:BHG48"/>
    <mergeCell ref="BGV46:BGV48"/>
    <mergeCell ref="BGW46:BGW48"/>
    <mergeCell ref="BGX46:BGX48"/>
    <mergeCell ref="BGY46:BGY48"/>
    <mergeCell ref="BGZ46:BGZ48"/>
    <mergeCell ref="BHA46:BHA48"/>
    <mergeCell ref="BGP46:BGP48"/>
    <mergeCell ref="BGQ46:BGQ48"/>
    <mergeCell ref="BGR46:BGR48"/>
    <mergeCell ref="BGS46:BGS48"/>
    <mergeCell ref="BGT46:BGT48"/>
    <mergeCell ref="BGU46:BGU48"/>
    <mergeCell ref="BGJ46:BGJ48"/>
    <mergeCell ref="BGK46:BGK48"/>
    <mergeCell ref="BGL46:BGL48"/>
    <mergeCell ref="BGM46:BGM48"/>
    <mergeCell ref="BGN46:BGN48"/>
    <mergeCell ref="BGO46:BGO48"/>
    <mergeCell ref="BGD46:BGD48"/>
    <mergeCell ref="BGE46:BGE48"/>
    <mergeCell ref="BGF46:BGF48"/>
    <mergeCell ref="BGG46:BGG48"/>
    <mergeCell ref="BGH46:BGH48"/>
    <mergeCell ref="BGI46:BGI48"/>
    <mergeCell ref="BFX46:BFX48"/>
    <mergeCell ref="BFY46:BFY48"/>
    <mergeCell ref="BFZ46:BFZ48"/>
    <mergeCell ref="BGA46:BGA48"/>
    <mergeCell ref="BGB46:BGB48"/>
    <mergeCell ref="BGC46:BGC48"/>
    <mergeCell ref="BFR46:BFR48"/>
    <mergeCell ref="BFS46:BFS48"/>
    <mergeCell ref="BFT46:BFT48"/>
    <mergeCell ref="BFU46:BFU48"/>
    <mergeCell ref="BFV46:BFV48"/>
    <mergeCell ref="BFW46:BFW48"/>
    <mergeCell ref="BFL46:BFL48"/>
    <mergeCell ref="BFM46:BFM48"/>
    <mergeCell ref="BFN46:BFN48"/>
    <mergeCell ref="BFO46:BFO48"/>
    <mergeCell ref="BFP46:BFP48"/>
    <mergeCell ref="BFQ46:BFQ48"/>
    <mergeCell ref="BFF46:BFF48"/>
    <mergeCell ref="BFG46:BFG48"/>
    <mergeCell ref="BFH46:BFH48"/>
    <mergeCell ref="BFI46:BFI48"/>
    <mergeCell ref="BFJ46:BFJ48"/>
    <mergeCell ref="BFK46:BFK48"/>
    <mergeCell ref="BEZ46:BEZ48"/>
    <mergeCell ref="BFA46:BFA48"/>
    <mergeCell ref="BFB46:BFB48"/>
    <mergeCell ref="BFC46:BFC48"/>
    <mergeCell ref="BFD46:BFD48"/>
    <mergeCell ref="BFE46:BFE48"/>
    <mergeCell ref="BET46:BET48"/>
    <mergeCell ref="BEU46:BEU48"/>
    <mergeCell ref="BEV46:BEV48"/>
    <mergeCell ref="BEW46:BEW48"/>
    <mergeCell ref="BEX46:BEX48"/>
    <mergeCell ref="BEY46:BEY48"/>
    <mergeCell ref="BEN46:BEN48"/>
    <mergeCell ref="BEO46:BEO48"/>
    <mergeCell ref="BEP46:BEP48"/>
    <mergeCell ref="BEQ46:BEQ48"/>
    <mergeCell ref="BER46:BER48"/>
    <mergeCell ref="BES46:BES48"/>
    <mergeCell ref="BEH46:BEH48"/>
    <mergeCell ref="BEI46:BEI48"/>
    <mergeCell ref="BEJ46:BEJ48"/>
    <mergeCell ref="BEK46:BEK48"/>
    <mergeCell ref="BEL46:BEL48"/>
    <mergeCell ref="BEM46:BEM48"/>
    <mergeCell ref="BEB46:BEB48"/>
    <mergeCell ref="BEC46:BEC48"/>
    <mergeCell ref="BED46:BED48"/>
    <mergeCell ref="BEE46:BEE48"/>
    <mergeCell ref="BEF46:BEF48"/>
    <mergeCell ref="BEG46:BEG48"/>
    <mergeCell ref="BDV46:BDV48"/>
    <mergeCell ref="BDW46:BDW48"/>
    <mergeCell ref="BDX46:BDX48"/>
    <mergeCell ref="BDY46:BDY48"/>
    <mergeCell ref="BDZ46:BDZ48"/>
    <mergeCell ref="BEA46:BEA48"/>
    <mergeCell ref="BDP46:BDP48"/>
    <mergeCell ref="BDQ46:BDQ48"/>
    <mergeCell ref="BDR46:BDR48"/>
    <mergeCell ref="BDS46:BDS48"/>
    <mergeCell ref="BDT46:BDT48"/>
    <mergeCell ref="BDU46:BDU48"/>
    <mergeCell ref="BDJ46:BDJ48"/>
    <mergeCell ref="BDK46:BDK48"/>
    <mergeCell ref="BDL46:BDL48"/>
    <mergeCell ref="BDM46:BDM48"/>
    <mergeCell ref="BDN46:BDN48"/>
    <mergeCell ref="BDO46:BDO48"/>
    <mergeCell ref="BDD46:BDD48"/>
    <mergeCell ref="BDE46:BDE48"/>
    <mergeCell ref="BDF46:BDF48"/>
    <mergeCell ref="BDG46:BDG48"/>
    <mergeCell ref="BDH46:BDH48"/>
    <mergeCell ref="BDI46:BDI48"/>
    <mergeCell ref="BCX46:BCX48"/>
    <mergeCell ref="BCY46:BCY48"/>
    <mergeCell ref="BCZ46:BCZ48"/>
    <mergeCell ref="BDA46:BDA48"/>
    <mergeCell ref="BDB46:BDB48"/>
    <mergeCell ref="BDC46:BDC48"/>
    <mergeCell ref="BCR46:BCR48"/>
    <mergeCell ref="BCS46:BCS48"/>
    <mergeCell ref="BCT46:BCT48"/>
    <mergeCell ref="BCU46:BCU48"/>
    <mergeCell ref="BCV46:BCV48"/>
    <mergeCell ref="BCW46:BCW48"/>
    <mergeCell ref="BCL46:BCL48"/>
    <mergeCell ref="BCM46:BCM48"/>
    <mergeCell ref="BCN46:BCN48"/>
    <mergeCell ref="BCO46:BCO48"/>
    <mergeCell ref="BCP46:BCP48"/>
    <mergeCell ref="BCQ46:BCQ48"/>
    <mergeCell ref="BCF46:BCF48"/>
    <mergeCell ref="BCG46:BCG48"/>
    <mergeCell ref="BCH46:BCH48"/>
    <mergeCell ref="BCI46:BCI48"/>
    <mergeCell ref="BCJ46:BCJ48"/>
    <mergeCell ref="BCK46:BCK48"/>
    <mergeCell ref="BBZ46:BBZ48"/>
    <mergeCell ref="BCA46:BCA48"/>
    <mergeCell ref="BCB46:BCB48"/>
    <mergeCell ref="BCC46:BCC48"/>
    <mergeCell ref="BCD46:BCD48"/>
    <mergeCell ref="BCE46:BCE48"/>
    <mergeCell ref="BBT46:BBT48"/>
    <mergeCell ref="BBU46:BBU48"/>
    <mergeCell ref="BBV46:BBV48"/>
    <mergeCell ref="BBW46:BBW48"/>
    <mergeCell ref="BBX46:BBX48"/>
    <mergeCell ref="BBY46:BBY48"/>
    <mergeCell ref="BBN46:BBN48"/>
    <mergeCell ref="BBO46:BBO48"/>
    <mergeCell ref="BBP46:BBP48"/>
    <mergeCell ref="BBQ46:BBQ48"/>
    <mergeCell ref="BBR46:BBR48"/>
    <mergeCell ref="BBS46:BBS48"/>
    <mergeCell ref="BBH46:BBH48"/>
    <mergeCell ref="BBI46:BBI48"/>
    <mergeCell ref="BBJ46:BBJ48"/>
    <mergeCell ref="BBK46:BBK48"/>
    <mergeCell ref="BBL46:BBL48"/>
    <mergeCell ref="BBM46:BBM48"/>
    <mergeCell ref="BBB46:BBB48"/>
    <mergeCell ref="BBC46:BBC48"/>
    <mergeCell ref="BBD46:BBD48"/>
    <mergeCell ref="BBE46:BBE48"/>
    <mergeCell ref="BBF46:BBF48"/>
    <mergeCell ref="BBG46:BBG48"/>
    <mergeCell ref="BAV46:BAV48"/>
    <mergeCell ref="BAW46:BAW48"/>
    <mergeCell ref="BAX46:BAX48"/>
    <mergeCell ref="BAY46:BAY48"/>
    <mergeCell ref="BAZ46:BAZ48"/>
    <mergeCell ref="BBA46:BBA48"/>
    <mergeCell ref="BAP46:BAP48"/>
    <mergeCell ref="BAQ46:BAQ48"/>
    <mergeCell ref="BAR46:BAR48"/>
    <mergeCell ref="BAS46:BAS48"/>
    <mergeCell ref="BAT46:BAT48"/>
    <mergeCell ref="BAU46:BAU48"/>
    <mergeCell ref="BAJ46:BAJ48"/>
    <mergeCell ref="BAK46:BAK48"/>
    <mergeCell ref="BAL46:BAL48"/>
    <mergeCell ref="BAM46:BAM48"/>
    <mergeCell ref="BAN46:BAN48"/>
    <mergeCell ref="BAO46:BAO48"/>
    <mergeCell ref="BAD46:BAD48"/>
    <mergeCell ref="BAE46:BAE48"/>
    <mergeCell ref="BAF46:BAF48"/>
    <mergeCell ref="BAG46:BAG48"/>
    <mergeCell ref="BAH46:BAH48"/>
    <mergeCell ref="BAI46:BAI48"/>
    <mergeCell ref="AZX46:AZX48"/>
    <mergeCell ref="AZY46:AZY48"/>
    <mergeCell ref="AZZ46:AZZ48"/>
    <mergeCell ref="BAA46:BAA48"/>
    <mergeCell ref="BAB46:BAB48"/>
    <mergeCell ref="BAC46:BAC48"/>
    <mergeCell ref="AZR46:AZR48"/>
    <mergeCell ref="AZS46:AZS48"/>
    <mergeCell ref="AZT46:AZT48"/>
    <mergeCell ref="AZU46:AZU48"/>
    <mergeCell ref="AZV46:AZV48"/>
    <mergeCell ref="AZW46:AZW48"/>
    <mergeCell ref="AZL46:AZL48"/>
    <mergeCell ref="AZM46:AZM48"/>
    <mergeCell ref="AZN46:AZN48"/>
    <mergeCell ref="AZO46:AZO48"/>
    <mergeCell ref="AZP46:AZP48"/>
    <mergeCell ref="AZQ46:AZQ48"/>
    <mergeCell ref="AZF46:AZF48"/>
    <mergeCell ref="AZG46:AZG48"/>
    <mergeCell ref="AZH46:AZH48"/>
    <mergeCell ref="AZI46:AZI48"/>
    <mergeCell ref="AZJ46:AZJ48"/>
    <mergeCell ref="AZK46:AZK48"/>
    <mergeCell ref="AYZ46:AYZ48"/>
    <mergeCell ref="AZA46:AZA48"/>
    <mergeCell ref="AZB46:AZB48"/>
    <mergeCell ref="AZC46:AZC48"/>
    <mergeCell ref="AZD46:AZD48"/>
    <mergeCell ref="AZE46:AZE48"/>
    <mergeCell ref="AYT46:AYT48"/>
    <mergeCell ref="AYU46:AYU48"/>
    <mergeCell ref="AYV46:AYV48"/>
    <mergeCell ref="AYW46:AYW48"/>
    <mergeCell ref="AYX46:AYX48"/>
    <mergeCell ref="AYY46:AYY48"/>
    <mergeCell ref="AYN46:AYN48"/>
    <mergeCell ref="AYO46:AYO48"/>
    <mergeCell ref="AYP46:AYP48"/>
    <mergeCell ref="AYQ46:AYQ48"/>
    <mergeCell ref="AYR46:AYR48"/>
    <mergeCell ref="AYS46:AYS48"/>
    <mergeCell ref="AYH46:AYH48"/>
    <mergeCell ref="AYI46:AYI48"/>
    <mergeCell ref="AYJ46:AYJ48"/>
    <mergeCell ref="AYK46:AYK48"/>
    <mergeCell ref="AYL46:AYL48"/>
    <mergeCell ref="AYM46:AYM48"/>
    <mergeCell ref="AYB46:AYB48"/>
    <mergeCell ref="AYC46:AYC48"/>
    <mergeCell ref="AYD46:AYD48"/>
    <mergeCell ref="AYE46:AYE48"/>
    <mergeCell ref="AYF46:AYF48"/>
    <mergeCell ref="AYG46:AYG48"/>
    <mergeCell ref="AXV46:AXV48"/>
    <mergeCell ref="AXW46:AXW48"/>
    <mergeCell ref="AXX46:AXX48"/>
    <mergeCell ref="AXY46:AXY48"/>
    <mergeCell ref="AXZ46:AXZ48"/>
    <mergeCell ref="AYA46:AYA48"/>
    <mergeCell ref="AXP46:AXP48"/>
    <mergeCell ref="AXQ46:AXQ48"/>
    <mergeCell ref="AXR46:AXR48"/>
    <mergeCell ref="AXS46:AXS48"/>
    <mergeCell ref="AXT46:AXT48"/>
    <mergeCell ref="AXU46:AXU48"/>
    <mergeCell ref="AXJ46:AXJ48"/>
    <mergeCell ref="AXK46:AXK48"/>
    <mergeCell ref="AXL46:AXL48"/>
    <mergeCell ref="AXM46:AXM48"/>
    <mergeCell ref="AXN46:AXN48"/>
    <mergeCell ref="AXO46:AXO48"/>
    <mergeCell ref="AXD46:AXD48"/>
    <mergeCell ref="AXE46:AXE48"/>
    <mergeCell ref="AXF46:AXF48"/>
    <mergeCell ref="AXG46:AXG48"/>
    <mergeCell ref="AXH46:AXH48"/>
    <mergeCell ref="AXI46:AXI48"/>
    <mergeCell ref="AWX46:AWX48"/>
    <mergeCell ref="AWY46:AWY48"/>
    <mergeCell ref="AWZ46:AWZ48"/>
    <mergeCell ref="AXA46:AXA48"/>
    <mergeCell ref="AXB46:AXB48"/>
    <mergeCell ref="AXC46:AXC48"/>
    <mergeCell ref="AWR46:AWR48"/>
    <mergeCell ref="AWS46:AWS48"/>
    <mergeCell ref="AWT46:AWT48"/>
    <mergeCell ref="AWU46:AWU48"/>
    <mergeCell ref="AWV46:AWV48"/>
    <mergeCell ref="AWW46:AWW48"/>
    <mergeCell ref="AWL46:AWL48"/>
    <mergeCell ref="AWM46:AWM48"/>
    <mergeCell ref="AWN46:AWN48"/>
    <mergeCell ref="AWO46:AWO48"/>
    <mergeCell ref="AWP46:AWP48"/>
    <mergeCell ref="AWQ46:AWQ48"/>
    <mergeCell ref="AWF46:AWF48"/>
    <mergeCell ref="AWG46:AWG48"/>
    <mergeCell ref="AWH46:AWH48"/>
    <mergeCell ref="AWI46:AWI48"/>
    <mergeCell ref="AWJ46:AWJ48"/>
    <mergeCell ref="AWK46:AWK48"/>
    <mergeCell ref="AVZ46:AVZ48"/>
    <mergeCell ref="AWA46:AWA48"/>
    <mergeCell ref="AWB46:AWB48"/>
    <mergeCell ref="AWC46:AWC48"/>
    <mergeCell ref="AWD46:AWD48"/>
    <mergeCell ref="AWE46:AWE48"/>
    <mergeCell ref="AVT46:AVT48"/>
    <mergeCell ref="AVU46:AVU48"/>
    <mergeCell ref="AVV46:AVV48"/>
    <mergeCell ref="AVW46:AVW48"/>
    <mergeCell ref="AVX46:AVX48"/>
    <mergeCell ref="AVY46:AVY48"/>
    <mergeCell ref="AVN46:AVN48"/>
    <mergeCell ref="AVO46:AVO48"/>
    <mergeCell ref="AVP46:AVP48"/>
    <mergeCell ref="AVQ46:AVQ48"/>
    <mergeCell ref="AVR46:AVR48"/>
    <mergeCell ref="AVS46:AVS48"/>
    <mergeCell ref="AVH46:AVH48"/>
    <mergeCell ref="AVI46:AVI48"/>
    <mergeCell ref="AVJ46:AVJ48"/>
    <mergeCell ref="AVK46:AVK48"/>
    <mergeCell ref="AVL46:AVL48"/>
    <mergeCell ref="AVM46:AVM48"/>
    <mergeCell ref="AVB46:AVB48"/>
    <mergeCell ref="AVC46:AVC48"/>
    <mergeCell ref="AVD46:AVD48"/>
    <mergeCell ref="AVE46:AVE48"/>
    <mergeCell ref="AVF46:AVF48"/>
    <mergeCell ref="AVG46:AVG48"/>
    <mergeCell ref="AUV46:AUV48"/>
    <mergeCell ref="AUW46:AUW48"/>
    <mergeCell ref="AUX46:AUX48"/>
    <mergeCell ref="AUY46:AUY48"/>
    <mergeCell ref="AUZ46:AUZ48"/>
    <mergeCell ref="AVA46:AVA48"/>
    <mergeCell ref="AUP46:AUP48"/>
    <mergeCell ref="AUQ46:AUQ48"/>
    <mergeCell ref="AUR46:AUR48"/>
    <mergeCell ref="AUS46:AUS48"/>
    <mergeCell ref="AUT46:AUT48"/>
    <mergeCell ref="AUU46:AUU48"/>
    <mergeCell ref="AUJ46:AUJ48"/>
    <mergeCell ref="AUK46:AUK48"/>
    <mergeCell ref="AUL46:AUL48"/>
    <mergeCell ref="AUM46:AUM48"/>
    <mergeCell ref="AUN46:AUN48"/>
    <mergeCell ref="AUO46:AUO48"/>
    <mergeCell ref="AUD46:AUD48"/>
    <mergeCell ref="AUE46:AUE48"/>
    <mergeCell ref="AUF46:AUF48"/>
    <mergeCell ref="AUG46:AUG48"/>
    <mergeCell ref="AUH46:AUH48"/>
    <mergeCell ref="AUI46:AUI48"/>
    <mergeCell ref="ATX46:ATX48"/>
    <mergeCell ref="ATY46:ATY48"/>
    <mergeCell ref="ATZ46:ATZ48"/>
    <mergeCell ref="AUA46:AUA48"/>
    <mergeCell ref="AUB46:AUB48"/>
    <mergeCell ref="AUC46:AUC48"/>
    <mergeCell ref="ATR46:ATR48"/>
    <mergeCell ref="ATS46:ATS48"/>
    <mergeCell ref="ATT46:ATT48"/>
    <mergeCell ref="ATU46:ATU48"/>
    <mergeCell ref="ATV46:ATV48"/>
    <mergeCell ref="ATW46:ATW48"/>
    <mergeCell ref="ATL46:ATL48"/>
    <mergeCell ref="ATM46:ATM48"/>
    <mergeCell ref="ATN46:ATN48"/>
    <mergeCell ref="ATO46:ATO48"/>
    <mergeCell ref="ATP46:ATP48"/>
    <mergeCell ref="ATQ46:ATQ48"/>
    <mergeCell ref="ATF46:ATF48"/>
    <mergeCell ref="ATG46:ATG48"/>
    <mergeCell ref="ATH46:ATH48"/>
    <mergeCell ref="ATI46:ATI48"/>
    <mergeCell ref="ATJ46:ATJ48"/>
    <mergeCell ref="ATK46:ATK48"/>
    <mergeCell ref="ASZ46:ASZ48"/>
    <mergeCell ref="ATA46:ATA48"/>
    <mergeCell ref="ATB46:ATB48"/>
    <mergeCell ref="ATC46:ATC48"/>
    <mergeCell ref="ATD46:ATD48"/>
    <mergeCell ref="ATE46:ATE48"/>
    <mergeCell ref="AST46:AST48"/>
    <mergeCell ref="ASU46:ASU48"/>
    <mergeCell ref="ASV46:ASV48"/>
    <mergeCell ref="ASW46:ASW48"/>
    <mergeCell ref="ASX46:ASX48"/>
    <mergeCell ref="ASY46:ASY48"/>
    <mergeCell ref="ASN46:ASN48"/>
    <mergeCell ref="ASO46:ASO48"/>
    <mergeCell ref="ASP46:ASP48"/>
    <mergeCell ref="ASQ46:ASQ48"/>
    <mergeCell ref="ASR46:ASR48"/>
    <mergeCell ref="ASS46:ASS48"/>
    <mergeCell ref="ASH46:ASH48"/>
    <mergeCell ref="ASI46:ASI48"/>
    <mergeCell ref="ASJ46:ASJ48"/>
    <mergeCell ref="ASK46:ASK48"/>
    <mergeCell ref="ASL46:ASL48"/>
    <mergeCell ref="ASM46:ASM48"/>
    <mergeCell ref="ASB46:ASB48"/>
    <mergeCell ref="ASC46:ASC48"/>
    <mergeCell ref="ASD46:ASD48"/>
    <mergeCell ref="ASE46:ASE48"/>
    <mergeCell ref="ASF46:ASF48"/>
    <mergeCell ref="ASG46:ASG48"/>
    <mergeCell ref="ARV46:ARV48"/>
    <mergeCell ref="ARW46:ARW48"/>
    <mergeCell ref="ARX46:ARX48"/>
    <mergeCell ref="ARY46:ARY48"/>
    <mergeCell ref="ARZ46:ARZ48"/>
    <mergeCell ref="ASA46:ASA48"/>
    <mergeCell ref="ARP46:ARP48"/>
    <mergeCell ref="ARQ46:ARQ48"/>
    <mergeCell ref="ARR46:ARR48"/>
    <mergeCell ref="ARS46:ARS48"/>
    <mergeCell ref="ART46:ART48"/>
    <mergeCell ref="ARU46:ARU48"/>
    <mergeCell ref="ARJ46:ARJ48"/>
    <mergeCell ref="ARK46:ARK48"/>
    <mergeCell ref="ARL46:ARL48"/>
    <mergeCell ref="ARM46:ARM48"/>
    <mergeCell ref="ARN46:ARN48"/>
    <mergeCell ref="ARO46:ARO48"/>
    <mergeCell ref="ARD46:ARD48"/>
    <mergeCell ref="ARE46:ARE48"/>
    <mergeCell ref="ARF46:ARF48"/>
    <mergeCell ref="ARG46:ARG48"/>
    <mergeCell ref="ARH46:ARH48"/>
    <mergeCell ref="ARI46:ARI48"/>
    <mergeCell ref="AQX46:AQX48"/>
    <mergeCell ref="AQY46:AQY48"/>
    <mergeCell ref="AQZ46:AQZ48"/>
    <mergeCell ref="ARA46:ARA48"/>
    <mergeCell ref="ARB46:ARB48"/>
    <mergeCell ref="ARC46:ARC48"/>
    <mergeCell ref="AQR46:AQR48"/>
    <mergeCell ref="AQS46:AQS48"/>
    <mergeCell ref="AQT46:AQT48"/>
    <mergeCell ref="AQU46:AQU48"/>
    <mergeCell ref="AQV46:AQV48"/>
    <mergeCell ref="AQW46:AQW48"/>
    <mergeCell ref="AQL46:AQL48"/>
    <mergeCell ref="AQM46:AQM48"/>
    <mergeCell ref="AQN46:AQN48"/>
    <mergeCell ref="AQO46:AQO48"/>
    <mergeCell ref="AQP46:AQP48"/>
    <mergeCell ref="AQQ46:AQQ48"/>
    <mergeCell ref="AQF46:AQF48"/>
    <mergeCell ref="AQG46:AQG48"/>
    <mergeCell ref="AQH46:AQH48"/>
    <mergeCell ref="AQI46:AQI48"/>
    <mergeCell ref="AQJ46:AQJ48"/>
    <mergeCell ref="AQK46:AQK48"/>
    <mergeCell ref="APZ46:APZ48"/>
    <mergeCell ref="AQA46:AQA48"/>
    <mergeCell ref="AQB46:AQB48"/>
    <mergeCell ref="AQC46:AQC48"/>
    <mergeCell ref="AQD46:AQD48"/>
    <mergeCell ref="AQE46:AQE48"/>
    <mergeCell ref="APT46:APT48"/>
    <mergeCell ref="APU46:APU48"/>
    <mergeCell ref="APV46:APV48"/>
    <mergeCell ref="APW46:APW48"/>
    <mergeCell ref="APX46:APX48"/>
    <mergeCell ref="APY46:APY48"/>
    <mergeCell ref="APN46:APN48"/>
    <mergeCell ref="APO46:APO48"/>
    <mergeCell ref="APP46:APP48"/>
    <mergeCell ref="APQ46:APQ48"/>
    <mergeCell ref="APR46:APR48"/>
    <mergeCell ref="APS46:APS48"/>
    <mergeCell ref="APH46:APH48"/>
    <mergeCell ref="API46:API48"/>
    <mergeCell ref="APJ46:APJ48"/>
    <mergeCell ref="APK46:APK48"/>
    <mergeCell ref="APL46:APL48"/>
    <mergeCell ref="APM46:APM48"/>
    <mergeCell ref="APB46:APB48"/>
    <mergeCell ref="APC46:APC48"/>
    <mergeCell ref="APD46:APD48"/>
    <mergeCell ref="APE46:APE48"/>
    <mergeCell ref="APF46:APF48"/>
    <mergeCell ref="APG46:APG48"/>
    <mergeCell ref="AOV46:AOV48"/>
    <mergeCell ref="AOW46:AOW48"/>
    <mergeCell ref="AOX46:AOX48"/>
    <mergeCell ref="AOY46:AOY48"/>
    <mergeCell ref="AOZ46:AOZ48"/>
    <mergeCell ref="APA46:APA48"/>
    <mergeCell ref="AOP46:AOP48"/>
    <mergeCell ref="AOQ46:AOQ48"/>
    <mergeCell ref="AOR46:AOR48"/>
    <mergeCell ref="AOS46:AOS48"/>
    <mergeCell ref="AOT46:AOT48"/>
    <mergeCell ref="AOU46:AOU48"/>
    <mergeCell ref="AOJ46:AOJ48"/>
    <mergeCell ref="AOK46:AOK48"/>
    <mergeCell ref="AOL46:AOL48"/>
    <mergeCell ref="AOM46:AOM48"/>
    <mergeCell ref="AON46:AON48"/>
    <mergeCell ref="AOO46:AOO48"/>
    <mergeCell ref="AOD46:AOD48"/>
    <mergeCell ref="AOE46:AOE48"/>
    <mergeCell ref="AOF46:AOF48"/>
    <mergeCell ref="AOG46:AOG48"/>
    <mergeCell ref="AOH46:AOH48"/>
    <mergeCell ref="AOI46:AOI48"/>
    <mergeCell ref="ANX46:ANX48"/>
    <mergeCell ref="ANY46:ANY48"/>
    <mergeCell ref="ANZ46:ANZ48"/>
    <mergeCell ref="AOA46:AOA48"/>
    <mergeCell ref="AOB46:AOB48"/>
    <mergeCell ref="AOC46:AOC48"/>
    <mergeCell ref="ANR46:ANR48"/>
    <mergeCell ref="ANS46:ANS48"/>
    <mergeCell ref="ANT46:ANT48"/>
    <mergeCell ref="ANU46:ANU48"/>
    <mergeCell ref="ANV46:ANV48"/>
    <mergeCell ref="ANW46:ANW48"/>
    <mergeCell ref="ANL46:ANL48"/>
    <mergeCell ref="ANM46:ANM48"/>
    <mergeCell ref="ANN46:ANN48"/>
    <mergeCell ref="ANO46:ANO48"/>
    <mergeCell ref="ANP46:ANP48"/>
    <mergeCell ref="ANQ46:ANQ48"/>
    <mergeCell ref="ANF46:ANF48"/>
    <mergeCell ref="ANG46:ANG48"/>
    <mergeCell ref="ANH46:ANH48"/>
    <mergeCell ref="ANI46:ANI48"/>
    <mergeCell ref="ANJ46:ANJ48"/>
    <mergeCell ref="ANK46:ANK48"/>
    <mergeCell ref="AMZ46:AMZ48"/>
    <mergeCell ref="ANA46:ANA48"/>
    <mergeCell ref="ANB46:ANB48"/>
    <mergeCell ref="ANC46:ANC48"/>
    <mergeCell ref="AND46:AND48"/>
    <mergeCell ref="ANE46:ANE48"/>
    <mergeCell ref="AMT46:AMT48"/>
    <mergeCell ref="AMU46:AMU48"/>
    <mergeCell ref="AMV46:AMV48"/>
    <mergeCell ref="AMW46:AMW48"/>
    <mergeCell ref="AMX46:AMX48"/>
    <mergeCell ref="AMY46:AMY48"/>
    <mergeCell ref="AMN46:AMN48"/>
    <mergeCell ref="AMO46:AMO48"/>
    <mergeCell ref="AMP46:AMP48"/>
    <mergeCell ref="AMQ46:AMQ48"/>
    <mergeCell ref="AMR46:AMR48"/>
    <mergeCell ref="AMS46:AMS48"/>
    <mergeCell ref="AMH46:AMH48"/>
    <mergeCell ref="AMI46:AMI48"/>
    <mergeCell ref="AMJ46:AMJ48"/>
    <mergeCell ref="AMK46:AMK48"/>
    <mergeCell ref="AML46:AML48"/>
    <mergeCell ref="AMM46:AMM48"/>
    <mergeCell ref="AMB46:AMB48"/>
    <mergeCell ref="AMC46:AMC48"/>
    <mergeCell ref="AMD46:AMD48"/>
    <mergeCell ref="AME46:AME48"/>
    <mergeCell ref="AMF46:AMF48"/>
    <mergeCell ref="AMG46:AMG48"/>
    <mergeCell ref="ALV46:ALV48"/>
    <mergeCell ref="ALW46:ALW48"/>
    <mergeCell ref="ALX46:ALX48"/>
    <mergeCell ref="ALY46:ALY48"/>
    <mergeCell ref="ALZ46:ALZ48"/>
    <mergeCell ref="AMA46:AMA48"/>
    <mergeCell ref="ALP46:ALP48"/>
    <mergeCell ref="ALQ46:ALQ48"/>
    <mergeCell ref="ALR46:ALR48"/>
    <mergeCell ref="ALS46:ALS48"/>
    <mergeCell ref="ALT46:ALT48"/>
    <mergeCell ref="ALU46:ALU48"/>
    <mergeCell ref="ALJ46:ALJ48"/>
    <mergeCell ref="ALK46:ALK48"/>
    <mergeCell ref="ALL46:ALL48"/>
    <mergeCell ref="ALM46:ALM48"/>
    <mergeCell ref="ALN46:ALN48"/>
    <mergeCell ref="ALO46:ALO48"/>
    <mergeCell ref="ALD46:ALD48"/>
    <mergeCell ref="ALE46:ALE48"/>
    <mergeCell ref="ALF46:ALF48"/>
    <mergeCell ref="ALG46:ALG48"/>
    <mergeCell ref="ALH46:ALH48"/>
    <mergeCell ref="ALI46:ALI48"/>
    <mergeCell ref="AKX46:AKX48"/>
    <mergeCell ref="AKY46:AKY48"/>
    <mergeCell ref="AKZ46:AKZ48"/>
    <mergeCell ref="ALA46:ALA48"/>
    <mergeCell ref="ALB46:ALB48"/>
    <mergeCell ref="ALC46:ALC48"/>
    <mergeCell ref="AKR46:AKR48"/>
    <mergeCell ref="AKS46:AKS48"/>
    <mergeCell ref="AKT46:AKT48"/>
    <mergeCell ref="AKU46:AKU48"/>
    <mergeCell ref="AKV46:AKV48"/>
    <mergeCell ref="AKW46:AKW48"/>
    <mergeCell ref="AKL46:AKL48"/>
    <mergeCell ref="AKM46:AKM48"/>
    <mergeCell ref="AKN46:AKN48"/>
    <mergeCell ref="AKO46:AKO48"/>
    <mergeCell ref="AKP46:AKP48"/>
    <mergeCell ref="AKQ46:AKQ48"/>
    <mergeCell ref="AKF46:AKF48"/>
    <mergeCell ref="AKG46:AKG48"/>
    <mergeCell ref="AKH46:AKH48"/>
    <mergeCell ref="AKI46:AKI48"/>
    <mergeCell ref="AKJ46:AKJ48"/>
    <mergeCell ref="AKK46:AKK48"/>
    <mergeCell ref="AJZ46:AJZ48"/>
    <mergeCell ref="AKA46:AKA48"/>
    <mergeCell ref="AKB46:AKB48"/>
    <mergeCell ref="AKC46:AKC48"/>
    <mergeCell ref="AKD46:AKD48"/>
    <mergeCell ref="AKE46:AKE48"/>
    <mergeCell ref="AJT46:AJT48"/>
    <mergeCell ref="AJU46:AJU48"/>
    <mergeCell ref="AJV46:AJV48"/>
    <mergeCell ref="AJW46:AJW48"/>
    <mergeCell ref="AJX46:AJX48"/>
    <mergeCell ref="AJY46:AJY48"/>
    <mergeCell ref="AJN46:AJN48"/>
    <mergeCell ref="AJO46:AJO48"/>
    <mergeCell ref="AJP46:AJP48"/>
    <mergeCell ref="AJQ46:AJQ48"/>
    <mergeCell ref="AJR46:AJR48"/>
    <mergeCell ref="AJS46:AJS48"/>
    <mergeCell ref="AJH46:AJH48"/>
    <mergeCell ref="AJI46:AJI48"/>
    <mergeCell ref="AJJ46:AJJ48"/>
    <mergeCell ref="AJK46:AJK48"/>
    <mergeCell ref="AJL46:AJL48"/>
    <mergeCell ref="AJM46:AJM48"/>
    <mergeCell ref="AJB46:AJB48"/>
    <mergeCell ref="AJC46:AJC48"/>
    <mergeCell ref="AJD46:AJD48"/>
    <mergeCell ref="AJE46:AJE48"/>
    <mergeCell ref="AJF46:AJF48"/>
    <mergeCell ref="AJG46:AJG48"/>
    <mergeCell ref="AIV46:AIV48"/>
    <mergeCell ref="AIW46:AIW48"/>
    <mergeCell ref="AIX46:AIX48"/>
    <mergeCell ref="AIY46:AIY48"/>
    <mergeCell ref="AIZ46:AIZ48"/>
    <mergeCell ref="AJA46:AJA48"/>
    <mergeCell ref="AIP46:AIP48"/>
    <mergeCell ref="AIQ46:AIQ48"/>
    <mergeCell ref="AIR46:AIR48"/>
    <mergeCell ref="AIS46:AIS48"/>
    <mergeCell ref="AIT46:AIT48"/>
    <mergeCell ref="AIU46:AIU48"/>
    <mergeCell ref="AIJ46:AIJ48"/>
    <mergeCell ref="AIK46:AIK48"/>
    <mergeCell ref="AIL46:AIL48"/>
    <mergeCell ref="AIM46:AIM48"/>
    <mergeCell ref="AIN46:AIN48"/>
    <mergeCell ref="AIO46:AIO48"/>
    <mergeCell ref="AID46:AID48"/>
    <mergeCell ref="AIE46:AIE48"/>
    <mergeCell ref="AIF46:AIF48"/>
    <mergeCell ref="AIG46:AIG48"/>
    <mergeCell ref="AIH46:AIH48"/>
    <mergeCell ref="AII46:AII48"/>
    <mergeCell ref="AHX46:AHX48"/>
    <mergeCell ref="AHY46:AHY48"/>
    <mergeCell ref="AHZ46:AHZ48"/>
    <mergeCell ref="AIA46:AIA48"/>
    <mergeCell ref="AIB46:AIB48"/>
    <mergeCell ref="AIC46:AIC48"/>
    <mergeCell ref="AHR46:AHR48"/>
    <mergeCell ref="AHS46:AHS48"/>
    <mergeCell ref="AHT46:AHT48"/>
    <mergeCell ref="AHU46:AHU48"/>
    <mergeCell ref="AHV46:AHV48"/>
    <mergeCell ref="AHW46:AHW48"/>
    <mergeCell ref="AHL46:AHL48"/>
    <mergeCell ref="AHM46:AHM48"/>
    <mergeCell ref="AHN46:AHN48"/>
    <mergeCell ref="AHO46:AHO48"/>
    <mergeCell ref="AHP46:AHP48"/>
    <mergeCell ref="AHQ46:AHQ48"/>
    <mergeCell ref="AHF46:AHF48"/>
    <mergeCell ref="AHG46:AHG48"/>
    <mergeCell ref="AHH46:AHH48"/>
    <mergeCell ref="AHI46:AHI48"/>
    <mergeCell ref="AHJ46:AHJ48"/>
    <mergeCell ref="AHK46:AHK48"/>
    <mergeCell ref="AGZ46:AGZ48"/>
    <mergeCell ref="AHA46:AHA48"/>
    <mergeCell ref="AHB46:AHB48"/>
    <mergeCell ref="AHC46:AHC48"/>
    <mergeCell ref="AHD46:AHD48"/>
    <mergeCell ref="AHE46:AHE48"/>
    <mergeCell ref="AGT46:AGT48"/>
    <mergeCell ref="AGU46:AGU48"/>
    <mergeCell ref="AGV46:AGV48"/>
    <mergeCell ref="AGW46:AGW48"/>
    <mergeCell ref="AGX46:AGX48"/>
    <mergeCell ref="AGY46:AGY48"/>
    <mergeCell ref="AGN46:AGN48"/>
    <mergeCell ref="AGO46:AGO48"/>
    <mergeCell ref="AGP46:AGP48"/>
    <mergeCell ref="AGQ46:AGQ48"/>
    <mergeCell ref="AGR46:AGR48"/>
    <mergeCell ref="AGS46:AGS48"/>
    <mergeCell ref="AGH46:AGH48"/>
    <mergeCell ref="AGI46:AGI48"/>
    <mergeCell ref="AGJ46:AGJ48"/>
    <mergeCell ref="AGK46:AGK48"/>
    <mergeCell ref="AGL46:AGL48"/>
    <mergeCell ref="AGM46:AGM48"/>
    <mergeCell ref="AGB46:AGB48"/>
    <mergeCell ref="AGC46:AGC48"/>
    <mergeCell ref="AGD46:AGD48"/>
    <mergeCell ref="AGE46:AGE48"/>
    <mergeCell ref="AGF46:AGF48"/>
    <mergeCell ref="AGG46:AGG48"/>
    <mergeCell ref="AFV46:AFV48"/>
    <mergeCell ref="AFW46:AFW48"/>
    <mergeCell ref="AFX46:AFX48"/>
    <mergeCell ref="AFY46:AFY48"/>
    <mergeCell ref="AFZ46:AFZ48"/>
    <mergeCell ref="AGA46:AGA48"/>
    <mergeCell ref="AFP46:AFP48"/>
    <mergeCell ref="AFQ46:AFQ48"/>
    <mergeCell ref="AFR46:AFR48"/>
    <mergeCell ref="AFS46:AFS48"/>
    <mergeCell ref="AFT46:AFT48"/>
    <mergeCell ref="AFU46:AFU48"/>
    <mergeCell ref="AFJ46:AFJ48"/>
    <mergeCell ref="AFK46:AFK48"/>
    <mergeCell ref="AFL46:AFL48"/>
    <mergeCell ref="AFM46:AFM48"/>
    <mergeCell ref="AFN46:AFN48"/>
    <mergeCell ref="AFO46:AFO48"/>
    <mergeCell ref="AFD46:AFD48"/>
    <mergeCell ref="AFE46:AFE48"/>
    <mergeCell ref="AFF46:AFF48"/>
    <mergeCell ref="AFG46:AFG48"/>
    <mergeCell ref="AFH46:AFH48"/>
    <mergeCell ref="AFI46:AFI48"/>
    <mergeCell ref="AEX46:AEX48"/>
    <mergeCell ref="AEY46:AEY48"/>
    <mergeCell ref="AEZ46:AEZ48"/>
    <mergeCell ref="AFA46:AFA48"/>
    <mergeCell ref="AFB46:AFB48"/>
    <mergeCell ref="AFC46:AFC48"/>
    <mergeCell ref="AER46:AER48"/>
    <mergeCell ref="AES46:AES48"/>
    <mergeCell ref="AET46:AET48"/>
    <mergeCell ref="AEU46:AEU48"/>
    <mergeCell ref="AEV46:AEV48"/>
    <mergeCell ref="AEW46:AEW48"/>
    <mergeCell ref="AEL46:AEL48"/>
    <mergeCell ref="AEM46:AEM48"/>
    <mergeCell ref="AEN46:AEN48"/>
    <mergeCell ref="AEO46:AEO48"/>
    <mergeCell ref="AEP46:AEP48"/>
    <mergeCell ref="AEQ46:AEQ48"/>
    <mergeCell ref="AEF46:AEF48"/>
    <mergeCell ref="AEG46:AEG48"/>
    <mergeCell ref="AEH46:AEH48"/>
    <mergeCell ref="AEI46:AEI48"/>
    <mergeCell ref="AEJ46:AEJ48"/>
    <mergeCell ref="AEK46:AEK48"/>
    <mergeCell ref="ADZ46:ADZ48"/>
    <mergeCell ref="AEA46:AEA48"/>
    <mergeCell ref="AEB46:AEB48"/>
    <mergeCell ref="AEC46:AEC48"/>
    <mergeCell ref="AED46:AED48"/>
    <mergeCell ref="AEE46:AEE48"/>
    <mergeCell ref="ADT46:ADT48"/>
    <mergeCell ref="ADU46:ADU48"/>
    <mergeCell ref="ADV46:ADV48"/>
    <mergeCell ref="ADW46:ADW48"/>
    <mergeCell ref="ADX46:ADX48"/>
    <mergeCell ref="ADY46:ADY48"/>
    <mergeCell ref="ADN46:ADN48"/>
    <mergeCell ref="ADO46:ADO48"/>
    <mergeCell ref="ADP46:ADP48"/>
    <mergeCell ref="ADQ46:ADQ48"/>
    <mergeCell ref="ADR46:ADR48"/>
    <mergeCell ref="ADS46:ADS48"/>
    <mergeCell ref="ADH46:ADH48"/>
    <mergeCell ref="ADI46:ADI48"/>
    <mergeCell ref="ADJ46:ADJ48"/>
    <mergeCell ref="ADK46:ADK48"/>
    <mergeCell ref="ADL46:ADL48"/>
    <mergeCell ref="ADM46:ADM48"/>
    <mergeCell ref="ADB46:ADB48"/>
    <mergeCell ref="ADC46:ADC48"/>
    <mergeCell ref="ADD46:ADD48"/>
    <mergeCell ref="ADE46:ADE48"/>
    <mergeCell ref="ADF46:ADF48"/>
    <mergeCell ref="ADG46:ADG48"/>
    <mergeCell ref="ACV46:ACV48"/>
    <mergeCell ref="ACW46:ACW48"/>
    <mergeCell ref="ACX46:ACX48"/>
    <mergeCell ref="ACY46:ACY48"/>
    <mergeCell ref="ACZ46:ACZ48"/>
    <mergeCell ref="ADA46:ADA48"/>
    <mergeCell ref="ACP46:ACP48"/>
    <mergeCell ref="ACQ46:ACQ48"/>
    <mergeCell ref="ACR46:ACR48"/>
    <mergeCell ref="ACS46:ACS48"/>
    <mergeCell ref="ACT46:ACT48"/>
    <mergeCell ref="ACU46:ACU48"/>
    <mergeCell ref="ACJ46:ACJ48"/>
    <mergeCell ref="ACK46:ACK48"/>
    <mergeCell ref="ACL46:ACL48"/>
    <mergeCell ref="ACM46:ACM48"/>
    <mergeCell ref="ACN46:ACN48"/>
    <mergeCell ref="ACO46:ACO48"/>
    <mergeCell ref="ACD46:ACD48"/>
    <mergeCell ref="ACE46:ACE48"/>
    <mergeCell ref="ACF46:ACF48"/>
    <mergeCell ref="ACG46:ACG48"/>
    <mergeCell ref="ACH46:ACH48"/>
    <mergeCell ref="ACI46:ACI48"/>
    <mergeCell ref="ABX46:ABX48"/>
    <mergeCell ref="ABY46:ABY48"/>
    <mergeCell ref="ABZ46:ABZ48"/>
    <mergeCell ref="ACA46:ACA48"/>
    <mergeCell ref="ACB46:ACB48"/>
    <mergeCell ref="ACC46:ACC48"/>
    <mergeCell ref="ABR46:ABR48"/>
    <mergeCell ref="ABS46:ABS48"/>
    <mergeCell ref="ABT46:ABT48"/>
    <mergeCell ref="ABU46:ABU48"/>
    <mergeCell ref="ABV46:ABV48"/>
    <mergeCell ref="ABW46:ABW48"/>
    <mergeCell ref="ABL46:ABL48"/>
    <mergeCell ref="ABM46:ABM48"/>
    <mergeCell ref="ABN46:ABN48"/>
    <mergeCell ref="ABO46:ABO48"/>
    <mergeCell ref="ABP46:ABP48"/>
    <mergeCell ref="ABQ46:ABQ48"/>
    <mergeCell ref="ABF46:ABF48"/>
    <mergeCell ref="ABG46:ABG48"/>
    <mergeCell ref="ABH46:ABH48"/>
    <mergeCell ref="ABI46:ABI48"/>
    <mergeCell ref="ABJ46:ABJ48"/>
    <mergeCell ref="ABK46:ABK48"/>
    <mergeCell ref="AAZ46:AAZ48"/>
    <mergeCell ref="ABA46:ABA48"/>
    <mergeCell ref="ABB46:ABB48"/>
    <mergeCell ref="ABC46:ABC48"/>
    <mergeCell ref="ABD46:ABD48"/>
    <mergeCell ref="ABE46:ABE48"/>
    <mergeCell ref="AAT46:AAT48"/>
    <mergeCell ref="AAU46:AAU48"/>
    <mergeCell ref="AAV46:AAV48"/>
    <mergeCell ref="AAW46:AAW48"/>
    <mergeCell ref="AAX46:AAX48"/>
    <mergeCell ref="AAY46:AAY48"/>
    <mergeCell ref="AAN46:AAN48"/>
    <mergeCell ref="AAO46:AAO48"/>
    <mergeCell ref="AAP46:AAP48"/>
    <mergeCell ref="AAQ46:AAQ48"/>
    <mergeCell ref="AAR46:AAR48"/>
    <mergeCell ref="AAS46:AAS48"/>
    <mergeCell ref="AAH46:AAH48"/>
    <mergeCell ref="AAI46:AAI48"/>
    <mergeCell ref="AAJ46:AAJ48"/>
    <mergeCell ref="AAK46:AAK48"/>
    <mergeCell ref="AAL46:AAL48"/>
    <mergeCell ref="AAM46:AAM48"/>
    <mergeCell ref="AAB46:AAB48"/>
    <mergeCell ref="AAC46:AAC48"/>
    <mergeCell ref="AAD46:AAD48"/>
    <mergeCell ref="AAE46:AAE48"/>
    <mergeCell ref="AAF46:AAF48"/>
    <mergeCell ref="AAG46:AAG48"/>
    <mergeCell ref="ZV46:ZV48"/>
    <mergeCell ref="ZW46:ZW48"/>
    <mergeCell ref="ZX46:ZX48"/>
    <mergeCell ref="ZY46:ZY48"/>
    <mergeCell ref="ZZ46:ZZ48"/>
    <mergeCell ref="AAA46:AAA48"/>
    <mergeCell ref="ZP46:ZP48"/>
    <mergeCell ref="ZQ46:ZQ48"/>
    <mergeCell ref="ZR46:ZR48"/>
    <mergeCell ref="ZS46:ZS48"/>
    <mergeCell ref="ZT46:ZT48"/>
    <mergeCell ref="ZU46:ZU48"/>
    <mergeCell ref="ZJ46:ZJ48"/>
    <mergeCell ref="ZK46:ZK48"/>
    <mergeCell ref="ZL46:ZL48"/>
    <mergeCell ref="ZM46:ZM48"/>
    <mergeCell ref="ZN46:ZN48"/>
    <mergeCell ref="ZO46:ZO48"/>
    <mergeCell ref="ZD46:ZD48"/>
    <mergeCell ref="ZE46:ZE48"/>
    <mergeCell ref="ZF46:ZF48"/>
    <mergeCell ref="ZG46:ZG48"/>
    <mergeCell ref="ZH46:ZH48"/>
    <mergeCell ref="ZI46:ZI48"/>
    <mergeCell ref="YX46:YX48"/>
    <mergeCell ref="YY46:YY48"/>
    <mergeCell ref="YZ46:YZ48"/>
    <mergeCell ref="ZA46:ZA48"/>
    <mergeCell ref="ZB46:ZB48"/>
    <mergeCell ref="ZC46:ZC48"/>
    <mergeCell ref="YR46:YR48"/>
    <mergeCell ref="YS46:YS48"/>
    <mergeCell ref="YT46:YT48"/>
    <mergeCell ref="YU46:YU48"/>
    <mergeCell ref="YV46:YV48"/>
    <mergeCell ref="YW46:YW48"/>
    <mergeCell ref="YL46:YL48"/>
    <mergeCell ref="YM46:YM48"/>
    <mergeCell ref="YN46:YN48"/>
    <mergeCell ref="YO46:YO48"/>
    <mergeCell ref="YP46:YP48"/>
    <mergeCell ref="YQ46:YQ48"/>
    <mergeCell ref="YF46:YF48"/>
    <mergeCell ref="YG46:YG48"/>
    <mergeCell ref="YH46:YH48"/>
    <mergeCell ref="YI46:YI48"/>
    <mergeCell ref="YJ46:YJ48"/>
    <mergeCell ref="YK46:YK48"/>
    <mergeCell ref="XZ46:XZ48"/>
    <mergeCell ref="YA46:YA48"/>
    <mergeCell ref="YB46:YB48"/>
    <mergeCell ref="YC46:YC48"/>
    <mergeCell ref="YD46:YD48"/>
    <mergeCell ref="YE46:YE48"/>
    <mergeCell ref="XT46:XT48"/>
    <mergeCell ref="XU46:XU48"/>
    <mergeCell ref="XV46:XV48"/>
    <mergeCell ref="XW46:XW48"/>
    <mergeCell ref="XX46:XX48"/>
    <mergeCell ref="XY46:XY48"/>
    <mergeCell ref="XN46:XN48"/>
    <mergeCell ref="XO46:XO48"/>
    <mergeCell ref="XP46:XP48"/>
    <mergeCell ref="XQ46:XQ48"/>
    <mergeCell ref="XR46:XR48"/>
    <mergeCell ref="XS46:XS48"/>
    <mergeCell ref="XH46:XH48"/>
    <mergeCell ref="XI46:XI48"/>
    <mergeCell ref="XJ46:XJ48"/>
    <mergeCell ref="XK46:XK48"/>
    <mergeCell ref="XL46:XL48"/>
    <mergeCell ref="XM46:XM48"/>
    <mergeCell ref="XB46:XB48"/>
    <mergeCell ref="XC46:XC48"/>
    <mergeCell ref="XD46:XD48"/>
    <mergeCell ref="XE46:XE48"/>
    <mergeCell ref="XF46:XF48"/>
    <mergeCell ref="XG46:XG48"/>
    <mergeCell ref="WV46:WV48"/>
    <mergeCell ref="WW46:WW48"/>
    <mergeCell ref="WX46:WX48"/>
    <mergeCell ref="WY46:WY48"/>
    <mergeCell ref="WZ46:WZ48"/>
    <mergeCell ref="XA46:XA48"/>
    <mergeCell ref="WP46:WP48"/>
    <mergeCell ref="WQ46:WQ48"/>
    <mergeCell ref="WR46:WR48"/>
    <mergeCell ref="WS46:WS48"/>
    <mergeCell ref="WT46:WT48"/>
    <mergeCell ref="WU46:WU48"/>
    <mergeCell ref="WJ46:WJ48"/>
    <mergeCell ref="WK46:WK48"/>
    <mergeCell ref="WL46:WL48"/>
    <mergeCell ref="WM46:WM48"/>
    <mergeCell ref="WN46:WN48"/>
    <mergeCell ref="WO46:WO48"/>
    <mergeCell ref="WD46:WD48"/>
    <mergeCell ref="WE46:WE48"/>
    <mergeCell ref="WF46:WF48"/>
    <mergeCell ref="WG46:WG48"/>
    <mergeCell ref="WH46:WH48"/>
    <mergeCell ref="WI46:WI48"/>
    <mergeCell ref="VX46:VX48"/>
    <mergeCell ref="VY46:VY48"/>
    <mergeCell ref="VZ46:VZ48"/>
    <mergeCell ref="WA46:WA48"/>
    <mergeCell ref="WB46:WB48"/>
    <mergeCell ref="WC46:WC48"/>
    <mergeCell ref="VR46:VR48"/>
    <mergeCell ref="VS46:VS48"/>
    <mergeCell ref="VT46:VT48"/>
    <mergeCell ref="VU46:VU48"/>
    <mergeCell ref="VV46:VV48"/>
    <mergeCell ref="VW46:VW48"/>
    <mergeCell ref="VL46:VL48"/>
    <mergeCell ref="VM46:VM48"/>
    <mergeCell ref="VN46:VN48"/>
    <mergeCell ref="VO46:VO48"/>
    <mergeCell ref="VP46:VP48"/>
    <mergeCell ref="VQ46:VQ48"/>
    <mergeCell ref="VF46:VF48"/>
    <mergeCell ref="VG46:VG48"/>
    <mergeCell ref="VH46:VH48"/>
    <mergeCell ref="VI46:VI48"/>
    <mergeCell ref="VJ46:VJ48"/>
    <mergeCell ref="VK46:VK48"/>
    <mergeCell ref="UZ46:UZ48"/>
    <mergeCell ref="VA46:VA48"/>
    <mergeCell ref="VB46:VB48"/>
    <mergeCell ref="VC46:VC48"/>
    <mergeCell ref="VD46:VD48"/>
    <mergeCell ref="VE46:VE48"/>
    <mergeCell ref="UT46:UT48"/>
    <mergeCell ref="UU46:UU48"/>
    <mergeCell ref="UV46:UV48"/>
    <mergeCell ref="UW46:UW48"/>
    <mergeCell ref="UX46:UX48"/>
    <mergeCell ref="UY46:UY48"/>
    <mergeCell ref="UN46:UN48"/>
    <mergeCell ref="UO46:UO48"/>
    <mergeCell ref="UP46:UP48"/>
    <mergeCell ref="UQ46:UQ48"/>
    <mergeCell ref="UR46:UR48"/>
    <mergeCell ref="US46:US48"/>
    <mergeCell ref="UH46:UH48"/>
    <mergeCell ref="UI46:UI48"/>
    <mergeCell ref="UJ46:UJ48"/>
    <mergeCell ref="UK46:UK48"/>
    <mergeCell ref="UL46:UL48"/>
    <mergeCell ref="UM46:UM48"/>
    <mergeCell ref="UB46:UB48"/>
    <mergeCell ref="UC46:UC48"/>
    <mergeCell ref="UD46:UD48"/>
    <mergeCell ref="UE46:UE48"/>
    <mergeCell ref="UF46:UF48"/>
    <mergeCell ref="UG46:UG48"/>
    <mergeCell ref="TV46:TV48"/>
    <mergeCell ref="TW46:TW48"/>
    <mergeCell ref="TX46:TX48"/>
    <mergeCell ref="TY46:TY48"/>
    <mergeCell ref="TZ46:TZ48"/>
    <mergeCell ref="UA46:UA48"/>
    <mergeCell ref="TP46:TP48"/>
    <mergeCell ref="TQ46:TQ48"/>
    <mergeCell ref="TR46:TR48"/>
    <mergeCell ref="TS46:TS48"/>
    <mergeCell ref="TT46:TT48"/>
    <mergeCell ref="TU46:TU48"/>
    <mergeCell ref="TJ46:TJ48"/>
    <mergeCell ref="TK46:TK48"/>
    <mergeCell ref="TL46:TL48"/>
    <mergeCell ref="TM46:TM48"/>
    <mergeCell ref="TN46:TN48"/>
    <mergeCell ref="TO46:TO48"/>
    <mergeCell ref="TD46:TD48"/>
    <mergeCell ref="TE46:TE48"/>
    <mergeCell ref="TF46:TF48"/>
    <mergeCell ref="TG46:TG48"/>
    <mergeCell ref="TH46:TH48"/>
    <mergeCell ref="TI46:TI48"/>
    <mergeCell ref="SX46:SX48"/>
    <mergeCell ref="SY46:SY48"/>
    <mergeCell ref="SZ46:SZ48"/>
    <mergeCell ref="TA46:TA48"/>
    <mergeCell ref="TB46:TB48"/>
    <mergeCell ref="TC46:TC48"/>
    <mergeCell ref="SR46:SR48"/>
    <mergeCell ref="SS46:SS48"/>
    <mergeCell ref="ST46:ST48"/>
    <mergeCell ref="SU46:SU48"/>
    <mergeCell ref="SV46:SV48"/>
    <mergeCell ref="SW46:SW48"/>
    <mergeCell ref="SL46:SL48"/>
    <mergeCell ref="SM46:SM48"/>
    <mergeCell ref="SN46:SN48"/>
    <mergeCell ref="SO46:SO48"/>
    <mergeCell ref="SP46:SP48"/>
    <mergeCell ref="SQ46:SQ48"/>
    <mergeCell ref="SF46:SF48"/>
    <mergeCell ref="SG46:SG48"/>
    <mergeCell ref="SH46:SH48"/>
    <mergeCell ref="SI46:SI48"/>
    <mergeCell ref="SJ46:SJ48"/>
    <mergeCell ref="SK46:SK48"/>
    <mergeCell ref="RZ46:RZ48"/>
    <mergeCell ref="SA46:SA48"/>
    <mergeCell ref="SB46:SB48"/>
    <mergeCell ref="SC46:SC48"/>
    <mergeCell ref="SD46:SD48"/>
    <mergeCell ref="SE46:SE48"/>
    <mergeCell ref="RT46:RT48"/>
    <mergeCell ref="RU46:RU48"/>
    <mergeCell ref="RV46:RV48"/>
    <mergeCell ref="RW46:RW48"/>
    <mergeCell ref="RX46:RX48"/>
    <mergeCell ref="RY46:RY48"/>
    <mergeCell ref="RN46:RN48"/>
    <mergeCell ref="RO46:RO48"/>
    <mergeCell ref="RP46:RP48"/>
    <mergeCell ref="RQ46:RQ48"/>
    <mergeCell ref="RR46:RR48"/>
    <mergeCell ref="RS46:RS48"/>
    <mergeCell ref="RH46:RH48"/>
    <mergeCell ref="RI46:RI48"/>
    <mergeCell ref="RJ46:RJ48"/>
    <mergeCell ref="RK46:RK48"/>
    <mergeCell ref="RL46:RL48"/>
    <mergeCell ref="RM46:RM48"/>
    <mergeCell ref="RB46:RB48"/>
    <mergeCell ref="RC46:RC48"/>
    <mergeCell ref="RD46:RD48"/>
    <mergeCell ref="RE46:RE48"/>
    <mergeCell ref="RF46:RF48"/>
    <mergeCell ref="RG46:RG48"/>
    <mergeCell ref="QV46:QV48"/>
    <mergeCell ref="QW46:QW48"/>
    <mergeCell ref="QX46:QX48"/>
    <mergeCell ref="QY46:QY48"/>
    <mergeCell ref="QZ46:QZ48"/>
    <mergeCell ref="RA46:RA48"/>
    <mergeCell ref="QP46:QP48"/>
    <mergeCell ref="QQ46:QQ48"/>
    <mergeCell ref="QR46:QR48"/>
    <mergeCell ref="QS46:QS48"/>
    <mergeCell ref="QT46:QT48"/>
    <mergeCell ref="QU46:QU48"/>
    <mergeCell ref="QJ46:QJ48"/>
    <mergeCell ref="QK46:QK48"/>
    <mergeCell ref="QL46:QL48"/>
    <mergeCell ref="QM46:QM48"/>
    <mergeCell ref="QN46:QN48"/>
    <mergeCell ref="QO46:QO48"/>
    <mergeCell ref="QD46:QD48"/>
    <mergeCell ref="QE46:QE48"/>
    <mergeCell ref="QF46:QF48"/>
    <mergeCell ref="QG46:QG48"/>
    <mergeCell ref="QH46:QH48"/>
    <mergeCell ref="QI46:QI48"/>
    <mergeCell ref="PX46:PX48"/>
    <mergeCell ref="PY46:PY48"/>
    <mergeCell ref="PZ46:PZ48"/>
    <mergeCell ref="QA46:QA48"/>
    <mergeCell ref="QB46:QB48"/>
    <mergeCell ref="QC46:QC48"/>
    <mergeCell ref="PR46:PR48"/>
    <mergeCell ref="PS46:PS48"/>
    <mergeCell ref="PT46:PT48"/>
    <mergeCell ref="PU46:PU48"/>
    <mergeCell ref="PV46:PV48"/>
    <mergeCell ref="PW46:PW48"/>
    <mergeCell ref="PL46:PL48"/>
    <mergeCell ref="PM46:PM48"/>
    <mergeCell ref="PN46:PN48"/>
    <mergeCell ref="PO46:PO48"/>
    <mergeCell ref="PP46:PP48"/>
    <mergeCell ref="PQ46:PQ48"/>
    <mergeCell ref="PF46:PF48"/>
    <mergeCell ref="PG46:PG48"/>
    <mergeCell ref="PH46:PH48"/>
    <mergeCell ref="PI46:PI48"/>
    <mergeCell ref="PJ46:PJ48"/>
    <mergeCell ref="PK46:PK48"/>
    <mergeCell ref="OZ46:OZ48"/>
    <mergeCell ref="PA46:PA48"/>
    <mergeCell ref="PB46:PB48"/>
    <mergeCell ref="PC46:PC48"/>
    <mergeCell ref="PD46:PD48"/>
    <mergeCell ref="PE46:PE48"/>
    <mergeCell ref="OT46:OT48"/>
    <mergeCell ref="OU46:OU48"/>
    <mergeCell ref="OV46:OV48"/>
    <mergeCell ref="OW46:OW48"/>
    <mergeCell ref="OX46:OX48"/>
    <mergeCell ref="OY46:OY48"/>
    <mergeCell ref="ON46:ON48"/>
    <mergeCell ref="OO46:OO48"/>
    <mergeCell ref="OP46:OP48"/>
    <mergeCell ref="OQ46:OQ48"/>
    <mergeCell ref="OR46:OR48"/>
    <mergeCell ref="OS46:OS48"/>
    <mergeCell ref="OH46:OH48"/>
    <mergeCell ref="OI46:OI48"/>
    <mergeCell ref="OJ46:OJ48"/>
    <mergeCell ref="OK46:OK48"/>
    <mergeCell ref="OL46:OL48"/>
    <mergeCell ref="OM46:OM48"/>
    <mergeCell ref="OB46:OB48"/>
    <mergeCell ref="OC46:OC48"/>
    <mergeCell ref="OD46:OD48"/>
    <mergeCell ref="OE46:OE48"/>
    <mergeCell ref="OF46:OF48"/>
    <mergeCell ref="OG46:OG48"/>
    <mergeCell ref="NV46:NV48"/>
    <mergeCell ref="NW46:NW48"/>
    <mergeCell ref="NX46:NX48"/>
    <mergeCell ref="NY46:NY48"/>
    <mergeCell ref="NZ46:NZ48"/>
    <mergeCell ref="OA46:OA48"/>
    <mergeCell ref="NP46:NP48"/>
    <mergeCell ref="NQ46:NQ48"/>
    <mergeCell ref="NR46:NR48"/>
    <mergeCell ref="NS46:NS48"/>
    <mergeCell ref="NT46:NT48"/>
    <mergeCell ref="NU46:NU48"/>
    <mergeCell ref="NJ46:NJ48"/>
    <mergeCell ref="NK46:NK48"/>
    <mergeCell ref="NL46:NL48"/>
    <mergeCell ref="NM46:NM48"/>
    <mergeCell ref="NN46:NN48"/>
    <mergeCell ref="NO46:NO48"/>
    <mergeCell ref="ND46:ND48"/>
    <mergeCell ref="NE46:NE48"/>
    <mergeCell ref="NF46:NF48"/>
    <mergeCell ref="NG46:NG48"/>
    <mergeCell ref="NH46:NH48"/>
    <mergeCell ref="NI46:NI48"/>
    <mergeCell ref="MX46:MX48"/>
    <mergeCell ref="MY46:MY48"/>
    <mergeCell ref="MZ46:MZ48"/>
    <mergeCell ref="NA46:NA48"/>
    <mergeCell ref="NB46:NB48"/>
    <mergeCell ref="NC46:NC48"/>
    <mergeCell ref="MR46:MR48"/>
    <mergeCell ref="MS46:MS48"/>
    <mergeCell ref="MT46:MT48"/>
    <mergeCell ref="MU46:MU48"/>
    <mergeCell ref="MV46:MV48"/>
    <mergeCell ref="MW46:MW48"/>
    <mergeCell ref="ML46:ML48"/>
    <mergeCell ref="MM46:MM48"/>
    <mergeCell ref="MN46:MN48"/>
    <mergeCell ref="MO46:MO48"/>
    <mergeCell ref="MP46:MP48"/>
    <mergeCell ref="MQ46:MQ48"/>
    <mergeCell ref="MF46:MF48"/>
    <mergeCell ref="MG46:MG48"/>
    <mergeCell ref="MH46:MH48"/>
    <mergeCell ref="MI46:MI48"/>
    <mergeCell ref="MJ46:MJ48"/>
    <mergeCell ref="MK46:MK48"/>
    <mergeCell ref="LZ46:LZ48"/>
    <mergeCell ref="MA46:MA48"/>
    <mergeCell ref="MB46:MB48"/>
    <mergeCell ref="MC46:MC48"/>
    <mergeCell ref="MD46:MD48"/>
    <mergeCell ref="ME46:ME48"/>
    <mergeCell ref="LT46:LT48"/>
    <mergeCell ref="LU46:LU48"/>
    <mergeCell ref="LV46:LV48"/>
    <mergeCell ref="LW46:LW48"/>
    <mergeCell ref="LX46:LX48"/>
    <mergeCell ref="LY46:LY48"/>
    <mergeCell ref="LN46:LN48"/>
    <mergeCell ref="LO46:LO48"/>
    <mergeCell ref="LP46:LP48"/>
    <mergeCell ref="LQ46:LQ48"/>
    <mergeCell ref="LR46:LR48"/>
    <mergeCell ref="LS46:LS48"/>
    <mergeCell ref="LH46:LH48"/>
    <mergeCell ref="LI46:LI48"/>
    <mergeCell ref="LJ46:LJ48"/>
    <mergeCell ref="LK46:LK48"/>
    <mergeCell ref="LL46:LL48"/>
    <mergeCell ref="LM46:LM48"/>
    <mergeCell ref="LB46:LB48"/>
    <mergeCell ref="LC46:LC48"/>
    <mergeCell ref="LD46:LD48"/>
    <mergeCell ref="LE46:LE48"/>
    <mergeCell ref="LF46:LF48"/>
    <mergeCell ref="LG46:LG48"/>
    <mergeCell ref="KV46:KV48"/>
    <mergeCell ref="KW46:KW48"/>
    <mergeCell ref="KX46:KX48"/>
    <mergeCell ref="KY46:KY48"/>
    <mergeCell ref="KZ46:KZ48"/>
    <mergeCell ref="LA46:LA48"/>
    <mergeCell ref="KP46:KP48"/>
    <mergeCell ref="KQ46:KQ48"/>
    <mergeCell ref="KR46:KR48"/>
    <mergeCell ref="KS46:KS48"/>
    <mergeCell ref="KT46:KT48"/>
    <mergeCell ref="KU46:KU48"/>
    <mergeCell ref="KJ46:KJ48"/>
    <mergeCell ref="KK46:KK48"/>
    <mergeCell ref="KL46:KL48"/>
    <mergeCell ref="KM46:KM48"/>
    <mergeCell ref="KN46:KN48"/>
    <mergeCell ref="KO46:KO48"/>
    <mergeCell ref="KD46:KD48"/>
    <mergeCell ref="KE46:KE48"/>
    <mergeCell ref="KF46:KF48"/>
    <mergeCell ref="KG46:KG48"/>
    <mergeCell ref="KH46:KH48"/>
    <mergeCell ref="KI46:KI48"/>
    <mergeCell ref="JX46:JX48"/>
    <mergeCell ref="JY46:JY48"/>
    <mergeCell ref="JZ46:JZ48"/>
    <mergeCell ref="KA46:KA48"/>
    <mergeCell ref="KB46:KB48"/>
    <mergeCell ref="KC46:KC48"/>
    <mergeCell ref="JR46:JR48"/>
    <mergeCell ref="JS46:JS48"/>
    <mergeCell ref="JT46:JT48"/>
    <mergeCell ref="JU46:JU48"/>
    <mergeCell ref="JV46:JV48"/>
    <mergeCell ref="JW46:JW48"/>
    <mergeCell ref="JL46:JL48"/>
    <mergeCell ref="JM46:JM48"/>
    <mergeCell ref="JN46:JN48"/>
    <mergeCell ref="JO46:JO48"/>
    <mergeCell ref="JP46:JP48"/>
    <mergeCell ref="JQ46:JQ48"/>
    <mergeCell ref="JF46:JF48"/>
    <mergeCell ref="JG46:JG48"/>
    <mergeCell ref="JH46:JH48"/>
    <mergeCell ref="JI46:JI48"/>
    <mergeCell ref="JJ46:JJ48"/>
    <mergeCell ref="JK46:JK48"/>
    <mergeCell ref="IZ46:IZ48"/>
    <mergeCell ref="JA46:JA48"/>
    <mergeCell ref="JB46:JB48"/>
    <mergeCell ref="JC46:JC48"/>
    <mergeCell ref="JD46:JD48"/>
    <mergeCell ref="JE46:JE48"/>
    <mergeCell ref="IT46:IT48"/>
    <mergeCell ref="IU46:IU48"/>
    <mergeCell ref="IV46:IV48"/>
    <mergeCell ref="IW46:IW48"/>
    <mergeCell ref="IX46:IX48"/>
    <mergeCell ref="IY46:IY48"/>
    <mergeCell ref="IN46:IN48"/>
    <mergeCell ref="IO46:IO48"/>
    <mergeCell ref="IP46:IP48"/>
    <mergeCell ref="IQ46:IQ48"/>
    <mergeCell ref="IR46:IR48"/>
    <mergeCell ref="IS46:IS48"/>
    <mergeCell ref="IH46:IH48"/>
    <mergeCell ref="II46:II48"/>
    <mergeCell ref="IJ46:IJ48"/>
    <mergeCell ref="IK46:IK48"/>
    <mergeCell ref="IL46:IL48"/>
    <mergeCell ref="IM46:IM48"/>
    <mergeCell ref="IB46:IB48"/>
    <mergeCell ref="IC46:IC48"/>
    <mergeCell ref="ID46:ID48"/>
    <mergeCell ref="IE46:IE48"/>
    <mergeCell ref="IF46:IF48"/>
    <mergeCell ref="IG46:IG48"/>
    <mergeCell ref="HV46:HV48"/>
    <mergeCell ref="HW46:HW48"/>
    <mergeCell ref="HX46:HX48"/>
    <mergeCell ref="HY46:HY48"/>
    <mergeCell ref="HZ46:HZ48"/>
    <mergeCell ref="IA46:IA48"/>
    <mergeCell ref="HP46:HP48"/>
    <mergeCell ref="HQ46:HQ48"/>
    <mergeCell ref="HR46:HR48"/>
    <mergeCell ref="HS46:HS48"/>
    <mergeCell ref="HT46:HT48"/>
    <mergeCell ref="HU46:HU48"/>
    <mergeCell ref="HJ46:HJ48"/>
    <mergeCell ref="HK46:HK48"/>
    <mergeCell ref="HL46:HL48"/>
    <mergeCell ref="HM46:HM48"/>
    <mergeCell ref="HN46:HN48"/>
    <mergeCell ref="HO46:HO48"/>
    <mergeCell ref="HD46:HD48"/>
    <mergeCell ref="HE46:HE48"/>
    <mergeCell ref="HF46:HF48"/>
    <mergeCell ref="HG46:HG48"/>
    <mergeCell ref="HH46:HH48"/>
    <mergeCell ref="HI46:HI48"/>
    <mergeCell ref="GX46:GX48"/>
    <mergeCell ref="GY46:GY48"/>
    <mergeCell ref="GZ46:GZ48"/>
    <mergeCell ref="HA46:HA48"/>
    <mergeCell ref="HB46:HB48"/>
    <mergeCell ref="HC46:HC48"/>
    <mergeCell ref="GR46:GR48"/>
    <mergeCell ref="GS46:GS48"/>
    <mergeCell ref="GT46:GT48"/>
    <mergeCell ref="GU46:GU48"/>
    <mergeCell ref="GV46:GV48"/>
    <mergeCell ref="GW46:GW48"/>
    <mergeCell ref="GL46:GL48"/>
    <mergeCell ref="GM46:GM48"/>
    <mergeCell ref="GN46:GN48"/>
    <mergeCell ref="GO46:GO48"/>
    <mergeCell ref="GP46:GP48"/>
    <mergeCell ref="GQ46:GQ48"/>
    <mergeCell ref="GF46:GF48"/>
    <mergeCell ref="GG46:GG48"/>
    <mergeCell ref="GH46:GH48"/>
    <mergeCell ref="GI46:GI48"/>
    <mergeCell ref="GJ46:GJ48"/>
    <mergeCell ref="GK46:GK48"/>
    <mergeCell ref="FZ46:FZ48"/>
    <mergeCell ref="GA46:GA48"/>
    <mergeCell ref="GB46:GB48"/>
    <mergeCell ref="GC46:GC48"/>
    <mergeCell ref="GD46:GD48"/>
    <mergeCell ref="GE46:GE48"/>
    <mergeCell ref="FT46:FT48"/>
    <mergeCell ref="FU46:FU48"/>
    <mergeCell ref="FV46:FV48"/>
    <mergeCell ref="FW46:FW48"/>
    <mergeCell ref="FX46:FX48"/>
    <mergeCell ref="FY46:FY48"/>
    <mergeCell ref="FN46:FN48"/>
    <mergeCell ref="FO46:FO48"/>
    <mergeCell ref="FP46:FP48"/>
    <mergeCell ref="FQ46:FQ48"/>
    <mergeCell ref="FR46:FR48"/>
    <mergeCell ref="FS46:FS48"/>
    <mergeCell ref="FH46:FH48"/>
    <mergeCell ref="FI46:FI48"/>
    <mergeCell ref="FJ46:FJ48"/>
    <mergeCell ref="FK46:FK48"/>
    <mergeCell ref="FL46:FL48"/>
    <mergeCell ref="FM46:FM48"/>
    <mergeCell ref="FB46:FB48"/>
    <mergeCell ref="FC46:FC48"/>
    <mergeCell ref="FD46:FD48"/>
    <mergeCell ref="FE46:FE48"/>
    <mergeCell ref="FF46:FF48"/>
    <mergeCell ref="FG46:FG48"/>
    <mergeCell ref="EV46:EV48"/>
    <mergeCell ref="EW46:EW48"/>
    <mergeCell ref="EX46:EX48"/>
    <mergeCell ref="EY46:EY48"/>
    <mergeCell ref="EZ46:EZ48"/>
    <mergeCell ref="FA46:FA48"/>
    <mergeCell ref="EP46:EP48"/>
    <mergeCell ref="EQ46:EQ48"/>
    <mergeCell ref="ER46:ER48"/>
    <mergeCell ref="ES46:ES48"/>
    <mergeCell ref="ET46:ET48"/>
    <mergeCell ref="EU46:EU48"/>
    <mergeCell ref="EJ46:EJ48"/>
    <mergeCell ref="EK46:EK48"/>
    <mergeCell ref="EL46:EL48"/>
    <mergeCell ref="EM46:EM48"/>
    <mergeCell ref="EN46:EN48"/>
    <mergeCell ref="EO46:EO48"/>
    <mergeCell ref="ED46:ED48"/>
    <mergeCell ref="EE46:EE48"/>
    <mergeCell ref="EF46:EF48"/>
    <mergeCell ref="EG46:EG48"/>
    <mergeCell ref="EH46:EH48"/>
    <mergeCell ref="EI46:EI48"/>
    <mergeCell ref="DX46:DX48"/>
    <mergeCell ref="DY46:DY48"/>
    <mergeCell ref="DZ46:DZ48"/>
    <mergeCell ref="EA46:EA48"/>
    <mergeCell ref="EB46:EB48"/>
    <mergeCell ref="EC46:EC48"/>
    <mergeCell ref="DR46:DR48"/>
    <mergeCell ref="DS46:DS48"/>
    <mergeCell ref="DT46:DT48"/>
    <mergeCell ref="DU46:DU48"/>
    <mergeCell ref="DV46:DV48"/>
    <mergeCell ref="DW46:DW48"/>
    <mergeCell ref="DL46:DL48"/>
    <mergeCell ref="DM46:DM48"/>
    <mergeCell ref="DN46:DN48"/>
    <mergeCell ref="DO46:DO48"/>
    <mergeCell ref="DP46:DP48"/>
    <mergeCell ref="DQ46:DQ48"/>
    <mergeCell ref="DF46:DF48"/>
    <mergeCell ref="DG46:DG48"/>
    <mergeCell ref="DH46:DH48"/>
    <mergeCell ref="DI46:DI48"/>
    <mergeCell ref="DJ46:DJ48"/>
    <mergeCell ref="DK46:DK48"/>
    <mergeCell ref="CZ46:CZ48"/>
    <mergeCell ref="DA46:DA48"/>
    <mergeCell ref="DB46:DB48"/>
    <mergeCell ref="DC46:DC48"/>
    <mergeCell ref="DD46:DD48"/>
    <mergeCell ref="DE46:DE48"/>
    <mergeCell ref="CT46:CT48"/>
    <mergeCell ref="CU46:CU48"/>
    <mergeCell ref="CV46:CV48"/>
    <mergeCell ref="CW46:CW48"/>
    <mergeCell ref="CX46:CX48"/>
    <mergeCell ref="CY46:CY48"/>
    <mergeCell ref="CN46:CN48"/>
    <mergeCell ref="CO46:CO48"/>
    <mergeCell ref="CP46:CP48"/>
    <mergeCell ref="CQ46:CQ48"/>
    <mergeCell ref="CR46:CR48"/>
    <mergeCell ref="CS46:CS48"/>
    <mergeCell ref="CH46:CH48"/>
    <mergeCell ref="CI46:CI48"/>
    <mergeCell ref="CJ46:CJ48"/>
    <mergeCell ref="CK46:CK48"/>
    <mergeCell ref="CL46:CL48"/>
    <mergeCell ref="CM46:CM48"/>
    <mergeCell ref="CB46:CB48"/>
    <mergeCell ref="CC46:CC48"/>
    <mergeCell ref="CD46:CD48"/>
    <mergeCell ref="CE46:CE48"/>
    <mergeCell ref="CF46:CF48"/>
    <mergeCell ref="CG46:CG48"/>
    <mergeCell ref="BV46:BV48"/>
    <mergeCell ref="BW46:BW48"/>
    <mergeCell ref="BX46:BX48"/>
    <mergeCell ref="BY46:BY48"/>
    <mergeCell ref="BZ46:BZ48"/>
    <mergeCell ref="CA46:CA48"/>
    <mergeCell ref="BP46:BP48"/>
    <mergeCell ref="BQ46:BQ48"/>
    <mergeCell ref="BR46:BR48"/>
    <mergeCell ref="BS46:BS48"/>
    <mergeCell ref="BT46:BT48"/>
    <mergeCell ref="BU46:BU48"/>
    <mergeCell ref="BJ46:BJ48"/>
    <mergeCell ref="BK46:BK48"/>
    <mergeCell ref="BL46:BL48"/>
    <mergeCell ref="BM46:BM48"/>
    <mergeCell ref="BN46:BN48"/>
    <mergeCell ref="BO46:BO48"/>
    <mergeCell ref="BD46:BD48"/>
    <mergeCell ref="BE46:BE48"/>
    <mergeCell ref="BF46:BF48"/>
    <mergeCell ref="BG46:BG48"/>
    <mergeCell ref="BH46:BH48"/>
    <mergeCell ref="BI46:BI48"/>
    <mergeCell ref="AX46:AX48"/>
    <mergeCell ref="AY46:AY48"/>
    <mergeCell ref="AZ46:AZ48"/>
    <mergeCell ref="BA46:BA48"/>
    <mergeCell ref="BB46:BB48"/>
    <mergeCell ref="BC46:BC48"/>
    <mergeCell ref="AR46:AR48"/>
    <mergeCell ref="AS46:AS48"/>
    <mergeCell ref="AB7:AB12"/>
    <mergeCell ref="AC7:AC12"/>
    <mergeCell ref="AB13:AB15"/>
    <mergeCell ref="AC13:AC15"/>
    <mergeCell ref="AB16:AB18"/>
    <mergeCell ref="AC16:AC18"/>
    <mergeCell ref="AB19:AB21"/>
    <mergeCell ref="AC19:AC21"/>
    <mergeCell ref="AB4:AB6"/>
    <mergeCell ref="AC4:AC6"/>
    <mergeCell ref="V4:V6"/>
    <mergeCell ref="W4:W6"/>
    <mergeCell ref="V13:V15"/>
    <mergeCell ref="W13:W15"/>
    <mergeCell ref="V16:V18"/>
    <mergeCell ref="W16:W18"/>
    <mergeCell ref="P4:P6"/>
    <mergeCell ref="Q4:Q6"/>
    <mergeCell ref="P7:P12"/>
    <mergeCell ref="Q7:Q12"/>
    <mergeCell ref="P13:P15"/>
    <mergeCell ref="Q13:Q15"/>
    <mergeCell ref="P16:P18"/>
    <mergeCell ref="Q16:Q18"/>
    <mergeCell ref="P19:P21"/>
    <mergeCell ref="AT46:AT48"/>
    <mergeCell ref="AU46:AU48"/>
    <mergeCell ref="AV46:AV48"/>
    <mergeCell ref="AW46:AW48"/>
    <mergeCell ref="AL46:AL48"/>
    <mergeCell ref="AM46:AM48"/>
    <mergeCell ref="AN46:AN48"/>
    <mergeCell ref="AO46:AO48"/>
    <mergeCell ref="AP46:AP48"/>
    <mergeCell ref="AQ46:AQ48"/>
    <mergeCell ref="AF46:AF48"/>
    <mergeCell ref="AG46:AG48"/>
    <mergeCell ref="AH46:AH48"/>
    <mergeCell ref="AI46:AI48"/>
    <mergeCell ref="AJ46:AJ48"/>
    <mergeCell ref="AK46:AK48"/>
    <mergeCell ref="AD46:AD48"/>
    <mergeCell ref="AE46:AE48"/>
    <mergeCell ref="Z46:Z48"/>
    <mergeCell ref="AC46:AC48"/>
    <mergeCell ref="Q19:Q21"/>
    <mergeCell ref="S4:S6"/>
    <mergeCell ref="T4:T6"/>
    <mergeCell ref="S7:S9"/>
    <mergeCell ref="T7:T9"/>
    <mergeCell ref="S13:S15"/>
    <mergeCell ref="T13:T15"/>
    <mergeCell ref="S16:S18"/>
    <mergeCell ref="T16:T18"/>
    <mergeCell ref="S19:S20"/>
    <mergeCell ref="T19:T20"/>
    <mergeCell ref="V19:V20"/>
    <mergeCell ref="W19:W20"/>
    <mergeCell ref="V7:V9"/>
    <mergeCell ref="W7:W9"/>
    <mergeCell ref="R10:W12"/>
    <mergeCell ref="N7:N12"/>
    <mergeCell ref="N4:N6"/>
    <mergeCell ref="Y4:Y6"/>
    <mergeCell ref="Z4:Z6"/>
    <mergeCell ref="A7:A12"/>
    <mergeCell ref="G7:G12"/>
    <mergeCell ref="H7:H12"/>
    <mergeCell ref="J7:J12"/>
    <mergeCell ref="K7:K12"/>
    <mergeCell ref="M7:M12"/>
    <mergeCell ref="A4:A6"/>
    <mergeCell ref="G4:G6"/>
    <mergeCell ref="H4:H6"/>
    <mergeCell ref="J4:J6"/>
    <mergeCell ref="K4:K6"/>
    <mergeCell ref="M4:M6"/>
    <mergeCell ref="A13:A15"/>
    <mergeCell ref="G13:G15"/>
    <mergeCell ref="H13:H15"/>
    <mergeCell ref="J13:J15"/>
    <mergeCell ref="K13:K15"/>
    <mergeCell ref="M13:M15"/>
    <mergeCell ref="N13:N15"/>
    <mergeCell ref="A16:A18"/>
    <mergeCell ref="G16:G18"/>
    <mergeCell ref="H16:H18"/>
    <mergeCell ref="J16:J18"/>
    <mergeCell ref="K16:K18"/>
    <mergeCell ref="M16:M18"/>
    <mergeCell ref="N16:N18"/>
    <mergeCell ref="A19:A21"/>
    <mergeCell ref="G19:G21"/>
    <mergeCell ref="H19:H21"/>
    <mergeCell ref="J19:J21"/>
    <mergeCell ref="K19:K21"/>
    <mergeCell ref="M19:M21"/>
    <mergeCell ref="N19:N2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C890-97FC-4977-BA2D-B2881AD5E8E6}">
  <dimension ref="A1:IP136"/>
  <sheetViews>
    <sheetView tabSelected="1" zoomScale="70" zoomScaleNormal="70" workbookViewId="0">
      <selection activeCell="I28" sqref="I28"/>
    </sheetView>
  </sheetViews>
  <sheetFormatPr baseColWidth="10" defaultRowHeight="14.4" x14ac:dyDescent="0.3"/>
  <cols>
    <col min="1" max="14" width="11.5546875" style="68"/>
    <col min="15" max="15" width="11.6640625" style="68" customWidth="1"/>
    <col min="16" max="16" width="11.5546875" style="68" customWidth="1"/>
    <col min="17" max="20" width="11.5546875" style="68"/>
    <col min="21" max="21" width="1.77734375" style="68" customWidth="1"/>
    <col min="22" max="22" width="11.44140625" style="68" customWidth="1"/>
    <col min="23" max="26" width="11.5546875" style="68"/>
    <col min="27" max="27" width="5.88671875" style="68" customWidth="1"/>
    <col min="28" max="31" width="11.5546875" style="68"/>
    <col min="32" max="32" width="12.88671875" style="68" customWidth="1"/>
    <col min="33" max="36" width="11.5546875" style="68"/>
    <col min="37" max="37" width="1.77734375" style="68" customWidth="1"/>
    <col min="38" max="38" width="11.44140625" style="68" customWidth="1"/>
    <col min="39" max="42" width="11.5546875" style="68"/>
    <col min="43" max="43" width="5.88671875" style="68" customWidth="1"/>
    <col min="44" max="47" width="11.5546875" style="68"/>
    <col min="48" max="48" width="12.88671875" style="68" customWidth="1"/>
    <col min="49" max="52" width="11.5546875" style="68"/>
    <col min="53" max="53" width="1.77734375" style="68" customWidth="1"/>
    <col min="54" max="54" width="12" style="68" customWidth="1"/>
    <col min="55" max="58" width="11.5546875" style="68"/>
    <col min="59" max="59" width="5.88671875" style="68" customWidth="1"/>
    <col min="60" max="63" width="11.5546875" style="68"/>
    <col min="64" max="64" width="12.6640625" style="68" customWidth="1"/>
    <col min="65" max="68" width="11.5546875" style="68"/>
    <col min="69" max="69" width="1.77734375" style="68" customWidth="1"/>
    <col min="70" max="70" width="13.21875" style="68" customWidth="1"/>
    <col min="71" max="74" width="11.5546875" style="68"/>
    <col min="75" max="75" width="5.88671875" style="68" customWidth="1"/>
    <col min="76" max="79" width="11.5546875" style="68"/>
    <col min="80" max="80" width="12.21875" style="68" customWidth="1"/>
    <col min="81" max="84" width="11.5546875" style="68"/>
    <col min="85" max="85" width="1.44140625" style="68" customWidth="1"/>
    <col min="86" max="86" width="11.21875" style="68" customWidth="1"/>
    <col min="87" max="87" width="11.5546875" style="68" customWidth="1"/>
    <col min="88" max="90" width="11.5546875" style="68"/>
    <col min="91" max="91" width="5.88671875" style="68" customWidth="1"/>
    <col min="92" max="92" width="11.5546875" style="68"/>
    <col min="93" max="93" width="11.5546875" style="68" customWidth="1"/>
    <col min="94" max="100" width="11.5546875" style="68"/>
    <col min="101" max="101" width="1.109375" style="68" customWidth="1"/>
    <col min="102" max="103" width="11.5546875" style="84"/>
    <col min="104" max="106" width="11.5546875" style="68"/>
    <col min="107" max="107" width="5.88671875" style="68" customWidth="1"/>
    <col min="108" max="108" width="11.5546875" style="84" customWidth="1"/>
    <col min="109" max="116" width="11.5546875" style="68"/>
    <col min="117" max="117" width="1.21875" style="68" customWidth="1"/>
    <col min="118" max="122" width="11.5546875" style="68"/>
    <col min="123" max="123" width="5.88671875" style="68" customWidth="1"/>
    <col min="124" max="124" width="11.5546875" style="84"/>
    <col min="125" max="132" width="11.5546875" style="68"/>
    <col min="133" max="133" width="1.109375" style="68" customWidth="1"/>
    <col min="134" max="138" width="11.5546875" style="68"/>
    <col min="139" max="139" width="6" style="68" customWidth="1"/>
    <col min="140" max="141" width="11.5546875" style="90"/>
    <col min="142" max="148" width="11.5546875" style="68"/>
    <col min="149" max="149" width="1.6640625" style="68" customWidth="1"/>
    <col min="150" max="154" width="11.5546875" style="68"/>
    <col min="155" max="155" width="5.88671875" style="68" customWidth="1"/>
    <col min="156" max="157" width="11.5546875" style="92"/>
    <col min="158" max="164" width="11.5546875" style="68"/>
    <col min="165" max="165" width="1.5546875" style="68" customWidth="1"/>
    <col min="166" max="180" width="11.5546875" style="68"/>
    <col min="181" max="181" width="1.5546875" style="68" customWidth="1"/>
    <col min="182" max="187" width="11.5546875" style="68"/>
    <col min="188" max="188" width="11.5546875" style="93"/>
    <col min="189" max="196" width="11.5546875" style="68"/>
    <col min="197" max="197" width="1.21875" style="68" customWidth="1"/>
    <col min="198" max="208" width="11.5546875" style="68"/>
    <col min="209" max="209" width="14.44140625" style="68" bestFit="1" customWidth="1"/>
    <col min="210" max="230" width="11.5546875" style="68"/>
    <col min="231" max="232" width="11.5546875" style="107"/>
    <col min="233" max="233" width="11.5546875" style="68"/>
    <col min="234" max="234" width="11.5546875" style="107"/>
    <col min="235" max="16384" width="11.5546875" style="68"/>
  </cols>
  <sheetData>
    <row r="1" spans="1:250" x14ac:dyDescent="0.3">
      <c r="A1" s="36" t="s">
        <v>55</v>
      </c>
      <c r="M1" s="68" t="s">
        <v>56</v>
      </c>
      <c r="V1" s="68" t="s">
        <v>57</v>
      </c>
      <c r="AC1" s="68" t="s">
        <v>56</v>
      </c>
      <c r="AL1" s="68" t="s">
        <v>57</v>
      </c>
      <c r="AS1" s="68" t="s">
        <v>56</v>
      </c>
      <c r="BB1" s="68" t="s">
        <v>57</v>
      </c>
      <c r="BI1" s="68" t="s">
        <v>56</v>
      </c>
      <c r="BR1" s="68" t="s">
        <v>57</v>
      </c>
      <c r="BY1" s="68" t="s">
        <v>56</v>
      </c>
      <c r="CH1" s="68" t="s">
        <v>57</v>
      </c>
      <c r="CO1" s="68" t="s">
        <v>56</v>
      </c>
      <c r="CX1" s="84" t="s">
        <v>57</v>
      </c>
      <c r="CZ1" s="84"/>
      <c r="DA1" s="84"/>
      <c r="DB1" s="84"/>
      <c r="DC1" s="84"/>
      <c r="DE1" s="84" t="s">
        <v>56</v>
      </c>
      <c r="DF1" s="84"/>
      <c r="DG1" s="84"/>
      <c r="DH1" s="84"/>
      <c r="DI1" s="84"/>
      <c r="DJ1" s="84"/>
      <c r="DK1" s="84"/>
      <c r="DL1" s="84"/>
      <c r="DM1" s="84"/>
      <c r="DN1" s="84" t="s">
        <v>57</v>
      </c>
      <c r="DO1" s="84"/>
      <c r="DP1" s="84"/>
      <c r="DQ1" s="84"/>
      <c r="DR1" s="84"/>
      <c r="DS1" s="84"/>
      <c r="DU1" s="84" t="s">
        <v>56</v>
      </c>
      <c r="DV1" s="84"/>
      <c r="DW1" s="84"/>
      <c r="DX1" s="84"/>
      <c r="DY1" s="84"/>
      <c r="DZ1" s="84"/>
      <c r="EA1" s="84"/>
      <c r="EB1" s="84"/>
      <c r="EC1" s="84"/>
      <c r="ED1" s="84" t="s">
        <v>57</v>
      </c>
      <c r="EE1" s="84"/>
      <c r="EF1" s="84"/>
      <c r="EG1" s="84"/>
      <c r="EH1" s="84"/>
      <c r="EI1" s="84"/>
      <c r="EK1" s="90" t="s">
        <v>56</v>
      </c>
      <c r="EL1" s="90"/>
      <c r="EM1" s="90"/>
      <c r="EN1" s="90"/>
      <c r="EO1" s="90"/>
      <c r="EP1" s="90"/>
      <c r="EQ1" s="90"/>
      <c r="ER1" s="90"/>
      <c r="ES1" s="90"/>
      <c r="ET1" s="90" t="s">
        <v>57</v>
      </c>
      <c r="EU1" s="90"/>
      <c r="EV1" s="90"/>
      <c r="EW1" s="90"/>
      <c r="EX1" s="90"/>
      <c r="EY1" s="90"/>
      <c r="FA1" s="92" t="s">
        <v>56</v>
      </c>
      <c r="FB1" s="92"/>
      <c r="FC1" s="92"/>
      <c r="FD1" s="92"/>
      <c r="FE1" s="92"/>
      <c r="FF1" s="92"/>
      <c r="FG1" s="92"/>
      <c r="FH1" s="92"/>
      <c r="FI1" s="92"/>
      <c r="FJ1" s="92" t="s">
        <v>57</v>
      </c>
      <c r="FK1" s="92"/>
      <c r="FL1" s="92"/>
      <c r="FM1" s="92"/>
      <c r="FN1" s="92"/>
      <c r="FO1" s="92"/>
      <c r="FP1" s="93"/>
      <c r="FQ1" s="93" t="s">
        <v>56</v>
      </c>
      <c r="FR1" s="93"/>
      <c r="FS1" s="93"/>
      <c r="FT1" s="93"/>
      <c r="FU1" s="93"/>
      <c r="FV1" s="93"/>
      <c r="FW1" s="93"/>
      <c r="FX1" s="93"/>
      <c r="FY1" s="93"/>
      <c r="FZ1" s="93" t="s">
        <v>57</v>
      </c>
      <c r="GA1" s="93"/>
      <c r="GB1" s="93"/>
      <c r="GC1" s="93"/>
      <c r="GD1" s="93"/>
      <c r="GE1" s="92"/>
      <c r="GG1" s="93" t="s">
        <v>56</v>
      </c>
      <c r="GH1" s="93"/>
      <c r="GI1" s="93"/>
      <c r="GJ1" s="93"/>
      <c r="GK1" s="93"/>
      <c r="GL1" s="93"/>
      <c r="GM1" s="93"/>
      <c r="GN1" s="93"/>
      <c r="GO1" s="93"/>
      <c r="GP1" s="93" t="s">
        <v>57</v>
      </c>
      <c r="GQ1" s="93"/>
      <c r="GR1" s="93"/>
      <c r="GS1" s="93"/>
      <c r="GT1" s="93"/>
      <c r="GU1" s="93"/>
      <c r="GV1" s="90"/>
    </row>
    <row r="2" spans="1:250" x14ac:dyDescent="0.3">
      <c r="A2" s="36"/>
      <c r="B2" s="107"/>
      <c r="C2" s="107"/>
      <c r="D2" s="107"/>
      <c r="E2" s="107"/>
      <c r="F2" s="107"/>
      <c r="H2" s="68" t="s">
        <v>58</v>
      </c>
      <c r="L2" s="36" t="s">
        <v>59</v>
      </c>
      <c r="M2" s="231" t="s">
        <v>60</v>
      </c>
      <c r="N2" s="231"/>
      <c r="O2" s="231"/>
      <c r="P2" s="231"/>
      <c r="Q2" s="231"/>
      <c r="R2" s="231"/>
      <c r="S2" s="231"/>
      <c r="U2" s="233"/>
      <c r="V2" s="232" t="s">
        <v>60</v>
      </c>
      <c r="W2" s="232"/>
      <c r="X2" s="232"/>
      <c r="Y2" s="232"/>
      <c r="Z2" s="232"/>
      <c r="AB2" s="36" t="s">
        <v>59</v>
      </c>
      <c r="AC2" s="231" t="s">
        <v>61</v>
      </c>
      <c r="AD2" s="231"/>
      <c r="AE2" s="231"/>
      <c r="AF2" s="231"/>
      <c r="AG2" s="231"/>
      <c r="AH2" s="231"/>
      <c r="AI2" s="231"/>
      <c r="AK2" s="233"/>
      <c r="AL2" s="232" t="s">
        <v>61</v>
      </c>
      <c r="AM2" s="232"/>
      <c r="AN2" s="232"/>
      <c r="AO2" s="232"/>
      <c r="AP2" s="232"/>
      <c r="AR2" s="36" t="s">
        <v>59</v>
      </c>
      <c r="AS2" s="231" t="s">
        <v>62</v>
      </c>
      <c r="AT2" s="231"/>
      <c r="AU2" s="231"/>
      <c r="AV2" s="231"/>
      <c r="AW2" s="231"/>
      <c r="AX2" s="231"/>
      <c r="AY2" s="231"/>
      <c r="BA2" s="233"/>
      <c r="BB2" s="232" t="s">
        <v>62</v>
      </c>
      <c r="BC2" s="232"/>
      <c r="BD2" s="232"/>
      <c r="BE2" s="232"/>
      <c r="BF2" s="232"/>
      <c r="BH2" s="36" t="s">
        <v>59</v>
      </c>
      <c r="BI2" s="231" t="s">
        <v>63</v>
      </c>
      <c r="BJ2" s="231"/>
      <c r="BK2" s="231"/>
      <c r="BL2" s="231"/>
      <c r="BM2" s="231"/>
      <c r="BN2" s="231"/>
      <c r="BO2" s="231"/>
      <c r="BQ2" s="233"/>
      <c r="BR2" s="232" t="s">
        <v>63</v>
      </c>
      <c r="BS2" s="232"/>
      <c r="BT2" s="232"/>
      <c r="BU2" s="232"/>
      <c r="BV2" s="232"/>
      <c r="BX2" s="36" t="s">
        <v>59</v>
      </c>
      <c r="BY2" s="231" t="s">
        <v>64</v>
      </c>
      <c r="BZ2" s="231"/>
      <c r="CA2" s="231"/>
      <c r="CB2" s="231"/>
      <c r="CC2" s="231"/>
      <c r="CD2" s="231"/>
      <c r="CE2" s="231"/>
      <c r="CG2" s="233"/>
      <c r="CH2" s="232" t="s">
        <v>64</v>
      </c>
      <c r="CI2" s="232"/>
      <c r="CJ2" s="232"/>
      <c r="CK2" s="232"/>
      <c r="CL2" s="232"/>
      <c r="CN2" s="36" t="s">
        <v>59</v>
      </c>
      <c r="CO2" s="231" t="s">
        <v>65</v>
      </c>
      <c r="CP2" s="231"/>
      <c r="CQ2" s="231"/>
      <c r="CR2" s="231"/>
      <c r="CS2" s="231"/>
      <c r="CT2" s="231"/>
      <c r="CU2" s="231"/>
      <c r="CX2" s="232" t="s">
        <v>65</v>
      </c>
      <c r="CY2" s="232"/>
      <c r="CZ2" s="232"/>
      <c r="DA2" s="232"/>
      <c r="DB2" s="232"/>
      <c r="DC2" s="84"/>
      <c r="DD2" s="36" t="s">
        <v>59</v>
      </c>
      <c r="DE2" s="231" t="s">
        <v>86</v>
      </c>
      <c r="DF2" s="231"/>
      <c r="DG2" s="231"/>
      <c r="DH2" s="231"/>
      <c r="DI2" s="231"/>
      <c r="DJ2" s="231"/>
      <c r="DK2" s="231"/>
      <c r="DL2" s="84"/>
      <c r="DM2" s="84"/>
      <c r="DN2" s="232" t="s">
        <v>86</v>
      </c>
      <c r="DO2" s="232"/>
      <c r="DP2" s="232"/>
      <c r="DQ2" s="232"/>
      <c r="DR2" s="232"/>
      <c r="DS2" s="84"/>
      <c r="DT2" s="36" t="s">
        <v>59</v>
      </c>
      <c r="DU2" s="231" t="s">
        <v>87</v>
      </c>
      <c r="DV2" s="231"/>
      <c r="DW2" s="231"/>
      <c r="DX2" s="231"/>
      <c r="DY2" s="231"/>
      <c r="DZ2" s="231"/>
      <c r="EA2" s="231"/>
      <c r="EB2" s="84"/>
      <c r="EC2" s="84"/>
      <c r="ED2" s="232" t="s">
        <v>87</v>
      </c>
      <c r="EE2" s="232"/>
      <c r="EF2" s="232"/>
      <c r="EG2" s="232"/>
      <c r="EH2" s="232"/>
      <c r="EI2" s="84"/>
      <c r="EJ2" s="36" t="s">
        <v>59</v>
      </c>
      <c r="EK2" s="231" t="s">
        <v>93</v>
      </c>
      <c r="EL2" s="231"/>
      <c r="EM2" s="231"/>
      <c r="EN2" s="231"/>
      <c r="EO2" s="231"/>
      <c r="EP2" s="231"/>
      <c r="EQ2" s="231"/>
      <c r="ER2" s="90"/>
      <c r="ES2" s="90"/>
      <c r="ET2" s="232" t="s">
        <v>93</v>
      </c>
      <c r="EU2" s="232"/>
      <c r="EV2" s="232"/>
      <c r="EW2" s="232"/>
      <c r="EX2" s="232"/>
      <c r="EY2" s="90"/>
      <c r="EZ2" s="36" t="s">
        <v>59</v>
      </c>
      <c r="FA2" s="231" t="s">
        <v>95</v>
      </c>
      <c r="FB2" s="231"/>
      <c r="FC2" s="231"/>
      <c r="FD2" s="231"/>
      <c r="FE2" s="231"/>
      <c r="FF2" s="231"/>
      <c r="FG2" s="231"/>
      <c r="FH2" s="92"/>
      <c r="FI2" s="92"/>
      <c r="FJ2" s="232" t="s">
        <v>95</v>
      </c>
      <c r="FK2" s="232"/>
      <c r="FL2" s="232"/>
      <c r="FM2" s="232"/>
      <c r="FN2" s="232"/>
      <c r="FO2" s="92"/>
      <c r="FP2" s="36" t="s">
        <v>59</v>
      </c>
      <c r="FQ2" s="231" t="s">
        <v>101</v>
      </c>
      <c r="FR2" s="231"/>
      <c r="FS2" s="231"/>
      <c r="FT2" s="231"/>
      <c r="FU2" s="231"/>
      <c r="FV2" s="231"/>
      <c r="FW2" s="231"/>
      <c r="FX2" s="93"/>
      <c r="FY2" s="93"/>
      <c r="FZ2" s="232" t="s">
        <v>101</v>
      </c>
      <c r="GA2" s="232"/>
      <c r="GB2" s="232"/>
      <c r="GC2" s="232"/>
      <c r="GD2" s="232"/>
      <c r="GE2" s="92"/>
      <c r="GF2" s="36" t="s">
        <v>59</v>
      </c>
      <c r="GG2" s="231" t="s">
        <v>102</v>
      </c>
      <c r="GH2" s="231"/>
      <c r="GI2" s="231"/>
      <c r="GJ2" s="231"/>
      <c r="GK2" s="231"/>
      <c r="GL2" s="231"/>
      <c r="GM2" s="231"/>
      <c r="GN2" s="93"/>
      <c r="GO2" s="93"/>
      <c r="GP2" s="232" t="s">
        <v>102</v>
      </c>
      <c r="GQ2" s="232"/>
      <c r="GR2" s="232"/>
      <c r="GS2" s="232"/>
      <c r="GT2" s="232"/>
      <c r="GU2" s="93"/>
      <c r="GV2" s="90"/>
      <c r="HP2" s="210" t="s">
        <v>91</v>
      </c>
      <c r="HQ2" s="210"/>
      <c r="HR2" s="210"/>
      <c r="HS2" s="210"/>
      <c r="HT2" s="210"/>
      <c r="HU2" s="210"/>
      <c r="HV2" s="210"/>
      <c r="HW2" s="49"/>
      <c r="HX2" s="49"/>
      <c r="IB2" s="210" t="s">
        <v>90</v>
      </c>
      <c r="IC2" s="210"/>
      <c r="ID2" s="210"/>
      <c r="IE2" s="210"/>
      <c r="IF2" s="210"/>
    </row>
    <row r="3" spans="1:250" ht="43.2" x14ac:dyDescent="0.3">
      <c r="A3" s="1"/>
      <c r="B3" s="62" t="s">
        <v>46</v>
      </c>
      <c r="C3" s="62" t="s">
        <v>47</v>
      </c>
      <c r="D3" s="62" t="s">
        <v>48</v>
      </c>
      <c r="E3" s="3" t="s">
        <v>54</v>
      </c>
      <c r="G3" s="69">
        <v>45316</v>
      </c>
      <c r="H3" s="1">
        <v>0</v>
      </c>
      <c r="I3" s="1" t="s">
        <v>66</v>
      </c>
      <c r="J3" s="1"/>
      <c r="K3" s="13"/>
      <c r="L3" s="70"/>
      <c r="M3" s="69">
        <v>45327</v>
      </c>
      <c r="N3" s="69">
        <v>45328</v>
      </c>
      <c r="O3" s="69">
        <v>45329</v>
      </c>
      <c r="P3" s="69">
        <v>45330</v>
      </c>
      <c r="Q3" s="69">
        <v>45331</v>
      </c>
      <c r="R3" s="69">
        <v>45332</v>
      </c>
      <c r="S3" s="69">
        <v>45333</v>
      </c>
      <c r="T3" s="71" t="s">
        <v>67</v>
      </c>
      <c r="U3" s="233"/>
      <c r="V3" s="72" t="s">
        <v>68</v>
      </c>
      <c r="W3" s="72" t="s">
        <v>69</v>
      </c>
      <c r="X3" s="72" t="s">
        <v>70</v>
      </c>
      <c r="Y3" s="72" t="s">
        <v>71</v>
      </c>
      <c r="Z3" s="72" t="s">
        <v>72</v>
      </c>
      <c r="AB3" s="70"/>
      <c r="AC3" s="69">
        <v>45334</v>
      </c>
      <c r="AD3" s="69">
        <v>45335</v>
      </c>
      <c r="AE3" s="69">
        <v>45336</v>
      </c>
      <c r="AF3" s="69">
        <v>45337</v>
      </c>
      <c r="AG3" s="69">
        <v>45338</v>
      </c>
      <c r="AH3" s="69">
        <v>45339</v>
      </c>
      <c r="AI3" s="69">
        <v>45340</v>
      </c>
      <c r="AJ3" s="71" t="s">
        <v>67</v>
      </c>
      <c r="AK3" s="233"/>
      <c r="AL3" s="72" t="s">
        <v>68</v>
      </c>
      <c r="AM3" s="72" t="s">
        <v>69</v>
      </c>
      <c r="AN3" s="72" t="s">
        <v>70</v>
      </c>
      <c r="AO3" s="72" t="s">
        <v>71</v>
      </c>
      <c r="AP3" s="72" t="s">
        <v>72</v>
      </c>
      <c r="AR3" s="70"/>
      <c r="AS3" s="69">
        <v>45341</v>
      </c>
      <c r="AT3" s="69">
        <v>45342</v>
      </c>
      <c r="AU3" s="69">
        <v>45343</v>
      </c>
      <c r="AV3" s="69">
        <v>45344</v>
      </c>
      <c r="AW3" s="69">
        <v>45345</v>
      </c>
      <c r="AX3" s="69">
        <v>45346</v>
      </c>
      <c r="AY3" s="69">
        <v>45347</v>
      </c>
      <c r="AZ3" s="71" t="s">
        <v>67</v>
      </c>
      <c r="BA3" s="233"/>
      <c r="BB3" s="72" t="s">
        <v>68</v>
      </c>
      <c r="BC3" s="72" t="s">
        <v>69</v>
      </c>
      <c r="BD3" s="72" t="s">
        <v>70</v>
      </c>
      <c r="BE3" s="72" t="s">
        <v>71</v>
      </c>
      <c r="BF3" s="72" t="s">
        <v>72</v>
      </c>
      <c r="BH3" s="70"/>
      <c r="BI3" s="69">
        <v>45348</v>
      </c>
      <c r="BJ3" s="69">
        <v>45349</v>
      </c>
      <c r="BK3" s="69">
        <v>45350</v>
      </c>
      <c r="BL3" s="69">
        <v>45351</v>
      </c>
      <c r="BM3" s="69">
        <v>45352</v>
      </c>
      <c r="BN3" s="69">
        <v>45353</v>
      </c>
      <c r="BO3" s="69">
        <v>45354</v>
      </c>
      <c r="BP3" s="71" t="s">
        <v>67</v>
      </c>
      <c r="BQ3" s="233"/>
      <c r="BR3" s="72" t="s">
        <v>68</v>
      </c>
      <c r="BS3" s="72" t="s">
        <v>69</v>
      </c>
      <c r="BT3" s="72" t="s">
        <v>70</v>
      </c>
      <c r="BU3" s="72" t="s">
        <v>71</v>
      </c>
      <c r="BV3" s="72" t="s">
        <v>72</v>
      </c>
      <c r="BX3" s="70"/>
      <c r="BY3" s="69">
        <v>45355</v>
      </c>
      <c r="BZ3" s="69">
        <v>45356</v>
      </c>
      <c r="CA3" s="69">
        <v>45357</v>
      </c>
      <c r="CB3" s="69">
        <v>45358</v>
      </c>
      <c r="CC3" s="69">
        <v>45359</v>
      </c>
      <c r="CD3" s="69">
        <v>45360</v>
      </c>
      <c r="CE3" s="69">
        <v>45361</v>
      </c>
      <c r="CF3" s="71" t="s">
        <v>67</v>
      </c>
      <c r="CG3" s="233"/>
      <c r="CH3" s="72" t="s">
        <v>68</v>
      </c>
      <c r="CI3" s="72" t="s">
        <v>69</v>
      </c>
      <c r="CJ3" s="72" t="s">
        <v>70</v>
      </c>
      <c r="CK3" s="72" t="s">
        <v>71</v>
      </c>
      <c r="CL3" s="72" t="s">
        <v>72</v>
      </c>
      <c r="CN3" s="70"/>
      <c r="CO3" s="69">
        <v>45362</v>
      </c>
      <c r="CP3" s="69">
        <v>45363</v>
      </c>
      <c r="CQ3" s="69">
        <v>45364</v>
      </c>
      <c r="CR3" s="69">
        <v>45365</v>
      </c>
      <c r="CS3" s="69">
        <v>45366</v>
      </c>
      <c r="CT3" s="69">
        <v>45367</v>
      </c>
      <c r="CU3" s="69">
        <v>45368</v>
      </c>
      <c r="CV3" s="71" t="s">
        <v>67</v>
      </c>
      <c r="CX3" s="72" t="s">
        <v>68</v>
      </c>
      <c r="CY3" s="72" t="s">
        <v>69</v>
      </c>
      <c r="CZ3" s="72" t="s">
        <v>70</v>
      </c>
      <c r="DA3" s="72" t="s">
        <v>71</v>
      </c>
      <c r="DB3" s="72" t="s">
        <v>72</v>
      </c>
      <c r="DC3" s="84"/>
      <c r="DD3" s="70"/>
      <c r="DE3" s="69">
        <v>45369</v>
      </c>
      <c r="DF3" s="69">
        <v>45370</v>
      </c>
      <c r="DG3" s="69">
        <v>45371</v>
      </c>
      <c r="DH3" s="69">
        <v>45372</v>
      </c>
      <c r="DI3" s="69">
        <v>45373</v>
      </c>
      <c r="DJ3" s="69">
        <v>45374</v>
      </c>
      <c r="DK3" s="69">
        <v>45375</v>
      </c>
      <c r="DL3" s="71" t="s">
        <v>67</v>
      </c>
      <c r="DM3" s="84"/>
      <c r="DN3" s="72" t="s">
        <v>68</v>
      </c>
      <c r="DO3" s="72" t="s">
        <v>69</v>
      </c>
      <c r="DP3" s="72" t="s">
        <v>70</v>
      </c>
      <c r="DQ3" s="72" t="s">
        <v>71</v>
      </c>
      <c r="DR3" s="72" t="s">
        <v>72</v>
      </c>
      <c r="DS3" s="84"/>
      <c r="DT3" s="70"/>
      <c r="DU3" s="69">
        <v>45376</v>
      </c>
      <c r="DV3" s="69">
        <v>45377</v>
      </c>
      <c r="DW3" s="69">
        <v>45378</v>
      </c>
      <c r="DX3" s="69">
        <v>45379</v>
      </c>
      <c r="DY3" s="69">
        <v>45380</v>
      </c>
      <c r="DZ3" s="69">
        <v>45381</v>
      </c>
      <c r="EA3" s="69">
        <v>45382</v>
      </c>
      <c r="EB3" s="71" t="s">
        <v>67</v>
      </c>
      <c r="EC3" s="84"/>
      <c r="ED3" s="72" t="s">
        <v>68</v>
      </c>
      <c r="EE3" s="72" t="s">
        <v>69</v>
      </c>
      <c r="EF3" s="72" t="s">
        <v>70</v>
      </c>
      <c r="EG3" s="72" t="s">
        <v>71</v>
      </c>
      <c r="EH3" s="72" t="s">
        <v>72</v>
      </c>
      <c r="EI3" s="84"/>
      <c r="EJ3" s="70"/>
      <c r="EK3" s="69">
        <v>45383</v>
      </c>
      <c r="EL3" s="69">
        <v>45384</v>
      </c>
      <c r="EM3" s="69">
        <v>45385</v>
      </c>
      <c r="EN3" s="69">
        <v>45386</v>
      </c>
      <c r="EO3" s="69">
        <v>45387</v>
      </c>
      <c r="EP3" s="69">
        <v>45388</v>
      </c>
      <c r="EQ3" s="69">
        <v>45389</v>
      </c>
      <c r="ER3" s="71" t="s">
        <v>67</v>
      </c>
      <c r="ES3" s="90"/>
      <c r="ET3" s="72" t="s">
        <v>68</v>
      </c>
      <c r="EU3" s="72" t="s">
        <v>69</v>
      </c>
      <c r="EV3" s="72" t="s">
        <v>70</v>
      </c>
      <c r="EW3" s="72" t="s">
        <v>71</v>
      </c>
      <c r="EX3" s="72" t="s">
        <v>72</v>
      </c>
      <c r="EY3" s="90"/>
      <c r="EZ3" s="70"/>
      <c r="FA3" s="69">
        <v>45390</v>
      </c>
      <c r="FB3" s="69">
        <v>45391</v>
      </c>
      <c r="FC3" s="69">
        <v>45392</v>
      </c>
      <c r="FD3" s="69">
        <v>45393</v>
      </c>
      <c r="FE3" s="69">
        <v>45394</v>
      </c>
      <c r="FF3" s="69">
        <v>45395</v>
      </c>
      <c r="FG3" s="69">
        <v>45396</v>
      </c>
      <c r="FH3" s="71" t="s">
        <v>67</v>
      </c>
      <c r="FI3" s="92"/>
      <c r="FJ3" s="72" t="s">
        <v>68</v>
      </c>
      <c r="FK3" s="72" t="s">
        <v>69</v>
      </c>
      <c r="FL3" s="72" t="s">
        <v>70</v>
      </c>
      <c r="FM3" s="72" t="s">
        <v>71</v>
      </c>
      <c r="FN3" s="72" t="s">
        <v>72</v>
      </c>
      <c r="FO3" s="92"/>
      <c r="FP3" s="70"/>
      <c r="FQ3" s="69">
        <v>45397</v>
      </c>
      <c r="FR3" s="69">
        <v>45398</v>
      </c>
      <c r="FS3" s="69">
        <v>45399</v>
      </c>
      <c r="FT3" s="69">
        <v>45400</v>
      </c>
      <c r="FU3" s="69">
        <v>45401</v>
      </c>
      <c r="FV3" s="69">
        <v>45402</v>
      </c>
      <c r="FW3" s="69">
        <v>45403</v>
      </c>
      <c r="FX3" s="71" t="s">
        <v>67</v>
      </c>
      <c r="FY3" s="93"/>
      <c r="FZ3" s="72" t="s">
        <v>68</v>
      </c>
      <c r="GA3" s="72" t="s">
        <v>69</v>
      </c>
      <c r="GB3" s="72" t="s">
        <v>70</v>
      </c>
      <c r="GC3" s="72" t="s">
        <v>71</v>
      </c>
      <c r="GD3" s="72" t="s">
        <v>72</v>
      </c>
      <c r="GE3" s="92"/>
      <c r="GF3" s="70"/>
      <c r="GG3" s="69">
        <v>45404</v>
      </c>
      <c r="GH3" s="69">
        <v>45405</v>
      </c>
      <c r="GI3" s="69">
        <v>45406</v>
      </c>
      <c r="GJ3" s="69">
        <v>45407</v>
      </c>
      <c r="GK3" s="69">
        <v>45408</v>
      </c>
      <c r="GL3" s="69">
        <v>45409</v>
      </c>
      <c r="GM3" s="69">
        <v>45410</v>
      </c>
      <c r="GN3" s="71" t="s">
        <v>67</v>
      </c>
      <c r="GO3" s="93"/>
      <c r="GP3" s="72" t="s">
        <v>68</v>
      </c>
      <c r="GQ3" s="72" t="s">
        <v>69</v>
      </c>
      <c r="GR3" s="72" t="s">
        <v>70</v>
      </c>
      <c r="GS3" s="72" t="s">
        <v>71</v>
      </c>
      <c r="GT3" s="72" t="s">
        <v>72</v>
      </c>
      <c r="GU3" s="93"/>
      <c r="GV3" s="90"/>
      <c r="GW3" s="1" t="s">
        <v>34</v>
      </c>
      <c r="GX3" s="72" t="s">
        <v>73</v>
      </c>
      <c r="GZ3" s="241" t="s">
        <v>74</v>
      </c>
      <c r="HA3" s="241"/>
      <c r="HB3" s="241"/>
      <c r="HC3" s="241"/>
      <c r="HD3" s="241"/>
      <c r="HF3" s="13"/>
      <c r="HG3" s="1" t="s">
        <v>2</v>
      </c>
      <c r="HH3" s="66" t="s">
        <v>79</v>
      </c>
      <c r="HI3" s="66" t="s">
        <v>80</v>
      </c>
      <c r="HJ3" s="66" t="s">
        <v>81</v>
      </c>
      <c r="HK3" s="1" t="s">
        <v>41</v>
      </c>
      <c r="HN3" s="1" t="s">
        <v>2</v>
      </c>
      <c r="HO3" s="83" t="s">
        <v>89</v>
      </c>
      <c r="HP3" s="1" t="s">
        <v>15</v>
      </c>
      <c r="HQ3" s="1" t="s">
        <v>75</v>
      </c>
      <c r="HR3" s="1" t="s">
        <v>7</v>
      </c>
      <c r="HS3" s="1" t="s">
        <v>8</v>
      </c>
      <c r="HT3" s="1" t="s">
        <v>82</v>
      </c>
      <c r="HU3" s="1" t="s">
        <v>83</v>
      </c>
      <c r="HV3" s="66" t="s">
        <v>84</v>
      </c>
      <c r="HW3" s="106" t="s">
        <v>203</v>
      </c>
      <c r="HX3" s="106" t="s">
        <v>202</v>
      </c>
      <c r="HY3" s="86" t="s">
        <v>103</v>
      </c>
      <c r="HZ3" s="106" t="s">
        <v>201</v>
      </c>
      <c r="IA3" s="86" t="s">
        <v>94</v>
      </c>
      <c r="IB3" s="79" t="s">
        <v>11</v>
      </c>
      <c r="IC3" s="66" t="s">
        <v>9</v>
      </c>
      <c r="ID3" s="66" t="s">
        <v>10</v>
      </c>
      <c r="IE3" s="66" t="s">
        <v>12</v>
      </c>
      <c r="IF3" s="66" t="s">
        <v>13</v>
      </c>
      <c r="IG3" s="145" t="s">
        <v>205</v>
      </c>
      <c r="II3" s="1"/>
      <c r="IJ3" s="144" t="s">
        <v>46</v>
      </c>
      <c r="IK3" s="144" t="s">
        <v>47</v>
      </c>
      <c r="IL3" s="144" t="s">
        <v>48</v>
      </c>
      <c r="IM3" s="144" t="s">
        <v>54</v>
      </c>
      <c r="IN3" s="144" t="s">
        <v>104</v>
      </c>
      <c r="IO3" s="145" t="s">
        <v>206</v>
      </c>
      <c r="IP3" s="145" t="s">
        <v>209</v>
      </c>
    </row>
    <row r="4" spans="1:250" x14ac:dyDescent="0.3">
      <c r="A4" s="1">
        <v>1</v>
      </c>
      <c r="B4" s="4">
        <v>4.4064600000000002E-2</v>
      </c>
      <c r="C4" s="4">
        <v>27.802199999999999</v>
      </c>
      <c r="D4" s="4">
        <v>0</v>
      </c>
      <c r="E4" s="4">
        <v>72.153700000000001</v>
      </c>
      <c r="F4" s="68" t="s">
        <v>106</v>
      </c>
      <c r="G4" s="69">
        <v>45317</v>
      </c>
      <c r="H4" s="1">
        <v>1</v>
      </c>
      <c r="I4" s="73" t="s">
        <v>75</v>
      </c>
      <c r="J4" s="237" t="s">
        <v>76</v>
      </c>
      <c r="K4" s="44"/>
      <c r="L4" s="1">
        <v>1</v>
      </c>
      <c r="M4" s="1"/>
      <c r="N4" s="1"/>
      <c r="O4" s="96">
        <v>25</v>
      </c>
      <c r="P4" s="96">
        <v>36</v>
      </c>
      <c r="Q4" s="96">
        <v>40</v>
      </c>
      <c r="R4" s="96">
        <v>26</v>
      </c>
      <c r="S4" s="96">
        <v>45</v>
      </c>
      <c r="T4" s="1">
        <f t="shared" ref="T4:T35" si="0">SUM(M4:S4)</f>
        <v>172</v>
      </c>
      <c r="U4" s="233"/>
      <c r="V4" s="1"/>
      <c r="W4" s="1"/>
      <c r="X4" s="1"/>
      <c r="Y4" s="1"/>
      <c r="Z4" s="1"/>
      <c r="AB4" s="1">
        <v>1</v>
      </c>
      <c r="AC4" s="96">
        <v>47</v>
      </c>
      <c r="AD4" s="96">
        <v>40</v>
      </c>
      <c r="AE4" s="96">
        <v>44</v>
      </c>
      <c r="AF4" s="96">
        <v>53</v>
      </c>
      <c r="AG4" s="96">
        <v>92</v>
      </c>
      <c r="AH4" s="96">
        <v>30</v>
      </c>
      <c r="AI4" s="96">
        <v>72</v>
      </c>
      <c r="AJ4" s="1">
        <f t="shared" ref="AJ4:AJ35" si="1">SUM(AC4:AI4)</f>
        <v>378</v>
      </c>
      <c r="AK4" s="233"/>
      <c r="AL4" s="87">
        <v>41.31</v>
      </c>
      <c r="AM4" s="87">
        <v>29.2</v>
      </c>
      <c r="AN4" s="87">
        <v>4.26</v>
      </c>
      <c r="AO4" s="87">
        <v>85</v>
      </c>
      <c r="AP4" s="87">
        <v>25.23</v>
      </c>
      <c r="AR4" s="1">
        <v>1</v>
      </c>
      <c r="AS4" s="96">
        <v>98</v>
      </c>
      <c r="AT4" s="96">
        <v>116</v>
      </c>
      <c r="AU4" s="96">
        <v>71</v>
      </c>
      <c r="AV4" s="96">
        <v>84</v>
      </c>
      <c r="AW4" s="96">
        <v>64</v>
      </c>
      <c r="AX4" s="96">
        <v>85</v>
      </c>
      <c r="AY4" s="96">
        <v>81</v>
      </c>
      <c r="AZ4" s="1">
        <f t="shared" ref="AZ4:AZ35" si="2">SUM(AS4:AY4)</f>
        <v>599</v>
      </c>
      <c r="BA4" s="233"/>
      <c r="BB4" s="85">
        <f>+AVERAGE(BB42,BB84)</f>
        <v>59.135000000000005</v>
      </c>
      <c r="BC4" s="1">
        <f>+AVERAGE(BC42,BC84)</f>
        <v>26.125</v>
      </c>
      <c r="BD4" s="1">
        <f>+AVERAGE(BD42,BD84)</f>
        <v>3.2</v>
      </c>
      <c r="BE4" s="1">
        <f>+AVERAGE(BE42,BE84)</f>
        <v>72.5</v>
      </c>
      <c r="BF4" s="1">
        <f>+AVERAGE(BF42,BF84)</f>
        <v>11.54</v>
      </c>
      <c r="BH4" s="1">
        <v>1</v>
      </c>
      <c r="BI4" s="96">
        <v>64</v>
      </c>
      <c r="BJ4" s="96">
        <v>82</v>
      </c>
      <c r="BK4" s="96">
        <v>81</v>
      </c>
      <c r="BL4" s="96">
        <v>65</v>
      </c>
      <c r="BM4" s="96">
        <v>76</v>
      </c>
      <c r="BN4" s="96">
        <v>65</v>
      </c>
      <c r="BO4" s="96">
        <v>67</v>
      </c>
      <c r="BP4" s="1">
        <f t="shared" ref="BP4:BP31" si="3">SUM(BI4:BO4)</f>
        <v>500</v>
      </c>
      <c r="BQ4" s="233"/>
      <c r="BR4" s="85">
        <f>AVERAGE(BR51,BR75)</f>
        <v>62.375</v>
      </c>
      <c r="BS4" s="1">
        <f>AVERAGE(BS51,BS75)</f>
        <v>20.23</v>
      </c>
      <c r="BT4" s="1">
        <f>AVERAGE(BT51,BT75)</f>
        <v>3.5700000000000003</v>
      </c>
      <c r="BU4" s="1">
        <f>AVERAGE(BU51,BU75)</f>
        <v>53.5</v>
      </c>
      <c r="BV4" s="1">
        <f>AVERAGE(BV51,BV75)</f>
        <v>13.824999999999999</v>
      </c>
      <c r="BX4" s="1">
        <v>1</v>
      </c>
      <c r="BY4" s="96">
        <v>73</v>
      </c>
      <c r="BZ4" s="96">
        <v>51</v>
      </c>
      <c r="CA4" s="96">
        <v>58</v>
      </c>
      <c r="CB4" s="96">
        <v>53</v>
      </c>
      <c r="CC4" s="96">
        <v>55</v>
      </c>
      <c r="CD4" s="96">
        <v>56</v>
      </c>
      <c r="CE4" s="96">
        <v>60</v>
      </c>
      <c r="CF4" s="1">
        <f t="shared" ref="CF4:CF35" si="4">SUM(BY4:CE4)</f>
        <v>406</v>
      </c>
      <c r="CG4" s="233"/>
      <c r="CH4" s="1">
        <f>AVERAGE(CH40,CH68)</f>
        <v>64.509999999999991</v>
      </c>
      <c r="CI4" s="1">
        <f>AVERAGE(CI40,CI68)</f>
        <v>17.759999999999998</v>
      </c>
      <c r="CJ4" s="1">
        <f>AVERAGE(CJ40,CJ68)</f>
        <v>3.6349999999999998</v>
      </c>
      <c r="CK4" s="1">
        <f>AVERAGE(CK40,CK68)</f>
        <v>37.5</v>
      </c>
      <c r="CL4" s="1">
        <f>AVERAGE(CL40,CL68)</f>
        <v>14.100000000000001</v>
      </c>
      <c r="CN4" s="1">
        <v>1</v>
      </c>
      <c r="CO4" s="96">
        <v>48</v>
      </c>
      <c r="CP4" s="164">
        <v>65</v>
      </c>
      <c r="CQ4" s="96">
        <v>37</v>
      </c>
      <c r="CR4" s="96">
        <v>34</v>
      </c>
      <c r="CS4" s="96">
        <v>39</v>
      </c>
      <c r="CT4" s="96">
        <v>53</v>
      </c>
      <c r="CU4" s="96">
        <v>19</v>
      </c>
      <c r="CV4" s="1">
        <f t="shared" ref="CV4:CV35" si="5">SUM(CO4:CU4)</f>
        <v>295</v>
      </c>
      <c r="CX4" s="1"/>
      <c r="CY4" s="1"/>
      <c r="CZ4" s="1"/>
      <c r="DA4" s="1"/>
      <c r="DB4" s="1"/>
      <c r="DC4" s="84"/>
      <c r="DD4" s="1">
        <v>1</v>
      </c>
      <c r="DE4" s="96">
        <v>31</v>
      </c>
      <c r="DF4" s="164">
        <v>30</v>
      </c>
      <c r="DG4" s="96">
        <v>16</v>
      </c>
      <c r="DH4" s="96">
        <v>26</v>
      </c>
      <c r="DI4" s="96">
        <v>19</v>
      </c>
      <c r="DJ4" s="96">
        <v>28</v>
      </c>
      <c r="DK4" s="96">
        <v>16</v>
      </c>
      <c r="DL4" s="1">
        <f t="shared" ref="DL4:DL35" si="6">SUM(DE4:DK4)</f>
        <v>166</v>
      </c>
      <c r="DM4" s="84"/>
      <c r="DN4" s="1">
        <f>DN62</f>
        <v>64.14</v>
      </c>
      <c r="DO4" s="1">
        <f>DO62</f>
        <v>16.7</v>
      </c>
      <c r="DP4" s="1">
        <f>DP62</f>
        <v>4.33</v>
      </c>
      <c r="DQ4" s="1">
        <f>DQ62</f>
        <v>22</v>
      </c>
      <c r="DR4" s="1">
        <f>DR62</f>
        <v>14.83</v>
      </c>
      <c r="DS4" s="84"/>
      <c r="DT4" s="1">
        <v>1</v>
      </c>
      <c r="DU4" s="96">
        <v>28</v>
      </c>
      <c r="DV4" s="96">
        <v>64</v>
      </c>
      <c r="DW4" s="96">
        <v>22</v>
      </c>
      <c r="DX4" s="96">
        <v>22</v>
      </c>
      <c r="DY4" s="96">
        <v>28</v>
      </c>
      <c r="DZ4" s="96">
        <v>22</v>
      </c>
      <c r="EA4" s="96">
        <v>38</v>
      </c>
      <c r="EB4" s="1">
        <f t="shared" ref="EB4:EB35" si="7">SUM(DU4:EA4)</f>
        <v>224</v>
      </c>
      <c r="EC4" s="84"/>
      <c r="ED4" s="1">
        <f>ED47</f>
        <v>28.8</v>
      </c>
      <c r="EE4" s="1">
        <f>EE47</f>
        <v>12.11</v>
      </c>
      <c r="EF4" s="1">
        <f>EF47</f>
        <v>12.04</v>
      </c>
      <c r="EG4" s="1">
        <f>EG47</f>
        <v>6</v>
      </c>
      <c r="EH4" s="1">
        <f>EH47</f>
        <v>47.09</v>
      </c>
      <c r="EI4" s="84"/>
      <c r="EJ4" s="1">
        <v>1</v>
      </c>
      <c r="EK4" s="96">
        <v>17</v>
      </c>
      <c r="EL4" s="96">
        <v>19</v>
      </c>
      <c r="EM4" s="96">
        <v>25</v>
      </c>
      <c r="EN4" s="96">
        <v>22</v>
      </c>
      <c r="EO4" s="96">
        <v>17</v>
      </c>
      <c r="EP4" s="96">
        <v>12</v>
      </c>
      <c r="EQ4" s="96">
        <v>14</v>
      </c>
      <c r="ER4" s="1">
        <f t="shared" ref="ER4:ER35" si="8">SUM(EK4:EQ4)</f>
        <v>126</v>
      </c>
      <c r="ES4" s="90"/>
      <c r="ET4" s="1"/>
      <c r="EU4" s="1"/>
      <c r="EV4" s="1"/>
      <c r="EW4" s="1"/>
      <c r="EX4" s="1"/>
      <c r="EY4" s="90"/>
      <c r="EZ4" s="1">
        <v>1</v>
      </c>
      <c r="FA4" s="96">
        <v>24</v>
      </c>
      <c r="FB4" s="96">
        <v>16</v>
      </c>
      <c r="FC4" s="96">
        <v>22</v>
      </c>
      <c r="FD4" s="96">
        <v>22</v>
      </c>
      <c r="FE4" s="96">
        <v>16</v>
      </c>
      <c r="FF4" s="96">
        <v>16</v>
      </c>
      <c r="FG4" s="96">
        <v>11</v>
      </c>
      <c r="FH4" s="1">
        <f t="shared" ref="FH4:FH35" si="9">SUM(FA4:FG4)</f>
        <v>127</v>
      </c>
      <c r="FI4" s="92"/>
      <c r="FJ4" s="1">
        <v>50.37</v>
      </c>
      <c r="FK4" s="1">
        <v>19.79</v>
      </c>
      <c r="FL4" s="1">
        <v>6.48</v>
      </c>
      <c r="FM4" s="1">
        <v>4</v>
      </c>
      <c r="FN4" s="1">
        <v>23.36</v>
      </c>
      <c r="FO4" s="92"/>
      <c r="FP4" s="1">
        <v>1</v>
      </c>
      <c r="FQ4" s="96"/>
      <c r="FR4" s="96"/>
      <c r="FS4" s="96"/>
      <c r="FT4" s="1"/>
      <c r="FU4" s="1"/>
      <c r="FV4" s="1"/>
      <c r="FW4" s="1"/>
      <c r="FX4" s="96">
        <f t="shared" ref="FX4:FX35" si="10">SUM(FQ4:FW4)</f>
        <v>0</v>
      </c>
      <c r="FY4" s="93"/>
      <c r="FZ4" s="1"/>
      <c r="GA4" s="1"/>
      <c r="GB4" s="1"/>
      <c r="GC4" s="1"/>
      <c r="GD4" s="1"/>
      <c r="GE4" s="92"/>
      <c r="GF4" s="1">
        <v>1</v>
      </c>
      <c r="GG4" s="1"/>
      <c r="GH4" s="1"/>
      <c r="GI4" s="1"/>
      <c r="GJ4" s="1"/>
      <c r="GK4" s="1"/>
      <c r="GL4" s="1"/>
      <c r="GM4" s="1"/>
      <c r="GN4" s="1">
        <f t="shared" ref="GN4:GN35" si="11">SUM(GG4:GM4)</f>
        <v>0</v>
      </c>
      <c r="GO4" s="93"/>
      <c r="GP4" s="1"/>
      <c r="GQ4" s="1"/>
      <c r="GR4" s="1"/>
      <c r="GS4" s="1"/>
      <c r="GT4" s="1"/>
      <c r="GU4" s="93"/>
      <c r="GV4" s="90"/>
      <c r="GW4" s="74">
        <f t="shared" ref="GW4:GW35" si="12">T4+AJ4+AZ4+BP4+CF4+CV4+DL4+EB4+ER4+FH4+FX4</f>
        <v>2993</v>
      </c>
      <c r="GX4" s="75">
        <f t="shared" ref="GX4:GX23" si="13">GW4*1/100</f>
        <v>29.93</v>
      </c>
      <c r="GZ4" s="241"/>
      <c r="HA4" s="241"/>
      <c r="HB4" s="241"/>
      <c r="HC4" s="241"/>
      <c r="HD4" s="241"/>
      <c r="HF4" s="1">
        <v>1</v>
      </c>
      <c r="HG4" s="4">
        <v>7.77</v>
      </c>
      <c r="HH4" s="4">
        <v>570.22</v>
      </c>
      <c r="HI4" s="1">
        <v>80</v>
      </c>
      <c r="HJ4" s="4">
        <v>42.793367943414857</v>
      </c>
      <c r="HK4" s="1"/>
      <c r="HM4" s="1">
        <v>1</v>
      </c>
      <c r="HN4" s="5">
        <v>7.82</v>
      </c>
      <c r="HO4" s="21">
        <f>1050.3-262.9</f>
        <v>787.4</v>
      </c>
      <c r="HP4" s="21">
        <v>60.814999999999998</v>
      </c>
      <c r="HQ4" s="21">
        <v>30.02</v>
      </c>
      <c r="HR4" s="21">
        <v>63.82</v>
      </c>
      <c r="HS4" s="21">
        <v>61.96</v>
      </c>
      <c r="HT4" s="139">
        <f>(HR4-HP4)/HQ4</f>
        <v>0.10009993337774825</v>
      </c>
      <c r="HU4" s="139">
        <f>(HR4-HS4)/HQ4</f>
        <v>6.1958694203864073E-2</v>
      </c>
      <c r="HV4" s="138">
        <f>HU4*HO4</f>
        <v>48.786275816122568</v>
      </c>
      <c r="HW4" s="138">
        <f>HJ4-(HV4-$HV$35)</f>
        <v>11.268957079060826</v>
      </c>
      <c r="HX4" s="139">
        <f t="shared" ref="HX4:HX34" si="14">(HW4/HJ4)</f>
        <v>0.26333419454065005</v>
      </c>
      <c r="HY4" s="1">
        <f>1.05*2500</f>
        <v>2625</v>
      </c>
      <c r="HZ4" s="74">
        <f>HY4*14/18</f>
        <v>2041.6666666666667</v>
      </c>
      <c r="IA4" s="1">
        <f>2*50</f>
        <v>100</v>
      </c>
      <c r="IB4" s="5">
        <v>25</v>
      </c>
      <c r="IC4" s="5">
        <f>5*25+5.3</f>
        <v>130.30000000000001</v>
      </c>
      <c r="ID4" s="5">
        <f>5*25+10.9</f>
        <v>135.9</v>
      </c>
      <c r="IE4" s="5">
        <f>(((ID4-IC4)*(20/IB4)*1.66)-0.15)*500</f>
        <v>3643.399999999996</v>
      </c>
      <c r="IF4" s="5">
        <f>IC4*250*(20/IB4)</f>
        <v>26060.000000000004</v>
      </c>
      <c r="IG4" s="74">
        <f>IE4/IF4</f>
        <v>0.13980813507290851</v>
      </c>
      <c r="II4" s="1">
        <v>1</v>
      </c>
      <c r="IJ4" s="4">
        <v>4.4064600000000002E-2</v>
      </c>
      <c r="IK4" s="4">
        <v>27.802199999999999</v>
      </c>
      <c r="IL4" s="4">
        <v>0</v>
      </c>
      <c r="IM4" s="4">
        <v>72.153700000000001</v>
      </c>
      <c r="IN4" s="74">
        <f>GX104</f>
        <v>1553.1984</v>
      </c>
      <c r="IO4" s="74">
        <f>IN4-$IN$35</f>
        <v>1000.7234</v>
      </c>
      <c r="IP4" s="81">
        <f>IO4/HJ4</f>
        <v>23.385011465403803</v>
      </c>
    </row>
    <row r="5" spans="1:250" x14ac:dyDescent="0.3">
      <c r="A5" s="1">
        <v>2</v>
      </c>
      <c r="B5" s="4">
        <v>0</v>
      </c>
      <c r="C5" s="4">
        <v>100</v>
      </c>
      <c r="D5" s="4">
        <v>0</v>
      </c>
      <c r="E5" s="4">
        <v>0</v>
      </c>
      <c r="F5" s="68" t="s">
        <v>107</v>
      </c>
      <c r="G5" s="69">
        <v>45318</v>
      </c>
      <c r="H5" s="1">
        <v>2</v>
      </c>
      <c r="I5" s="73" t="s">
        <v>75</v>
      </c>
      <c r="J5" s="238"/>
      <c r="K5" s="44"/>
      <c r="L5" s="1">
        <v>2</v>
      </c>
      <c r="M5" s="1"/>
      <c r="N5" s="1"/>
      <c r="O5" s="1">
        <v>185</v>
      </c>
      <c r="P5" s="1">
        <f>275-185</f>
        <v>90</v>
      </c>
      <c r="Q5" s="1">
        <f>300-275</f>
        <v>25</v>
      </c>
      <c r="R5" s="1">
        <f>355-300</f>
        <v>55</v>
      </c>
      <c r="S5" s="1">
        <f>405-355</f>
        <v>50</v>
      </c>
      <c r="T5" s="1">
        <f t="shared" si="0"/>
        <v>405</v>
      </c>
      <c r="U5" s="233"/>
      <c r="V5" s="1"/>
      <c r="W5" s="1"/>
      <c r="X5" s="1"/>
      <c r="Y5" s="1"/>
      <c r="Z5" s="1"/>
      <c r="AB5" s="1">
        <v>2</v>
      </c>
      <c r="AC5" s="1">
        <f>490-405</f>
        <v>85</v>
      </c>
      <c r="AD5" s="1">
        <f>95-55</f>
        <v>40</v>
      </c>
      <c r="AE5" s="1">
        <f>120-95</f>
        <v>25</v>
      </c>
      <c r="AF5" s="1">
        <f>160-120</f>
        <v>40</v>
      </c>
      <c r="AG5" s="1">
        <f>235-160</f>
        <v>75</v>
      </c>
      <c r="AH5" s="1">
        <f>265-235</f>
        <v>30</v>
      </c>
      <c r="AI5" s="1">
        <f>325-265</f>
        <v>60</v>
      </c>
      <c r="AJ5" s="1">
        <f t="shared" si="1"/>
        <v>355</v>
      </c>
      <c r="AK5" s="233"/>
      <c r="AL5" s="1"/>
      <c r="AM5" s="1"/>
      <c r="AN5" s="1"/>
      <c r="AO5" s="1"/>
      <c r="AP5" s="1"/>
      <c r="AR5" s="1">
        <v>2</v>
      </c>
      <c r="AS5" s="1">
        <f>415-325</f>
        <v>90</v>
      </c>
      <c r="AT5" s="1">
        <f>485-415</f>
        <v>70</v>
      </c>
      <c r="AU5" s="1">
        <f>265-0</f>
        <v>265</v>
      </c>
      <c r="AV5" s="1">
        <f>325-265</f>
        <v>60</v>
      </c>
      <c r="AW5" s="1">
        <f>380-325</f>
        <v>55</v>
      </c>
      <c r="AX5" s="3">
        <f>490-380</f>
        <v>110</v>
      </c>
      <c r="AY5" s="1">
        <f>70-25</f>
        <v>45</v>
      </c>
      <c r="AZ5" s="1">
        <f t="shared" si="2"/>
        <v>695</v>
      </c>
      <c r="BA5" s="233"/>
      <c r="BB5" s="1">
        <f>BB43</f>
        <v>2.81</v>
      </c>
      <c r="BC5" s="1">
        <f>BC43</f>
        <v>0.62</v>
      </c>
      <c r="BD5" s="1">
        <f>BD43</f>
        <v>20.420000000000002</v>
      </c>
      <c r="BE5" s="1">
        <f>BE43</f>
        <v>1</v>
      </c>
      <c r="BF5" s="1">
        <f>BF43</f>
        <v>76.150000000000006</v>
      </c>
      <c r="BH5" s="1">
        <v>2</v>
      </c>
      <c r="BI5" s="1">
        <f>120-70</f>
        <v>50</v>
      </c>
      <c r="BJ5" s="1">
        <f>195-120</f>
        <v>75</v>
      </c>
      <c r="BK5" s="1">
        <f>255-195</f>
        <v>60</v>
      </c>
      <c r="BL5" s="1">
        <f>295-255</f>
        <v>40</v>
      </c>
      <c r="BM5" s="1">
        <f>355-295</f>
        <v>60</v>
      </c>
      <c r="BN5" s="1">
        <f>385-355</f>
        <v>30</v>
      </c>
      <c r="BO5" s="1">
        <f>450-385</f>
        <v>65</v>
      </c>
      <c r="BP5" s="1">
        <f t="shared" si="3"/>
        <v>380</v>
      </c>
      <c r="BQ5" s="233"/>
      <c r="BR5" s="1"/>
      <c r="BS5" s="1"/>
      <c r="BT5" s="1"/>
      <c r="BU5" s="1"/>
      <c r="BV5" s="1"/>
      <c r="BX5" s="1">
        <v>2</v>
      </c>
      <c r="BY5" s="1">
        <f>75-20</f>
        <v>55</v>
      </c>
      <c r="BZ5" s="1">
        <f>130-75</f>
        <v>55</v>
      </c>
      <c r="CA5" s="1">
        <f>185-130</f>
        <v>55</v>
      </c>
      <c r="CB5" s="1">
        <f>210-185</f>
        <v>25</v>
      </c>
      <c r="CC5" s="1">
        <f>260-210</f>
        <v>50</v>
      </c>
      <c r="CD5" s="1">
        <f>330-260</f>
        <v>70</v>
      </c>
      <c r="CE5" s="1">
        <f>370-330</f>
        <v>40</v>
      </c>
      <c r="CF5" s="1">
        <f t="shared" si="4"/>
        <v>350</v>
      </c>
      <c r="CG5" s="233"/>
      <c r="CH5" s="1"/>
      <c r="CI5" s="1"/>
      <c r="CJ5" s="1"/>
      <c r="CK5" s="1"/>
      <c r="CL5" s="1"/>
      <c r="CN5" s="1">
        <v>2</v>
      </c>
      <c r="CO5" s="1">
        <f>400-370</f>
        <v>30</v>
      </c>
      <c r="CP5" s="1">
        <f>455-400</f>
        <v>55</v>
      </c>
      <c r="CQ5" s="1">
        <f>485-455</f>
        <v>30</v>
      </c>
      <c r="CR5" s="1">
        <f>40-10</f>
        <v>30</v>
      </c>
      <c r="CS5" s="1">
        <f>85-40</f>
        <v>45</v>
      </c>
      <c r="CT5" s="1">
        <f>-85+150</f>
        <v>65</v>
      </c>
      <c r="CU5" s="1">
        <f>155-150</f>
        <v>5</v>
      </c>
      <c r="CV5" s="1">
        <f t="shared" si="5"/>
        <v>260</v>
      </c>
      <c r="CX5" s="1">
        <f>CX44</f>
        <v>2.96</v>
      </c>
      <c r="CY5" s="1">
        <f>CY44</f>
        <v>0.37</v>
      </c>
      <c r="CZ5" s="1">
        <f>CZ44</f>
        <v>20.329999999999998</v>
      </c>
      <c r="DA5" s="1">
        <f>DA44</f>
        <v>1</v>
      </c>
      <c r="DB5" s="1">
        <f>DB44</f>
        <v>76.34</v>
      </c>
      <c r="DC5" s="84"/>
      <c r="DD5" s="1">
        <v>2</v>
      </c>
      <c r="DE5" s="1">
        <f>180-155</f>
        <v>25</v>
      </c>
      <c r="DF5" s="1">
        <f>215-180</f>
        <v>35</v>
      </c>
      <c r="DG5" s="1">
        <f>215-215</f>
        <v>0</v>
      </c>
      <c r="DH5" s="1">
        <f>225-215</f>
        <v>10</v>
      </c>
      <c r="DI5" s="1">
        <f>250-225</f>
        <v>25</v>
      </c>
      <c r="DJ5" s="1">
        <f>285-250</f>
        <v>35</v>
      </c>
      <c r="DK5" s="1">
        <f>290-285</f>
        <v>5</v>
      </c>
      <c r="DL5" s="1">
        <f t="shared" si="6"/>
        <v>135</v>
      </c>
      <c r="DM5" s="84"/>
      <c r="DN5" s="1"/>
      <c r="DO5" s="1"/>
      <c r="DP5" s="1"/>
      <c r="DQ5" s="1"/>
      <c r="DR5" s="1"/>
      <c r="DS5" s="84"/>
      <c r="DT5" s="1">
        <v>2</v>
      </c>
      <c r="DU5" s="1">
        <f>-290+290</f>
        <v>0</v>
      </c>
      <c r="DV5" s="1">
        <f>295-290</f>
        <v>5</v>
      </c>
      <c r="DW5" s="1">
        <f>300-295</f>
        <v>5</v>
      </c>
      <c r="DX5" s="1">
        <f>315-300</f>
        <v>15</v>
      </c>
      <c r="DY5" s="1">
        <f>345-315</f>
        <v>30</v>
      </c>
      <c r="DZ5" s="1">
        <f>365-345</f>
        <v>20</v>
      </c>
      <c r="EA5" s="1">
        <f>380-365</f>
        <v>15</v>
      </c>
      <c r="EB5" s="1">
        <f t="shared" si="7"/>
        <v>90</v>
      </c>
      <c r="EC5" s="84"/>
      <c r="ED5" s="1"/>
      <c r="EE5" s="1"/>
      <c r="EF5" s="1"/>
      <c r="EG5" s="1"/>
      <c r="EH5" s="1"/>
      <c r="EI5" s="84"/>
      <c r="EJ5" s="1">
        <v>2</v>
      </c>
      <c r="EK5" s="1">
        <f>395-380</f>
        <v>15</v>
      </c>
      <c r="EL5" s="1">
        <f>415-395</f>
        <v>20</v>
      </c>
      <c r="EM5" s="1">
        <f>430-415</f>
        <v>15</v>
      </c>
      <c r="EN5" s="1">
        <f>450-430</f>
        <v>20</v>
      </c>
      <c r="EO5" s="1">
        <f>460-450</f>
        <v>10</v>
      </c>
      <c r="EP5" s="1">
        <f>460-460</f>
        <v>0</v>
      </c>
      <c r="EQ5" s="1">
        <f>470-460</f>
        <v>10</v>
      </c>
      <c r="ER5" s="1">
        <f t="shared" si="8"/>
        <v>90</v>
      </c>
      <c r="ES5" s="90"/>
      <c r="ET5" s="1"/>
      <c r="EU5" s="1"/>
      <c r="EV5" s="1"/>
      <c r="EW5" s="1"/>
      <c r="EX5" s="1"/>
      <c r="EY5" s="90"/>
      <c r="EZ5" s="1">
        <v>2</v>
      </c>
      <c r="FA5" s="1">
        <f>480-470</f>
        <v>10</v>
      </c>
      <c r="FB5" s="1">
        <f>25-15</f>
        <v>10</v>
      </c>
      <c r="FC5" s="1">
        <f>25-25</f>
        <v>0</v>
      </c>
      <c r="FD5" s="1">
        <f>35-25</f>
        <v>10</v>
      </c>
      <c r="FE5" s="1">
        <f>65-35</f>
        <v>30</v>
      </c>
      <c r="FF5" s="1"/>
      <c r="FG5" s="1"/>
      <c r="FH5" s="1">
        <f t="shared" si="9"/>
        <v>60</v>
      </c>
      <c r="FI5" s="92"/>
      <c r="FJ5" s="1"/>
      <c r="FK5" s="1"/>
      <c r="FL5" s="1"/>
      <c r="FM5" s="1"/>
      <c r="FN5" s="1"/>
      <c r="FO5" s="92"/>
      <c r="FP5" s="1">
        <v>2</v>
      </c>
      <c r="FQ5" s="1">
        <f>95-65</f>
        <v>30</v>
      </c>
      <c r="FR5" s="1">
        <f>125-95</f>
        <v>30</v>
      </c>
      <c r="FS5" s="1">
        <f>145-125</f>
        <v>20</v>
      </c>
      <c r="FT5" s="1"/>
      <c r="FU5" s="1"/>
      <c r="FV5" s="1"/>
      <c r="FW5" s="1"/>
      <c r="FX5" s="1">
        <f t="shared" si="10"/>
        <v>80</v>
      </c>
      <c r="FY5" s="93"/>
      <c r="FZ5" s="1">
        <v>0.78</v>
      </c>
      <c r="GA5" s="1">
        <v>0.15</v>
      </c>
      <c r="GB5" s="1">
        <v>20.190000000000001</v>
      </c>
      <c r="GC5" s="1">
        <v>1</v>
      </c>
      <c r="GD5" s="1">
        <v>78.88</v>
      </c>
      <c r="GE5" s="92"/>
      <c r="GF5" s="1">
        <v>2</v>
      </c>
      <c r="GG5" s="1"/>
      <c r="GH5" s="1"/>
      <c r="GI5" s="1"/>
      <c r="GJ5" s="1"/>
      <c r="GK5" s="1"/>
      <c r="GL5" s="1"/>
      <c r="GM5" s="1"/>
      <c r="GN5" s="1">
        <f t="shared" si="11"/>
        <v>0</v>
      </c>
      <c r="GO5" s="93"/>
      <c r="GP5" s="1"/>
      <c r="GQ5" s="1"/>
      <c r="GR5" s="1"/>
      <c r="GS5" s="1"/>
      <c r="GT5" s="1"/>
      <c r="GU5" s="93"/>
      <c r="GV5" s="90"/>
      <c r="GW5" s="74">
        <f t="shared" si="12"/>
        <v>2900</v>
      </c>
      <c r="GX5" s="75">
        <f t="shared" si="13"/>
        <v>29</v>
      </c>
      <c r="GZ5" s="241"/>
      <c r="HA5" s="241"/>
      <c r="HB5" s="241"/>
      <c r="HC5" s="241"/>
      <c r="HD5" s="241"/>
      <c r="HF5" s="1">
        <v>2</v>
      </c>
      <c r="HG5" s="4">
        <v>7.81</v>
      </c>
      <c r="HH5" s="4">
        <v>568.66</v>
      </c>
      <c r="HI5" s="1">
        <v>80</v>
      </c>
      <c r="HJ5" s="4">
        <v>39.426281618725518</v>
      </c>
      <c r="HK5" s="1"/>
      <c r="HM5" s="1">
        <v>2</v>
      </c>
      <c r="HN5" s="5">
        <v>7.89</v>
      </c>
      <c r="HO5" s="21">
        <f>1017.4-265.5</f>
        <v>751.9</v>
      </c>
      <c r="HP5" s="21">
        <v>56.442</v>
      </c>
      <c r="HQ5" s="21">
        <v>30.03</v>
      </c>
      <c r="HR5" s="21">
        <v>59.45</v>
      </c>
      <c r="HS5" s="21">
        <v>57.59</v>
      </c>
      <c r="HT5" s="139">
        <f t="shared" ref="HT5:HT35" si="15">(HR5-HP5)/HQ5</f>
        <v>0.10016650016650025</v>
      </c>
      <c r="HU5" s="139">
        <f t="shared" ref="HU5:HU35" si="16">(HR5-HS5)/HQ5</f>
        <v>6.1938061938061915E-2</v>
      </c>
      <c r="HV5" s="138">
        <f>HU5*HO5</f>
        <v>46.571228771228753</v>
      </c>
      <c r="HW5" s="138">
        <f t="shared" ref="HW5:HW34" si="17">HJ5-(HV5-$HV$35)</f>
        <v>10.116917799265302</v>
      </c>
      <c r="HX5" s="140">
        <f t="shared" si="14"/>
        <v>0.25660339712229596</v>
      </c>
      <c r="HY5" s="99">
        <f>0.28*2500</f>
        <v>700.00000000000011</v>
      </c>
      <c r="HZ5" s="74">
        <f t="shared" ref="HZ5:HZ35" si="18">HY5*14/18</f>
        <v>544.44444444444457</v>
      </c>
      <c r="IA5" s="1">
        <f>0*50</f>
        <v>0</v>
      </c>
      <c r="IB5" s="5">
        <v>25</v>
      </c>
      <c r="IC5" s="5">
        <f>5*25+9</f>
        <v>134</v>
      </c>
      <c r="ID5" s="5">
        <f>5*25+14</f>
        <v>139</v>
      </c>
      <c r="IE5" s="134">
        <f t="shared" ref="IE5:IE22" si="19">(((ID5-IC5)*(20/IB5)*1.66)-0.15)*500</f>
        <v>3244.9999999999995</v>
      </c>
      <c r="IF5" s="134">
        <f t="shared" ref="IF5:IF35" si="20">IC5*250*(20/IB5)</f>
        <v>26800</v>
      </c>
      <c r="IG5" s="74">
        <f t="shared" ref="IG5:IG35" si="21">IE5/IF5</f>
        <v>0.12108208955223879</v>
      </c>
      <c r="II5" s="1">
        <v>2</v>
      </c>
      <c r="IJ5" s="4">
        <v>0</v>
      </c>
      <c r="IK5" s="4">
        <v>100</v>
      </c>
      <c r="IL5" s="4">
        <v>0</v>
      </c>
      <c r="IM5" s="4">
        <v>0</v>
      </c>
      <c r="IN5" s="74">
        <f t="shared" ref="IN5:IN35" si="22">GX105</f>
        <v>682.86500000000012</v>
      </c>
      <c r="IO5" s="74">
        <f t="shared" ref="IO5:IO34" si="23">IN5-$IN$35</f>
        <v>130.3900000000001</v>
      </c>
      <c r="IP5" s="81">
        <f t="shared" ref="IP5:IP34" si="24">IO5/HJ5</f>
        <v>3.3071848180090955</v>
      </c>
    </row>
    <row r="6" spans="1:250" x14ac:dyDescent="0.3">
      <c r="A6" s="78">
        <v>3</v>
      </c>
      <c r="B6" s="4">
        <v>33.091999999999999</v>
      </c>
      <c r="C6" s="4">
        <v>33.281999999999996</v>
      </c>
      <c r="D6" s="4">
        <v>1.8381700000000001</v>
      </c>
      <c r="E6" s="4">
        <v>31.787800000000001</v>
      </c>
      <c r="F6" s="68" t="s">
        <v>108</v>
      </c>
      <c r="G6" s="69">
        <v>45319</v>
      </c>
      <c r="H6" s="1">
        <v>3</v>
      </c>
      <c r="I6" s="73" t="s">
        <v>75</v>
      </c>
      <c r="J6" s="238"/>
      <c r="K6" s="44"/>
      <c r="L6" s="78">
        <v>3</v>
      </c>
      <c r="M6" s="1"/>
      <c r="N6" s="1"/>
      <c r="O6" s="1">
        <f>430</f>
        <v>430</v>
      </c>
      <c r="P6" s="1">
        <f>530+530-75-430</f>
        <v>555</v>
      </c>
      <c r="Q6" s="1">
        <f>540+530-45</f>
        <v>1025</v>
      </c>
      <c r="R6" s="1">
        <f>550+535-35-30</f>
        <v>1020</v>
      </c>
      <c r="S6" s="1">
        <v>625</v>
      </c>
      <c r="T6" s="1">
        <f t="shared" si="0"/>
        <v>3655</v>
      </c>
      <c r="U6" s="233"/>
      <c r="V6" s="1">
        <v>12.38</v>
      </c>
      <c r="W6" s="1">
        <v>20.51</v>
      </c>
      <c r="X6" s="1">
        <v>13.17</v>
      </c>
      <c r="Y6" s="1">
        <v>325</v>
      </c>
      <c r="Z6" s="1">
        <v>53.94</v>
      </c>
      <c r="AB6" s="78">
        <v>3</v>
      </c>
      <c r="AC6" s="1">
        <v>655</v>
      </c>
      <c r="AD6" s="1">
        <v>700</v>
      </c>
      <c r="AE6" s="1">
        <v>450</v>
      </c>
      <c r="AF6" s="1">
        <f>550-0+540-0</f>
        <v>1090</v>
      </c>
      <c r="AG6" s="1">
        <v>715</v>
      </c>
      <c r="AH6" s="1">
        <v>670</v>
      </c>
      <c r="AI6" s="1">
        <v>630</v>
      </c>
      <c r="AJ6" s="1">
        <f t="shared" si="1"/>
        <v>4910</v>
      </c>
      <c r="AK6" s="233"/>
      <c r="AL6" s="64">
        <f>AVERAGE(AL68,AL65,AL57,AL48)</f>
        <v>19.545000000000002</v>
      </c>
      <c r="AM6" s="4">
        <f>AVERAGE(AM68,AM65,AM57,AM48)</f>
        <v>17.512499999999999</v>
      </c>
      <c r="AN6" s="4">
        <f>AVERAGE(AN68,AN65,AN57,AN48)</f>
        <v>12.855</v>
      </c>
      <c r="AO6" s="4">
        <f>AVERAGE(AO68,AO65,AO57,AO48)</f>
        <v>239.75</v>
      </c>
      <c r="AP6" s="4">
        <f>AVERAGE(AP68,AP65,AP57,AP48)</f>
        <v>50.089999999999996</v>
      </c>
      <c r="AR6" s="1">
        <v>3</v>
      </c>
      <c r="AS6" s="1">
        <v>500</v>
      </c>
      <c r="AT6" s="1">
        <v>300</v>
      </c>
      <c r="AU6" s="1">
        <v>310</v>
      </c>
      <c r="AV6" s="1">
        <v>380</v>
      </c>
      <c r="AW6" s="1">
        <v>515</v>
      </c>
      <c r="AX6" s="1">
        <v>390</v>
      </c>
      <c r="AY6" s="1">
        <v>515</v>
      </c>
      <c r="AZ6" s="1">
        <f t="shared" si="2"/>
        <v>2910</v>
      </c>
      <c r="BA6" s="233"/>
      <c r="BB6" s="1">
        <f>BB66</f>
        <v>38.869999999999997</v>
      </c>
      <c r="BC6" s="1">
        <f>BC66</f>
        <v>12.02</v>
      </c>
      <c r="BD6" s="1">
        <f>BD66</f>
        <v>9.7200000000000006</v>
      </c>
      <c r="BE6" s="1">
        <f>BE66</f>
        <v>104</v>
      </c>
      <c r="BF6" s="1">
        <f>BF66</f>
        <v>39.380000000000003</v>
      </c>
      <c r="BH6" s="1">
        <v>3</v>
      </c>
      <c r="BI6" s="1">
        <v>515</v>
      </c>
      <c r="BJ6" s="1">
        <v>520</v>
      </c>
      <c r="BK6" s="1">
        <v>500</v>
      </c>
      <c r="BL6" s="1">
        <v>400</v>
      </c>
      <c r="BM6" s="1">
        <v>295</v>
      </c>
      <c r="BN6" s="1">
        <v>450</v>
      </c>
      <c r="BO6" s="1">
        <v>340</v>
      </c>
      <c r="BP6" s="1">
        <f t="shared" si="3"/>
        <v>3020</v>
      </c>
      <c r="BQ6" s="233"/>
      <c r="BR6" s="85">
        <f>AVERAGE(BR44,BR79)</f>
        <v>73.88</v>
      </c>
      <c r="BS6" s="1">
        <f>AVERAGE(BS44,BS79)</f>
        <v>16.700000000000003</v>
      </c>
      <c r="BT6" s="1">
        <f>AVERAGE(BT44,BT79)</f>
        <v>1.92</v>
      </c>
      <c r="BU6" s="1">
        <f>AVERAGE(BU44,BU79)</f>
        <v>97</v>
      </c>
      <c r="BV6" s="1">
        <f>AVERAGE(BV44,BV79)</f>
        <v>7.5</v>
      </c>
      <c r="BX6" s="1">
        <v>3</v>
      </c>
      <c r="BY6" s="1">
        <v>295</v>
      </c>
      <c r="BZ6" s="1">
        <v>225</v>
      </c>
      <c r="CA6" s="1">
        <v>200</v>
      </c>
      <c r="CB6" s="1">
        <v>200</v>
      </c>
      <c r="CC6" s="1">
        <v>200</v>
      </c>
      <c r="CD6" s="1">
        <v>182</v>
      </c>
      <c r="CE6" s="1">
        <v>215</v>
      </c>
      <c r="CF6" s="1">
        <f t="shared" si="4"/>
        <v>1517</v>
      </c>
      <c r="CG6" s="233"/>
      <c r="CH6" s="1"/>
      <c r="CI6" s="1"/>
      <c r="CJ6" s="1"/>
      <c r="CK6" s="1"/>
      <c r="CL6" s="1"/>
      <c r="CN6" s="1">
        <v>3</v>
      </c>
      <c r="CO6" s="1">
        <v>230</v>
      </c>
      <c r="CP6" s="1">
        <v>420</v>
      </c>
      <c r="CQ6" s="1">
        <v>312</v>
      </c>
      <c r="CR6" s="1">
        <f>690-20</f>
        <v>670</v>
      </c>
      <c r="CS6" s="1">
        <v>230</v>
      </c>
      <c r="CT6" s="1">
        <v>358</v>
      </c>
      <c r="CU6" s="1">
        <v>180</v>
      </c>
      <c r="CV6" s="1">
        <f t="shared" si="5"/>
        <v>2400</v>
      </c>
      <c r="CX6" s="1">
        <f>AVERAGE(CX45,CX57)</f>
        <v>52.245000000000005</v>
      </c>
      <c r="CY6" s="1">
        <f>AVERAGE(CY45,CY57)</f>
        <v>15.8</v>
      </c>
      <c r="CZ6" s="1">
        <f>AVERAGE(CZ45,CZ57)</f>
        <v>6.4799999999999995</v>
      </c>
      <c r="DA6" s="1">
        <f>AVERAGE(DA45,DA57)</f>
        <v>40</v>
      </c>
      <c r="DB6" s="1">
        <f>AVERAGE(DB45,DB57)</f>
        <v>25.475000000000001</v>
      </c>
      <c r="DC6" s="84"/>
      <c r="DD6" s="1">
        <v>3</v>
      </c>
      <c r="DE6" s="1">
        <v>254</v>
      </c>
      <c r="DF6" s="1">
        <v>280</v>
      </c>
      <c r="DG6" s="1">
        <v>137</v>
      </c>
      <c r="DH6" s="1">
        <v>234</v>
      </c>
      <c r="DI6" s="1">
        <v>202</v>
      </c>
      <c r="DJ6" s="1">
        <v>220</v>
      </c>
      <c r="DK6" s="1">
        <v>165</v>
      </c>
      <c r="DL6" s="1">
        <f t="shared" si="6"/>
        <v>1492</v>
      </c>
      <c r="DM6" s="84"/>
      <c r="DN6" s="1">
        <f>DN44</f>
        <v>68.98</v>
      </c>
      <c r="DO6" s="1">
        <f>DO44</f>
        <v>20.86</v>
      </c>
      <c r="DP6" s="1">
        <f>DP44</f>
        <v>2.21</v>
      </c>
      <c r="DQ6" s="1">
        <f>DQ44</f>
        <v>29</v>
      </c>
      <c r="DR6" s="1">
        <f>DR44</f>
        <v>7.96</v>
      </c>
      <c r="DS6" s="84"/>
      <c r="DT6" s="1">
        <v>3</v>
      </c>
      <c r="DU6" s="1">
        <f>460-305</f>
        <v>155</v>
      </c>
      <c r="DV6" s="1">
        <v>200</v>
      </c>
      <c r="DW6" s="1">
        <v>260</v>
      </c>
      <c r="DX6" s="1">
        <v>200</v>
      </c>
      <c r="DY6" s="1">
        <v>190</v>
      </c>
      <c r="DZ6" s="1">
        <v>120</v>
      </c>
      <c r="EA6" s="1">
        <f>265-100</f>
        <v>165</v>
      </c>
      <c r="EB6" s="1">
        <f t="shared" si="7"/>
        <v>1290</v>
      </c>
      <c r="EC6" s="84"/>
      <c r="ED6" s="1">
        <f>ED65</f>
        <v>67.09</v>
      </c>
      <c r="EE6" s="1">
        <f>EE65</f>
        <v>19.43</v>
      </c>
      <c r="EF6" s="1">
        <f>EF65</f>
        <v>2.76</v>
      </c>
      <c r="EG6" s="1">
        <f>EG65</f>
        <v>4</v>
      </c>
      <c r="EH6" s="1">
        <f>EH65</f>
        <v>10.72</v>
      </c>
      <c r="EI6" s="84"/>
      <c r="EJ6" s="1">
        <v>3</v>
      </c>
      <c r="EK6" s="1">
        <v>125</v>
      </c>
      <c r="EL6" s="1">
        <v>120</v>
      </c>
      <c r="EM6" s="1">
        <v>150</v>
      </c>
      <c r="EN6" s="85">
        <v>195</v>
      </c>
      <c r="EO6" s="1">
        <v>140</v>
      </c>
      <c r="EP6" s="1">
        <v>80</v>
      </c>
      <c r="EQ6" s="1">
        <v>120</v>
      </c>
      <c r="ER6" s="1">
        <f t="shared" si="8"/>
        <v>930</v>
      </c>
      <c r="ES6" s="90"/>
      <c r="ET6" s="1">
        <v>36.89</v>
      </c>
      <c r="EU6" s="1">
        <v>13.56</v>
      </c>
      <c r="EV6" s="1">
        <v>9.9600000000000009</v>
      </c>
      <c r="EW6" s="1">
        <v>2</v>
      </c>
      <c r="EX6" s="1">
        <v>39.6</v>
      </c>
      <c r="EY6" s="90"/>
      <c r="EZ6" s="1">
        <v>3</v>
      </c>
      <c r="FA6" s="1">
        <v>176</v>
      </c>
      <c r="FB6" s="1">
        <v>150</v>
      </c>
      <c r="FC6" s="1">
        <v>90</v>
      </c>
      <c r="FD6" s="1">
        <v>120</v>
      </c>
      <c r="FE6" s="1">
        <v>46</v>
      </c>
      <c r="FF6" s="1">
        <v>60</v>
      </c>
      <c r="FG6" s="1">
        <f>255-255</f>
        <v>0</v>
      </c>
      <c r="FH6" s="1">
        <f t="shared" si="9"/>
        <v>642</v>
      </c>
      <c r="FI6" s="92"/>
      <c r="FJ6" s="1"/>
      <c r="FK6" s="1"/>
      <c r="FL6" s="1"/>
      <c r="FM6" s="1"/>
      <c r="FN6" s="1"/>
      <c r="FO6" s="92"/>
      <c r="FP6" s="1">
        <v>3</v>
      </c>
      <c r="FQ6" s="1">
        <f>250-250</f>
        <v>0</v>
      </c>
      <c r="FR6" s="1">
        <f>265-250</f>
        <v>15</v>
      </c>
      <c r="FS6" s="1">
        <f>265-265</f>
        <v>0</v>
      </c>
      <c r="FT6" s="1"/>
      <c r="FU6" s="1"/>
      <c r="FV6" s="1"/>
      <c r="FW6" s="1"/>
      <c r="FX6" s="1">
        <f t="shared" si="10"/>
        <v>15</v>
      </c>
      <c r="FY6" s="93"/>
      <c r="FZ6" s="1">
        <v>37.78</v>
      </c>
      <c r="GA6" s="1">
        <v>9.56</v>
      </c>
      <c r="GB6" s="1">
        <v>10.99</v>
      </c>
      <c r="GC6" s="1">
        <v>0</v>
      </c>
      <c r="GD6" s="1">
        <v>41.67</v>
      </c>
      <c r="GE6" s="92"/>
      <c r="GF6" s="1">
        <v>3</v>
      </c>
      <c r="GG6" s="1"/>
      <c r="GH6" s="1"/>
      <c r="GI6" s="1"/>
      <c r="GJ6" s="1"/>
      <c r="GK6" s="1"/>
      <c r="GL6" s="1"/>
      <c r="GM6" s="1"/>
      <c r="GN6" s="1">
        <f t="shared" si="11"/>
        <v>0</v>
      </c>
      <c r="GO6" s="93"/>
      <c r="GP6" s="1"/>
      <c r="GQ6" s="1"/>
      <c r="GR6" s="1"/>
      <c r="GS6" s="1"/>
      <c r="GT6" s="1"/>
      <c r="GU6" s="93"/>
      <c r="GV6" s="90"/>
      <c r="GW6" s="74">
        <f t="shared" si="12"/>
        <v>22781</v>
      </c>
      <c r="GX6" s="75">
        <f t="shared" si="13"/>
        <v>227.81</v>
      </c>
      <c r="GZ6" s="241"/>
      <c r="HA6" s="241"/>
      <c r="HB6" s="241"/>
      <c r="HC6" s="241"/>
      <c r="HD6" s="241"/>
      <c r="HF6" s="78">
        <v>3</v>
      </c>
      <c r="HG6" s="4">
        <v>7.34</v>
      </c>
      <c r="HH6" s="4">
        <v>573.09</v>
      </c>
      <c r="HI6" s="1">
        <v>80</v>
      </c>
      <c r="HJ6" s="4">
        <v>43.281591658802093</v>
      </c>
      <c r="HK6" s="1"/>
      <c r="HM6" s="78">
        <v>3</v>
      </c>
      <c r="HN6" s="5">
        <v>7.9</v>
      </c>
      <c r="HO6" s="21">
        <f>1122.3-264.1</f>
        <v>858.19999999999993</v>
      </c>
      <c r="HP6" s="21">
        <v>64.296000000000006</v>
      </c>
      <c r="HQ6" s="21">
        <v>30.88</v>
      </c>
      <c r="HR6" s="21">
        <v>67.081000000000003</v>
      </c>
      <c r="HS6" s="21">
        <v>65.572000000000003</v>
      </c>
      <c r="HT6" s="139">
        <f t="shared" si="15"/>
        <v>9.0187823834196781E-2</v>
      </c>
      <c r="HU6" s="139">
        <f t="shared" si="16"/>
        <v>4.8866580310880842E-2</v>
      </c>
      <c r="HV6" s="138">
        <f>HU6*HO6</f>
        <v>41.937299222797932</v>
      </c>
      <c r="HW6" s="138">
        <f t="shared" si="17"/>
        <v>18.606157387772697</v>
      </c>
      <c r="HX6" s="139">
        <f t="shared" si="14"/>
        <v>0.42988616348606024</v>
      </c>
      <c r="HY6" s="1">
        <f>0.85*2500</f>
        <v>2125</v>
      </c>
      <c r="HZ6" s="74">
        <f t="shared" si="18"/>
        <v>1652.7777777777778</v>
      </c>
      <c r="IA6" s="1">
        <f>3*50</f>
        <v>150</v>
      </c>
      <c r="IB6" s="5">
        <v>25</v>
      </c>
      <c r="IC6" s="5">
        <f>5*25+12.9</f>
        <v>137.9</v>
      </c>
      <c r="ID6" s="5">
        <f>5*25+17.8</f>
        <v>142.80000000000001</v>
      </c>
      <c r="IE6" s="5">
        <f t="shared" si="19"/>
        <v>3178.600000000004</v>
      </c>
      <c r="IF6" s="5">
        <f t="shared" si="20"/>
        <v>27580</v>
      </c>
      <c r="IG6" s="74">
        <f t="shared" si="21"/>
        <v>0.11525018129079058</v>
      </c>
      <c r="II6" s="78">
        <v>3</v>
      </c>
      <c r="IJ6" s="4">
        <v>33.091999999999999</v>
      </c>
      <c r="IK6" s="4">
        <v>33.281999999999996</v>
      </c>
      <c r="IL6" s="4">
        <v>1.8381700000000001</v>
      </c>
      <c r="IM6" s="4">
        <v>31.787800000000001</v>
      </c>
      <c r="IN6" s="74">
        <f t="shared" si="22"/>
        <v>9570.0547999999999</v>
      </c>
      <c r="IO6" s="74">
        <f t="shared" si="23"/>
        <v>9017.5797999999995</v>
      </c>
      <c r="IP6" s="81">
        <f t="shared" si="24"/>
        <v>208.3467694785229</v>
      </c>
    </row>
    <row r="7" spans="1:250" x14ac:dyDescent="0.3">
      <c r="A7" s="99">
        <v>4</v>
      </c>
      <c r="B7" s="4">
        <v>27.197399999999998</v>
      </c>
      <c r="C7" s="4">
        <v>0</v>
      </c>
      <c r="D7" s="4">
        <v>72.802599999999998</v>
      </c>
      <c r="E7" s="4">
        <v>0</v>
      </c>
      <c r="F7" s="2" t="s">
        <v>109</v>
      </c>
      <c r="G7" s="69">
        <v>45320</v>
      </c>
      <c r="H7" s="1">
        <v>4</v>
      </c>
      <c r="I7" s="73" t="s">
        <v>75</v>
      </c>
      <c r="J7" s="238"/>
      <c r="K7" s="44"/>
      <c r="L7" s="99">
        <v>4</v>
      </c>
      <c r="M7" s="1"/>
      <c r="N7" s="1"/>
      <c r="O7" s="1">
        <v>360</v>
      </c>
      <c r="P7" s="1">
        <f>535-360</f>
        <v>175</v>
      </c>
      <c r="Q7" s="1">
        <f>540+400-50-5</f>
        <v>885</v>
      </c>
      <c r="R7" s="1">
        <f>300-40</f>
        <v>260</v>
      </c>
      <c r="S7" s="3">
        <f>690-300</f>
        <v>390</v>
      </c>
      <c r="T7" s="1">
        <f t="shared" si="0"/>
        <v>2070</v>
      </c>
      <c r="U7" s="233"/>
      <c r="V7" s="1"/>
      <c r="W7" s="1"/>
      <c r="X7" s="1"/>
      <c r="Y7" s="1"/>
      <c r="Z7" s="1"/>
      <c r="AB7" s="99">
        <v>4</v>
      </c>
      <c r="AC7" s="1">
        <f>395-20</f>
        <v>375</v>
      </c>
      <c r="AD7" s="1">
        <f>690-40+405-395</f>
        <v>660</v>
      </c>
      <c r="AE7" s="1">
        <f>690-40+455-405</f>
        <v>700</v>
      </c>
      <c r="AF7" s="1">
        <f>630-35+450-40</f>
        <v>1005</v>
      </c>
      <c r="AG7" s="1">
        <f>615-45</f>
        <v>570</v>
      </c>
      <c r="AH7" s="1">
        <f>680-15+580-20</f>
        <v>1225</v>
      </c>
      <c r="AI7" s="1">
        <f>610-10+560-35</f>
        <v>1125</v>
      </c>
      <c r="AJ7" s="1">
        <f t="shared" si="1"/>
        <v>5660</v>
      </c>
      <c r="AK7" s="233"/>
      <c r="AL7" s="64">
        <f>AVERAGE(AL64,AL55,AL47)</f>
        <v>30.05</v>
      </c>
      <c r="AM7" s="4">
        <f>AVERAGE(AM64,AM55,AM47)</f>
        <v>19.646666666666665</v>
      </c>
      <c r="AN7" s="4">
        <f>AVERAGE(AN64,AN55,AN47)</f>
        <v>10.263333333333334</v>
      </c>
      <c r="AO7" s="4">
        <f>AVERAGE(AO64,AO55,AO47)</f>
        <v>158.66666666666666</v>
      </c>
      <c r="AP7" s="4">
        <f>AVERAGE(AP64,AP55,AP47)</f>
        <v>40.043333333333329</v>
      </c>
      <c r="AR7" s="1">
        <v>4</v>
      </c>
      <c r="AS7" s="1">
        <f>790+425-30</f>
        <v>1185</v>
      </c>
      <c r="AT7" s="1">
        <f>790+425-15</f>
        <v>1200</v>
      </c>
      <c r="AU7" s="1">
        <f>790-10+425-25</f>
        <v>1180</v>
      </c>
      <c r="AV7" s="1">
        <f>665-15+440-10</f>
        <v>1080</v>
      </c>
      <c r="AW7" s="1">
        <f>740-20</f>
        <v>720</v>
      </c>
      <c r="AX7" s="1">
        <f>790-20</f>
        <v>770</v>
      </c>
      <c r="AY7" s="1">
        <f>790-10</f>
        <v>780</v>
      </c>
      <c r="AZ7" s="1">
        <f t="shared" si="2"/>
        <v>6915</v>
      </c>
      <c r="BA7" s="233"/>
      <c r="BB7" s="85">
        <f>AVERAGE(BB41,BB58,BB83)</f>
        <v>48.083333333333336</v>
      </c>
      <c r="BC7" s="1">
        <f>AVERAGE(BC41,BC58,BC83)</f>
        <v>15.783333333333331</v>
      </c>
      <c r="BD7" s="1">
        <f>AVERAGE(BD41,BD58,BD83)</f>
        <v>7.21</v>
      </c>
      <c r="BE7" s="1">
        <f>AVERAGE(BE41,BE58,BE83)</f>
        <v>148</v>
      </c>
      <c r="BF7" s="1">
        <f>AVERAGE(BF41,BF58,BF83)</f>
        <v>28.926666666666666</v>
      </c>
      <c r="BH7" s="1">
        <v>4</v>
      </c>
      <c r="BI7" s="1">
        <f>620-25+485-20</f>
        <v>1060</v>
      </c>
      <c r="BJ7" s="1">
        <f>530-50+620-5</f>
        <v>1095</v>
      </c>
      <c r="BK7" s="1">
        <f>700-40+415-20</f>
        <v>1055</v>
      </c>
      <c r="BL7" s="1">
        <f>690-50+400-55</f>
        <v>985</v>
      </c>
      <c r="BM7" s="1">
        <f>680-40+420-50</f>
        <v>1010</v>
      </c>
      <c r="BN7" s="1">
        <f>790-10</f>
        <v>780</v>
      </c>
      <c r="BO7" s="1">
        <f>790-25</f>
        <v>765</v>
      </c>
      <c r="BP7" s="1">
        <f t="shared" si="3"/>
        <v>6750</v>
      </c>
      <c r="BQ7" s="233"/>
      <c r="BR7" s="85">
        <f>AVERAGE(BR45,BR52,BR66,BR78)</f>
        <v>48.234999999999999</v>
      </c>
      <c r="BS7" s="1">
        <f>AVERAGE(BS45,BS52,BS66,BS78)</f>
        <v>13.307499999999999</v>
      </c>
      <c r="BT7" s="1">
        <f>AVERAGE(BT45,BT52,BT66,BT78)</f>
        <v>7.629999999999999</v>
      </c>
      <c r="BU7" s="1">
        <f>AVERAGE(BU45,BU52,BU66,BU78)</f>
        <v>105</v>
      </c>
      <c r="BV7" s="1">
        <f>AVERAGE(BV45,BV52,BV66,BV78)</f>
        <v>30.822499999999998</v>
      </c>
      <c r="BX7" s="1">
        <v>4</v>
      </c>
      <c r="BY7" s="1">
        <f>620-15+310-0</f>
        <v>915</v>
      </c>
      <c r="BZ7" s="1">
        <f>585-40+415-310</f>
        <v>650</v>
      </c>
      <c r="CA7" s="1">
        <f>565-20+255-55</f>
        <v>745</v>
      </c>
      <c r="CB7" s="1">
        <f>615-10+140-255</f>
        <v>490</v>
      </c>
      <c r="CC7" s="1">
        <f>450-140</f>
        <v>310</v>
      </c>
      <c r="CD7" s="1">
        <f>290-15</f>
        <v>275</v>
      </c>
      <c r="CE7" s="1">
        <f>550-290</f>
        <v>260</v>
      </c>
      <c r="CF7" s="1">
        <f t="shared" si="4"/>
        <v>3645</v>
      </c>
      <c r="CG7" s="233"/>
      <c r="CH7" s="1">
        <f>AVERAGE(CH55,CH69)</f>
        <v>40.28</v>
      </c>
      <c r="CI7" s="1">
        <f>AVERAGE(CI55,CI69)</f>
        <v>9.1449999999999996</v>
      </c>
      <c r="CJ7" s="1">
        <f>AVERAGE(CJ55,CJ69)</f>
        <v>10.164999999999999</v>
      </c>
      <c r="CK7" s="1">
        <f>AVERAGE(CK55,CK69)</f>
        <v>59.5</v>
      </c>
      <c r="CL7" s="1">
        <f>AVERAGE(CL55,CL69)</f>
        <v>40.409999999999997</v>
      </c>
      <c r="CN7" s="1">
        <v>4</v>
      </c>
      <c r="CO7" s="1">
        <f>190-0</f>
        <v>190</v>
      </c>
      <c r="CP7" s="1">
        <f>415-190</f>
        <v>225</v>
      </c>
      <c r="CQ7" s="1">
        <f>540-415</f>
        <v>125</v>
      </c>
      <c r="CR7" s="1">
        <f>140-50</f>
        <v>90</v>
      </c>
      <c r="CS7" s="1">
        <f>240-140</f>
        <v>100</v>
      </c>
      <c r="CT7" s="1">
        <f>-240+365</f>
        <v>125</v>
      </c>
      <c r="CU7" s="1">
        <f>415-365</f>
        <v>50</v>
      </c>
      <c r="CV7" s="1">
        <f t="shared" si="5"/>
        <v>905</v>
      </c>
      <c r="CX7" s="1"/>
      <c r="CY7" s="1"/>
      <c r="CZ7" s="1"/>
      <c r="DA7" s="1"/>
      <c r="DB7" s="1"/>
      <c r="DC7" s="84"/>
      <c r="DD7" s="1">
        <v>4</v>
      </c>
      <c r="DE7" s="1">
        <f>500-415</f>
        <v>85</v>
      </c>
      <c r="DF7" s="1">
        <f>90-10</f>
        <v>80</v>
      </c>
      <c r="DG7" s="1">
        <f>145-90</f>
        <v>55</v>
      </c>
      <c r="DH7" s="1">
        <f>220-145</f>
        <v>75</v>
      </c>
      <c r="DI7" s="1">
        <f>290-220</f>
        <v>70</v>
      </c>
      <c r="DJ7" s="1">
        <f>380-290</f>
        <v>90</v>
      </c>
      <c r="DK7" s="1">
        <f>430-380</f>
        <v>50</v>
      </c>
      <c r="DL7" s="1">
        <f t="shared" si="6"/>
        <v>505</v>
      </c>
      <c r="DM7" s="84"/>
      <c r="DN7" s="1"/>
      <c r="DO7" s="1"/>
      <c r="DP7" s="1"/>
      <c r="DQ7" s="1"/>
      <c r="DR7" s="1"/>
      <c r="DS7" s="84"/>
      <c r="DT7" s="85">
        <v>4</v>
      </c>
      <c r="DU7" s="1">
        <f>515-430</f>
        <v>85</v>
      </c>
      <c r="DV7" s="85"/>
      <c r="DW7" s="1"/>
      <c r="DX7" s="1"/>
      <c r="DY7" s="1"/>
      <c r="DZ7" s="1"/>
      <c r="EA7" s="1"/>
      <c r="EB7" s="1">
        <f t="shared" si="7"/>
        <v>85</v>
      </c>
      <c r="EC7" s="84"/>
      <c r="ED7" s="1"/>
      <c r="EE7" s="1"/>
      <c r="EF7" s="1"/>
      <c r="EG7" s="1"/>
      <c r="EH7" s="1"/>
      <c r="EI7" s="84"/>
      <c r="EJ7" s="85">
        <v>4</v>
      </c>
      <c r="EK7" s="1"/>
      <c r="EL7" s="1"/>
      <c r="EM7" s="1"/>
      <c r="EN7" s="1"/>
      <c r="EO7" s="1"/>
      <c r="EP7" s="1"/>
      <c r="EQ7" s="1"/>
      <c r="ER7" s="1">
        <f t="shared" si="8"/>
        <v>0</v>
      </c>
      <c r="ES7" s="90"/>
      <c r="ET7" s="1">
        <v>20.350000000000001</v>
      </c>
      <c r="EU7" s="1">
        <v>3.18</v>
      </c>
      <c r="EV7" s="1">
        <v>16.22</v>
      </c>
      <c r="EW7" s="1">
        <v>1</v>
      </c>
      <c r="EX7" s="1">
        <v>60.26</v>
      </c>
      <c r="EY7" s="90"/>
      <c r="EZ7" s="85">
        <v>4</v>
      </c>
      <c r="FA7" s="1"/>
      <c r="FB7" s="1"/>
      <c r="FC7" s="1"/>
      <c r="FD7" s="1"/>
      <c r="FE7" s="1"/>
      <c r="FF7" s="1"/>
      <c r="FG7" s="1"/>
      <c r="FH7" s="1">
        <f t="shared" si="9"/>
        <v>0</v>
      </c>
      <c r="FI7" s="92"/>
      <c r="FJ7" s="1"/>
      <c r="FK7" s="1"/>
      <c r="FL7" s="1"/>
      <c r="FM7" s="1"/>
      <c r="FN7" s="1"/>
      <c r="FO7" s="92"/>
      <c r="FP7" s="85">
        <v>4</v>
      </c>
      <c r="FQ7" s="1"/>
      <c r="FR7" s="1"/>
      <c r="FS7" s="1"/>
      <c r="FT7" s="1"/>
      <c r="FU7" s="1"/>
      <c r="FV7" s="1"/>
      <c r="FW7" s="1"/>
      <c r="FX7" s="1">
        <f t="shared" si="10"/>
        <v>0</v>
      </c>
      <c r="FY7" s="93"/>
      <c r="FZ7" s="1"/>
      <c r="GA7" s="1"/>
      <c r="GB7" s="1"/>
      <c r="GC7" s="1"/>
      <c r="GD7" s="1"/>
      <c r="GE7" s="92"/>
      <c r="GF7" s="85">
        <v>4</v>
      </c>
      <c r="GG7" s="1"/>
      <c r="GH7" s="1"/>
      <c r="GI7" s="1"/>
      <c r="GJ7" s="1"/>
      <c r="GK7" s="1"/>
      <c r="GL7" s="1"/>
      <c r="GM7" s="1"/>
      <c r="GN7" s="1">
        <f t="shared" si="11"/>
        <v>0</v>
      </c>
      <c r="GO7" s="93"/>
      <c r="GP7" s="1"/>
      <c r="GQ7" s="1"/>
      <c r="GR7" s="1"/>
      <c r="GS7" s="1"/>
      <c r="GT7" s="1"/>
      <c r="GU7" s="93"/>
      <c r="GV7" s="90"/>
      <c r="GW7" s="74">
        <f t="shared" si="12"/>
        <v>26535</v>
      </c>
      <c r="GX7" s="75">
        <f t="shared" si="13"/>
        <v>265.35000000000002</v>
      </c>
      <c r="GZ7" s="241"/>
      <c r="HA7" s="241"/>
      <c r="HB7" s="241"/>
      <c r="HC7" s="241"/>
      <c r="HD7" s="241"/>
      <c r="HF7" s="99">
        <v>4</v>
      </c>
      <c r="HG7" s="4">
        <v>7.39</v>
      </c>
      <c r="HH7" s="4">
        <v>503.44</v>
      </c>
      <c r="HI7" s="1">
        <v>80</v>
      </c>
      <c r="HJ7" s="4">
        <v>40.725158020389721</v>
      </c>
      <c r="HK7" s="1"/>
      <c r="HM7" s="99">
        <v>4</v>
      </c>
      <c r="HN7" s="5">
        <v>7.31</v>
      </c>
      <c r="HO7" s="21">
        <f>1127.64-263.81</f>
        <v>863.83000000000015</v>
      </c>
      <c r="HP7" s="21">
        <v>64.308000000000007</v>
      </c>
      <c r="HQ7" s="21">
        <v>30.05</v>
      </c>
      <c r="HR7" s="21">
        <v>66.662999999999997</v>
      </c>
      <c r="HS7" s="21">
        <v>65.534000000000006</v>
      </c>
      <c r="HT7" s="139">
        <f t="shared" si="15"/>
        <v>7.8369384359400662E-2</v>
      </c>
      <c r="HU7" s="139">
        <f t="shared" si="16"/>
        <v>3.7570715474209336E-2</v>
      </c>
      <c r="HV7" s="138">
        <f>HU7*HO7</f>
        <v>32.454711148086254</v>
      </c>
      <c r="HW7" s="138">
        <f t="shared" si="17"/>
        <v>25.532311824072004</v>
      </c>
      <c r="HX7" s="141">
        <f t="shared" si="14"/>
        <v>0.62694199519836935</v>
      </c>
      <c r="HY7" s="131">
        <f>1.36*18/17*2500</f>
        <v>3600</v>
      </c>
      <c r="HZ7" s="74">
        <f t="shared" si="18"/>
        <v>2800</v>
      </c>
      <c r="IA7" s="1">
        <f>2*50</f>
        <v>100</v>
      </c>
      <c r="IB7" s="5">
        <v>25</v>
      </c>
      <c r="IC7" s="5">
        <f>25+25+25+8</f>
        <v>83</v>
      </c>
      <c r="ID7" s="5">
        <f>IC7+8.1</f>
        <v>91.1</v>
      </c>
      <c r="IE7" s="136">
        <f t="shared" si="19"/>
        <v>5303.399999999996</v>
      </c>
      <c r="IF7" s="136">
        <f t="shared" si="20"/>
        <v>16600</v>
      </c>
      <c r="IG7" s="74">
        <f t="shared" si="21"/>
        <v>0.31948192771084311</v>
      </c>
      <c r="II7" s="99">
        <v>4</v>
      </c>
      <c r="IJ7" s="4">
        <v>27.197399999999998</v>
      </c>
      <c r="IK7" s="4">
        <v>0</v>
      </c>
      <c r="IL7" s="4">
        <v>72.802599999999998</v>
      </c>
      <c r="IM7" s="4">
        <v>0</v>
      </c>
      <c r="IN7" s="74">
        <f t="shared" si="22"/>
        <v>11118.335500000001</v>
      </c>
      <c r="IO7" s="74">
        <f t="shared" si="23"/>
        <v>10565.860500000001</v>
      </c>
      <c r="IP7" s="81">
        <f>IO7/HJ7</f>
        <v>259.44308171155603</v>
      </c>
    </row>
    <row r="8" spans="1:250" x14ac:dyDescent="0.3">
      <c r="A8" s="85">
        <v>5</v>
      </c>
      <c r="B8" s="4">
        <v>33.561</v>
      </c>
      <c r="C8" s="4">
        <v>1.4806999999999999</v>
      </c>
      <c r="D8" s="4">
        <v>32.657699999999998</v>
      </c>
      <c r="E8" s="4">
        <v>32.300600000000003</v>
      </c>
      <c r="F8" s="2" t="s">
        <v>110</v>
      </c>
      <c r="G8" s="69">
        <v>45321</v>
      </c>
      <c r="H8" s="1">
        <v>5</v>
      </c>
      <c r="I8" s="73" t="s">
        <v>75</v>
      </c>
      <c r="J8" s="238"/>
      <c r="K8" s="44"/>
      <c r="L8" s="85">
        <v>5</v>
      </c>
      <c r="M8" s="1"/>
      <c r="N8" s="1"/>
      <c r="O8" s="1">
        <v>480</v>
      </c>
      <c r="P8" s="1">
        <f>210-210</f>
        <v>0</v>
      </c>
      <c r="Q8" s="1">
        <f>210-210</f>
        <v>0</v>
      </c>
      <c r="R8" s="1">
        <v>25</v>
      </c>
      <c r="S8" s="1">
        <v>345</v>
      </c>
      <c r="T8" s="1">
        <f t="shared" si="0"/>
        <v>850</v>
      </c>
      <c r="U8" s="233"/>
      <c r="V8" s="1"/>
      <c r="W8" s="1"/>
      <c r="X8" s="1"/>
      <c r="Y8" s="1"/>
      <c r="Z8" s="1"/>
      <c r="AB8" s="85">
        <v>5</v>
      </c>
      <c r="AC8" s="1">
        <v>210</v>
      </c>
      <c r="AD8" s="1">
        <v>220</v>
      </c>
      <c r="AE8" s="1">
        <v>220</v>
      </c>
      <c r="AF8" s="1">
        <v>230</v>
      </c>
      <c r="AG8" s="1">
        <v>460</v>
      </c>
      <c r="AH8" s="1">
        <f>535-50+415-45</f>
        <v>855</v>
      </c>
      <c r="AI8" s="1">
        <v>370</v>
      </c>
      <c r="AJ8" s="1">
        <f t="shared" si="1"/>
        <v>2565</v>
      </c>
      <c r="AK8" s="233"/>
      <c r="AL8" s="1"/>
      <c r="AM8" s="1"/>
      <c r="AN8" s="1"/>
      <c r="AO8" s="1"/>
      <c r="AP8" s="1"/>
      <c r="AR8" s="1">
        <v>5</v>
      </c>
      <c r="AS8" s="1">
        <v>570</v>
      </c>
      <c r="AT8" s="1">
        <v>440</v>
      </c>
      <c r="AU8" s="1">
        <v>495</v>
      </c>
      <c r="AV8" s="1">
        <v>450</v>
      </c>
      <c r="AW8" s="1">
        <v>440</v>
      </c>
      <c r="AX8" s="1">
        <v>480</v>
      </c>
      <c r="AY8" s="1">
        <v>450</v>
      </c>
      <c r="AZ8" s="1">
        <f t="shared" si="2"/>
        <v>3325</v>
      </c>
      <c r="BA8" s="233"/>
      <c r="BB8" s="1">
        <f>BB79</f>
        <v>9.1300000000000008</v>
      </c>
      <c r="BC8" s="1">
        <f>BC79</f>
        <v>0.42</v>
      </c>
      <c r="BD8" s="1">
        <f>BD79</f>
        <v>20.239999999999998</v>
      </c>
      <c r="BE8" s="1">
        <f>BE79</f>
        <v>1</v>
      </c>
      <c r="BF8" s="1">
        <f>BF79</f>
        <v>70.209999999999994</v>
      </c>
      <c r="BH8" s="1">
        <v>5</v>
      </c>
      <c r="BI8" s="1">
        <v>475</v>
      </c>
      <c r="BJ8" s="1">
        <v>470</v>
      </c>
      <c r="BK8" s="1">
        <v>520</v>
      </c>
      <c r="BL8" s="1">
        <v>405</v>
      </c>
      <c r="BM8" s="1">
        <v>510</v>
      </c>
      <c r="BN8" s="1">
        <v>360</v>
      </c>
      <c r="BO8" s="1">
        <v>380</v>
      </c>
      <c r="BP8" s="1">
        <f t="shared" si="3"/>
        <v>3120</v>
      </c>
      <c r="BQ8" s="233"/>
      <c r="BR8" s="85">
        <f>AVERAGE(BR63,BR96)</f>
        <v>14.8</v>
      </c>
      <c r="BS8" s="1">
        <f>AVERAGE(BS63,BS96)</f>
        <v>0.54499999999999993</v>
      </c>
      <c r="BT8" s="1">
        <f>AVERAGE(BT63,BT96)</f>
        <v>19.594999999999999</v>
      </c>
      <c r="BU8" s="1">
        <f>AVERAGE(BU63,BU96)</f>
        <v>1.5</v>
      </c>
      <c r="BV8" s="1">
        <f>AVERAGE(BV63,BV96)</f>
        <v>65.055000000000007</v>
      </c>
      <c r="BX8" s="1">
        <v>5</v>
      </c>
      <c r="BY8" s="1">
        <f>380</f>
        <v>380</v>
      </c>
      <c r="BZ8" s="1">
        <v>275</v>
      </c>
      <c r="CA8" s="1">
        <v>275</v>
      </c>
      <c r="CB8" s="1">
        <v>245</v>
      </c>
      <c r="CC8" s="1">
        <v>230</v>
      </c>
      <c r="CD8" s="1">
        <v>195</v>
      </c>
      <c r="CE8" s="1">
        <v>175</v>
      </c>
      <c r="CF8" s="1">
        <f t="shared" si="4"/>
        <v>1775</v>
      </c>
      <c r="CG8" s="233"/>
      <c r="CH8" s="1">
        <f>CH41</f>
        <v>9.44</v>
      </c>
      <c r="CI8" s="1">
        <f>CI41</f>
        <v>0.28999999999999998</v>
      </c>
      <c r="CJ8" s="1">
        <f>CJ41</f>
        <v>19.809999999999999</v>
      </c>
      <c r="CK8" s="1">
        <f>CK41</f>
        <v>1</v>
      </c>
      <c r="CL8" s="1">
        <f>CL41</f>
        <v>70.459999999999994</v>
      </c>
      <c r="CN8" s="1">
        <v>5</v>
      </c>
      <c r="CO8" s="1">
        <v>150</v>
      </c>
      <c r="CP8" s="1">
        <v>140</v>
      </c>
      <c r="CQ8" s="1">
        <v>95</v>
      </c>
      <c r="CR8" s="1">
        <v>70</v>
      </c>
      <c r="CS8" s="1">
        <v>80</v>
      </c>
      <c r="CT8" s="1">
        <v>95</v>
      </c>
      <c r="CU8" s="1">
        <v>0</v>
      </c>
      <c r="CV8" s="1">
        <f t="shared" si="5"/>
        <v>630</v>
      </c>
      <c r="CX8" s="1"/>
      <c r="CY8" s="1"/>
      <c r="CZ8" s="1"/>
      <c r="DA8" s="1"/>
      <c r="DB8" s="1"/>
      <c r="DC8" s="84"/>
      <c r="DD8" s="1">
        <v>5</v>
      </c>
      <c r="DE8" s="1">
        <v>60</v>
      </c>
      <c r="DF8" s="1">
        <v>45</v>
      </c>
      <c r="DG8" s="1">
        <v>35</v>
      </c>
      <c r="DH8" s="1">
        <v>35</v>
      </c>
      <c r="DI8" s="1">
        <v>60</v>
      </c>
      <c r="DJ8" s="1">
        <v>60</v>
      </c>
      <c r="DK8" s="1">
        <v>25</v>
      </c>
      <c r="DL8" s="1">
        <f t="shared" si="6"/>
        <v>320</v>
      </c>
      <c r="DM8" s="84"/>
      <c r="DN8" s="1"/>
      <c r="DO8" s="1"/>
      <c r="DP8" s="1"/>
      <c r="DQ8" s="1"/>
      <c r="DR8" s="1"/>
      <c r="DS8" s="84"/>
      <c r="DT8" s="85">
        <v>5</v>
      </c>
      <c r="DU8" s="1">
        <f>-110+130</f>
        <v>20</v>
      </c>
      <c r="DV8" s="85"/>
      <c r="DW8" s="1"/>
      <c r="DX8" s="1"/>
      <c r="DY8" s="1"/>
      <c r="DZ8" s="1"/>
      <c r="EA8" s="1"/>
      <c r="EB8" s="1">
        <f t="shared" si="7"/>
        <v>20</v>
      </c>
      <c r="EC8" s="84"/>
      <c r="ED8" s="1"/>
      <c r="EE8" s="1"/>
      <c r="EF8" s="1"/>
      <c r="EG8" s="1"/>
      <c r="EH8" s="1"/>
      <c r="EI8" s="84"/>
      <c r="EJ8" s="85">
        <v>5</v>
      </c>
      <c r="EK8" s="1"/>
      <c r="EL8" s="1"/>
      <c r="EM8" s="1"/>
      <c r="EN8" s="1"/>
      <c r="EO8" s="1"/>
      <c r="EP8" s="1"/>
      <c r="EQ8" s="1"/>
      <c r="ER8" s="1">
        <f t="shared" si="8"/>
        <v>0</v>
      </c>
      <c r="ES8" s="90"/>
      <c r="ET8" s="1"/>
      <c r="EU8" s="1"/>
      <c r="EV8" s="1"/>
      <c r="EW8" s="1"/>
      <c r="EX8" s="1"/>
      <c r="EY8" s="90"/>
      <c r="EZ8" s="85">
        <v>5</v>
      </c>
      <c r="FA8" s="1"/>
      <c r="FB8" s="1"/>
      <c r="FC8" s="1"/>
      <c r="FD8" s="1"/>
      <c r="FE8" s="1"/>
      <c r="FF8" s="1"/>
      <c r="FG8" s="1"/>
      <c r="FH8" s="1">
        <f t="shared" si="9"/>
        <v>0</v>
      </c>
      <c r="FI8" s="92"/>
      <c r="FJ8" s="1"/>
      <c r="FK8" s="1"/>
      <c r="FL8" s="1"/>
      <c r="FM8" s="1"/>
      <c r="FN8" s="1"/>
      <c r="FO8" s="92"/>
      <c r="FP8" s="85">
        <v>5</v>
      </c>
      <c r="FQ8" s="1"/>
      <c r="FR8" s="1"/>
      <c r="FS8" s="1"/>
      <c r="FT8" s="1"/>
      <c r="FU8" s="1"/>
      <c r="FV8" s="1"/>
      <c r="FW8" s="1"/>
      <c r="FX8" s="1">
        <f t="shared" si="10"/>
        <v>0</v>
      </c>
      <c r="FY8" s="93"/>
      <c r="FZ8" s="1"/>
      <c r="GA8" s="1"/>
      <c r="GB8" s="1"/>
      <c r="GC8" s="1"/>
      <c r="GD8" s="1"/>
      <c r="GE8" s="92"/>
      <c r="GF8" s="85">
        <v>5</v>
      </c>
      <c r="GG8" s="1"/>
      <c r="GH8" s="1"/>
      <c r="GI8" s="1"/>
      <c r="GJ8" s="1"/>
      <c r="GK8" s="1"/>
      <c r="GL8" s="1"/>
      <c r="GM8" s="1"/>
      <c r="GN8" s="1">
        <f t="shared" si="11"/>
        <v>0</v>
      </c>
      <c r="GO8" s="93"/>
      <c r="GP8" s="1"/>
      <c r="GQ8" s="1"/>
      <c r="GR8" s="1"/>
      <c r="GS8" s="1"/>
      <c r="GT8" s="1"/>
      <c r="GU8" s="93"/>
      <c r="GV8" s="90"/>
      <c r="GW8" s="74">
        <f t="shared" si="12"/>
        <v>12605</v>
      </c>
      <c r="GX8" s="75">
        <f t="shared" si="13"/>
        <v>126.05</v>
      </c>
      <c r="GZ8" s="241"/>
      <c r="HA8" s="241"/>
      <c r="HB8" s="241"/>
      <c r="HC8" s="241"/>
      <c r="HD8" s="241"/>
      <c r="HF8" s="85">
        <v>5</v>
      </c>
      <c r="HG8" s="4">
        <v>7.05</v>
      </c>
      <c r="HH8" s="4">
        <v>560.38</v>
      </c>
      <c r="HI8" s="1">
        <v>80</v>
      </c>
      <c r="HJ8" s="4">
        <v>43.057657519326185</v>
      </c>
      <c r="HK8" s="1"/>
      <c r="HM8" s="85">
        <v>5</v>
      </c>
      <c r="HN8" s="5">
        <v>8.02</v>
      </c>
      <c r="HO8" s="21">
        <f>1120.92-264.32</f>
        <v>856.60000000000014</v>
      </c>
      <c r="HP8" s="21">
        <v>56.442</v>
      </c>
      <c r="HQ8" s="21">
        <v>32.18</v>
      </c>
      <c r="HR8" s="21">
        <v>59.448</v>
      </c>
      <c r="HS8" s="21">
        <v>57.845999999999997</v>
      </c>
      <c r="HT8" s="139">
        <f t="shared" si="15"/>
        <v>9.3412057178371671E-2</v>
      </c>
      <c r="HU8" s="139">
        <f t="shared" si="16"/>
        <v>4.978247358607843E-2</v>
      </c>
      <c r="HV8" s="138">
        <f t="shared" ref="HV8:HV34" si="25">HU8*HO8</f>
        <v>42.643666873834789</v>
      </c>
      <c r="HW8" s="138">
        <f t="shared" si="17"/>
        <v>17.675855597259932</v>
      </c>
      <c r="HX8" s="139">
        <f t="shared" si="14"/>
        <v>0.41051595966004945</v>
      </c>
      <c r="HY8" s="96">
        <f>1.61*2500*18/17</f>
        <v>4261.7647058823541</v>
      </c>
      <c r="HZ8" s="74">
        <f t="shared" si="18"/>
        <v>3314.7058823529424</v>
      </c>
      <c r="IA8" s="1">
        <f>0*50</f>
        <v>0</v>
      </c>
      <c r="IB8" s="5">
        <v>25</v>
      </c>
      <c r="IC8" s="5">
        <f>25+25+25+25+25+6.9</f>
        <v>131.9</v>
      </c>
      <c r="ID8" s="5">
        <f>IC8+7.6</f>
        <v>139.5</v>
      </c>
      <c r="IE8" s="5">
        <f t="shared" si="19"/>
        <v>4971.399999999996</v>
      </c>
      <c r="IF8" s="5">
        <f t="shared" si="20"/>
        <v>26380</v>
      </c>
      <c r="IG8" s="74">
        <f t="shared" si="21"/>
        <v>0.18845337376800592</v>
      </c>
      <c r="II8" s="85">
        <v>5</v>
      </c>
      <c r="IJ8" s="4">
        <v>33.561</v>
      </c>
      <c r="IK8" s="4">
        <v>1.4806999999999999</v>
      </c>
      <c r="IL8" s="4">
        <v>32.657699999999998</v>
      </c>
      <c r="IM8" s="4">
        <v>32.300600000000003</v>
      </c>
      <c r="IN8" s="74">
        <f t="shared" si="22"/>
        <v>1332.9099999999999</v>
      </c>
      <c r="IO8" s="74">
        <f t="shared" si="23"/>
        <v>780.43499999999983</v>
      </c>
      <c r="IP8" s="81">
        <f t="shared" si="24"/>
        <v>18.12534738216323</v>
      </c>
    </row>
    <row r="9" spans="1:250" x14ac:dyDescent="0.3">
      <c r="A9" s="1">
        <v>6</v>
      </c>
      <c r="B9" s="4">
        <v>26.6587</v>
      </c>
      <c r="C9" s="4">
        <v>73.341300000000004</v>
      </c>
      <c r="D9" s="4">
        <v>0</v>
      </c>
      <c r="E9" s="4">
        <v>0</v>
      </c>
      <c r="F9" s="2" t="s">
        <v>111</v>
      </c>
      <c r="G9" s="69">
        <v>45322</v>
      </c>
      <c r="H9" s="1">
        <v>6</v>
      </c>
      <c r="I9" s="73" t="s">
        <v>75</v>
      </c>
      <c r="J9" s="238"/>
      <c r="K9" s="76"/>
      <c r="L9" s="1">
        <v>6</v>
      </c>
      <c r="M9" s="1"/>
      <c r="N9" s="1"/>
      <c r="O9" s="1">
        <v>90</v>
      </c>
      <c r="P9" s="1">
        <f>100-90</f>
        <v>10</v>
      </c>
      <c r="Q9" s="1">
        <f>150-130</f>
        <v>20</v>
      </c>
      <c r="R9" s="1">
        <f>180-150</f>
        <v>30</v>
      </c>
      <c r="S9" s="1">
        <f>220-180</f>
        <v>40</v>
      </c>
      <c r="T9" s="1">
        <f t="shared" si="0"/>
        <v>190</v>
      </c>
      <c r="U9" s="233"/>
      <c r="V9" s="1"/>
      <c r="W9" s="1"/>
      <c r="X9" s="1"/>
      <c r="Y9" s="1"/>
      <c r="Z9" s="1"/>
      <c r="AB9" s="1">
        <v>6</v>
      </c>
      <c r="AC9" s="1">
        <f>340-240</f>
        <v>100</v>
      </c>
      <c r="AD9" s="1">
        <f>550-340</f>
        <v>210</v>
      </c>
      <c r="AE9" s="1">
        <f>770-550</f>
        <v>220</v>
      </c>
      <c r="AF9" s="1">
        <f>920-770</f>
        <v>150</v>
      </c>
      <c r="AG9" s="94">
        <f>260-0</f>
        <v>260</v>
      </c>
      <c r="AH9" s="1">
        <f>410-260</f>
        <v>150</v>
      </c>
      <c r="AI9" s="1">
        <f>480-410</f>
        <v>70</v>
      </c>
      <c r="AJ9" s="1">
        <f t="shared" si="1"/>
        <v>1160</v>
      </c>
      <c r="AK9" s="233"/>
      <c r="AL9" s="1"/>
      <c r="AM9" s="1"/>
      <c r="AN9" s="1"/>
      <c r="AO9" s="1"/>
      <c r="AP9" s="1"/>
      <c r="AR9" s="1">
        <v>6</v>
      </c>
      <c r="AS9" s="1">
        <f>340-240</f>
        <v>100</v>
      </c>
      <c r="AT9" s="1">
        <f>550-340</f>
        <v>210</v>
      </c>
      <c r="AU9" s="1">
        <f>770-550</f>
        <v>220</v>
      </c>
      <c r="AV9" s="1">
        <f>920-770</f>
        <v>150</v>
      </c>
      <c r="AW9" s="94">
        <f>260-0</f>
        <v>260</v>
      </c>
      <c r="AX9" s="1">
        <f>410-260</f>
        <v>150</v>
      </c>
      <c r="AY9" s="1">
        <f>480-410</f>
        <v>70</v>
      </c>
      <c r="AZ9" s="1">
        <f t="shared" si="2"/>
        <v>1160</v>
      </c>
      <c r="BA9" s="233"/>
      <c r="BB9" s="1"/>
      <c r="BC9" s="1"/>
      <c r="BD9" s="1"/>
      <c r="BE9" s="1"/>
      <c r="BF9" s="1"/>
      <c r="BH9" s="1">
        <v>6</v>
      </c>
      <c r="BI9" s="1">
        <f>340-240</f>
        <v>100</v>
      </c>
      <c r="BJ9" s="1">
        <f>550-340</f>
        <v>210</v>
      </c>
      <c r="BK9" s="1">
        <f>770-550</f>
        <v>220</v>
      </c>
      <c r="BL9" s="1">
        <f>920-770</f>
        <v>150</v>
      </c>
      <c r="BM9" s="94">
        <f>260-0</f>
        <v>260</v>
      </c>
      <c r="BN9" s="1">
        <f>410-260</f>
        <v>150</v>
      </c>
      <c r="BO9" s="1">
        <f>480-410</f>
        <v>70</v>
      </c>
      <c r="BP9" s="1">
        <f t="shared" si="3"/>
        <v>1160</v>
      </c>
      <c r="BQ9" s="233"/>
      <c r="BR9" s="1"/>
      <c r="BS9" s="1"/>
      <c r="BT9" s="1"/>
      <c r="BU9" s="1"/>
      <c r="BV9" s="1"/>
      <c r="BX9" s="1">
        <v>6</v>
      </c>
      <c r="BY9" s="1">
        <f>340-240</f>
        <v>100</v>
      </c>
      <c r="BZ9" s="1">
        <f>550-340</f>
        <v>210</v>
      </c>
      <c r="CA9" s="1">
        <f>770-550</f>
        <v>220</v>
      </c>
      <c r="CB9" s="1">
        <f>920-770</f>
        <v>150</v>
      </c>
      <c r="CC9" s="68">
        <f>260-0</f>
        <v>260</v>
      </c>
      <c r="CD9" s="1">
        <f>410-260</f>
        <v>150</v>
      </c>
      <c r="CE9" s="1">
        <f>480-410</f>
        <v>70</v>
      </c>
      <c r="CF9" s="1">
        <f t="shared" si="4"/>
        <v>1160</v>
      </c>
      <c r="CG9" s="233"/>
      <c r="CH9" s="1">
        <f>CH57</f>
        <v>46.6</v>
      </c>
      <c r="CI9" s="1">
        <f>CI57</f>
        <v>10.77</v>
      </c>
      <c r="CJ9" s="1">
        <f>CJ57</f>
        <v>8.51</v>
      </c>
      <c r="CK9" s="1">
        <f>CK57</f>
        <v>181</v>
      </c>
      <c r="CL9" s="1">
        <f>CL57</f>
        <v>34.119999999999997</v>
      </c>
      <c r="CN9" s="1">
        <v>6</v>
      </c>
      <c r="CO9" s="1">
        <f>580-480</f>
        <v>100</v>
      </c>
      <c r="CP9" s="1">
        <f>660-580</f>
        <v>80</v>
      </c>
      <c r="CQ9" s="1">
        <f>810-660</f>
        <v>150</v>
      </c>
      <c r="CR9" s="1">
        <f>940-810</f>
        <v>130</v>
      </c>
      <c r="CS9" s="1">
        <f>150-35</f>
        <v>115</v>
      </c>
      <c r="CT9" s="84">
        <f>300-150</f>
        <v>150</v>
      </c>
      <c r="CU9" s="84">
        <f>360-300</f>
        <v>60</v>
      </c>
      <c r="CV9" s="1">
        <f t="shared" si="5"/>
        <v>785</v>
      </c>
      <c r="CX9" s="1">
        <f>CX46</f>
        <v>57.28</v>
      </c>
      <c r="CY9" s="1">
        <f>CY46</f>
        <v>9.8000000000000007</v>
      </c>
      <c r="CZ9" s="1">
        <f>CZ46</f>
        <v>7.14</v>
      </c>
      <c r="DA9" s="1">
        <f>DA46</f>
        <v>56</v>
      </c>
      <c r="DB9" s="1">
        <f>DB46</f>
        <v>25.78</v>
      </c>
      <c r="DC9" s="84"/>
      <c r="DD9" s="1">
        <v>6</v>
      </c>
      <c r="DE9" s="1">
        <f>380-360</f>
        <v>20</v>
      </c>
      <c r="DF9" s="1">
        <f>460-380</f>
        <v>80</v>
      </c>
      <c r="DG9" s="1">
        <f>500-460</f>
        <v>40</v>
      </c>
      <c r="DH9" s="1">
        <f>560-500</f>
        <v>60</v>
      </c>
      <c r="DI9" s="1">
        <f>610-560</f>
        <v>50</v>
      </c>
      <c r="DJ9" s="84">
        <f>690-610</f>
        <v>80</v>
      </c>
      <c r="DK9" s="84">
        <f>720-690</f>
        <v>30</v>
      </c>
      <c r="DL9" s="1">
        <f t="shared" si="6"/>
        <v>360</v>
      </c>
      <c r="DM9" s="84"/>
      <c r="DN9" s="1"/>
      <c r="DO9" s="1"/>
      <c r="DP9" s="1"/>
      <c r="DQ9" s="1"/>
      <c r="DR9" s="1"/>
      <c r="DS9" s="84"/>
      <c r="DT9" s="78">
        <v>6</v>
      </c>
      <c r="DU9" s="1">
        <f>800-720</f>
        <v>80</v>
      </c>
      <c r="DV9" s="1">
        <f>880-800</f>
        <v>80</v>
      </c>
      <c r="DW9" s="1">
        <f>60-40</f>
        <v>20</v>
      </c>
      <c r="DX9" s="1">
        <f>60-60</f>
        <v>0</v>
      </c>
      <c r="DY9" s="1">
        <f>60-60</f>
        <v>0</v>
      </c>
      <c r="DZ9" s="1">
        <f>130-60</f>
        <v>70</v>
      </c>
      <c r="EA9" s="1">
        <f>130-130</f>
        <v>0</v>
      </c>
      <c r="EB9" s="1">
        <f t="shared" si="7"/>
        <v>250</v>
      </c>
      <c r="EC9" s="84"/>
      <c r="ED9" s="1">
        <f>ED48</f>
        <v>53.34</v>
      </c>
      <c r="EE9" s="1">
        <f>EE48</f>
        <v>12.27</v>
      </c>
      <c r="EF9" s="1">
        <f>EF48</f>
        <v>6.41</v>
      </c>
      <c r="EG9" s="1">
        <f>EG48</f>
        <v>36</v>
      </c>
      <c r="EH9" s="1">
        <f>EH48</f>
        <v>27.99</v>
      </c>
      <c r="EI9" s="84"/>
      <c r="EJ9" s="78">
        <v>6</v>
      </c>
      <c r="EK9" s="1">
        <f>160-130</f>
        <v>30</v>
      </c>
      <c r="EL9" s="1">
        <f>170-160</f>
        <v>10</v>
      </c>
      <c r="EM9" s="1">
        <f>250-170</f>
        <v>80</v>
      </c>
      <c r="EN9" s="1">
        <f>250-250</f>
        <v>0</v>
      </c>
      <c r="EO9" s="1">
        <f>250-250</f>
        <v>0</v>
      </c>
      <c r="EP9" s="1">
        <f>250-250</f>
        <v>0</v>
      </c>
      <c r="EQ9" s="1">
        <f>310-250</f>
        <v>60</v>
      </c>
      <c r="ER9" s="1">
        <f t="shared" si="8"/>
        <v>180</v>
      </c>
      <c r="ES9" s="90"/>
      <c r="ET9" s="1"/>
      <c r="EU9" s="1"/>
      <c r="EV9" s="1"/>
      <c r="EW9" s="1"/>
      <c r="EX9" s="1"/>
      <c r="EY9" s="90"/>
      <c r="EZ9" s="78">
        <v>6</v>
      </c>
      <c r="FA9" s="1">
        <f>320-310</f>
        <v>10</v>
      </c>
      <c r="FB9" s="1">
        <f>350-320</f>
        <v>30</v>
      </c>
      <c r="FC9" s="1">
        <f>350-350</f>
        <v>0</v>
      </c>
      <c r="FD9" s="1">
        <f>350-350</f>
        <v>0</v>
      </c>
      <c r="FE9" s="1">
        <f>360-350</f>
        <v>10</v>
      </c>
      <c r="FF9" s="1">
        <f>460-360</f>
        <v>100</v>
      </c>
      <c r="FG9" s="1">
        <f>470-460</f>
        <v>10</v>
      </c>
      <c r="FH9" s="1">
        <f t="shared" si="9"/>
        <v>160</v>
      </c>
      <c r="FI9" s="92"/>
      <c r="FJ9" s="1"/>
      <c r="FK9" s="1"/>
      <c r="FL9" s="1"/>
      <c r="FM9" s="1"/>
      <c r="FN9" s="1"/>
      <c r="FO9" s="92"/>
      <c r="FP9" s="78">
        <v>6</v>
      </c>
      <c r="FQ9" s="1">
        <f>480-470</f>
        <v>10</v>
      </c>
      <c r="FR9" s="1">
        <f>490-480</f>
        <v>10</v>
      </c>
      <c r="FS9" s="1">
        <f>500-490</f>
        <v>10</v>
      </c>
      <c r="FT9" s="85"/>
      <c r="FU9" s="1"/>
      <c r="FV9" s="1"/>
      <c r="FW9" s="1"/>
      <c r="FX9" s="1">
        <f t="shared" si="10"/>
        <v>30</v>
      </c>
      <c r="FY9" s="93"/>
      <c r="FZ9" s="1">
        <v>48.87</v>
      </c>
      <c r="GA9" s="1">
        <v>7.01</v>
      </c>
      <c r="GB9" s="1">
        <v>8.35</v>
      </c>
      <c r="GC9" s="1">
        <v>1</v>
      </c>
      <c r="GD9" s="1">
        <v>35.770000000000003</v>
      </c>
      <c r="GE9" s="92"/>
      <c r="GF9" s="78">
        <v>6</v>
      </c>
      <c r="GG9" s="1"/>
      <c r="GH9" s="1"/>
      <c r="GI9" s="1"/>
      <c r="GJ9" s="1"/>
      <c r="GK9" s="1"/>
      <c r="GL9" s="1"/>
      <c r="GM9" s="1"/>
      <c r="GN9" s="1">
        <f t="shared" si="11"/>
        <v>0</v>
      </c>
      <c r="GO9" s="93"/>
      <c r="GP9" s="1"/>
      <c r="GQ9" s="1"/>
      <c r="GR9" s="1"/>
      <c r="GS9" s="1"/>
      <c r="GT9" s="1"/>
      <c r="GU9" s="93"/>
      <c r="GV9" s="90"/>
      <c r="GW9" s="74">
        <f t="shared" si="12"/>
        <v>6595</v>
      </c>
      <c r="GX9" s="75">
        <f t="shared" si="13"/>
        <v>65.95</v>
      </c>
      <c r="GZ9" s="241"/>
      <c r="HA9" s="241"/>
      <c r="HB9" s="241"/>
      <c r="HC9" s="241"/>
      <c r="HD9" s="241"/>
      <c r="HF9" s="1">
        <v>6</v>
      </c>
      <c r="HG9" s="4">
        <v>7.27</v>
      </c>
      <c r="HH9" s="4"/>
      <c r="HI9" s="1">
        <v>80</v>
      </c>
      <c r="HJ9" s="4">
        <v>44.669121856209038</v>
      </c>
      <c r="HK9" s="1"/>
      <c r="HM9" s="1">
        <v>6</v>
      </c>
      <c r="HN9" s="5">
        <v>7.81</v>
      </c>
      <c r="HO9" s="21">
        <f>1067.5-273.7</f>
        <v>793.8</v>
      </c>
      <c r="HP9" s="21">
        <v>64.429000000000002</v>
      </c>
      <c r="HQ9" s="21">
        <v>30.39</v>
      </c>
      <c r="HR9" s="21">
        <v>67.411000000000001</v>
      </c>
      <c r="HS9" s="21">
        <v>65.646000000000001</v>
      </c>
      <c r="HT9" s="139">
        <f t="shared" si="15"/>
        <v>9.8124383020730482E-2</v>
      </c>
      <c r="HU9" s="139">
        <f t="shared" si="16"/>
        <v>5.8078315235274777E-2</v>
      </c>
      <c r="HV9" s="138">
        <f t="shared" si="25"/>
        <v>46.102566633761114</v>
      </c>
      <c r="HW9" s="138">
        <f t="shared" si="17"/>
        <v>15.828420174216461</v>
      </c>
      <c r="HX9" s="141">
        <f>(HW9/HJ9)</f>
        <v>0.35434813841132856</v>
      </c>
      <c r="HY9" s="131">
        <f>0.46*2500</f>
        <v>1150</v>
      </c>
      <c r="HZ9" s="74">
        <f t="shared" si="18"/>
        <v>894.44444444444446</v>
      </c>
      <c r="IA9" s="1">
        <f>2*50</f>
        <v>100</v>
      </c>
      <c r="IB9" s="5">
        <v>25</v>
      </c>
      <c r="IC9" s="5">
        <f>4*25+0.8</f>
        <v>100.8</v>
      </c>
      <c r="ID9" s="5">
        <f>4*25+4.7</f>
        <v>104.7</v>
      </c>
      <c r="IE9" s="136">
        <f t="shared" si="19"/>
        <v>2514.6000000000031</v>
      </c>
      <c r="IF9" s="136">
        <f t="shared" si="20"/>
        <v>20160</v>
      </c>
      <c r="IG9" s="74">
        <f t="shared" si="21"/>
        <v>0.12473214285714301</v>
      </c>
      <c r="II9" s="1">
        <v>6</v>
      </c>
      <c r="IJ9" s="4">
        <v>26.6587</v>
      </c>
      <c r="IK9" s="4">
        <v>73.341300000000004</v>
      </c>
      <c r="IL9" s="4">
        <v>0</v>
      </c>
      <c r="IM9" s="4">
        <v>0</v>
      </c>
      <c r="IN9" s="74">
        <f t="shared" si="22"/>
        <v>3124.3069999999993</v>
      </c>
      <c r="IO9" s="74">
        <f t="shared" si="23"/>
        <v>2571.8319999999994</v>
      </c>
      <c r="IP9" s="81">
        <f t="shared" si="24"/>
        <v>57.575163628216991</v>
      </c>
    </row>
    <row r="10" spans="1:250" x14ac:dyDescent="0.3">
      <c r="A10" s="1">
        <v>7</v>
      </c>
      <c r="B10" s="4">
        <v>73.716099999999997</v>
      </c>
      <c r="C10" s="4">
        <v>0</v>
      </c>
      <c r="D10" s="4">
        <v>0</v>
      </c>
      <c r="E10" s="4">
        <v>26.283899999999999</v>
      </c>
      <c r="F10" s="2" t="s">
        <v>112</v>
      </c>
      <c r="G10" s="69">
        <v>45323</v>
      </c>
      <c r="H10" s="1">
        <v>7</v>
      </c>
      <c r="I10" s="73" t="s">
        <v>75</v>
      </c>
      <c r="J10" s="238"/>
      <c r="K10" s="76"/>
      <c r="L10" s="1">
        <v>7</v>
      </c>
      <c r="M10" s="1"/>
      <c r="N10" s="1"/>
      <c r="O10" s="1">
        <v>0</v>
      </c>
      <c r="P10" s="1">
        <v>0</v>
      </c>
      <c r="Q10" s="1">
        <v>0</v>
      </c>
      <c r="R10" s="1">
        <v>50</v>
      </c>
      <c r="S10" s="1">
        <v>90</v>
      </c>
      <c r="T10" s="1">
        <f t="shared" si="0"/>
        <v>140</v>
      </c>
      <c r="U10" s="233"/>
      <c r="V10" s="1"/>
      <c r="W10" s="1"/>
      <c r="X10" s="1"/>
      <c r="Y10" s="1"/>
      <c r="Z10" s="1"/>
      <c r="AB10" s="1">
        <v>7</v>
      </c>
      <c r="AC10" s="1">
        <v>180</v>
      </c>
      <c r="AD10" s="1">
        <f>280-0</f>
        <v>280</v>
      </c>
      <c r="AE10" s="1">
        <f>860-230</f>
        <v>630</v>
      </c>
      <c r="AF10" s="1">
        <f>570-20</f>
        <v>550</v>
      </c>
      <c r="AG10" s="1">
        <f>1030-570</f>
        <v>460</v>
      </c>
      <c r="AH10" s="1">
        <f>690-10</f>
        <v>680</v>
      </c>
      <c r="AI10" s="1">
        <f>1300-690</f>
        <v>610</v>
      </c>
      <c r="AJ10" s="1">
        <f t="shared" si="1"/>
        <v>3390</v>
      </c>
      <c r="AK10" s="233"/>
      <c r="AL10" s="1"/>
      <c r="AM10" s="1"/>
      <c r="AN10" s="1"/>
      <c r="AO10" s="1"/>
      <c r="AP10" s="1"/>
      <c r="AR10" s="1">
        <v>7</v>
      </c>
      <c r="AS10" s="1">
        <f>540-30</f>
        <v>510</v>
      </c>
      <c r="AT10" s="1">
        <f>860-540</f>
        <v>320</v>
      </c>
      <c r="AU10" s="1">
        <f>1090-860</f>
        <v>230</v>
      </c>
      <c r="AV10" s="1">
        <f>390-50</f>
        <v>340</v>
      </c>
      <c r="AW10" s="1">
        <f>640-390</f>
        <v>250</v>
      </c>
      <c r="AX10" s="1">
        <f>810-640</f>
        <v>170</v>
      </c>
      <c r="AY10" s="1">
        <f>910-760</f>
        <v>150</v>
      </c>
      <c r="AZ10" s="1">
        <f t="shared" si="2"/>
        <v>1970</v>
      </c>
      <c r="BA10" s="233"/>
      <c r="BB10" s="1"/>
      <c r="BC10" s="1"/>
      <c r="BD10" s="1"/>
      <c r="BE10" s="1"/>
      <c r="BF10" s="1"/>
      <c r="BH10" s="1">
        <v>7</v>
      </c>
      <c r="BI10" s="1">
        <f>150-20</f>
        <v>130</v>
      </c>
      <c r="BJ10" s="1">
        <f>250-100</f>
        <v>150</v>
      </c>
      <c r="BK10" s="1">
        <f>330-200</f>
        <v>130</v>
      </c>
      <c r="BL10" s="1">
        <f>450-280</f>
        <v>170</v>
      </c>
      <c r="BM10" s="1">
        <f>590-400</f>
        <v>190</v>
      </c>
      <c r="BN10" s="1">
        <f>-540+750</f>
        <v>210</v>
      </c>
      <c r="BO10" s="1">
        <f>850-700</f>
        <v>150</v>
      </c>
      <c r="BP10" s="1">
        <f t="shared" si="3"/>
        <v>1130</v>
      </c>
      <c r="BQ10" s="233"/>
      <c r="BR10" s="85">
        <f>AVERAGE(BR47,BR60)</f>
        <v>46.195</v>
      </c>
      <c r="BS10" s="1">
        <f>AVERAGE(BS47,BS60)</f>
        <v>11.41</v>
      </c>
      <c r="BT10" s="1">
        <f>AVERAGE(BT47,BT60)</f>
        <v>11.475</v>
      </c>
      <c r="BU10" s="1">
        <f>AVERAGE(BU47,BU60)</f>
        <v>281</v>
      </c>
      <c r="BV10" s="1">
        <f>AVERAGE(BV47,BV60)</f>
        <v>30.914999999999999</v>
      </c>
      <c r="BX10" s="1">
        <v>7</v>
      </c>
      <c r="BY10" s="1">
        <f>200-20</f>
        <v>180</v>
      </c>
      <c r="BZ10" s="1">
        <f>350-150</f>
        <v>200</v>
      </c>
      <c r="CA10" s="1">
        <f>450-300</f>
        <v>150</v>
      </c>
      <c r="CB10" s="1">
        <f>590-400</f>
        <v>190</v>
      </c>
      <c r="CC10" s="1">
        <f>720-540</f>
        <v>180</v>
      </c>
      <c r="CD10" s="1">
        <f>840-670</f>
        <v>170</v>
      </c>
      <c r="CE10" s="1">
        <f>870-790</f>
        <v>80</v>
      </c>
      <c r="CF10" s="1">
        <f t="shared" si="4"/>
        <v>1150</v>
      </c>
      <c r="CG10" s="233"/>
      <c r="CH10" s="1">
        <f>CH60</f>
        <v>64.709999999999994</v>
      </c>
      <c r="CI10" s="1">
        <f>CI60</f>
        <v>11.26</v>
      </c>
      <c r="CJ10" s="1">
        <f>CJ60</f>
        <v>10.54</v>
      </c>
      <c r="CK10" s="1">
        <f>CK60</f>
        <v>173</v>
      </c>
      <c r="CL10" s="1">
        <f>CL60</f>
        <v>13.49</v>
      </c>
      <c r="CN10" s="1">
        <v>7</v>
      </c>
      <c r="CO10" s="1">
        <f>-30+220</f>
        <v>190</v>
      </c>
      <c r="CP10" s="1">
        <f>330-170</f>
        <v>160</v>
      </c>
      <c r="CQ10" s="1">
        <f>470-280</f>
        <v>190</v>
      </c>
      <c r="CR10" s="1">
        <f>610-420</f>
        <v>190</v>
      </c>
      <c r="CS10" s="1">
        <f>780-560</f>
        <v>220</v>
      </c>
      <c r="CT10" s="1">
        <v>190</v>
      </c>
      <c r="CU10" s="1">
        <f>910-720</f>
        <v>190</v>
      </c>
      <c r="CV10" s="1">
        <f t="shared" si="5"/>
        <v>1330</v>
      </c>
      <c r="CX10" s="1"/>
      <c r="CY10" s="1"/>
      <c r="CZ10" s="1"/>
      <c r="DA10" s="1"/>
      <c r="DB10" s="1"/>
      <c r="DC10" s="84"/>
      <c r="DD10" s="1">
        <v>7</v>
      </c>
      <c r="DE10" s="1">
        <f>180-0</f>
        <v>180</v>
      </c>
      <c r="DF10" s="1">
        <f>490-130</f>
        <v>360</v>
      </c>
      <c r="DG10" s="1">
        <f>720-440</f>
        <v>280</v>
      </c>
      <c r="DH10" s="1">
        <f>270-20</f>
        <v>250</v>
      </c>
      <c r="DI10" s="1">
        <f>370-220</f>
        <v>150</v>
      </c>
      <c r="DJ10" s="1">
        <f>420-320</f>
        <v>100</v>
      </c>
      <c r="DK10" s="1">
        <f>600-370</f>
        <v>230</v>
      </c>
      <c r="DL10" s="1">
        <f t="shared" si="6"/>
        <v>1550</v>
      </c>
      <c r="DM10" s="84"/>
      <c r="DN10" s="1">
        <f>DN60</f>
        <v>62.55</v>
      </c>
      <c r="DO10" s="1">
        <f>DO60</f>
        <v>13.33</v>
      </c>
      <c r="DP10" s="1">
        <f>DP60</f>
        <v>8.98</v>
      </c>
      <c r="DQ10" s="1">
        <f>DQ60</f>
        <v>93</v>
      </c>
      <c r="DR10" s="1">
        <f>DR60</f>
        <v>15.14</v>
      </c>
      <c r="DS10" s="84"/>
      <c r="DT10" s="1">
        <v>7</v>
      </c>
      <c r="DU10" s="1">
        <f>970-550</f>
        <v>420</v>
      </c>
      <c r="DV10" s="1">
        <f>-300+1000</f>
        <v>700</v>
      </c>
      <c r="DW10" s="1">
        <f>510</f>
        <v>510</v>
      </c>
      <c r="DX10" s="1">
        <f>350-20</f>
        <v>330</v>
      </c>
      <c r="DY10" s="1">
        <f>700-510</f>
        <v>190</v>
      </c>
      <c r="DZ10" s="1">
        <f>250-85</f>
        <v>165</v>
      </c>
      <c r="EA10" s="1">
        <f>-200+290</f>
        <v>90</v>
      </c>
      <c r="EB10" s="1">
        <f t="shared" si="7"/>
        <v>2405</v>
      </c>
      <c r="EC10" s="84"/>
      <c r="ED10" s="1">
        <f>AVERAGE(ED53,ED60)</f>
        <v>59.834999999999994</v>
      </c>
      <c r="EE10" s="1">
        <f>AVERAGE(EE53,EE60)</f>
        <v>13.225000000000001</v>
      </c>
      <c r="EF10" s="1">
        <f>AVERAGE(EF53,EF60)</f>
        <v>10.879999999999999</v>
      </c>
      <c r="EG10" s="1">
        <f>AVERAGE(EG53,EG60)</f>
        <v>75</v>
      </c>
      <c r="EH10" s="1">
        <f>AVERAGE(EH53,EH60)</f>
        <v>16.065000000000001</v>
      </c>
      <c r="EI10" s="84"/>
      <c r="EJ10" s="1">
        <v>7</v>
      </c>
      <c r="EK10" s="1">
        <v>135</v>
      </c>
      <c r="EL10" s="1">
        <v>50</v>
      </c>
      <c r="EM10" s="1">
        <v>50</v>
      </c>
      <c r="EN10" s="1">
        <v>20</v>
      </c>
      <c r="EO10" s="1"/>
      <c r="EP10" s="1"/>
      <c r="EQ10" s="1"/>
      <c r="ER10" s="1">
        <f t="shared" si="8"/>
        <v>255</v>
      </c>
      <c r="ES10" s="90"/>
      <c r="ET10" s="1">
        <v>59.21</v>
      </c>
      <c r="EU10" s="1">
        <v>8.24</v>
      </c>
      <c r="EV10" s="1">
        <v>12.38</v>
      </c>
      <c r="EW10" s="1">
        <v>3</v>
      </c>
      <c r="EX10" s="1">
        <v>20.18</v>
      </c>
      <c r="EY10" s="90"/>
      <c r="EZ10" s="1">
        <v>7</v>
      </c>
      <c r="FA10" s="1"/>
      <c r="FB10" s="1"/>
      <c r="FC10" s="1"/>
      <c r="FD10" s="1"/>
      <c r="FE10" s="1"/>
      <c r="FF10" s="1"/>
      <c r="FG10" s="1"/>
      <c r="FH10" s="1">
        <f t="shared" si="9"/>
        <v>0</v>
      </c>
      <c r="FI10" s="92"/>
      <c r="FJ10" s="1">
        <v>64.55</v>
      </c>
      <c r="FK10" s="1">
        <v>14.71</v>
      </c>
      <c r="FL10" s="1">
        <v>10.72</v>
      </c>
      <c r="FM10" s="1">
        <v>25</v>
      </c>
      <c r="FN10" s="1">
        <v>10.02</v>
      </c>
      <c r="FO10" s="92"/>
      <c r="FP10" s="1">
        <v>7</v>
      </c>
      <c r="FQ10" s="1"/>
      <c r="FR10" s="1"/>
      <c r="FS10" s="1"/>
      <c r="FT10" s="1"/>
      <c r="FU10" s="1"/>
      <c r="FV10" s="1"/>
      <c r="FW10" s="1"/>
      <c r="FX10" s="1">
        <f t="shared" si="10"/>
        <v>0</v>
      </c>
      <c r="FY10" s="93"/>
      <c r="FZ10" s="1"/>
      <c r="GA10" s="1"/>
      <c r="GB10" s="1"/>
      <c r="GC10" s="1"/>
      <c r="GD10" s="1"/>
      <c r="GE10" s="92"/>
      <c r="GF10" s="1">
        <v>7</v>
      </c>
      <c r="GG10" s="1"/>
      <c r="GH10" s="1"/>
      <c r="GI10" s="1"/>
      <c r="GJ10" s="1"/>
      <c r="GK10" s="1"/>
      <c r="GL10" s="1"/>
      <c r="GM10" s="1"/>
      <c r="GN10" s="1">
        <f t="shared" si="11"/>
        <v>0</v>
      </c>
      <c r="GO10" s="93"/>
      <c r="GP10" s="1"/>
      <c r="GQ10" s="1"/>
      <c r="GR10" s="1"/>
      <c r="GS10" s="1"/>
      <c r="GT10" s="1"/>
      <c r="GU10" s="93"/>
      <c r="GV10" s="90"/>
      <c r="GW10" s="74">
        <f t="shared" si="12"/>
        <v>13320</v>
      </c>
      <c r="GX10" s="75">
        <f t="shared" si="13"/>
        <v>133.19999999999999</v>
      </c>
      <c r="GZ10" s="241"/>
      <c r="HA10" s="241"/>
      <c r="HB10" s="241"/>
      <c r="HC10" s="241"/>
      <c r="HD10" s="241"/>
      <c r="HF10" s="1">
        <v>7</v>
      </c>
      <c r="HG10" s="80">
        <v>7.03</v>
      </c>
      <c r="HH10" s="80"/>
      <c r="HI10" s="1">
        <v>80</v>
      </c>
      <c r="HJ10" s="4">
        <v>45.975953810609923</v>
      </c>
      <c r="HK10" s="1"/>
      <c r="HM10" s="1">
        <v>7</v>
      </c>
      <c r="HN10" s="5">
        <v>7.92</v>
      </c>
      <c r="HO10" s="21">
        <f>955.8-265.5+732.7-263.5</f>
        <v>1159.5</v>
      </c>
      <c r="HP10" s="21">
        <v>62.003</v>
      </c>
      <c r="HQ10" s="21">
        <v>30.15</v>
      </c>
      <c r="HR10" s="21">
        <v>63.670999999999999</v>
      </c>
      <c r="HS10" s="21">
        <v>62.750999999999998</v>
      </c>
      <c r="HT10" s="139">
        <f t="shared" si="15"/>
        <v>5.5323383084577092E-2</v>
      </c>
      <c r="HU10" s="139">
        <f t="shared" si="16"/>
        <v>3.0514096185738034E-2</v>
      </c>
      <c r="HV10" s="138">
        <f t="shared" si="25"/>
        <v>35.381094527363253</v>
      </c>
      <c r="HW10" s="138">
        <f t="shared" si="17"/>
        <v>27.856724235015207</v>
      </c>
      <c r="HX10" s="141">
        <f t="shared" si="14"/>
        <v>0.60589769055724685</v>
      </c>
      <c r="HY10" s="131">
        <f>1.8*50*25</f>
        <v>2250</v>
      </c>
      <c r="HZ10" s="74">
        <f t="shared" si="18"/>
        <v>1750</v>
      </c>
      <c r="IA10" s="1">
        <f>3*50</f>
        <v>150</v>
      </c>
      <c r="IB10" s="5">
        <v>25</v>
      </c>
      <c r="IC10" s="5">
        <f>4*25+19.7</f>
        <v>119.7</v>
      </c>
      <c r="ID10" s="5">
        <f>4*25+23.6</f>
        <v>123.6</v>
      </c>
      <c r="IE10" s="136">
        <f t="shared" si="19"/>
        <v>2514.5999999999945</v>
      </c>
      <c r="IF10" s="136">
        <f t="shared" si="20"/>
        <v>23940</v>
      </c>
      <c r="IG10" s="74">
        <f t="shared" si="21"/>
        <v>0.10503759398496218</v>
      </c>
      <c r="II10" s="1">
        <v>7</v>
      </c>
      <c r="IJ10" s="4">
        <v>73.716099999999997</v>
      </c>
      <c r="IK10" s="4">
        <v>0</v>
      </c>
      <c r="IL10" s="4">
        <v>0</v>
      </c>
      <c r="IM10" s="4">
        <v>26.283899999999999</v>
      </c>
      <c r="IN10" s="74">
        <f t="shared" si="22"/>
        <v>7619.691499999999</v>
      </c>
      <c r="IO10" s="74">
        <f t="shared" si="23"/>
        <v>7067.2164999999986</v>
      </c>
      <c r="IP10" s="81">
        <f t="shared" si="24"/>
        <v>153.7154950414338</v>
      </c>
    </row>
    <row r="11" spans="1:250" x14ac:dyDescent="0.3">
      <c r="A11" s="1">
        <v>8</v>
      </c>
      <c r="B11" s="4">
        <v>46.627800000000001</v>
      </c>
      <c r="C11" s="4">
        <v>47.356999999999999</v>
      </c>
      <c r="D11" s="4">
        <v>6.0151300000000001</v>
      </c>
      <c r="E11" s="4">
        <v>0</v>
      </c>
      <c r="F11" s="2" t="s">
        <v>113</v>
      </c>
      <c r="G11" s="69">
        <v>45324</v>
      </c>
      <c r="H11" s="1">
        <v>8</v>
      </c>
      <c r="I11" s="73" t="s">
        <v>75</v>
      </c>
      <c r="J11" s="238"/>
      <c r="K11" s="13"/>
      <c r="L11" s="1">
        <v>8</v>
      </c>
      <c r="M11" s="1"/>
      <c r="N11" s="1"/>
      <c r="O11" s="1">
        <v>130</v>
      </c>
      <c r="P11" s="1">
        <v>110</v>
      </c>
      <c r="Q11" s="1">
        <v>140</v>
      </c>
      <c r="R11" s="1">
        <v>135</v>
      </c>
      <c r="S11" s="1">
        <v>160</v>
      </c>
      <c r="T11" s="1">
        <f t="shared" si="0"/>
        <v>675</v>
      </c>
      <c r="U11" s="233"/>
      <c r="V11" s="1"/>
      <c r="W11" s="1"/>
      <c r="X11" s="1"/>
      <c r="Y11" s="1"/>
      <c r="Z11" s="1"/>
      <c r="AB11" s="1">
        <v>8</v>
      </c>
      <c r="AC11" s="1">
        <v>180</v>
      </c>
      <c r="AD11" s="1">
        <v>235</v>
      </c>
      <c r="AE11" s="1">
        <v>230</v>
      </c>
      <c r="AF11" s="1">
        <v>265</v>
      </c>
      <c r="AG11" s="1">
        <v>270</v>
      </c>
      <c r="AH11" s="1">
        <v>345</v>
      </c>
      <c r="AI11" s="1">
        <v>335</v>
      </c>
      <c r="AJ11" s="1">
        <f t="shared" si="1"/>
        <v>1860</v>
      </c>
      <c r="AK11" s="233"/>
      <c r="AL11" s="1"/>
      <c r="AM11" s="1"/>
      <c r="AN11" s="1"/>
      <c r="AO11" s="1"/>
      <c r="AP11" s="1"/>
      <c r="AR11" s="1">
        <v>8</v>
      </c>
      <c r="AS11" s="1">
        <v>360</v>
      </c>
      <c r="AT11" s="67">
        <v>370</v>
      </c>
      <c r="AU11" s="1">
        <v>365</v>
      </c>
      <c r="AV11" s="1">
        <v>335</v>
      </c>
      <c r="AW11" s="1">
        <v>365</v>
      </c>
      <c r="AX11" s="1">
        <v>335</v>
      </c>
      <c r="AY11" s="1">
        <v>310</v>
      </c>
      <c r="AZ11" s="1">
        <f t="shared" si="2"/>
        <v>2440</v>
      </c>
      <c r="BA11" s="233"/>
      <c r="BB11" s="1"/>
      <c r="BC11" s="1"/>
      <c r="BD11" s="1"/>
      <c r="BE11" s="1"/>
      <c r="BF11" s="1"/>
      <c r="BH11" s="1">
        <v>8</v>
      </c>
      <c r="BI11" s="1">
        <v>340</v>
      </c>
      <c r="BJ11" s="1">
        <v>360</v>
      </c>
      <c r="BK11" s="1">
        <v>420</v>
      </c>
      <c r="BL11" s="1">
        <v>390</v>
      </c>
      <c r="BM11" s="1">
        <v>420</v>
      </c>
      <c r="BN11" s="1">
        <v>420</v>
      </c>
      <c r="BO11" s="1">
        <v>410</v>
      </c>
      <c r="BP11" s="1">
        <f t="shared" si="3"/>
        <v>2760</v>
      </c>
      <c r="BQ11" s="233"/>
      <c r="BR11" s="85">
        <f>+AVERAGE(BR59,BR80)</f>
        <v>29.215</v>
      </c>
      <c r="BS11" s="1">
        <f>+AVERAGE(BS59,BS80)</f>
        <v>11.065</v>
      </c>
      <c r="BT11" s="1">
        <f>+AVERAGE(BT59,BT80)</f>
        <v>11.585000000000001</v>
      </c>
      <c r="BU11" s="1">
        <f>+AVERAGE(BU59,BU80)</f>
        <v>66.5</v>
      </c>
      <c r="BV11" s="1">
        <f>+AVERAGE(BV59,BV80)</f>
        <v>48.134999999999998</v>
      </c>
      <c r="BX11" s="1">
        <v>8</v>
      </c>
      <c r="BY11" s="1">
        <v>320</v>
      </c>
      <c r="BZ11" s="1">
        <v>370</v>
      </c>
      <c r="CA11" s="1">
        <v>350</v>
      </c>
      <c r="CB11" s="1">
        <v>370</v>
      </c>
      <c r="CC11" s="1">
        <v>360</v>
      </c>
      <c r="CD11" s="1">
        <v>370</v>
      </c>
      <c r="CE11" s="1">
        <v>370</v>
      </c>
      <c r="CF11" s="1">
        <f t="shared" si="4"/>
        <v>2510</v>
      </c>
      <c r="CG11" s="233"/>
      <c r="CH11" s="1">
        <f>CH73</f>
        <v>33.51</v>
      </c>
      <c r="CI11" s="1">
        <f>CI73</f>
        <v>8.02</v>
      </c>
      <c r="CJ11" s="1">
        <f>CJ73</f>
        <v>12.88</v>
      </c>
      <c r="CK11" s="1">
        <f>CK73</f>
        <v>54</v>
      </c>
      <c r="CL11" s="1">
        <f>CL73</f>
        <v>45.58</v>
      </c>
      <c r="CN11" s="1">
        <v>8</v>
      </c>
      <c r="CO11" s="1">
        <v>360</v>
      </c>
      <c r="CP11" s="1">
        <v>370</v>
      </c>
      <c r="CQ11" s="1">
        <v>360</v>
      </c>
      <c r="CR11" s="1">
        <v>365</v>
      </c>
      <c r="CS11" s="1">
        <v>365</v>
      </c>
      <c r="CT11" s="1">
        <v>370</v>
      </c>
      <c r="CU11" s="1">
        <v>390</v>
      </c>
      <c r="CV11" s="1">
        <f t="shared" si="5"/>
        <v>2580</v>
      </c>
      <c r="CX11" s="1"/>
      <c r="CY11" s="1"/>
      <c r="CZ11" s="1"/>
      <c r="DA11" s="1"/>
      <c r="DB11" s="1"/>
      <c r="DC11" s="84"/>
      <c r="DD11" s="1">
        <v>8</v>
      </c>
      <c r="DE11" s="1">
        <v>350</v>
      </c>
      <c r="DF11" s="1">
        <v>370</v>
      </c>
      <c r="DG11" s="1">
        <v>350</v>
      </c>
      <c r="DH11" s="1">
        <v>350</v>
      </c>
      <c r="DI11" s="1">
        <v>360</v>
      </c>
      <c r="DJ11" s="1">
        <v>370</v>
      </c>
      <c r="DK11" s="1">
        <v>360</v>
      </c>
      <c r="DL11" s="1">
        <f t="shared" si="6"/>
        <v>2510</v>
      </c>
      <c r="DM11" s="84"/>
      <c r="DN11" s="1"/>
      <c r="DO11" s="1"/>
      <c r="DP11" s="1"/>
      <c r="DQ11" s="1"/>
      <c r="DR11" s="1"/>
      <c r="DS11" s="84"/>
      <c r="DT11" s="1">
        <v>8</v>
      </c>
      <c r="DU11" s="1">
        <v>360</v>
      </c>
      <c r="DV11" s="1">
        <v>350</v>
      </c>
      <c r="DW11" s="1">
        <v>370</v>
      </c>
      <c r="DX11" s="1">
        <v>390</v>
      </c>
      <c r="DY11" s="1">
        <v>350</v>
      </c>
      <c r="DZ11" s="1">
        <v>380</v>
      </c>
      <c r="EA11" s="1">
        <v>370</v>
      </c>
      <c r="EB11" s="1">
        <f t="shared" si="7"/>
        <v>2570</v>
      </c>
      <c r="EC11" s="84"/>
      <c r="ED11" s="1">
        <f>ED66</f>
        <v>18.87</v>
      </c>
      <c r="EE11" s="1">
        <f>EE66</f>
        <v>6.98</v>
      </c>
      <c r="EF11" s="1">
        <f>EF66</f>
        <v>15.81</v>
      </c>
      <c r="EG11" s="1">
        <f>EG66</f>
        <v>1</v>
      </c>
      <c r="EH11" s="1">
        <f>EH66</f>
        <v>58.33</v>
      </c>
      <c r="EI11" s="84"/>
      <c r="EJ11" s="1">
        <v>8</v>
      </c>
      <c r="EK11" s="1">
        <v>350</v>
      </c>
      <c r="EL11" s="1">
        <v>360</v>
      </c>
      <c r="EM11" s="1">
        <v>350</v>
      </c>
      <c r="EN11" s="1">
        <v>320</v>
      </c>
      <c r="EO11" s="1">
        <v>370</v>
      </c>
      <c r="EP11" s="1">
        <v>330</v>
      </c>
      <c r="EQ11" s="1">
        <v>280</v>
      </c>
      <c r="ER11" s="1">
        <f t="shared" si="8"/>
        <v>2360</v>
      </c>
      <c r="ES11" s="90"/>
      <c r="ET11" s="1">
        <v>34.44</v>
      </c>
      <c r="EU11" s="1">
        <v>9.1999999999999993</v>
      </c>
      <c r="EV11" s="1">
        <v>12.99</v>
      </c>
      <c r="EW11" s="1">
        <v>0</v>
      </c>
      <c r="EX11" s="1">
        <v>43.37</v>
      </c>
      <c r="EY11" s="90"/>
      <c r="EZ11" s="1">
        <v>8</v>
      </c>
      <c r="FA11" s="1">
        <v>280</v>
      </c>
      <c r="FB11" s="1">
        <v>220</v>
      </c>
      <c r="FC11" s="1">
        <v>180</v>
      </c>
      <c r="FD11" s="1">
        <v>190</v>
      </c>
      <c r="FE11" s="1">
        <v>210</v>
      </c>
      <c r="FF11" s="1">
        <v>200</v>
      </c>
      <c r="FG11" s="1">
        <v>150</v>
      </c>
      <c r="FH11" s="1">
        <f t="shared" si="9"/>
        <v>1430</v>
      </c>
      <c r="FI11" s="92"/>
      <c r="FJ11" s="1"/>
      <c r="FK11" s="1"/>
      <c r="FL11" s="1"/>
      <c r="FM11" s="1"/>
      <c r="FN11" s="1"/>
      <c r="FO11" s="92"/>
      <c r="FP11" s="1">
        <v>8</v>
      </c>
      <c r="FQ11" s="1">
        <v>170</v>
      </c>
      <c r="FR11" s="1">
        <v>190</v>
      </c>
      <c r="FS11" s="1">
        <v>160</v>
      </c>
      <c r="FT11" s="1">
        <v>200</v>
      </c>
      <c r="FU11" s="1">
        <v>180</v>
      </c>
      <c r="FV11" s="1">
        <v>160</v>
      </c>
      <c r="FW11" s="1">
        <v>130</v>
      </c>
      <c r="FX11" s="1">
        <f t="shared" si="10"/>
        <v>1190</v>
      </c>
      <c r="FY11" s="93"/>
      <c r="FZ11" s="3">
        <v>42.13</v>
      </c>
      <c r="GA11" s="3">
        <v>13.94</v>
      </c>
      <c r="GB11" s="3">
        <v>7.27</v>
      </c>
      <c r="GC11" s="3">
        <v>1</v>
      </c>
      <c r="GD11" s="3">
        <v>36.659999999999997</v>
      </c>
      <c r="GE11" s="92"/>
      <c r="GF11" s="1">
        <v>8</v>
      </c>
      <c r="GG11" s="1">
        <v>110</v>
      </c>
      <c r="GH11" s="1">
        <v>100</v>
      </c>
      <c r="GI11" s="1"/>
      <c r="GJ11" s="1"/>
      <c r="GK11" s="1"/>
      <c r="GL11" s="1"/>
      <c r="GM11" s="1"/>
      <c r="GN11" s="1">
        <f t="shared" si="11"/>
        <v>210</v>
      </c>
      <c r="GO11" s="93"/>
      <c r="GP11" s="1"/>
      <c r="GQ11" s="1"/>
      <c r="GR11" s="1"/>
      <c r="GS11" s="1"/>
      <c r="GT11" s="1"/>
      <c r="GU11" s="93"/>
      <c r="GV11" s="90"/>
      <c r="GW11" s="74">
        <f t="shared" si="12"/>
        <v>22885</v>
      </c>
      <c r="GX11" s="75">
        <f t="shared" si="13"/>
        <v>228.85</v>
      </c>
      <c r="GZ11" s="241"/>
      <c r="HA11" s="241"/>
      <c r="HB11" s="241"/>
      <c r="HC11" s="241"/>
      <c r="HD11" s="241"/>
      <c r="HF11" s="1">
        <v>8</v>
      </c>
      <c r="HG11" s="81">
        <v>7.56</v>
      </c>
      <c r="HH11" s="4"/>
      <c r="HI11" s="1">
        <v>80</v>
      </c>
      <c r="HJ11" s="4">
        <v>42.739043905736629</v>
      </c>
      <c r="HK11" s="1"/>
      <c r="HM11" s="1">
        <v>8</v>
      </c>
      <c r="HN11" s="5">
        <v>7.9</v>
      </c>
      <c r="HO11" s="21">
        <f>976.6-266.8+574.7-264.2</f>
        <v>1020.3</v>
      </c>
      <c r="HP11" s="21">
        <v>56.442</v>
      </c>
      <c r="HQ11" s="21">
        <v>30.49</v>
      </c>
      <c r="HR11" s="21">
        <v>58.673000000000002</v>
      </c>
      <c r="HS11" s="21">
        <v>57.374000000000002</v>
      </c>
      <c r="HT11" s="139">
        <f t="shared" si="15"/>
        <v>7.3171531649721275E-2</v>
      </c>
      <c r="HU11" s="139">
        <f t="shared" si="16"/>
        <v>4.2604132502459806E-2</v>
      </c>
      <c r="HV11" s="138">
        <f t="shared" si="25"/>
        <v>43.46899639225974</v>
      </c>
      <c r="HW11" s="138">
        <f t="shared" si="17"/>
        <v>16.531912465245426</v>
      </c>
      <c r="HX11" s="139">
        <f t="shared" si="14"/>
        <v>0.38681053562422901</v>
      </c>
      <c r="HY11" s="1">
        <f>1.48*50*25</f>
        <v>1850</v>
      </c>
      <c r="HZ11" s="74">
        <f t="shared" si="18"/>
        <v>1438.8888888888889</v>
      </c>
      <c r="IA11" s="1">
        <f>0*50</f>
        <v>0</v>
      </c>
      <c r="IB11" s="8">
        <v>25</v>
      </c>
      <c r="IC11" s="58">
        <f>4*25+20.9</f>
        <v>120.9</v>
      </c>
      <c r="ID11" s="58">
        <f>4*25+25.1</f>
        <v>125.1</v>
      </c>
      <c r="IE11" s="5">
        <f t="shared" si="19"/>
        <v>2713.799999999992</v>
      </c>
      <c r="IF11" s="5">
        <f t="shared" si="20"/>
        <v>24180</v>
      </c>
      <c r="IG11" s="74">
        <f t="shared" si="21"/>
        <v>0.11223325062034706</v>
      </c>
      <c r="II11" s="1">
        <v>8</v>
      </c>
      <c r="IJ11" s="4">
        <v>46.627800000000001</v>
      </c>
      <c r="IK11" s="4">
        <v>47.356999999999999</v>
      </c>
      <c r="IL11" s="4">
        <v>6.0151300000000001</v>
      </c>
      <c r="IM11" s="4">
        <v>0</v>
      </c>
      <c r="IN11" s="74">
        <f t="shared" si="22"/>
        <v>5488.9191999999994</v>
      </c>
      <c r="IO11" s="74">
        <f t="shared" si="23"/>
        <v>4936.444199999999</v>
      </c>
      <c r="IP11" s="81">
        <f t="shared" si="24"/>
        <v>115.50198013057113</v>
      </c>
    </row>
    <row r="12" spans="1:250" x14ac:dyDescent="0.3">
      <c r="A12" s="1">
        <v>9</v>
      </c>
      <c r="B12" s="4">
        <v>100</v>
      </c>
      <c r="C12" s="4">
        <v>0</v>
      </c>
      <c r="D12" s="4">
        <v>0</v>
      </c>
      <c r="E12" s="4">
        <v>0</v>
      </c>
      <c r="F12" s="2" t="s">
        <v>114</v>
      </c>
      <c r="G12" s="69">
        <v>45325</v>
      </c>
      <c r="H12" s="1">
        <v>9</v>
      </c>
      <c r="I12" s="73" t="s">
        <v>75</v>
      </c>
      <c r="J12" s="238"/>
      <c r="L12" s="1">
        <v>9</v>
      </c>
      <c r="M12" s="1"/>
      <c r="N12" s="1"/>
      <c r="O12" s="1">
        <v>0</v>
      </c>
      <c r="P12" s="1">
        <v>0</v>
      </c>
      <c r="Q12" s="1">
        <f>140-0</f>
        <v>140</v>
      </c>
      <c r="R12" s="1">
        <f>430-140</f>
        <v>290</v>
      </c>
      <c r="S12" s="1">
        <f>835-430</f>
        <v>405</v>
      </c>
      <c r="T12" s="1">
        <f t="shared" si="0"/>
        <v>835</v>
      </c>
      <c r="U12" s="233"/>
      <c r="V12" s="1"/>
      <c r="W12" s="1"/>
      <c r="X12" s="1"/>
      <c r="Y12" s="1"/>
      <c r="Z12" s="1"/>
      <c r="AB12" s="1">
        <v>9</v>
      </c>
      <c r="AC12" s="1">
        <f>1240-835</f>
        <v>405</v>
      </c>
      <c r="AD12" s="1">
        <f>340-5</f>
        <v>335</v>
      </c>
      <c r="AE12" s="1">
        <f>640-340</f>
        <v>300</v>
      </c>
      <c r="AF12" s="1">
        <f>1060-640</f>
        <v>420</v>
      </c>
      <c r="AG12" s="1">
        <f>870-20</f>
        <v>850</v>
      </c>
      <c r="AH12" s="1">
        <f>1180-870</f>
        <v>310</v>
      </c>
      <c r="AI12" s="1">
        <f>770-25</f>
        <v>745</v>
      </c>
      <c r="AJ12" s="1">
        <f t="shared" si="1"/>
        <v>3365</v>
      </c>
      <c r="AK12" s="233"/>
      <c r="AL12" s="1"/>
      <c r="AM12" s="1"/>
      <c r="AN12" s="1"/>
      <c r="AO12" s="1"/>
      <c r="AP12" s="1"/>
      <c r="AR12" s="1">
        <v>9</v>
      </c>
      <c r="AS12" s="1">
        <f>1240-770</f>
        <v>470</v>
      </c>
      <c r="AT12" s="1">
        <f>900-25</f>
        <v>875</v>
      </c>
      <c r="AU12" s="1">
        <f>1290-60+215-900</f>
        <v>545</v>
      </c>
      <c r="AV12" s="1">
        <f>670-215</f>
        <v>455</v>
      </c>
      <c r="AW12" s="1">
        <f>1200-670</f>
        <v>530</v>
      </c>
      <c r="AX12" s="1">
        <f>580-0</f>
        <v>580</v>
      </c>
      <c r="AY12" s="1">
        <f>930-580</f>
        <v>350</v>
      </c>
      <c r="AZ12" s="1">
        <f t="shared" si="2"/>
        <v>3805</v>
      </c>
      <c r="BA12" s="233"/>
      <c r="BB12" s="85">
        <f>AVERAGE(BB67,BB78)</f>
        <v>64.545000000000002</v>
      </c>
      <c r="BC12" s="1">
        <f>AVERAGE(BC67,BC78)</f>
        <v>11.395</v>
      </c>
      <c r="BD12" s="1">
        <f>AVERAGE(BD67,BD78)</f>
        <v>7.91</v>
      </c>
      <c r="BE12" s="1">
        <f>AVERAGE(BE67,BE78)</f>
        <v>165.5</v>
      </c>
      <c r="BF12" s="1">
        <f>AVERAGE(BF67,BF78)</f>
        <v>16.149999999999999</v>
      </c>
      <c r="BH12" s="1">
        <v>9</v>
      </c>
      <c r="BI12" s="1">
        <f>1170-870</f>
        <v>300</v>
      </c>
      <c r="BJ12" s="1">
        <f>420-10</f>
        <v>410</v>
      </c>
      <c r="BK12" s="1">
        <f>730-420</f>
        <v>310</v>
      </c>
      <c r="BL12" s="1">
        <f>1050-730</f>
        <v>320</v>
      </c>
      <c r="BM12" s="1">
        <f>360-20</f>
        <v>340</v>
      </c>
      <c r="BN12" s="1">
        <f>660-360</f>
        <v>300</v>
      </c>
      <c r="BO12" s="1">
        <f>1020-660</f>
        <v>360</v>
      </c>
      <c r="BP12" s="1">
        <f t="shared" si="3"/>
        <v>2340</v>
      </c>
      <c r="BQ12" s="233"/>
      <c r="BR12" s="85">
        <f>AVERAGE(BR46,BR64,BR90)</f>
        <v>61.26</v>
      </c>
      <c r="BS12" s="1">
        <f>AVERAGE(BS46,BS64,BS90)</f>
        <v>9.8533333333333335</v>
      </c>
      <c r="BT12" s="1">
        <f>AVERAGE(BT46,BT64,BT90)</f>
        <v>9.4533333333333331</v>
      </c>
      <c r="BU12" s="1">
        <f>AVERAGE(BU46,BU64,BU90)</f>
        <v>223.33333333333334</v>
      </c>
      <c r="BV12" s="1">
        <f>AVERAGE(BV46,BV64,BV90)</f>
        <v>19.436666666666667</v>
      </c>
      <c r="BX12" s="1">
        <v>9</v>
      </c>
      <c r="BY12" s="1">
        <f>330-0</f>
        <v>330</v>
      </c>
      <c r="BZ12" s="1">
        <f>530-330</f>
        <v>200</v>
      </c>
      <c r="CA12" s="1">
        <f>670-530</f>
        <v>140</v>
      </c>
      <c r="CB12" s="1">
        <f>830-670</f>
        <v>160</v>
      </c>
      <c r="CC12" s="1">
        <f>300-40</f>
        <v>260</v>
      </c>
      <c r="CD12" s="1">
        <f>500-300</f>
        <v>200</v>
      </c>
      <c r="CE12" s="1">
        <f>600-500</f>
        <v>100</v>
      </c>
      <c r="CF12" s="1">
        <f t="shared" si="4"/>
        <v>1390</v>
      </c>
      <c r="CG12" s="233"/>
      <c r="CH12" s="1">
        <f>CH54</f>
        <v>64.17</v>
      </c>
      <c r="CI12" s="1">
        <f>CI54</f>
        <v>10.47</v>
      </c>
      <c r="CJ12" s="1">
        <f>CJ54</f>
        <v>9.77</v>
      </c>
      <c r="CK12" s="1">
        <f>CK54</f>
        <v>230</v>
      </c>
      <c r="CL12" s="1">
        <f>CL54</f>
        <v>15.59</v>
      </c>
      <c r="CN12" s="1">
        <v>9</v>
      </c>
      <c r="CO12" s="1">
        <f>760-600</f>
        <v>160</v>
      </c>
      <c r="CP12" s="1">
        <f>930-760</f>
        <v>170</v>
      </c>
      <c r="CQ12" s="1">
        <f>70-20</f>
        <v>50</v>
      </c>
      <c r="CR12" s="1">
        <f>80-70</f>
        <v>10</v>
      </c>
      <c r="CS12" s="1">
        <f>80-80</f>
        <v>0</v>
      </c>
      <c r="CT12" s="1">
        <f>-80+90</f>
        <v>10</v>
      </c>
      <c r="CU12" s="1">
        <f>90-90</f>
        <v>0</v>
      </c>
      <c r="CV12" s="1">
        <f t="shared" si="5"/>
        <v>400</v>
      </c>
      <c r="CX12" s="1">
        <f>CX50</f>
        <v>62.72</v>
      </c>
      <c r="CY12" s="1">
        <f>CY50</f>
        <v>9.48</v>
      </c>
      <c r="CZ12" s="1">
        <f>CZ50</f>
        <v>8.3800000000000008</v>
      </c>
      <c r="DA12" s="1">
        <f>DA50</f>
        <v>140</v>
      </c>
      <c r="DB12" s="1">
        <f>DB50</f>
        <v>19.420000000000002</v>
      </c>
      <c r="DC12" s="84"/>
      <c r="DD12" s="1">
        <v>9</v>
      </c>
      <c r="DE12" s="1">
        <f>100-90</f>
        <v>10</v>
      </c>
      <c r="DF12" s="1">
        <f>100-100</f>
        <v>0</v>
      </c>
      <c r="DG12" s="1">
        <f>100-100</f>
        <v>0</v>
      </c>
      <c r="DH12" s="1">
        <f>100-100</f>
        <v>0</v>
      </c>
      <c r="DI12" s="1">
        <f>100-100</f>
        <v>0</v>
      </c>
      <c r="DJ12" s="85"/>
      <c r="DK12" s="1"/>
      <c r="DL12" s="1">
        <f t="shared" si="6"/>
        <v>10</v>
      </c>
      <c r="DM12" s="84"/>
      <c r="DN12" s="1"/>
      <c r="DO12" s="1"/>
      <c r="DP12" s="1"/>
      <c r="DQ12" s="1"/>
      <c r="DR12" s="1"/>
      <c r="DS12" s="84"/>
      <c r="DT12" s="85">
        <v>9</v>
      </c>
      <c r="DU12" s="1"/>
      <c r="DV12" s="1"/>
      <c r="DW12" s="1"/>
      <c r="DX12" s="1"/>
      <c r="DY12" s="1"/>
      <c r="DZ12" s="1"/>
      <c r="EA12" s="1"/>
      <c r="EB12" s="1">
        <f t="shared" si="7"/>
        <v>0</v>
      </c>
      <c r="EC12" s="84"/>
      <c r="ED12" s="1"/>
      <c r="EE12" s="1"/>
      <c r="EF12" s="1"/>
      <c r="EG12" s="1"/>
      <c r="EH12" s="1"/>
      <c r="EI12" s="84"/>
      <c r="EJ12" s="85">
        <v>9</v>
      </c>
      <c r="EK12" s="1"/>
      <c r="EL12" s="1"/>
      <c r="EM12" s="1"/>
      <c r="EN12" s="1"/>
      <c r="EO12" s="1"/>
      <c r="EP12" s="1"/>
      <c r="EQ12" s="1"/>
      <c r="ER12" s="1">
        <f t="shared" si="8"/>
        <v>0</v>
      </c>
      <c r="ES12" s="90"/>
      <c r="ET12" s="1"/>
      <c r="EU12" s="1"/>
      <c r="EV12" s="1"/>
      <c r="EW12" s="1"/>
      <c r="EX12" s="1"/>
      <c r="EY12" s="90"/>
      <c r="EZ12" s="85">
        <v>9</v>
      </c>
      <c r="FA12" s="1"/>
      <c r="FB12" s="1"/>
      <c r="FC12" s="1"/>
      <c r="FD12" s="1"/>
      <c r="FE12" s="1"/>
      <c r="FF12" s="1"/>
      <c r="FG12" s="1"/>
      <c r="FH12" s="1">
        <f t="shared" si="9"/>
        <v>0</v>
      </c>
      <c r="FI12" s="92"/>
      <c r="FJ12" s="1"/>
      <c r="FK12" s="1"/>
      <c r="FL12" s="1"/>
      <c r="FM12" s="1"/>
      <c r="FN12" s="1"/>
      <c r="FO12" s="92"/>
      <c r="FP12" s="85">
        <v>9</v>
      </c>
      <c r="FQ12" s="1"/>
      <c r="FR12" s="1"/>
      <c r="FS12" s="1"/>
      <c r="FT12" s="1"/>
      <c r="FU12" s="1"/>
      <c r="FV12" s="1"/>
      <c r="FW12" s="1"/>
      <c r="FX12" s="1">
        <f t="shared" si="10"/>
        <v>0</v>
      </c>
      <c r="FY12" s="93"/>
      <c r="FZ12" s="1"/>
      <c r="GA12" s="1"/>
      <c r="GB12" s="1"/>
      <c r="GC12" s="1"/>
      <c r="GD12" s="1"/>
      <c r="GE12" s="92"/>
      <c r="GF12" s="85">
        <v>9</v>
      </c>
      <c r="GG12" s="1"/>
      <c r="GH12" s="1"/>
      <c r="GI12" s="1"/>
      <c r="GJ12" s="1"/>
      <c r="GK12" s="1"/>
      <c r="GL12" s="1"/>
      <c r="GM12" s="1"/>
      <c r="GN12" s="1">
        <f t="shared" si="11"/>
        <v>0</v>
      </c>
      <c r="GO12" s="93"/>
      <c r="GP12" s="1"/>
      <c r="GQ12" s="1"/>
      <c r="GR12" s="1"/>
      <c r="GS12" s="1"/>
      <c r="GT12" s="1"/>
      <c r="GU12" s="93"/>
      <c r="GV12" s="90"/>
      <c r="GW12" s="74">
        <f t="shared" si="12"/>
        <v>12145</v>
      </c>
      <c r="GX12" s="75">
        <f t="shared" si="13"/>
        <v>121.45</v>
      </c>
      <c r="GZ12" s="241"/>
      <c r="HA12" s="241"/>
      <c r="HB12" s="241"/>
      <c r="HC12" s="241"/>
      <c r="HD12" s="241"/>
      <c r="HF12" s="1">
        <v>9</v>
      </c>
      <c r="HG12" s="81">
        <v>7.04</v>
      </c>
      <c r="HH12" s="4"/>
      <c r="HI12" s="1">
        <v>80</v>
      </c>
      <c r="HJ12" s="4">
        <v>46.648958784952079</v>
      </c>
      <c r="HK12" s="1"/>
      <c r="HM12" s="1">
        <v>9</v>
      </c>
      <c r="HN12" s="5">
        <v>7.85</v>
      </c>
      <c r="HO12" s="21">
        <f>1161.64-263.83+1003.77-265.97</f>
        <v>1635.6100000000001</v>
      </c>
      <c r="HP12" s="21">
        <v>60.823</v>
      </c>
      <c r="HQ12" s="21">
        <v>30.09</v>
      </c>
      <c r="HR12" s="21">
        <v>62.042000000000002</v>
      </c>
      <c r="HS12" s="21">
        <v>61.46</v>
      </c>
      <c r="HT12" s="139">
        <f t="shared" si="15"/>
        <v>4.0511797939514829E-2</v>
      </c>
      <c r="HU12" s="139">
        <f t="shared" si="16"/>
        <v>1.9341974077766725E-2</v>
      </c>
      <c r="HV12" s="138">
        <f t="shared" si="25"/>
        <v>31.635926221336035</v>
      </c>
      <c r="HW12" s="138">
        <f t="shared" si="17"/>
        <v>32.274897515384581</v>
      </c>
      <c r="HX12" s="140">
        <f t="shared" si="14"/>
        <v>0.69186747906141366</v>
      </c>
      <c r="HY12" s="132">
        <f>0.96*2500*18/17</f>
        <v>2541.1764705882351</v>
      </c>
      <c r="HZ12" s="74">
        <f t="shared" si="18"/>
        <v>1976.4705882352941</v>
      </c>
      <c r="IA12" s="1">
        <f>0*50</f>
        <v>0</v>
      </c>
      <c r="IB12" s="8">
        <v>25</v>
      </c>
      <c r="IC12" s="58">
        <f>25+25+11.8</f>
        <v>61.8</v>
      </c>
      <c r="ID12" s="58">
        <f>25+25+15.6</f>
        <v>65.599999999999994</v>
      </c>
      <c r="IE12" s="134">
        <f t="shared" si="19"/>
        <v>2448.1999999999975</v>
      </c>
      <c r="IF12" s="134">
        <f t="shared" si="20"/>
        <v>12360</v>
      </c>
      <c r="IG12" s="74">
        <f t="shared" si="21"/>
        <v>0.19807443365695773</v>
      </c>
      <c r="II12" s="1">
        <v>9</v>
      </c>
      <c r="IJ12" s="4">
        <v>100</v>
      </c>
      <c r="IK12" s="4">
        <v>0</v>
      </c>
      <c r="IL12" s="4">
        <v>0</v>
      </c>
      <c r="IM12" s="4">
        <v>0</v>
      </c>
      <c r="IN12" s="74">
        <f t="shared" si="22"/>
        <v>7629.9589999999998</v>
      </c>
      <c r="IO12" s="74">
        <f t="shared" si="23"/>
        <v>7077.4839999999995</v>
      </c>
      <c r="IP12" s="81">
        <f t="shared" si="24"/>
        <v>151.71794150061586</v>
      </c>
    </row>
    <row r="13" spans="1:250" x14ac:dyDescent="0.3">
      <c r="A13" s="100">
        <v>10</v>
      </c>
      <c r="B13" s="4">
        <v>32.387099999999997</v>
      </c>
      <c r="C13" s="4">
        <v>32.2241</v>
      </c>
      <c r="D13" s="4">
        <v>33.130400000000002</v>
      </c>
      <c r="E13" s="4">
        <v>2.2583199999999999</v>
      </c>
      <c r="F13" s="2" t="s">
        <v>115</v>
      </c>
      <c r="G13" s="69">
        <v>45326</v>
      </c>
      <c r="H13" s="1">
        <v>10</v>
      </c>
      <c r="I13" s="73" t="s">
        <v>75</v>
      </c>
      <c r="J13" s="239"/>
      <c r="L13" s="100">
        <v>10</v>
      </c>
      <c r="M13" s="1"/>
      <c r="N13" s="1"/>
      <c r="O13" s="1">
        <v>95</v>
      </c>
      <c r="P13" s="1">
        <f>105-95</f>
        <v>10</v>
      </c>
      <c r="Q13" s="1">
        <f>115-105</f>
        <v>10</v>
      </c>
      <c r="R13" s="1">
        <f>125-115</f>
        <v>10</v>
      </c>
      <c r="S13" s="1">
        <f>170-125</f>
        <v>45</v>
      </c>
      <c r="T13" s="1">
        <f t="shared" si="0"/>
        <v>170</v>
      </c>
      <c r="U13" s="233"/>
      <c r="V13" s="1"/>
      <c r="W13" s="1"/>
      <c r="X13" s="1"/>
      <c r="Y13" s="1"/>
      <c r="Z13" s="1"/>
      <c r="AB13" s="100">
        <v>10</v>
      </c>
      <c r="AC13" s="1">
        <f>650-170</f>
        <v>480</v>
      </c>
      <c r="AD13" s="1">
        <f>595-30</f>
        <v>565</v>
      </c>
      <c r="AE13" s="1">
        <f>375-5</f>
        <v>370</v>
      </c>
      <c r="AF13" s="1">
        <f>690-375</f>
        <v>315</v>
      </c>
      <c r="AG13" s="1">
        <f>580-0</f>
        <v>580</v>
      </c>
      <c r="AH13" s="1">
        <f>690-45</f>
        <v>645</v>
      </c>
      <c r="AI13" s="1">
        <f>690-10</f>
        <v>680</v>
      </c>
      <c r="AJ13" s="1">
        <f t="shared" si="1"/>
        <v>3635</v>
      </c>
      <c r="AK13" s="233"/>
      <c r="AL13" s="1"/>
      <c r="AM13" s="1"/>
      <c r="AN13" s="1"/>
      <c r="AO13" s="1"/>
      <c r="AP13" s="1"/>
      <c r="AR13" s="1">
        <v>10</v>
      </c>
      <c r="AS13" s="1">
        <f>690-0</f>
        <v>690</v>
      </c>
      <c r="AT13" s="1">
        <f>690-0</f>
        <v>690</v>
      </c>
      <c r="AU13" s="1">
        <f>690-10+245-0</f>
        <v>925</v>
      </c>
      <c r="AV13" s="1">
        <f>690-0+305-245</f>
        <v>750</v>
      </c>
      <c r="AW13" s="1">
        <f>600-10+380-305</f>
        <v>665</v>
      </c>
      <c r="AX13" s="1">
        <f>690-25</f>
        <v>665</v>
      </c>
      <c r="AY13" s="1">
        <f>690-40</f>
        <v>650</v>
      </c>
      <c r="AZ13" s="1">
        <f t="shared" si="2"/>
        <v>5035</v>
      </c>
      <c r="BA13" s="233"/>
      <c r="BB13" s="85">
        <f>AVERAGE(BB93,BB77,BB60)</f>
        <v>28.616666666666664</v>
      </c>
      <c r="BC13" s="1">
        <f>AVERAGE(BC93,BC77,BC60)</f>
        <v>7.6433333333333335</v>
      </c>
      <c r="BD13" s="1">
        <f>AVERAGE(BD93,BD77,BD60)</f>
        <v>14.75</v>
      </c>
      <c r="BE13" s="1">
        <f>AVERAGE(BE93,BE77,BE60)</f>
        <v>66.333333333333329</v>
      </c>
      <c r="BF13" s="1">
        <f>AVERAGE(BF93,BF77,BF60)</f>
        <v>48.983333333333341</v>
      </c>
      <c r="BH13" s="1">
        <v>10</v>
      </c>
      <c r="BI13" s="1">
        <f>620-50</f>
        <v>570</v>
      </c>
      <c r="BJ13" s="1">
        <f>560-30</f>
        <v>530</v>
      </c>
      <c r="BK13" s="1">
        <f>485-30</f>
        <v>455</v>
      </c>
      <c r="BL13" s="1">
        <f>350-10</f>
        <v>340</v>
      </c>
      <c r="BM13" s="1">
        <f>575-350</f>
        <v>225</v>
      </c>
      <c r="BN13" s="1">
        <f>370-40</f>
        <v>330</v>
      </c>
      <c r="BO13" s="1">
        <f>220-10</f>
        <v>210</v>
      </c>
      <c r="BP13" s="1">
        <f t="shared" si="3"/>
        <v>2660</v>
      </c>
      <c r="BQ13" s="233"/>
      <c r="BR13" s="85">
        <f>AVERAGE(BR81,BR95)</f>
        <v>51.965000000000003</v>
      </c>
      <c r="BS13" s="1">
        <f>AVERAGE(BS81,BS95)</f>
        <v>12.844999999999999</v>
      </c>
      <c r="BT13" s="1">
        <f>AVERAGE(BT81,BT95)</f>
        <v>10.615</v>
      </c>
      <c r="BU13" s="1">
        <f>AVERAGE(BU81,BU95)</f>
        <v>114.5</v>
      </c>
      <c r="BV13" s="1">
        <f>AVERAGE(BV81,BV95)</f>
        <v>24.574999999999999</v>
      </c>
      <c r="BX13" s="1">
        <v>10</v>
      </c>
      <c r="BY13" s="1">
        <f>395-220</f>
        <v>175</v>
      </c>
      <c r="BZ13" s="1">
        <f>150-35</f>
        <v>115</v>
      </c>
      <c r="CA13" s="1">
        <f>255-150</f>
        <v>105</v>
      </c>
      <c r="CB13" s="1">
        <f>355-255</f>
        <v>100</v>
      </c>
      <c r="CC13" s="1">
        <f>460-355</f>
        <v>105</v>
      </c>
      <c r="CD13" s="1">
        <f>135-40</f>
        <v>95</v>
      </c>
      <c r="CE13" s="1">
        <f>235-135</f>
        <v>100</v>
      </c>
      <c r="CF13" s="1">
        <f t="shared" si="4"/>
        <v>795</v>
      </c>
      <c r="CG13" s="233"/>
      <c r="CH13" s="1">
        <f>CH74</f>
        <v>28.04</v>
      </c>
      <c r="CI13" s="1">
        <f>CI74</f>
        <v>5.73</v>
      </c>
      <c r="CJ13" s="1">
        <f>CJ74</f>
        <v>14.8</v>
      </c>
      <c r="CK13" s="1">
        <f>CK74</f>
        <v>32</v>
      </c>
      <c r="CL13" s="1">
        <f>CL74</f>
        <v>51.43</v>
      </c>
      <c r="CN13" s="1">
        <v>10</v>
      </c>
      <c r="CO13" s="1">
        <f>340-235</f>
        <v>105</v>
      </c>
      <c r="CP13" s="1">
        <f>535-340</f>
        <v>195</v>
      </c>
      <c r="CQ13" s="1">
        <f>115-0</f>
        <v>115</v>
      </c>
      <c r="CR13" s="1">
        <f>255-115</f>
        <v>140</v>
      </c>
      <c r="CS13" s="1">
        <f>400-255</f>
        <v>145</v>
      </c>
      <c r="CT13" s="1">
        <f>-400+570</f>
        <v>170</v>
      </c>
      <c r="CU13" s="1">
        <f>140-30</f>
        <v>110</v>
      </c>
      <c r="CV13" s="1">
        <f t="shared" si="5"/>
        <v>980</v>
      </c>
      <c r="CX13" s="1">
        <f>CX49</f>
        <v>46.69</v>
      </c>
      <c r="CY13" s="1">
        <f>CY49</f>
        <v>12.09</v>
      </c>
      <c r="CZ13" s="1">
        <f>CZ49</f>
        <v>12.08</v>
      </c>
      <c r="DA13" s="1">
        <f>DA49</f>
        <v>30</v>
      </c>
      <c r="DB13" s="1">
        <f>DB49</f>
        <v>29.15</v>
      </c>
      <c r="DC13" s="84"/>
      <c r="DD13" s="1">
        <v>10</v>
      </c>
      <c r="DE13" s="1">
        <f>305-140</f>
        <v>165</v>
      </c>
      <c r="DF13" s="1">
        <f>475-305</f>
        <v>170</v>
      </c>
      <c r="DG13" s="1">
        <f>110-0</f>
        <v>110</v>
      </c>
      <c r="DH13" s="1">
        <f>280-110</f>
        <v>170</v>
      </c>
      <c r="DI13" s="1">
        <f>430-280</f>
        <v>150</v>
      </c>
      <c r="DJ13" s="1">
        <f>580-430</f>
        <v>150</v>
      </c>
      <c r="DK13" s="1">
        <f>175-40</f>
        <v>135</v>
      </c>
      <c r="DL13" s="1">
        <f t="shared" si="6"/>
        <v>1050</v>
      </c>
      <c r="DM13" s="84"/>
      <c r="DN13" s="1">
        <f>DN55</f>
        <v>16.63</v>
      </c>
      <c r="DO13" s="1">
        <f>DO55</f>
        <v>5.57</v>
      </c>
      <c r="DP13" s="1">
        <f>DP55</f>
        <v>17.3</v>
      </c>
      <c r="DQ13" s="1">
        <f>DQ55</f>
        <v>18</v>
      </c>
      <c r="DR13" s="1">
        <f>DR55</f>
        <v>60.5</v>
      </c>
      <c r="DS13" s="84"/>
      <c r="DT13" s="1">
        <v>10</v>
      </c>
      <c r="DU13" s="1">
        <f>-175+350</f>
        <v>175</v>
      </c>
      <c r="DV13" s="1">
        <f>560-350</f>
        <v>210</v>
      </c>
      <c r="DW13" s="1">
        <f>225-30</f>
        <v>195</v>
      </c>
      <c r="DX13" s="1">
        <f>380-225</f>
        <v>155</v>
      </c>
      <c r="DY13" s="1">
        <f>585-380</f>
        <v>205</v>
      </c>
      <c r="DZ13" s="1">
        <f>190-50</f>
        <v>140</v>
      </c>
      <c r="EA13" s="1">
        <f>410-190</f>
        <v>220</v>
      </c>
      <c r="EB13" s="1">
        <f t="shared" si="7"/>
        <v>1300</v>
      </c>
      <c r="EC13" s="84"/>
      <c r="ED13" s="1">
        <f>AVERAGE(ED46,ED59)</f>
        <v>39</v>
      </c>
      <c r="EE13" s="1">
        <f>AVERAGE(EE46,EE59)</f>
        <v>8.995000000000001</v>
      </c>
      <c r="EF13" s="1">
        <f>AVERAGE(EF46,EF59)</f>
        <v>12.809999999999999</v>
      </c>
      <c r="EG13" s="1">
        <f>AVERAGE(EG46,EG59)</f>
        <v>2.5</v>
      </c>
      <c r="EH13" s="1">
        <f>AVERAGE(EH46,EH59)</f>
        <v>39.195</v>
      </c>
      <c r="EI13" s="84"/>
      <c r="EJ13" s="1">
        <v>10</v>
      </c>
      <c r="EK13" s="1">
        <f>155-50</f>
        <v>105</v>
      </c>
      <c r="EL13" s="1">
        <f>260-155</f>
        <v>105</v>
      </c>
      <c r="EM13" s="1">
        <f>370-260</f>
        <v>110</v>
      </c>
      <c r="EN13" s="1">
        <f>485-370</f>
        <v>115</v>
      </c>
      <c r="EO13" s="1">
        <f>90-10</f>
        <v>80</v>
      </c>
      <c r="EP13" s="1">
        <f>175-90</f>
        <v>85</v>
      </c>
      <c r="EQ13" s="1">
        <f>275-175</f>
        <v>100</v>
      </c>
      <c r="ER13" s="1">
        <f t="shared" si="8"/>
        <v>700</v>
      </c>
      <c r="ES13" s="90"/>
      <c r="ET13" s="1"/>
      <c r="EU13" s="1"/>
      <c r="EV13" s="1"/>
      <c r="EW13" s="1"/>
      <c r="EX13" s="1"/>
      <c r="EY13" s="90"/>
      <c r="EZ13" s="1">
        <v>10</v>
      </c>
      <c r="FA13" s="1">
        <f>340-275</f>
        <v>65</v>
      </c>
      <c r="FB13" s="1">
        <f>395-340</f>
        <v>55</v>
      </c>
      <c r="FC13" s="1">
        <f>455-395</f>
        <v>60</v>
      </c>
      <c r="FD13" s="1">
        <f>550-455</f>
        <v>95</v>
      </c>
      <c r="FE13" s="1">
        <f>115-15</f>
        <v>100</v>
      </c>
      <c r="FF13" s="1">
        <f>195-115</f>
        <v>80</v>
      </c>
      <c r="FG13" s="1"/>
      <c r="FH13" s="1">
        <f t="shared" si="9"/>
        <v>455</v>
      </c>
      <c r="FI13" s="92"/>
      <c r="FJ13" s="1">
        <v>43.13</v>
      </c>
      <c r="FK13" s="1">
        <v>10.83</v>
      </c>
      <c r="FL13" s="1">
        <v>13.22</v>
      </c>
      <c r="FM13" s="1">
        <v>0</v>
      </c>
      <c r="FN13" s="1">
        <v>32.82</v>
      </c>
      <c r="FO13" s="92"/>
      <c r="FP13" s="1">
        <v>10</v>
      </c>
      <c r="FQ13" s="1">
        <f>275-195</f>
        <v>80</v>
      </c>
      <c r="FR13" s="1">
        <f>340-275</f>
        <v>65</v>
      </c>
      <c r="FS13" s="1">
        <f>390-340</f>
        <v>50</v>
      </c>
      <c r="FT13" s="1"/>
      <c r="FU13" s="1"/>
      <c r="FV13" s="1"/>
      <c r="FW13" s="1"/>
      <c r="FX13" s="1">
        <f t="shared" si="10"/>
        <v>195</v>
      </c>
      <c r="FY13" s="93"/>
      <c r="FZ13" s="1"/>
      <c r="GA13" s="1"/>
      <c r="GB13" s="1"/>
      <c r="GC13" s="1"/>
      <c r="GD13" s="1"/>
      <c r="GE13" s="92"/>
      <c r="GF13" s="1">
        <v>10</v>
      </c>
      <c r="GG13" s="1"/>
      <c r="GH13" s="1"/>
      <c r="GI13" s="1"/>
      <c r="GJ13" s="1"/>
      <c r="GK13" s="1"/>
      <c r="GL13" s="1"/>
      <c r="GM13" s="1"/>
      <c r="GN13" s="1">
        <f t="shared" si="11"/>
        <v>0</v>
      </c>
      <c r="GO13" s="93"/>
      <c r="GP13" s="1"/>
      <c r="GQ13" s="1"/>
      <c r="GR13" s="1"/>
      <c r="GS13" s="1"/>
      <c r="GT13" s="1"/>
      <c r="GU13" s="93"/>
      <c r="GV13" s="90"/>
      <c r="GW13" s="74">
        <f t="shared" si="12"/>
        <v>16975</v>
      </c>
      <c r="GX13" s="77">
        <f t="shared" si="13"/>
        <v>169.75</v>
      </c>
      <c r="GZ13" s="241"/>
      <c r="HA13" s="241"/>
      <c r="HB13" s="241"/>
      <c r="HC13" s="241"/>
      <c r="HD13" s="241"/>
      <c r="HF13" s="100">
        <v>10</v>
      </c>
      <c r="HG13" s="81">
        <v>7.11</v>
      </c>
      <c r="HH13" s="4">
        <v>497.82</v>
      </c>
      <c r="HI13" s="1">
        <v>80</v>
      </c>
      <c r="HJ13" s="4">
        <v>41.567900133795774</v>
      </c>
      <c r="HK13" s="1"/>
      <c r="HM13" s="100">
        <v>10</v>
      </c>
      <c r="HN13" s="5">
        <v>7.88</v>
      </c>
      <c r="HO13" s="5">
        <f>1178.5-264.7</f>
        <v>913.8</v>
      </c>
      <c r="HP13" s="21">
        <v>64.522000000000006</v>
      </c>
      <c r="HQ13" s="21">
        <v>30.02</v>
      </c>
      <c r="HR13" s="21">
        <v>67.180999999999997</v>
      </c>
      <c r="HS13" s="21">
        <v>65.763999999999996</v>
      </c>
      <c r="HT13" s="139">
        <f t="shared" si="15"/>
        <v>8.8574283810792534E-2</v>
      </c>
      <c r="HU13" s="139">
        <f t="shared" si="16"/>
        <v>4.7201865423051353E-2</v>
      </c>
      <c r="HV13" s="138">
        <f>HU13*HO13</f>
        <v>43.133064623584325</v>
      </c>
      <c r="HW13" s="138">
        <f t="shared" si="17"/>
        <v>15.696700461979987</v>
      </c>
      <c r="HX13" s="139">
        <f t="shared" si="14"/>
        <v>0.37761591062951394</v>
      </c>
      <c r="HY13" s="1">
        <f>0.63*2500</f>
        <v>1575</v>
      </c>
      <c r="HZ13" s="74">
        <f t="shared" si="18"/>
        <v>1225</v>
      </c>
      <c r="IA13" s="1">
        <f>1*50</f>
        <v>50</v>
      </c>
      <c r="IB13" s="8">
        <v>25</v>
      </c>
      <c r="IC13" s="58">
        <f>50*2+25+9.65</f>
        <v>134.65</v>
      </c>
      <c r="ID13" s="58">
        <f>50*2+25+14.75</f>
        <v>139.75</v>
      </c>
      <c r="IE13" s="5">
        <f t="shared" si="19"/>
        <v>3311.399999999996</v>
      </c>
      <c r="IF13" s="5">
        <f t="shared" si="20"/>
        <v>26930</v>
      </c>
      <c r="IG13" s="74">
        <f t="shared" si="21"/>
        <v>0.12296323802450783</v>
      </c>
      <c r="II13" s="100">
        <v>10</v>
      </c>
      <c r="IJ13" s="4">
        <v>32.387099999999997</v>
      </c>
      <c r="IK13" s="4">
        <v>32.2241</v>
      </c>
      <c r="IL13" s="4">
        <v>33.130400000000002</v>
      </c>
      <c r="IM13" s="4">
        <v>2.2583199999999999</v>
      </c>
      <c r="IN13" s="74">
        <f t="shared" si="22"/>
        <v>4819.5229999999992</v>
      </c>
      <c r="IO13" s="74">
        <f t="shared" si="23"/>
        <v>4267.0479999999989</v>
      </c>
      <c r="IP13" s="81">
        <f t="shared" si="24"/>
        <v>102.65247910684761</v>
      </c>
    </row>
    <row r="14" spans="1:250" x14ac:dyDescent="0.3">
      <c r="A14" s="1">
        <v>11</v>
      </c>
      <c r="B14" s="4">
        <v>0</v>
      </c>
      <c r="C14" s="4">
        <v>46.060200000000002</v>
      </c>
      <c r="D14" s="4">
        <v>46.857700000000001</v>
      </c>
      <c r="E14" s="4">
        <v>7.0820999999999996</v>
      </c>
      <c r="F14" s="2" t="s">
        <v>116</v>
      </c>
      <c r="G14" s="69">
        <v>45327</v>
      </c>
      <c r="H14" s="236" t="s">
        <v>85</v>
      </c>
      <c r="I14" s="236"/>
      <c r="J14" s="236"/>
      <c r="L14" s="1">
        <v>11</v>
      </c>
      <c r="M14" s="1"/>
      <c r="N14" s="1"/>
      <c r="O14" s="1">
        <v>55</v>
      </c>
      <c r="P14" s="1">
        <f>340-55</f>
        <v>285</v>
      </c>
      <c r="Q14" s="1">
        <f>395-340</f>
        <v>55</v>
      </c>
      <c r="R14" s="1">
        <v>60</v>
      </c>
      <c r="S14" s="1">
        <v>60</v>
      </c>
      <c r="T14" s="1">
        <f t="shared" si="0"/>
        <v>515</v>
      </c>
      <c r="U14" s="233"/>
      <c r="V14" s="1"/>
      <c r="W14" s="1"/>
      <c r="X14" s="1"/>
      <c r="Y14" s="1"/>
      <c r="Z14" s="1"/>
      <c r="AB14" s="1">
        <v>11</v>
      </c>
      <c r="AC14" s="1">
        <v>350</v>
      </c>
      <c r="AD14" s="1">
        <v>370</v>
      </c>
      <c r="AE14" s="1">
        <v>335</v>
      </c>
      <c r="AF14" s="1">
        <v>170</v>
      </c>
      <c r="AG14" s="1">
        <v>300</v>
      </c>
      <c r="AH14" s="1">
        <v>340</v>
      </c>
      <c r="AI14" s="1">
        <v>595</v>
      </c>
      <c r="AJ14" s="1">
        <f t="shared" si="1"/>
        <v>2460</v>
      </c>
      <c r="AK14" s="233"/>
      <c r="AL14" s="1"/>
      <c r="AM14" s="1"/>
      <c r="AN14" s="1"/>
      <c r="AO14" s="1"/>
      <c r="AP14" s="1"/>
      <c r="AR14" s="1">
        <v>11</v>
      </c>
      <c r="AS14" s="1">
        <v>620</v>
      </c>
      <c r="AT14" s="1">
        <v>655</v>
      </c>
      <c r="AU14" s="1">
        <v>690</v>
      </c>
      <c r="AV14" s="1">
        <v>605</v>
      </c>
      <c r="AW14" s="1">
        <v>620</v>
      </c>
      <c r="AX14" s="1">
        <v>550</v>
      </c>
      <c r="AY14" s="1">
        <v>530</v>
      </c>
      <c r="AZ14" s="1">
        <f t="shared" si="2"/>
        <v>4270</v>
      </c>
      <c r="BA14" s="233"/>
      <c r="BB14" s="1">
        <f>BB59</f>
        <v>29.79</v>
      </c>
      <c r="BC14" s="1">
        <f>BC59</f>
        <v>16.29</v>
      </c>
      <c r="BD14" s="1">
        <f>BD59</f>
        <v>10.53</v>
      </c>
      <c r="BE14" s="1">
        <f>BE59</f>
        <v>10</v>
      </c>
      <c r="BF14" s="1">
        <f>BF59</f>
        <v>43.38</v>
      </c>
      <c r="BH14" s="1">
        <v>11</v>
      </c>
      <c r="BI14" s="1">
        <v>470</v>
      </c>
      <c r="BJ14" s="1">
        <v>445</v>
      </c>
      <c r="BK14" s="1">
        <v>385</v>
      </c>
      <c r="BL14" s="1">
        <v>280</v>
      </c>
      <c r="BM14" s="1">
        <v>230</v>
      </c>
      <c r="BN14" s="1">
        <v>235</v>
      </c>
      <c r="BO14" s="1">
        <v>170</v>
      </c>
      <c r="BP14" s="1">
        <f t="shared" si="3"/>
        <v>2215</v>
      </c>
      <c r="BQ14" s="233"/>
      <c r="BR14" s="1"/>
      <c r="BS14" s="1"/>
      <c r="BT14" s="1"/>
      <c r="BU14" s="1"/>
      <c r="BV14" s="1"/>
      <c r="BX14" s="1">
        <v>11</v>
      </c>
      <c r="BY14" s="1">
        <v>295</v>
      </c>
      <c r="BZ14" s="1">
        <v>180</v>
      </c>
      <c r="CA14" s="1">
        <v>175</v>
      </c>
      <c r="CB14" s="1">
        <v>170</v>
      </c>
      <c r="CC14" s="1">
        <v>160</v>
      </c>
      <c r="CD14" s="1">
        <v>190</v>
      </c>
      <c r="CE14" s="1">
        <v>195</v>
      </c>
      <c r="CF14" s="1">
        <f t="shared" si="4"/>
        <v>1365</v>
      </c>
      <c r="CG14" s="233"/>
      <c r="CH14" s="1">
        <f>CH56</f>
        <v>32.520000000000003</v>
      </c>
      <c r="CI14" s="1">
        <f>CI56</f>
        <v>15.24</v>
      </c>
      <c r="CJ14" s="1">
        <f>CJ56</f>
        <v>5.77</v>
      </c>
      <c r="CK14" s="1">
        <f>CK56</f>
        <v>2</v>
      </c>
      <c r="CL14" s="1">
        <f>CL56</f>
        <v>46.48</v>
      </c>
      <c r="CN14" s="1">
        <v>11</v>
      </c>
      <c r="CO14" s="1">
        <v>200</v>
      </c>
      <c r="CP14" s="1">
        <v>195</v>
      </c>
      <c r="CQ14" s="1">
        <v>210</v>
      </c>
      <c r="CR14" s="1">
        <v>235</v>
      </c>
      <c r="CS14" s="1">
        <v>260</v>
      </c>
      <c r="CT14" s="1">
        <v>210</v>
      </c>
      <c r="CU14" s="1">
        <v>205</v>
      </c>
      <c r="CV14" s="1">
        <f t="shared" si="5"/>
        <v>1515</v>
      </c>
      <c r="CX14" s="1"/>
      <c r="CY14" s="1"/>
      <c r="CZ14" s="1"/>
      <c r="DA14" s="1"/>
      <c r="DB14" s="1"/>
      <c r="DC14" s="84"/>
      <c r="DD14" s="1">
        <v>11</v>
      </c>
      <c r="DE14" s="1">
        <v>240</v>
      </c>
      <c r="DF14" s="1">
        <v>220</v>
      </c>
      <c r="DG14" s="1">
        <v>285</v>
      </c>
      <c r="DH14" s="1">
        <v>210</v>
      </c>
      <c r="DI14" s="1">
        <v>255</v>
      </c>
      <c r="DJ14" s="1">
        <v>265</v>
      </c>
      <c r="DK14" s="1">
        <v>215</v>
      </c>
      <c r="DL14" s="1">
        <f t="shared" si="6"/>
        <v>1690</v>
      </c>
      <c r="DM14" s="84"/>
      <c r="DN14" s="1"/>
      <c r="DO14" s="1"/>
      <c r="DP14" s="1"/>
      <c r="DQ14" s="1"/>
      <c r="DR14" s="1"/>
      <c r="DS14" s="84"/>
      <c r="DT14" s="1">
        <v>11</v>
      </c>
      <c r="DU14" s="1">
        <v>240</v>
      </c>
      <c r="DV14" s="1">
        <v>245</v>
      </c>
      <c r="DW14" s="1">
        <v>250</v>
      </c>
      <c r="DX14" s="1">
        <v>205</v>
      </c>
      <c r="DY14" s="1">
        <v>255</v>
      </c>
      <c r="DZ14" s="1">
        <v>180</v>
      </c>
      <c r="EA14" s="1">
        <v>235</v>
      </c>
      <c r="EB14" s="1">
        <f t="shared" si="7"/>
        <v>1610</v>
      </c>
      <c r="EC14" s="84"/>
      <c r="ED14" s="1">
        <f>ED45</f>
        <v>32.57</v>
      </c>
      <c r="EE14" s="1">
        <f>EE45</f>
        <v>4.6399999999999997</v>
      </c>
      <c r="EF14" s="1">
        <f>EF45</f>
        <v>10.66</v>
      </c>
      <c r="EG14" s="1">
        <f>EG45</f>
        <v>1</v>
      </c>
      <c r="EH14" s="1">
        <f>EH45</f>
        <v>52.13</v>
      </c>
      <c r="EI14" s="84"/>
      <c r="EJ14" s="1">
        <v>11</v>
      </c>
      <c r="EK14" s="1">
        <v>180</v>
      </c>
      <c r="EL14" s="1">
        <v>225</v>
      </c>
      <c r="EM14" s="1">
        <v>240</v>
      </c>
      <c r="EN14" s="1">
        <v>235</v>
      </c>
      <c r="EO14" s="1">
        <v>210</v>
      </c>
      <c r="EP14" s="1">
        <v>260</v>
      </c>
      <c r="EQ14" s="1">
        <v>280</v>
      </c>
      <c r="ER14" s="1">
        <f t="shared" si="8"/>
        <v>1630</v>
      </c>
      <c r="ES14" s="90"/>
      <c r="ET14" s="1"/>
      <c r="EU14" s="1"/>
      <c r="EV14" s="1"/>
      <c r="EW14" s="1"/>
      <c r="EX14" s="1"/>
      <c r="EY14" s="90"/>
      <c r="EZ14" s="85">
        <v>11</v>
      </c>
      <c r="FA14" s="1">
        <v>195</v>
      </c>
      <c r="FB14" s="1">
        <v>170</v>
      </c>
      <c r="FC14" s="1">
        <v>165</v>
      </c>
      <c r="FD14" s="1">
        <v>165</v>
      </c>
      <c r="FE14" s="1">
        <v>180</v>
      </c>
      <c r="FF14" s="1">
        <v>160</v>
      </c>
      <c r="FG14" s="1"/>
      <c r="FH14" s="1">
        <f t="shared" si="9"/>
        <v>1035</v>
      </c>
      <c r="FI14" s="92"/>
      <c r="FJ14" s="1">
        <v>0.74</v>
      </c>
      <c r="FK14" s="1">
        <v>0.21</v>
      </c>
      <c r="FL14" s="1">
        <v>20.76</v>
      </c>
      <c r="FM14" s="1">
        <v>0</v>
      </c>
      <c r="FN14" s="1">
        <v>78.290000000000006</v>
      </c>
      <c r="FO14" s="92"/>
      <c r="FP14" s="85">
        <v>11</v>
      </c>
      <c r="FQ14" s="1"/>
      <c r="FR14" s="1"/>
      <c r="FS14" s="1"/>
      <c r="FT14" s="1"/>
      <c r="FU14" s="1"/>
      <c r="FV14" s="1"/>
      <c r="FW14" s="1"/>
      <c r="FX14" s="1">
        <f t="shared" si="10"/>
        <v>0</v>
      </c>
      <c r="FY14" s="93"/>
      <c r="FZ14" s="1"/>
      <c r="GA14" s="1"/>
      <c r="GB14" s="1"/>
      <c r="GC14" s="1"/>
      <c r="GD14" s="1"/>
      <c r="GE14" s="92"/>
      <c r="GF14" s="85">
        <v>11</v>
      </c>
      <c r="GG14" s="1"/>
      <c r="GH14" s="1"/>
      <c r="GI14" s="1"/>
      <c r="GJ14" s="1"/>
      <c r="GK14" s="1"/>
      <c r="GL14" s="1"/>
      <c r="GM14" s="1"/>
      <c r="GN14" s="1">
        <f t="shared" si="11"/>
        <v>0</v>
      </c>
      <c r="GO14" s="93"/>
      <c r="GP14" s="1"/>
      <c r="GQ14" s="1"/>
      <c r="GR14" s="1"/>
      <c r="GS14" s="1"/>
      <c r="GT14" s="1"/>
      <c r="GU14" s="93"/>
      <c r="GV14" s="90"/>
      <c r="GW14" s="74">
        <f t="shared" si="12"/>
        <v>18305</v>
      </c>
      <c r="GX14" s="75">
        <f t="shared" si="13"/>
        <v>183.05</v>
      </c>
      <c r="HF14" s="1">
        <v>11</v>
      </c>
      <c r="HG14" s="81">
        <v>7.29</v>
      </c>
      <c r="HH14" s="4">
        <v>501.38</v>
      </c>
      <c r="HI14" s="1">
        <v>80</v>
      </c>
      <c r="HJ14" s="4">
        <v>39.328123960246664</v>
      </c>
      <c r="HK14" s="1"/>
      <c r="HM14" s="1">
        <v>11</v>
      </c>
      <c r="HN14" s="5">
        <v>7.97</v>
      </c>
      <c r="HO14" s="5">
        <f>1023.7-266.7</f>
        <v>757</v>
      </c>
      <c r="HP14" s="21">
        <v>62.015000000000001</v>
      </c>
      <c r="HQ14" s="21">
        <v>30.09</v>
      </c>
      <c r="HR14" s="21">
        <v>65.114999999999995</v>
      </c>
      <c r="HS14" s="21">
        <v>63.389000000000003</v>
      </c>
      <c r="HT14" s="139">
        <f t="shared" si="15"/>
        <v>0.10302426055167811</v>
      </c>
      <c r="HU14" s="139">
        <f t="shared" si="16"/>
        <v>5.7361249584579325E-2</v>
      </c>
      <c r="HV14" s="138">
        <f>HU14*HO14</f>
        <v>43.422465935526546</v>
      </c>
      <c r="HW14" s="138">
        <f t="shared" si="17"/>
        <v>13.167522976488655</v>
      </c>
      <c r="HX14" s="139">
        <f t="shared" si="14"/>
        <v>0.33481187635084103</v>
      </c>
      <c r="HY14" s="1">
        <f>1.64*2500</f>
        <v>4100</v>
      </c>
      <c r="HZ14" s="74">
        <f t="shared" si="18"/>
        <v>3188.8888888888887</v>
      </c>
      <c r="IA14" s="1">
        <f>1*50</f>
        <v>50</v>
      </c>
      <c r="IB14" s="8">
        <v>25</v>
      </c>
      <c r="IC14" s="10">
        <f>50*2+25+15.9</f>
        <v>140.9</v>
      </c>
      <c r="ID14" s="10">
        <f>50*2+25+20.8</f>
        <v>145.80000000000001</v>
      </c>
      <c r="IE14" s="5">
        <f t="shared" si="19"/>
        <v>3178.600000000004</v>
      </c>
      <c r="IF14" s="5">
        <f t="shared" si="20"/>
        <v>28180</v>
      </c>
      <c r="IG14" s="74">
        <f t="shared" si="21"/>
        <v>0.1127963094393188</v>
      </c>
      <c r="II14" s="1">
        <v>11</v>
      </c>
      <c r="IJ14" s="4">
        <v>0</v>
      </c>
      <c r="IK14" s="4">
        <v>46.060200000000002</v>
      </c>
      <c r="IL14" s="4">
        <v>46.857700000000001</v>
      </c>
      <c r="IM14" s="4">
        <v>7.0820999999999996</v>
      </c>
      <c r="IN14" s="74">
        <f t="shared" si="22"/>
        <v>5409.1374999999998</v>
      </c>
      <c r="IO14" s="74">
        <f t="shared" si="23"/>
        <v>4856.6624999999995</v>
      </c>
      <c r="IP14" s="81">
        <f t="shared" si="24"/>
        <v>123.49082567246715</v>
      </c>
    </row>
    <row r="15" spans="1:250" x14ac:dyDescent="0.3">
      <c r="A15" s="99">
        <v>12</v>
      </c>
      <c r="B15" s="4">
        <v>27.197399999999998</v>
      </c>
      <c r="C15" s="4">
        <v>0</v>
      </c>
      <c r="D15" s="4">
        <v>72.802599999999998</v>
      </c>
      <c r="E15" s="4">
        <v>0</v>
      </c>
      <c r="F15" s="2" t="s">
        <v>109</v>
      </c>
      <c r="L15" s="99">
        <v>12</v>
      </c>
      <c r="M15" s="1"/>
      <c r="N15" s="1"/>
      <c r="O15" s="1">
        <v>720</v>
      </c>
      <c r="P15" s="1">
        <f>1090-720</f>
        <v>370</v>
      </c>
      <c r="Q15" s="1">
        <f>490-40</f>
        <v>450</v>
      </c>
      <c r="R15" s="1">
        <f>980-490</f>
        <v>490</v>
      </c>
      <c r="S15" s="1">
        <f>900-30</f>
        <v>870</v>
      </c>
      <c r="T15" s="1">
        <f t="shared" si="0"/>
        <v>2900</v>
      </c>
      <c r="U15" s="233"/>
      <c r="V15" s="1"/>
      <c r="W15" s="1"/>
      <c r="X15" s="1"/>
      <c r="Y15" s="1"/>
      <c r="Z15" s="1"/>
      <c r="AB15" s="99">
        <v>12</v>
      </c>
      <c r="AC15" s="1">
        <f>810-20</f>
        <v>790</v>
      </c>
      <c r="AD15" s="1">
        <f>650-60</f>
        <v>590</v>
      </c>
      <c r="AE15" s="1">
        <f>1100-650</f>
        <v>450</v>
      </c>
      <c r="AF15" s="1">
        <f>710-30</f>
        <v>680</v>
      </c>
      <c r="AG15" s="1">
        <f>1150-710</f>
        <v>440</v>
      </c>
      <c r="AH15" s="1">
        <f>1140-20</f>
        <v>1120</v>
      </c>
      <c r="AI15" s="1">
        <f>1150-10</f>
        <v>1140</v>
      </c>
      <c r="AJ15" s="1">
        <f t="shared" si="1"/>
        <v>5210</v>
      </c>
      <c r="AK15" s="233"/>
      <c r="AL15" s="64">
        <f>AVERAGE(AL70,AL54,AL49,AL42)</f>
        <v>40.715000000000003</v>
      </c>
      <c r="AM15" s="4">
        <f>AVERAGE(AM70,AM54,AM49,AM42)</f>
        <v>25.362499999999997</v>
      </c>
      <c r="AN15" s="4">
        <f>AVERAGE(AN70,AN54,AN49,AN42)</f>
        <v>5.0274999999999999</v>
      </c>
      <c r="AO15" s="4">
        <f>AVERAGE(AO70,AO54,AO49,AO42)</f>
        <v>498.25</v>
      </c>
      <c r="AP15" s="4">
        <f>AVERAGE(AP70,AP54,AP49,AP42)</f>
        <v>28.892499999999998</v>
      </c>
      <c r="AR15" s="1">
        <v>12</v>
      </c>
      <c r="AS15" s="1">
        <f>1290-15</f>
        <v>1275</v>
      </c>
      <c r="AT15" s="1">
        <f>1165-0</f>
        <v>1165</v>
      </c>
      <c r="AU15" s="1">
        <f>1050-30+300-40</f>
        <v>1280</v>
      </c>
      <c r="AV15" s="1">
        <f>1040-40+550-300</f>
        <v>1250</v>
      </c>
      <c r="AW15" s="1">
        <f>980-40+750-550</f>
        <v>1140</v>
      </c>
      <c r="AX15" s="1">
        <f>900-40</f>
        <v>860</v>
      </c>
      <c r="AY15" s="1">
        <f>870-0</f>
        <v>870</v>
      </c>
      <c r="AZ15" s="1">
        <f t="shared" si="2"/>
        <v>7840</v>
      </c>
      <c r="BA15" s="233"/>
      <c r="BB15" s="85">
        <f>AVERAGE(BB48,BB55,BB87,BB94,BB99)</f>
        <v>58.576000000000001</v>
      </c>
      <c r="BC15" s="1">
        <f>AVERAGE(BC48,BC55,BC87,BC94,BC99)</f>
        <v>16.431999999999999</v>
      </c>
      <c r="BD15" s="1">
        <f>AVERAGE(BD48,BD55,BD87,BD94,BD99)</f>
        <v>4.9539999999999997</v>
      </c>
      <c r="BE15" s="1">
        <f>AVERAGE(BE48,BE55,BE87,BE94,BE99)</f>
        <v>412.6</v>
      </c>
      <c r="BF15" s="1">
        <f>AVERAGE(BF48,BF55,BF87,BF94,BF99)</f>
        <v>20.044</v>
      </c>
      <c r="BH15" s="1">
        <v>12</v>
      </c>
      <c r="BI15" s="1">
        <f>850-40</f>
        <v>810</v>
      </c>
      <c r="BJ15" s="1">
        <f>760-20</f>
        <v>740</v>
      </c>
      <c r="BK15" s="1">
        <f>1160-30+200-760</f>
        <v>570</v>
      </c>
      <c r="BL15" s="1">
        <f>590-200</f>
        <v>390</v>
      </c>
      <c r="BM15" s="1">
        <f>930-590</f>
        <v>340</v>
      </c>
      <c r="BN15" s="1">
        <f>320-50</f>
        <v>270</v>
      </c>
      <c r="BO15" s="1">
        <f>560-320</f>
        <v>240</v>
      </c>
      <c r="BP15" s="1">
        <f t="shared" si="3"/>
        <v>3360</v>
      </c>
      <c r="BQ15" s="233"/>
      <c r="BR15" s="85">
        <f>+AVERAGE(BR40,BR88,BR50)</f>
        <v>69.813333333333333</v>
      </c>
      <c r="BS15" s="1">
        <f>+AVERAGE(BS40,BS88,BS50)</f>
        <v>14.273333333333333</v>
      </c>
      <c r="BT15" s="1">
        <f>+AVERAGE(BT40,BT88,BT50)</f>
        <v>3.2600000000000002</v>
      </c>
      <c r="BU15" s="1">
        <f>+AVERAGE(BU40,BU88,BU50)</f>
        <v>236</v>
      </c>
      <c r="BV15" s="1">
        <f>+AVERAGE(BV40,BV88,BV50)</f>
        <v>12.653333333333331</v>
      </c>
      <c r="BX15" s="1">
        <v>12</v>
      </c>
      <c r="BY15" s="1">
        <f>640-560</f>
        <v>80</v>
      </c>
      <c r="BZ15" s="1">
        <f>730-640</f>
        <v>90</v>
      </c>
      <c r="CA15" s="1">
        <f>810-730</f>
        <v>80</v>
      </c>
      <c r="CB15" s="1">
        <f>-810+890</f>
        <v>80</v>
      </c>
      <c r="CC15" s="1">
        <f>230-50</f>
        <v>180</v>
      </c>
      <c r="CD15" s="1">
        <f>340-230</f>
        <v>110</v>
      </c>
      <c r="CE15" s="1">
        <f>480-340</f>
        <v>140</v>
      </c>
      <c r="CF15" s="1">
        <f t="shared" si="4"/>
        <v>760</v>
      </c>
      <c r="CG15" s="233"/>
      <c r="CH15" s="1">
        <f>CH52</f>
        <v>68.14</v>
      </c>
      <c r="CI15" s="1">
        <f>CI52</f>
        <v>9.98</v>
      </c>
      <c r="CJ15" s="1">
        <f>CJ52</f>
        <v>4.68</v>
      </c>
      <c r="CK15" s="1">
        <f>CK52</f>
        <v>43</v>
      </c>
      <c r="CL15" s="1">
        <f>CL52</f>
        <v>17.2</v>
      </c>
      <c r="CN15" s="1">
        <v>12</v>
      </c>
      <c r="CO15" s="1">
        <f>600-480</f>
        <v>120</v>
      </c>
      <c r="CP15" s="1">
        <f>760-600</f>
        <v>160</v>
      </c>
      <c r="CQ15" s="1">
        <f>860-760</f>
        <v>100</v>
      </c>
      <c r="CR15" s="1">
        <f>960-860</f>
        <v>100</v>
      </c>
      <c r="CS15" s="1">
        <f>130-10</f>
        <v>120</v>
      </c>
      <c r="CT15" s="1">
        <f>-130+280</f>
        <v>150</v>
      </c>
      <c r="CU15" s="1">
        <f>370-280</f>
        <v>90</v>
      </c>
      <c r="CV15" s="1">
        <f t="shared" si="5"/>
        <v>840</v>
      </c>
      <c r="CX15" s="1">
        <f>CX43</f>
        <v>67.75</v>
      </c>
      <c r="CY15" s="1">
        <f>CY43</f>
        <v>12.29</v>
      </c>
      <c r="CZ15" s="1">
        <f>CZ43</f>
        <v>4.18</v>
      </c>
      <c r="DA15" s="1">
        <f>DA43</f>
        <v>26</v>
      </c>
      <c r="DB15" s="1">
        <f>DB43</f>
        <v>15.78</v>
      </c>
      <c r="DC15" s="84"/>
      <c r="DD15" s="1">
        <v>12</v>
      </c>
      <c r="DE15" s="1">
        <f>470-370</f>
        <v>100</v>
      </c>
      <c r="DF15" s="1">
        <f>600-470</f>
        <v>130</v>
      </c>
      <c r="DG15" s="1">
        <f>650-600</f>
        <v>50</v>
      </c>
      <c r="DH15" s="1">
        <f>760-650</f>
        <v>110</v>
      </c>
      <c r="DI15" s="1">
        <f>850-760</f>
        <v>90</v>
      </c>
      <c r="DJ15" s="1">
        <f>130-10</f>
        <v>120</v>
      </c>
      <c r="DK15" s="1">
        <f>260-130</f>
        <v>130</v>
      </c>
      <c r="DL15" s="1">
        <f t="shared" si="6"/>
        <v>730</v>
      </c>
      <c r="DM15" s="84"/>
      <c r="DN15" s="1">
        <f>DN43</f>
        <v>60.69</v>
      </c>
      <c r="DO15" s="1">
        <f>DO43</f>
        <v>14.18</v>
      </c>
      <c r="DP15" s="1">
        <f>DP43</f>
        <v>5.09</v>
      </c>
      <c r="DQ15" s="1">
        <f>DQ43</f>
        <v>107</v>
      </c>
      <c r="DR15" s="1">
        <f>DR43</f>
        <v>20.04</v>
      </c>
      <c r="DS15" s="84"/>
      <c r="DT15" s="85">
        <v>12</v>
      </c>
      <c r="DU15" s="1">
        <f>-260+430</f>
        <v>170</v>
      </c>
      <c r="DV15" s="85"/>
      <c r="DW15" s="1"/>
      <c r="DX15" s="1"/>
      <c r="DY15" s="1"/>
      <c r="DZ15" s="1"/>
      <c r="EA15" s="1"/>
      <c r="EB15" s="1">
        <f t="shared" si="7"/>
        <v>170</v>
      </c>
      <c r="EC15" s="84"/>
      <c r="ED15" s="1">
        <f>ED63</f>
        <v>54.45</v>
      </c>
      <c r="EE15" s="1">
        <f>EE63</f>
        <v>14.7</v>
      </c>
      <c r="EF15" s="1">
        <f>EF63</f>
        <v>6.22</v>
      </c>
      <c r="EG15" s="1">
        <f>EG63</f>
        <v>108</v>
      </c>
      <c r="EH15" s="1">
        <f>EH63</f>
        <v>24.63</v>
      </c>
      <c r="EI15" s="84"/>
      <c r="EJ15" s="85">
        <v>12</v>
      </c>
      <c r="EK15" s="1"/>
      <c r="EL15" s="1"/>
      <c r="EM15" s="1"/>
      <c r="EN15" s="1"/>
      <c r="EO15" s="1"/>
      <c r="EP15" s="1"/>
      <c r="EQ15" s="1"/>
      <c r="ER15" s="1">
        <f t="shared" si="8"/>
        <v>0</v>
      </c>
      <c r="ES15" s="90"/>
      <c r="ET15" s="1"/>
      <c r="EU15" s="1"/>
      <c r="EV15" s="1"/>
      <c r="EW15" s="1"/>
      <c r="EX15" s="1"/>
      <c r="EY15" s="90"/>
      <c r="EZ15" s="85">
        <v>12</v>
      </c>
      <c r="FA15" s="1"/>
      <c r="FB15" s="1"/>
      <c r="FC15" s="1"/>
      <c r="FD15" s="1"/>
      <c r="FE15" s="1"/>
      <c r="FF15" s="1"/>
      <c r="FG15" s="1"/>
      <c r="FH15" s="1">
        <f t="shared" si="9"/>
        <v>0</v>
      </c>
      <c r="FI15" s="92"/>
      <c r="FJ15" s="1"/>
      <c r="FK15" s="1"/>
      <c r="FL15" s="1"/>
      <c r="FM15" s="1"/>
      <c r="FN15" s="1"/>
      <c r="FO15" s="92"/>
      <c r="FP15" s="85">
        <v>12</v>
      </c>
      <c r="FQ15" s="1"/>
      <c r="FR15" s="1"/>
      <c r="FS15" s="1"/>
      <c r="FT15" s="1"/>
      <c r="FU15" s="1"/>
      <c r="FV15" s="1"/>
      <c r="FW15" s="1"/>
      <c r="FX15" s="1">
        <f t="shared" si="10"/>
        <v>0</v>
      </c>
      <c r="FY15" s="93"/>
      <c r="FZ15" s="1"/>
      <c r="GA15" s="1"/>
      <c r="GB15" s="1"/>
      <c r="GC15" s="1"/>
      <c r="GD15" s="1"/>
      <c r="GE15" s="92"/>
      <c r="GF15" s="85">
        <v>12</v>
      </c>
      <c r="GG15" s="1"/>
      <c r="GH15" s="1"/>
      <c r="GI15" s="1"/>
      <c r="GJ15" s="1"/>
      <c r="GK15" s="1"/>
      <c r="GL15" s="1"/>
      <c r="GM15" s="1"/>
      <c r="GN15" s="1">
        <f t="shared" si="11"/>
        <v>0</v>
      </c>
      <c r="GO15" s="93"/>
      <c r="GP15" s="1"/>
      <c r="GQ15" s="1"/>
      <c r="GR15" s="1"/>
      <c r="GS15" s="1"/>
      <c r="GT15" s="1"/>
      <c r="GU15" s="93"/>
      <c r="GV15" s="90"/>
      <c r="GW15" s="74">
        <f t="shared" si="12"/>
        <v>21810</v>
      </c>
      <c r="GX15" s="75">
        <f t="shared" si="13"/>
        <v>218.1</v>
      </c>
      <c r="HF15" s="99">
        <v>12</v>
      </c>
      <c r="HG15" s="4">
        <v>7.05</v>
      </c>
      <c r="HH15" s="4"/>
      <c r="HI15" s="1">
        <v>80</v>
      </c>
      <c r="HJ15" s="4">
        <v>44.365390734948178</v>
      </c>
      <c r="HK15" s="1"/>
      <c r="HM15" s="99">
        <v>12</v>
      </c>
      <c r="HN15" s="5">
        <v>7.89</v>
      </c>
      <c r="HO15" s="21">
        <f>1127.97-264.05+600.97-263.38</f>
        <v>1201.5100000000002</v>
      </c>
      <c r="HP15" s="21">
        <v>66.741</v>
      </c>
      <c r="HQ15" s="21">
        <v>30.03</v>
      </c>
      <c r="HR15" s="21">
        <v>68.456999999999994</v>
      </c>
      <c r="HS15" s="21">
        <v>67.634</v>
      </c>
      <c r="HT15" s="139">
        <f t="shared" si="15"/>
        <v>5.714285714285694E-2</v>
      </c>
      <c r="HU15" s="139">
        <f t="shared" si="16"/>
        <v>2.7405927405927181E-2</v>
      </c>
      <c r="HV15" s="138">
        <f t="shared" si="25"/>
        <v>32.928495837495575</v>
      </c>
      <c r="HW15" s="138">
        <f t="shared" si="17"/>
        <v>28.69875984922114</v>
      </c>
      <c r="HX15" s="141">
        <f t="shared" si="14"/>
        <v>0.64687269454417584</v>
      </c>
      <c r="HY15" s="133">
        <f>0.97*2500*18/17</f>
        <v>2567.6470588235293</v>
      </c>
      <c r="HZ15" s="74">
        <f t="shared" si="18"/>
        <v>1997.0588235294117</v>
      </c>
      <c r="IA15" s="1">
        <f>0*50</f>
        <v>0</v>
      </c>
      <c r="IB15" s="8">
        <v>25</v>
      </c>
      <c r="IC15" s="10">
        <f>25+25+25+25+20.7</f>
        <v>120.7</v>
      </c>
      <c r="ID15" s="10">
        <f>IC15+6.4</f>
        <v>127.10000000000001</v>
      </c>
      <c r="IE15" s="136">
        <f t="shared" si="19"/>
        <v>4174.6000000000031</v>
      </c>
      <c r="IF15" s="136">
        <f t="shared" si="20"/>
        <v>24140</v>
      </c>
      <c r="IG15" s="74">
        <f t="shared" si="21"/>
        <v>0.17293289146644586</v>
      </c>
      <c r="II15" s="99">
        <v>12</v>
      </c>
      <c r="IJ15" s="4">
        <v>27.197399999999998</v>
      </c>
      <c r="IK15" s="4">
        <v>0</v>
      </c>
      <c r="IL15" s="4">
        <v>72.802599999999998</v>
      </c>
      <c r="IM15" s="4">
        <v>0</v>
      </c>
      <c r="IN15" s="74">
        <f t="shared" si="22"/>
        <v>11161.333000000002</v>
      </c>
      <c r="IO15" s="74">
        <f t="shared" si="23"/>
        <v>10608.858000000002</v>
      </c>
      <c r="IP15" s="81">
        <f>IO15/HJ15</f>
        <v>239.12463801751286</v>
      </c>
    </row>
    <row r="16" spans="1:250" x14ac:dyDescent="0.3">
      <c r="A16" s="1">
        <v>13</v>
      </c>
      <c r="B16" s="4">
        <v>0</v>
      </c>
      <c r="C16" s="4">
        <v>0</v>
      </c>
      <c r="D16" s="4">
        <v>0</v>
      </c>
      <c r="E16" s="4">
        <v>100</v>
      </c>
      <c r="F16" s="2" t="s">
        <v>118</v>
      </c>
      <c r="L16" s="1">
        <v>13</v>
      </c>
      <c r="M16" s="1"/>
      <c r="N16" s="1"/>
      <c r="O16" s="1">
        <v>120</v>
      </c>
      <c r="P16" s="1">
        <f>120-120</f>
        <v>0</v>
      </c>
      <c r="Q16" s="1">
        <f>150-120</f>
        <v>30</v>
      </c>
      <c r="R16" s="1">
        <f>180-150</f>
        <v>30</v>
      </c>
      <c r="S16" s="1">
        <f>210-180</f>
        <v>30</v>
      </c>
      <c r="T16" s="1">
        <f t="shared" si="0"/>
        <v>210</v>
      </c>
      <c r="U16" s="233"/>
      <c r="V16" s="1"/>
      <c r="W16" s="1"/>
      <c r="X16" s="1"/>
      <c r="Y16" s="1"/>
      <c r="Z16" s="1"/>
      <c r="AB16" s="1">
        <v>13</v>
      </c>
      <c r="AC16" s="1">
        <f>245-210</f>
        <v>35</v>
      </c>
      <c r="AD16" s="1">
        <f>270-245</f>
        <v>25</v>
      </c>
      <c r="AE16" s="1">
        <f>360-270</f>
        <v>90</v>
      </c>
      <c r="AF16" s="1">
        <f>370-360</f>
        <v>10</v>
      </c>
      <c r="AG16" s="1">
        <f>400-370</f>
        <v>30</v>
      </c>
      <c r="AH16" s="1">
        <f>420-400</f>
        <v>20</v>
      </c>
      <c r="AI16" s="1">
        <f>440-420</f>
        <v>20</v>
      </c>
      <c r="AJ16" s="1">
        <f t="shared" si="1"/>
        <v>230</v>
      </c>
      <c r="AK16" s="233"/>
      <c r="AL16" s="1"/>
      <c r="AM16" s="1"/>
      <c r="AN16" s="1"/>
      <c r="AO16" s="1"/>
      <c r="AP16" s="1"/>
      <c r="AR16" s="1">
        <v>13</v>
      </c>
      <c r="AS16" s="1">
        <f>460-440</f>
        <v>20</v>
      </c>
      <c r="AT16" s="1">
        <f>490-460</f>
        <v>30</v>
      </c>
      <c r="AU16" s="1">
        <f>500-490</f>
        <v>10</v>
      </c>
      <c r="AV16" s="1">
        <f>510-500</f>
        <v>10</v>
      </c>
      <c r="AW16" s="1">
        <f>530-510</f>
        <v>20</v>
      </c>
      <c r="AX16" s="1">
        <f>540-530</f>
        <v>10</v>
      </c>
      <c r="AY16" s="1">
        <f>560-540</f>
        <v>20</v>
      </c>
      <c r="AZ16" s="1">
        <f t="shared" si="2"/>
        <v>120</v>
      </c>
      <c r="BA16" s="233"/>
      <c r="BB16" s="1"/>
      <c r="BC16" s="1"/>
      <c r="BD16" s="1"/>
      <c r="BE16" s="1"/>
      <c r="BF16" s="1"/>
      <c r="BH16" s="1">
        <v>13</v>
      </c>
      <c r="BI16" s="1">
        <f>570-560</f>
        <v>10</v>
      </c>
      <c r="BJ16" s="1">
        <f>580-570</f>
        <v>10</v>
      </c>
      <c r="BK16" s="1">
        <f>600-580</f>
        <v>20</v>
      </c>
      <c r="BL16" s="1">
        <f>610-600</f>
        <v>10</v>
      </c>
      <c r="BM16" s="1">
        <f>620-610</f>
        <v>10</v>
      </c>
      <c r="BN16" s="1">
        <f>630-620</f>
        <v>10</v>
      </c>
      <c r="BO16" s="1">
        <f>640-630</f>
        <v>10</v>
      </c>
      <c r="BP16" s="1">
        <f t="shared" si="3"/>
        <v>80</v>
      </c>
      <c r="BQ16" s="233"/>
      <c r="BR16" s="1"/>
      <c r="BS16" s="1"/>
      <c r="BT16" s="1"/>
      <c r="BU16" s="1"/>
      <c r="BV16" s="1"/>
      <c r="BX16" s="1">
        <v>13</v>
      </c>
      <c r="BY16" s="1">
        <f>640-640</f>
        <v>0</v>
      </c>
      <c r="BZ16" s="1">
        <f>650-640</f>
        <v>10</v>
      </c>
      <c r="CA16" s="1">
        <f>670-650</f>
        <v>20</v>
      </c>
      <c r="CB16" s="1">
        <f>-670+680</f>
        <v>10</v>
      </c>
      <c r="CC16" s="1">
        <f>690-680</f>
        <v>10</v>
      </c>
      <c r="CD16" s="1">
        <f>700-690</f>
        <v>10</v>
      </c>
      <c r="CE16" s="68">
        <f>710-700</f>
        <v>10</v>
      </c>
      <c r="CF16" s="1">
        <f t="shared" si="4"/>
        <v>70</v>
      </c>
      <c r="CG16" s="233"/>
      <c r="CH16" s="1"/>
      <c r="CI16" s="1"/>
      <c r="CJ16" s="1"/>
      <c r="CK16" s="1"/>
      <c r="CL16" s="1"/>
      <c r="CN16" s="1">
        <v>13</v>
      </c>
      <c r="CO16" s="1">
        <f>720-710</f>
        <v>10</v>
      </c>
      <c r="CP16" s="1">
        <f>720-720</f>
        <v>0</v>
      </c>
      <c r="CQ16" s="1">
        <f>730-720</f>
        <v>10</v>
      </c>
      <c r="CR16" s="1">
        <f>735-730</f>
        <v>5</v>
      </c>
      <c r="CS16" s="1">
        <f>740-735</f>
        <v>5</v>
      </c>
      <c r="CT16" s="1">
        <f>-740+760</f>
        <v>20</v>
      </c>
      <c r="CU16" s="1">
        <f>760-760</f>
        <v>0</v>
      </c>
      <c r="CV16" s="1">
        <f t="shared" si="5"/>
        <v>50</v>
      </c>
      <c r="CX16" s="1"/>
      <c r="CY16" s="1"/>
      <c r="CZ16" s="1"/>
      <c r="DA16" s="1"/>
      <c r="DB16" s="1"/>
      <c r="DC16" s="84"/>
      <c r="DD16" s="1">
        <v>13</v>
      </c>
      <c r="DE16" s="1">
        <f>70-30</f>
        <v>40</v>
      </c>
      <c r="DF16" s="1">
        <f>110-70</f>
        <v>40</v>
      </c>
      <c r="DG16" s="1">
        <f>130-110</f>
        <v>20</v>
      </c>
      <c r="DH16" s="1">
        <f>160-130</f>
        <v>30</v>
      </c>
      <c r="DI16" s="1">
        <f>190-160</f>
        <v>30</v>
      </c>
      <c r="DJ16" s="1">
        <f>220-190</f>
        <v>30</v>
      </c>
      <c r="DK16" s="1">
        <f>230-220</f>
        <v>10</v>
      </c>
      <c r="DL16" s="1">
        <f t="shared" si="6"/>
        <v>200</v>
      </c>
      <c r="DM16" s="84"/>
      <c r="DN16" s="1">
        <f>DN59</f>
        <v>1.74</v>
      </c>
      <c r="DO16" s="1">
        <f>DO59</f>
        <v>1.36</v>
      </c>
      <c r="DP16" s="1">
        <f>DP59</f>
        <v>19.809999999999999</v>
      </c>
      <c r="DQ16" s="1">
        <f>DQ59</f>
        <v>1</v>
      </c>
      <c r="DR16" s="1">
        <f>DR59</f>
        <v>77.09</v>
      </c>
      <c r="DS16" s="84"/>
      <c r="DT16" s="1">
        <v>13</v>
      </c>
      <c r="DU16" s="1">
        <f>260-230</f>
        <v>30</v>
      </c>
      <c r="DV16" s="1">
        <f>280-260</f>
        <v>20</v>
      </c>
      <c r="DW16" s="1">
        <f>310-280</f>
        <v>30</v>
      </c>
      <c r="DX16" s="1">
        <f>330-310</f>
        <v>20</v>
      </c>
      <c r="DY16" s="1">
        <f>360-330</f>
        <v>30</v>
      </c>
      <c r="DZ16" s="1">
        <f>370-360</f>
        <v>10</v>
      </c>
      <c r="EA16" s="1">
        <f>400-370</f>
        <v>30</v>
      </c>
      <c r="EB16" s="1">
        <f t="shared" si="7"/>
        <v>170</v>
      </c>
      <c r="EC16" s="84"/>
      <c r="ED16" s="1"/>
      <c r="EE16" s="1"/>
      <c r="EF16" s="1"/>
      <c r="EG16" s="1"/>
      <c r="EH16" s="1"/>
      <c r="EI16" s="84"/>
      <c r="EJ16" s="1">
        <v>13</v>
      </c>
      <c r="EK16" s="1">
        <f>410-400</f>
        <v>10</v>
      </c>
      <c r="EL16" s="1">
        <f>420-410</f>
        <v>10</v>
      </c>
      <c r="EM16" s="1">
        <f>440-420</f>
        <v>20</v>
      </c>
      <c r="EN16" s="1">
        <f>460-440</f>
        <v>20</v>
      </c>
      <c r="EO16" s="1">
        <f>470-460</f>
        <v>10</v>
      </c>
      <c r="EP16" s="1">
        <f>470-470</f>
        <v>0</v>
      </c>
      <c r="EQ16" s="1">
        <f>490-470</f>
        <v>20</v>
      </c>
      <c r="ER16" s="1">
        <f t="shared" si="8"/>
        <v>90</v>
      </c>
      <c r="ES16" s="90"/>
      <c r="ET16" s="1"/>
      <c r="EU16" s="1"/>
      <c r="EV16" s="1"/>
      <c r="EW16" s="1"/>
      <c r="EX16" s="1"/>
      <c r="EY16" s="90"/>
      <c r="EZ16" s="1">
        <v>13</v>
      </c>
      <c r="FA16" s="1">
        <f>490-490</f>
        <v>0</v>
      </c>
      <c r="FB16" s="1">
        <f>500-490</f>
        <v>10</v>
      </c>
      <c r="FC16" s="1">
        <f>510-500</f>
        <v>10</v>
      </c>
      <c r="FD16" s="1">
        <f>520-510</f>
        <v>10</v>
      </c>
      <c r="FE16" s="1">
        <f>520-520</f>
        <v>0</v>
      </c>
      <c r="FF16" s="1">
        <f>540-520</f>
        <v>20</v>
      </c>
      <c r="FG16" s="1">
        <f>550-540</f>
        <v>10</v>
      </c>
      <c r="FH16" s="1">
        <f t="shared" si="9"/>
        <v>60</v>
      </c>
      <c r="FI16" s="92"/>
      <c r="FJ16" s="1"/>
      <c r="FK16" s="1"/>
      <c r="FL16" s="1"/>
      <c r="FM16" s="1"/>
      <c r="FN16" s="1"/>
      <c r="FO16" s="92"/>
      <c r="FP16" s="1">
        <v>13</v>
      </c>
      <c r="FQ16" s="1">
        <f>570-550</f>
        <v>20</v>
      </c>
      <c r="FR16" s="1">
        <f>580-570</f>
        <v>10</v>
      </c>
      <c r="FS16" s="1">
        <f>600-580</f>
        <v>20</v>
      </c>
      <c r="FT16" s="1"/>
      <c r="FU16" s="1"/>
      <c r="FV16" s="1"/>
      <c r="FW16" s="1"/>
      <c r="FX16" s="1">
        <f t="shared" si="10"/>
        <v>50</v>
      </c>
      <c r="FY16" s="93"/>
      <c r="FZ16" s="3">
        <v>0.1</v>
      </c>
      <c r="GA16" s="3">
        <v>0.3</v>
      </c>
      <c r="GB16" s="3">
        <v>20.29</v>
      </c>
      <c r="GC16" s="3">
        <v>1</v>
      </c>
      <c r="GD16" s="3">
        <v>79.319999999999993</v>
      </c>
      <c r="GE16" s="92"/>
      <c r="GF16" s="1">
        <v>13</v>
      </c>
      <c r="GG16" s="1"/>
      <c r="GH16" s="1"/>
      <c r="GI16" s="1"/>
      <c r="GJ16" s="1"/>
      <c r="GK16" s="1"/>
      <c r="GL16" s="1"/>
      <c r="GM16" s="1"/>
      <c r="GN16" s="1">
        <f t="shared" si="11"/>
        <v>0</v>
      </c>
      <c r="GO16" s="93"/>
      <c r="GP16" s="1"/>
      <c r="GQ16" s="1"/>
      <c r="GR16" s="1"/>
      <c r="GS16" s="1"/>
      <c r="GT16" s="1"/>
      <c r="GU16" s="93"/>
      <c r="GV16" s="90"/>
      <c r="GW16" s="74">
        <f t="shared" si="12"/>
        <v>1330</v>
      </c>
      <c r="GX16" s="75">
        <f t="shared" si="13"/>
        <v>13.3</v>
      </c>
      <c r="HF16" s="1">
        <v>13</v>
      </c>
      <c r="HG16" s="4">
        <v>7.89</v>
      </c>
      <c r="HH16" s="4">
        <v>502.45</v>
      </c>
      <c r="HI16" s="1">
        <v>80</v>
      </c>
      <c r="HJ16" s="4">
        <v>44.088437042204063</v>
      </c>
      <c r="HK16" s="1"/>
      <c r="HM16" s="1">
        <v>13</v>
      </c>
      <c r="HN16" s="5">
        <v>7.89</v>
      </c>
      <c r="HO16" s="21">
        <f>1010.4-264.2</f>
        <v>746.2</v>
      </c>
      <c r="HP16" s="21">
        <v>66.415999999999997</v>
      </c>
      <c r="HQ16" s="21">
        <v>30.5</v>
      </c>
      <c r="HR16" s="21">
        <v>70.143000000000001</v>
      </c>
      <c r="HS16" s="21">
        <v>67.844999999999999</v>
      </c>
      <c r="HT16" s="139">
        <f t="shared" si="15"/>
        <v>0.12219672131147553</v>
      </c>
      <c r="HU16" s="139">
        <f t="shared" si="16"/>
        <v>7.5344262295082023E-2</v>
      </c>
      <c r="HV16" s="138">
        <f t="shared" si="25"/>
        <v>56.221888524590206</v>
      </c>
      <c r="HW16" s="138">
        <f t="shared" si="17"/>
        <v>5.1284134693823944</v>
      </c>
      <c r="HX16" s="140">
        <f t="shared" si="14"/>
        <v>0.1163210540775844</v>
      </c>
      <c r="HY16" s="99">
        <f>1.77*2500</f>
        <v>4425</v>
      </c>
      <c r="HZ16" s="74">
        <f t="shared" si="18"/>
        <v>3441.6666666666665</v>
      </c>
      <c r="IA16" s="1">
        <f>5*50</f>
        <v>250</v>
      </c>
      <c r="IB16" s="8">
        <v>25</v>
      </c>
      <c r="IC16" s="10">
        <f>50*2+25+15</f>
        <v>140</v>
      </c>
      <c r="ID16" s="10">
        <f>50*2+25+20</f>
        <v>145</v>
      </c>
      <c r="IE16" s="134">
        <f t="shared" si="19"/>
        <v>3244.9999999999995</v>
      </c>
      <c r="IF16" s="134">
        <f t="shared" si="20"/>
        <v>28000</v>
      </c>
      <c r="IG16" s="74">
        <f t="shared" si="21"/>
        <v>0.11589285714285713</v>
      </c>
      <c r="II16" s="1">
        <v>13</v>
      </c>
      <c r="IJ16" s="4">
        <v>0</v>
      </c>
      <c r="IK16" s="4">
        <v>0</v>
      </c>
      <c r="IL16" s="4">
        <v>0</v>
      </c>
      <c r="IM16" s="4">
        <v>100</v>
      </c>
      <c r="IN16" s="74">
        <f t="shared" si="22"/>
        <v>1090.9290000000001</v>
      </c>
      <c r="IO16" s="74">
        <f t="shared" si="23"/>
        <v>538.45400000000006</v>
      </c>
      <c r="IP16" s="81">
        <f t="shared" si="24"/>
        <v>12.213043512623504</v>
      </c>
    </row>
    <row r="17" spans="1:250" x14ac:dyDescent="0.3">
      <c r="A17" s="1">
        <v>14</v>
      </c>
      <c r="B17" s="4">
        <v>6.4521899999999999</v>
      </c>
      <c r="C17" s="4">
        <v>47.085299999999997</v>
      </c>
      <c r="D17" s="4">
        <v>0</v>
      </c>
      <c r="E17" s="4">
        <v>46.462499999999999</v>
      </c>
      <c r="F17" s="2" t="s">
        <v>119</v>
      </c>
      <c r="L17" s="1">
        <v>14</v>
      </c>
      <c r="M17" s="1"/>
      <c r="N17" s="1"/>
      <c r="O17" s="1">
        <v>140</v>
      </c>
      <c r="P17" s="1">
        <f>480-140</f>
        <v>340</v>
      </c>
      <c r="Q17" s="1">
        <f>445-5</f>
        <v>440</v>
      </c>
      <c r="R17" s="1">
        <f>540-25+470-5</f>
        <v>980</v>
      </c>
      <c r="S17" s="3">
        <f>650-5</f>
        <v>645</v>
      </c>
      <c r="T17" s="1">
        <f t="shared" si="0"/>
        <v>2545</v>
      </c>
      <c r="U17" s="233"/>
      <c r="V17" s="1"/>
      <c r="W17" s="1"/>
      <c r="X17" s="1"/>
      <c r="Y17" s="1"/>
      <c r="Z17" s="1"/>
      <c r="AB17" s="1">
        <v>14</v>
      </c>
      <c r="AC17" s="1">
        <f>560-10</f>
        <v>550</v>
      </c>
      <c r="AD17" s="1">
        <f>260-5</f>
        <v>255</v>
      </c>
      <c r="AE17" s="1">
        <f>425-260</f>
        <v>165</v>
      </c>
      <c r="AF17" s="1">
        <f>270-10</f>
        <v>260</v>
      </c>
      <c r="AG17" s="1">
        <f>610-270</f>
        <v>340</v>
      </c>
      <c r="AH17" s="1">
        <f>550-30</f>
        <v>520</v>
      </c>
      <c r="AI17" s="1">
        <f>520-30</f>
        <v>490</v>
      </c>
      <c r="AJ17" s="1">
        <f t="shared" si="1"/>
        <v>2580</v>
      </c>
      <c r="AK17" s="233"/>
      <c r="AL17" s="64">
        <f>AVERAGE(AL69,AL53)</f>
        <v>11.015000000000001</v>
      </c>
      <c r="AM17" s="4">
        <f>AVERAGE(AM69,AM53)</f>
        <v>7.165</v>
      </c>
      <c r="AN17" s="4">
        <f>AVERAGE(AN69,AN53)</f>
        <v>16.440000000000001</v>
      </c>
      <c r="AO17" s="4">
        <f>AVERAGE(AO69,AO53)</f>
        <v>10</v>
      </c>
      <c r="AP17" s="4">
        <f>AVERAGE(AP69,AP53)</f>
        <v>65.38</v>
      </c>
      <c r="AR17" s="1">
        <v>15</v>
      </c>
      <c r="AS17" s="1">
        <f>465-0</f>
        <v>465</v>
      </c>
      <c r="AT17" s="1">
        <f>860-465</f>
        <v>395</v>
      </c>
      <c r="AU17" s="1">
        <f>400-25</f>
        <v>375</v>
      </c>
      <c r="AV17" s="1">
        <f>405-45</f>
        <v>360</v>
      </c>
      <c r="AW17" s="1">
        <f>390-50</f>
        <v>340</v>
      </c>
      <c r="AX17" s="1">
        <f>390-30</f>
        <v>360</v>
      </c>
      <c r="AY17" s="1">
        <f>375-30</f>
        <v>345</v>
      </c>
      <c r="AZ17" s="1">
        <f t="shared" si="2"/>
        <v>2640</v>
      </c>
      <c r="BA17" s="233"/>
      <c r="BB17" s="85">
        <f>AVERAGE(BB97,BB85,BB56)</f>
        <v>50.553333333333335</v>
      </c>
      <c r="BC17" s="1">
        <f>AVERAGE(BC97,BC85,BC56)</f>
        <v>23.483333333333331</v>
      </c>
      <c r="BD17" s="1">
        <f>AVERAGE(BD97,BD85,BD56)</f>
        <v>5.0266666666666664</v>
      </c>
      <c r="BE17" s="1">
        <f>AVERAGE(BE97,BE85,BE56)</f>
        <v>41.666666666666664</v>
      </c>
      <c r="BF17" s="1">
        <f>AVERAGE(BF97,BF85,BF56)</f>
        <v>20.936666666666667</v>
      </c>
      <c r="BH17" s="1">
        <v>15</v>
      </c>
      <c r="BI17" s="1">
        <f>340-15</f>
        <v>325</v>
      </c>
      <c r="BJ17" s="1">
        <f>635-340</f>
        <v>295</v>
      </c>
      <c r="BK17" s="1">
        <f>375-45</f>
        <v>330</v>
      </c>
      <c r="BL17" s="1">
        <f>555-30+125-375</f>
        <v>275</v>
      </c>
      <c r="BM17" s="1">
        <f>330-125</f>
        <v>205</v>
      </c>
      <c r="BN17" s="1">
        <f>410-330</f>
        <v>80</v>
      </c>
      <c r="BO17" s="1">
        <f>690-410</f>
        <v>280</v>
      </c>
      <c r="BP17" s="1">
        <f t="shared" si="3"/>
        <v>1790</v>
      </c>
      <c r="BQ17" s="233"/>
      <c r="BR17" s="85">
        <f>AVERAGE(BR43,BR74)</f>
        <v>67.5</v>
      </c>
      <c r="BS17" s="1">
        <f>AVERAGE(BS43,BS74)</f>
        <v>17.905000000000001</v>
      </c>
      <c r="BT17" s="1">
        <f>AVERAGE(BT43,BT74)</f>
        <v>2.96</v>
      </c>
      <c r="BU17" s="1">
        <f>AVERAGE(BU43,BU74)</f>
        <v>26.5</v>
      </c>
      <c r="BV17" s="1">
        <f>AVERAGE(BV43,BV74)</f>
        <v>11.635000000000002</v>
      </c>
      <c r="BX17" s="1">
        <v>15</v>
      </c>
      <c r="BY17" s="1">
        <f>245-0</f>
        <v>245</v>
      </c>
      <c r="BZ17" s="1">
        <f>435-245</f>
        <v>190</v>
      </c>
      <c r="CA17" s="1">
        <f>200-15</f>
        <v>185</v>
      </c>
      <c r="CB17" s="1">
        <f>-200+375</f>
        <v>175</v>
      </c>
      <c r="CC17" s="1">
        <f>525-375</f>
        <v>150</v>
      </c>
      <c r="CD17" s="1">
        <f>190-50</f>
        <v>140</v>
      </c>
      <c r="CE17" s="1">
        <f>325-190</f>
        <v>135</v>
      </c>
      <c r="CF17" s="1">
        <f t="shared" si="4"/>
        <v>1220</v>
      </c>
      <c r="CG17" s="233"/>
      <c r="CH17" s="1"/>
      <c r="CI17" s="1"/>
      <c r="CJ17" s="1"/>
      <c r="CK17" s="1"/>
      <c r="CL17" s="1"/>
      <c r="CN17" s="1">
        <v>15</v>
      </c>
      <c r="CO17" s="1">
        <f>430-325</f>
        <v>105</v>
      </c>
      <c r="CP17" s="1">
        <f>160-10</f>
        <v>150</v>
      </c>
      <c r="CQ17" s="1">
        <f>265-160</f>
        <v>105</v>
      </c>
      <c r="CR17" s="1">
        <f>370-265</f>
        <v>105</v>
      </c>
      <c r="CS17" s="1">
        <f>480-370</f>
        <v>110</v>
      </c>
      <c r="CT17" s="1">
        <f>180-0</f>
        <v>180</v>
      </c>
      <c r="CU17" s="1">
        <f>240-180</f>
        <v>60</v>
      </c>
      <c r="CV17" s="1">
        <f t="shared" si="5"/>
        <v>815</v>
      </c>
      <c r="CX17" s="1">
        <f>CX58</f>
        <v>67.760000000000005</v>
      </c>
      <c r="CY17" s="1">
        <f>CY58</f>
        <v>13.54</v>
      </c>
      <c r="CZ17" s="1">
        <f>CZ58</f>
        <v>4.05</v>
      </c>
      <c r="DA17" s="1">
        <f>DA58</f>
        <v>8</v>
      </c>
      <c r="DB17" s="1">
        <f>DB58</f>
        <v>14.65</v>
      </c>
      <c r="DC17" s="84"/>
      <c r="DD17" s="1">
        <v>15</v>
      </c>
      <c r="DE17" s="1">
        <f>345-240</f>
        <v>105</v>
      </c>
      <c r="DF17" s="1">
        <f>450-345</f>
        <v>105</v>
      </c>
      <c r="DG17" s="1">
        <f>85-30</f>
        <v>55</v>
      </c>
      <c r="DH17" s="1">
        <f>175-85</f>
        <v>90</v>
      </c>
      <c r="DI17" s="1">
        <f>250-175</f>
        <v>75</v>
      </c>
      <c r="DJ17" s="1">
        <f>340-250</f>
        <v>90</v>
      </c>
      <c r="DK17" s="1">
        <f>395-340</f>
        <v>55</v>
      </c>
      <c r="DL17" s="1">
        <f t="shared" si="6"/>
        <v>575</v>
      </c>
      <c r="DM17" s="84"/>
      <c r="DN17" s="1">
        <f>DN47</f>
        <v>58.6</v>
      </c>
      <c r="DO17" s="1">
        <f>DO47</f>
        <v>14.31</v>
      </c>
      <c r="DP17" s="1">
        <f>DP47</f>
        <v>5.93</v>
      </c>
      <c r="DQ17" s="1">
        <f>DQ47</f>
        <v>0</v>
      </c>
      <c r="DR17" s="1">
        <f>DR47</f>
        <v>21.16</v>
      </c>
      <c r="DS17" s="84"/>
      <c r="DT17" s="85">
        <v>15</v>
      </c>
      <c r="DU17" s="1">
        <f>-395+485</f>
        <v>90</v>
      </c>
      <c r="DV17" s="85"/>
      <c r="DW17" s="1"/>
      <c r="DX17" s="1"/>
      <c r="DY17" s="1"/>
      <c r="DZ17" s="1"/>
      <c r="EA17" s="1"/>
      <c r="EB17" s="1">
        <f t="shared" si="7"/>
        <v>90</v>
      </c>
      <c r="EC17" s="84"/>
      <c r="ED17" s="1"/>
      <c r="EE17" s="1"/>
      <c r="EF17" s="1"/>
      <c r="EG17" s="1"/>
      <c r="EH17" s="1"/>
      <c r="EI17" s="84"/>
      <c r="EJ17" s="85">
        <v>15</v>
      </c>
      <c r="EK17" s="1"/>
      <c r="EL17" s="1"/>
      <c r="EM17" s="1"/>
      <c r="EN17" s="1"/>
      <c r="EO17" s="1"/>
      <c r="EP17" s="1"/>
      <c r="EQ17" s="1"/>
      <c r="ER17" s="1">
        <f t="shared" si="8"/>
        <v>0</v>
      </c>
      <c r="ES17" s="90"/>
      <c r="ET17" s="1">
        <v>49.83</v>
      </c>
      <c r="EU17" s="1">
        <v>12.32</v>
      </c>
      <c r="EV17" s="1">
        <v>8.23</v>
      </c>
      <c r="EW17" s="1">
        <v>0</v>
      </c>
      <c r="EX17" s="1">
        <v>29.62</v>
      </c>
      <c r="EY17" s="90"/>
      <c r="EZ17" s="85">
        <v>15</v>
      </c>
      <c r="FA17" s="1"/>
      <c r="FB17" s="1"/>
      <c r="FC17" s="1"/>
      <c r="FD17" s="1"/>
      <c r="FE17" s="1"/>
      <c r="FF17" s="1"/>
      <c r="FG17" s="1"/>
      <c r="FH17" s="1">
        <f t="shared" si="9"/>
        <v>0</v>
      </c>
      <c r="FI17" s="92"/>
      <c r="FJ17" s="1"/>
      <c r="FK17" s="1"/>
      <c r="FL17" s="1"/>
      <c r="FM17" s="1"/>
      <c r="FN17" s="1"/>
      <c r="FO17" s="92"/>
      <c r="FP17" s="85">
        <v>15</v>
      </c>
      <c r="FQ17" s="1"/>
      <c r="FR17" s="1"/>
      <c r="FS17" s="1"/>
      <c r="FT17" s="1"/>
      <c r="FU17" s="1"/>
      <c r="FV17" s="1"/>
      <c r="FW17" s="1"/>
      <c r="FX17" s="1">
        <f t="shared" si="10"/>
        <v>0</v>
      </c>
      <c r="FY17" s="93"/>
      <c r="FZ17" s="1"/>
      <c r="GA17" s="1"/>
      <c r="GB17" s="1"/>
      <c r="GC17" s="1"/>
      <c r="GD17" s="1"/>
      <c r="GE17" s="92"/>
      <c r="GF17" s="85">
        <v>15</v>
      </c>
      <c r="GG17" s="1"/>
      <c r="GH17" s="1"/>
      <c r="GI17" s="1"/>
      <c r="GJ17" s="1"/>
      <c r="GK17" s="1"/>
      <c r="GL17" s="1"/>
      <c r="GM17" s="1"/>
      <c r="GN17" s="1">
        <f t="shared" si="11"/>
        <v>0</v>
      </c>
      <c r="GO17" s="93"/>
      <c r="GP17" s="1"/>
      <c r="GQ17" s="1"/>
      <c r="GR17" s="1"/>
      <c r="GS17" s="1"/>
      <c r="GT17" s="1"/>
      <c r="GU17" s="93"/>
      <c r="GV17" s="90"/>
      <c r="GW17" s="74">
        <f t="shared" si="12"/>
        <v>12255</v>
      </c>
      <c r="GX17" s="75">
        <f t="shared" si="13"/>
        <v>122.55</v>
      </c>
      <c r="HF17" s="1">
        <v>14</v>
      </c>
      <c r="HG17" s="4">
        <v>7.76</v>
      </c>
      <c r="HH17" s="4">
        <v>571.77</v>
      </c>
      <c r="HI17" s="1">
        <v>80</v>
      </c>
      <c r="HJ17" s="4">
        <v>43.281591658802093</v>
      </c>
      <c r="HK17" s="1"/>
      <c r="HM17" s="1">
        <v>14</v>
      </c>
      <c r="HN17" s="5">
        <v>7.83</v>
      </c>
      <c r="HO17" s="21">
        <f>1039.3-266.6</f>
        <v>772.69999999999993</v>
      </c>
      <c r="HP17" s="21">
        <v>54.875999999999998</v>
      </c>
      <c r="HQ17" s="21">
        <v>31.56</v>
      </c>
      <c r="HR17" s="21">
        <v>58.118000000000002</v>
      </c>
      <c r="HS17" s="21">
        <v>56.134999999999998</v>
      </c>
      <c r="HT17" s="139">
        <f t="shared" si="15"/>
        <v>0.10272496831432207</v>
      </c>
      <c r="HU17" s="139">
        <f t="shared" si="16"/>
        <v>6.2832699619771989E-2</v>
      </c>
      <c r="HV17" s="138">
        <f t="shared" si="25"/>
        <v>48.550826996197813</v>
      </c>
      <c r="HW17" s="138">
        <f t="shared" si="17"/>
        <v>11.992629614372817</v>
      </c>
      <c r="HX17" s="139">
        <f t="shared" si="14"/>
        <v>0.27708383991312618</v>
      </c>
      <c r="HY17" s="1">
        <f>1.73*2500</f>
        <v>4325</v>
      </c>
      <c r="HZ17" s="74">
        <f t="shared" si="18"/>
        <v>3363.8888888888887</v>
      </c>
      <c r="IA17" s="1">
        <f>3*50</f>
        <v>150</v>
      </c>
      <c r="IB17" s="5">
        <v>25</v>
      </c>
      <c r="IC17" s="5">
        <f>50*2+25+8.2</f>
        <v>133.19999999999999</v>
      </c>
      <c r="ID17" s="5">
        <f>50*2+25+14.5</f>
        <v>139.5</v>
      </c>
      <c r="IE17" s="5">
        <f t="shared" si="19"/>
        <v>4108.200000000008</v>
      </c>
      <c r="IF17" s="5">
        <f t="shared" si="20"/>
        <v>26640</v>
      </c>
      <c r="IG17" s="74">
        <f t="shared" si="21"/>
        <v>0.15421171171171202</v>
      </c>
      <c r="II17" s="1">
        <v>14</v>
      </c>
      <c r="IJ17" s="4">
        <v>6.4521899999999999</v>
      </c>
      <c r="IK17" s="4">
        <v>47.085299999999997</v>
      </c>
      <c r="IL17" s="4">
        <v>0</v>
      </c>
      <c r="IM17" s="4">
        <v>46.462499999999999</v>
      </c>
      <c r="IN17" s="74">
        <f t="shared" si="22"/>
        <v>4994.8779999999997</v>
      </c>
      <c r="IO17" s="74">
        <f t="shared" si="23"/>
        <v>4442.4029999999993</v>
      </c>
      <c r="IP17" s="81">
        <f t="shared" si="24"/>
        <v>102.63954789418094</v>
      </c>
    </row>
    <row r="18" spans="1:250" x14ac:dyDescent="0.3">
      <c r="A18" s="1">
        <v>15</v>
      </c>
      <c r="B18" s="4">
        <v>0</v>
      </c>
      <c r="C18" s="4">
        <v>72.6785</v>
      </c>
      <c r="D18" s="4">
        <v>0</v>
      </c>
      <c r="E18" s="4">
        <v>27.3215</v>
      </c>
      <c r="F18" s="2" t="s">
        <v>120</v>
      </c>
      <c r="L18" s="1">
        <v>15</v>
      </c>
      <c r="M18" s="1"/>
      <c r="N18" s="1"/>
      <c r="O18" s="1">
        <v>150</v>
      </c>
      <c r="P18" s="1">
        <f>210-150</f>
        <v>60</v>
      </c>
      <c r="Q18" s="1">
        <f>250-210</f>
        <v>40</v>
      </c>
      <c r="R18" s="1">
        <f>285-250</f>
        <v>35</v>
      </c>
      <c r="S18" s="1">
        <f>320-285</f>
        <v>35</v>
      </c>
      <c r="T18" s="1">
        <f t="shared" si="0"/>
        <v>320</v>
      </c>
      <c r="U18" s="233"/>
      <c r="V18" s="1"/>
      <c r="W18" s="1"/>
      <c r="X18" s="1"/>
      <c r="Y18" s="1"/>
      <c r="Z18" s="1"/>
      <c r="AB18" s="1">
        <v>15</v>
      </c>
      <c r="AC18" s="1">
        <f>350-320</f>
        <v>30</v>
      </c>
      <c r="AD18" s="1">
        <f>390-350</f>
        <v>40</v>
      </c>
      <c r="AE18" s="1">
        <f>420-390</f>
        <v>30</v>
      </c>
      <c r="AF18" s="1">
        <f>450-420</f>
        <v>30</v>
      </c>
      <c r="AG18" s="1">
        <f>490-450</f>
        <v>40</v>
      </c>
      <c r="AH18" s="1">
        <f>530-490</f>
        <v>40</v>
      </c>
      <c r="AI18" s="1">
        <f>540-530</f>
        <v>10</v>
      </c>
      <c r="AJ18" s="1">
        <f t="shared" si="1"/>
        <v>220</v>
      </c>
      <c r="AK18" s="233"/>
      <c r="AL18" s="1"/>
      <c r="AM18" s="1"/>
      <c r="AN18" s="1"/>
      <c r="AO18" s="1"/>
      <c r="AP18" s="1"/>
      <c r="AR18" s="1">
        <v>16</v>
      </c>
      <c r="AS18" s="1">
        <f>560-540</f>
        <v>20</v>
      </c>
      <c r="AT18" s="1">
        <f>580-560</f>
        <v>20</v>
      </c>
      <c r="AU18" s="1">
        <f>580-580</f>
        <v>0</v>
      </c>
      <c r="AV18" s="1">
        <f>590-580</f>
        <v>10</v>
      </c>
      <c r="AW18" s="1">
        <f>610-590</f>
        <v>20</v>
      </c>
      <c r="AX18" s="1">
        <f>820-610</f>
        <v>210</v>
      </c>
      <c r="AY18" s="1">
        <f>110-50</f>
        <v>60</v>
      </c>
      <c r="AZ18" s="1">
        <f t="shared" si="2"/>
        <v>340</v>
      </c>
      <c r="BA18" s="233"/>
      <c r="BB18" s="1">
        <f>BB49</f>
        <v>15.15</v>
      </c>
      <c r="BC18" s="1">
        <f>BC49</f>
        <v>9.64</v>
      </c>
      <c r="BD18" s="1">
        <f>BD49</f>
        <v>15.01</v>
      </c>
      <c r="BE18" s="1">
        <f>BE49</f>
        <v>1</v>
      </c>
      <c r="BF18" s="1">
        <f>BF49</f>
        <v>60.2</v>
      </c>
      <c r="BH18" s="1">
        <v>16</v>
      </c>
      <c r="BI18" s="1">
        <f>300-110</f>
        <v>190</v>
      </c>
      <c r="BJ18" s="1">
        <f>530-300</f>
        <v>230</v>
      </c>
      <c r="BK18" s="1">
        <f>540-530</f>
        <v>10</v>
      </c>
      <c r="BL18" s="1">
        <f>550-540</f>
        <v>10</v>
      </c>
      <c r="BM18" s="1">
        <f>580-550</f>
        <v>30</v>
      </c>
      <c r="BN18" s="1">
        <f>590-580</f>
        <v>10</v>
      </c>
      <c r="BO18" s="1">
        <f>610-590</f>
        <v>20</v>
      </c>
      <c r="BP18" s="1">
        <f t="shared" si="3"/>
        <v>500</v>
      </c>
      <c r="BQ18" s="233"/>
      <c r="BR18" s="1"/>
      <c r="BS18" s="1"/>
      <c r="BT18" s="1"/>
      <c r="BU18" s="1"/>
      <c r="BV18" s="1"/>
      <c r="BX18" s="1">
        <v>16</v>
      </c>
      <c r="BY18" s="1">
        <f>830-610</f>
        <v>220</v>
      </c>
      <c r="BZ18" s="1">
        <f>1000-830</f>
        <v>170</v>
      </c>
      <c r="CA18" s="1">
        <f>220-35</f>
        <v>185</v>
      </c>
      <c r="CB18" s="1">
        <f>-220+400</f>
        <v>180</v>
      </c>
      <c r="CC18" s="1">
        <f>580-400</f>
        <v>180</v>
      </c>
      <c r="CD18" s="1">
        <f>740-580</f>
        <v>160</v>
      </c>
      <c r="CE18" s="1">
        <f>890-740</f>
        <v>150</v>
      </c>
      <c r="CF18" s="1">
        <f t="shared" si="4"/>
        <v>1245</v>
      </c>
      <c r="CG18" s="233"/>
      <c r="CH18" s="1">
        <f>CH66</f>
        <v>22.71</v>
      </c>
      <c r="CI18" s="1">
        <f>CI66</f>
        <v>8.06</v>
      </c>
      <c r="CJ18" s="1">
        <f>CJ66</f>
        <v>18.010000000000002</v>
      </c>
      <c r="CK18" s="1">
        <f>CK66</f>
        <v>0</v>
      </c>
      <c r="CL18" s="1">
        <f>CL66</f>
        <v>51.23</v>
      </c>
      <c r="CN18" s="1">
        <v>16</v>
      </c>
      <c r="CO18" s="1">
        <f>150-0</f>
        <v>150</v>
      </c>
      <c r="CP18" s="1">
        <f>330-150</f>
        <v>180</v>
      </c>
      <c r="CQ18" s="1">
        <f>430-330</f>
        <v>100</v>
      </c>
      <c r="CR18" s="1">
        <f>520-430</f>
        <v>90</v>
      </c>
      <c r="CS18" s="1">
        <f>610-520</f>
        <v>90</v>
      </c>
      <c r="CT18" s="1">
        <f>-610+730</f>
        <v>120</v>
      </c>
      <c r="CU18" s="1">
        <f>770-730</f>
        <v>40</v>
      </c>
      <c r="CV18" s="1">
        <f t="shared" si="5"/>
        <v>770</v>
      </c>
      <c r="CX18" s="1"/>
      <c r="CY18" s="1"/>
      <c r="CZ18" s="1"/>
      <c r="DA18" s="1"/>
      <c r="DB18" s="1"/>
      <c r="DC18" s="84"/>
      <c r="DD18" s="1">
        <v>16</v>
      </c>
      <c r="DE18" s="1">
        <f>100-30</f>
        <v>70</v>
      </c>
      <c r="DF18" s="1">
        <f>190-100</f>
        <v>90</v>
      </c>
      <c r="DG18" s="1">
        <f>240-190</f>
        <v>50</v>
      </c>
      <c r="DH18" s="1">
        <f>320-240</f>
        <v>80</v>
      </c>
      <c r="DI18" s="1">
        <f>390-320</f>
        <v>70</v>
      </c>
      <c r="DJ18" s="1">
        <f>460-390</f>
        <v>70</v>
      </c>
      <c r="DK18" s="1">
        <f>510-460</f>
        <v>50</v>
      </c>
      <c r="DL18" s="1">
        <f t="shared" si="6"/>
        <v>480</v>
      </c>
      <c r="DM18" s="84"/>
      <c r="DN18" s="1">
        <f>DN61</f>
        <v>38.119999999999997</v>
      </c>
      <c r="DO18" s="1">
        <f>DO61</f>
        <v>10.9</v>
      </c>
      <c r="DP18" s="1">
        <f>DP61</f>
        <v>13.03</v>
      </c>
      <c r="DQ18" s="1">
        <f>DQ61</f>
        <v>1</v>
      </c>
      <c r="DR18" s="1">
        <f>DR61</f>
        <v>37.950000000000003</v>
      </c>
      <c r="DS18" s="84"/>
      <c r="DT18" s="1">
        <v>16</v>
      </c>
      <c r="DU18" s="1">
        <f>580-510</f>
        <v>70</v>
      </c>
      <c r="DV18" s="1">
        <f>640-580</f>
        <v>60</v>
      </c>
      <c r="DW18" s="1">
        <f>710-640</f>
        <v>70</v>
      </c>
      <c r="DX18" s="1">
        <f>780-710</f>
        <v>70</v>
      </c>
      <c r="DY18" s="1">
        <f>-50+130</f>
        <v>80</v>
      </c>
      <c r="DZ18" s="1">
        <f>210-130</f>
        <v>80</v>
      </c>
      <c r="EA18" s="1">
        <f>300-210</f>
        <v>90</v>
      </c>
      <c r="EB18" s="1">
        <f t="shared" si="7"/>
        <v>520</v>
      </c>
      <c r="EC18" s="84"/>
      <c r="ED18" s="1"/>
      <c r="EE18" s="1"/>
      <c r="EF18" s="1"/>
      <c r="EG18" s="1"/>
      <c r="EH18" s="1"/>
      <c r="EI18" s="84"/>
      <c r="EJ18" s="1">
        <v>16</v>
      </c>
      <c r="EK18" s="1">
        <f>350-300</f>
        <v>50</v>
      </c>
      <c r="EL18" s="1">
        <f>400-350</f>
        <v>50</v>
      </c>
      <c r="EM18" s="1">
        <f>475-400</f>
        <v>75</v>
      </c>
      <c r="EN18" s="1">
        <f>530-475</f>
        <v>55</v>
      </c>
      <c r="EO18" s="1">
        <f>570-530</f>
        <v>40</v>
      </c>
      <c r="EP18" s="1">
        <f>580-570</f>
        <v>10</v>
      </c>
      <c r="EQ18" s="1">
        <f>640-580</f>
        <v>60</v>
      </c>
      <c r="ER18" s="1">
        <f t="shared" si="8"/>
        <v>340</v>
      </c>
      <c r="ES18" s="90"/>
      <c r="ET18" s="1"/>
      <c r="EU18" s="1"/>
      <c r="EV18" s="1"/>
      <c r="EW18" s="1"/>
      <c r="EX18" s="1"/>
      <c r="EY18" s="90"/>
      <c r="EZ18" s="1">
        <v>16</v>
      </c>
      <c r="FA18" s="1">
        <f>640-640</f>
        <v>0</v>
      </c>
      <c r="FB18" s="1">
        <f>640-640</f>
        <v>0</v>
      </c>
      <c r="FC18" s="1">
        <f>640-630</f>
        <v>10</v>
      </c>
      <c r="FD18" s="1">
        <f>650-640</f>
        <v>10</v>
      </c>
      <c r="FE18" s="1">
        <f>650-650</f>
        <v>0</v>
      </c>
      <c r="FF18" s="1">
        <f>670-640</f>
        <v>30</v>
      </c>
      <c r="FG18" s="1">
        <f>720-670</f>
        <v>50</v>
      </c>
      <c r="FH18" s="1">
        <f t="shared" si="9"/>
        <v>100</v>
      </c>
      <c r="FI18" s="92"/>
      <c r="FJ18" s="1">
        <v>18.36</v>
      </c>
      <c r="FK18" s="1">
        <v>5.74</v>
      </c>
      <c r="FL18" s="1">
        <v>17.12</v>
      </c>
      <c r="FM18" s="1">
        <v>0</v>
      </c>
      <c r="FN18" s="1">
        <v>58.77</v>
      </c>
      <c r="FO18" s="92"/>
      <c r="FP18" s="1">
        <v>16</v>
      </c>
      <c r="FQ18" s="1">
        <f>750-720</f>
        <v>30</v>
      </c>
      <c r="FR18" s="1">
        <f>70-40</f>
        <v>30</v>
      </c>
      <c r="FS18" s="1">
        <f>100-70</f>
        <v>30</v>
      </c>
      <c r="FT18" s="1"/>
      <c r="FU18" s="1"/>
      <c r="FV18" s="1"/>
      <c r="FW18" s="1"/>
      <c r="FX18" s="1">
        <f t="shared" si="10"/>
        <v>90</v>
      </c>
      <c r="FY18" s="93"/>
      <c r="FZ18" s="1"/>
      <c r="GA18" s="1"/>
      <c r="GB18" s="1"/>
      <c r="GC18" s="1"/>
      <c r="GD18" s="1"/>
      <c r="GE18" s="92"/>
      <c r="GF18" s="1">
        <v>16</v>
      </c>
      <c r="GG18" s="1"/>
      <c r="GH18" s="1"/>
      <c r="GI18" s="1"/>
      <c r="GJ18" s="1"/>
      <c r="GK18" s="1"/>
      <c r="GL18" s="1"/>
      <c r="GM18" s="1"/>
      <c r="GN18" s="1">
        <f t="shared" si="11"/>
        <v>0</v>
      </c>
      <c r="GO18" s="93"/>
      <c r="GP18" s="1"/>
      <c r="GQ18" s="1"/>
      <c r="GR18" s="1"/>
      <c r="GS18" s="1"/>
      <c r="GT18" s="1"/>
      <c r="GU18" s="93"/>
      <c r="GV18" s="90"/>
      <c r="GW18" s="74">
        <f t="shared" si="12"/>
        <v>4925</v>
      </c>
      <c r="GX18" s="75">
        <f t="shared" si="13"/>
        <v>49.25</v>
      </c>
      <c r="HF18" s="1">
        <v>15</v>
      </c>
      <c r="HG18" s="4">
        <v>7.67</v>
      </c>
      <c r="HH18" s="4">
        <v>501.32</v>
      </c>
      <c r="HI18" s="1">
        <v>80</v>
      </c>
      <c r="HJ18" s="4">
        <v>42.058452493582628</v>
      </c>
      <c r="HK18" s="1"/>
      <c r="HM18" s="1">
        <v>15</v>
      </c>
      <c r="HN18" s="5">
        <v>7.94</v>
      </c>
      <c r="HO18" s="21">
        <f>1005.8-263.8</f>
        <v>742</v>
      </c>
      <c r="HP18" s="21">
        <v>62.225000000000001</v>
      </c>
      <c r="HQ18" s="21">
        <v>30.07</v>
      </c>
      <c r="HR18" s="21">
        <v>65.724999999999994</v>
      </c>
      <c r="HS18" s="21">
        <v>63.59</v>
      </c>
      <c r="HT18" s="139">
        <f t="shared" si="15"/>
        <v>0.11639507815098081</v>
      </c>
      <c r="HU18" s="139">
        <f t="shared" si="16"/>
        <v>7.1000997672098137E-2</v>
      </c>
      <c r="HV18" s="138">
        <f t="shared" si="25"/>
        <v>52.682740272696819</v>
      </c>
      <c r="HW18" s="138">
        <f t="shared" si="17"/>
        <v>6.6375771726543462</v>
      </c>
      <c r="HX18" s="139">
        <f t="shared" si="14"/>
        <v>0.15781791243192134</v>
      </c>
      <c r="HY18" s="131">
        <f>1.74*2500</f>
        <v>4350</v>
      </c>
      <c r="HZ18" s="74">
        <f t="shared" si="18"/>
        <v>3383.3333333333335</v>
      </c>
      <c r="IA18" s="1">
        <f>3*50</f>
        <v>150</v>
      </c>
      <c r="IB18" s="5">
        <v>25</v>
      </c>
      <c r="IC18" s="5">
        <f>50*2+25+1</f>
        <v>126</v>
      </c>
      <c r="ID18" s="5">
        <f>50*2+25+6.3</f>
        <v>131.30000000000001</v>
      </c>
      <c r="IE18" s="136">
        <f t="shared" si="19"/>
        <v>3444.2000000000071</v>
      </c>
      <c r="IF18" s="136">
        <f t="shared" si="20"/>
        <v>25200</v>
      </c>
      <c r="IG18" s="74">
        <f t="shared" si="21"/>
        <v>0.13667460317460345</v>
      </c>
      <c r="II18" s="1">
        <v>15</v>
      </c>
      <c r="IJ18" s="4">
        <v>0</v>
      </c>
      <c r="IK18" s="4">
        <v>72.6785</v>
      </c>
      <c r="IL18" s="4">
        <v>0</v>
      </c>
      <c r="IM18" s="4">
        <v>27.3215</v>
      </c>
      <c r="IN18" s="74">
        <f t="shared" si="22"/>
        <v>1208.2649999999999</v>
      </c>
      <c r="IO18" s="74">
        <f t="shared" si="23"/>
        <v>655.78999999999985</v>
      </c>
      <c r="IP18" s="81">
        <f t="shared" si="24"/>
        <v>15.592347343261423</v>
      </c>
    </row>
    <row r="19" spans="1:250" x14ac:dyDescent="0.3">
      <c r="A19" s="1">
        <v>16</v>
      </c>
      <c r="B19" s="4">
        <v>47.869199999999999</v>
      </c>
      <c r="C19" s="4">
        <v>4.8092300000000003</v>
      </c>
      <c r="D19" s="4">
        <v>0</v>
      </c>
      <c r="E19" s="4">
        <v>47.321599999999997</v>
      </c>
      <c r="F19" s="2" t="s">
        <v>121</v>
      </c>
      <c r="L19" s="1">
        <v>16</v>
      </c>
      <c r="M19" s="1"/>
      <c r="N19" s="1"/>
      <c r="O19" s="1">
        <v>165</v>
      </c>
      <c r="P19" s="1">
        <f>270-165</f>
        <v>105</v>
      </c>
      <c r="Q19" s="1">
        <f>345-270</f>
        <v>75</v>
      </c>
      <c r="R19" s="1">
        <f>420-345</f>
        <v>75</v>
      </c>
      <c r="S19" s="1">
        <f>560-420</f>
        <v>140</v>
      </c>
      <c r="T19" s="1">
        <f t="shared" si="0"/>
        <v>560</v>
      </c>
      <c r="U19" s="233"/>
      <c r="V19" s="1"/>
      <c r="W19" s="1"/>
      <c r="X19" s="1"/>
      <c r="Y19" s="1"/>
      <c r="Z19" s="1"/>
      <c r="AB19" s="1">
        <v>16</v>
      </c>
      <c r="AC19" s="1">
        <f>235-0</f>
        <v>235</v>
      </c>
      <c r="AD19" s="1">
        <f>510-235</f>
        <v>275</v>
      </c>
      <c r="AE19" s="1">
        <f>85-20</f>
        <v>65</v>
      </c>
      <c r="AF19" s="1">
        <f>385-85</f>
        <v>300</v>
      </c>
      <c r="AG19" s="1">
        <f>525-385</f>
        <v>140</v>
      </c>
      <c r="AH19" s="1">
        <f>310-40</f>
        <v>270</v>
      </c>
      <c r="AI19" s="1">
        <f>545-310</f>
        <v>235</v>
      </c>
      <c r="AJ19" s="1">
        <f t="shared" si="1"/>
        <v>1520</v>
      </c>
      <c r="AK19" s="233"/>
      <c r="AL19" s="1"/>
      <c r="AM19" s="1"/>
      <c r="AN19" s="1"/>
      <c r="AO19" s="1"/>
      <c r="AP19" s="1"/>
      <c r="AR19" s="1">
        <v>17</v>
      </c>
      <c r="AS19" s="1">
        <f>380-5</f>
        <v>375</v>
      </c>
      <c r="AT19" s="1">
        <f>690-380</f>
        <v>310</v>
      </c>
      <c r="AU19" s="1">
        <f>305-10</f>
        <v>295</v>
      </c>
      <c r="AV19" s="1">
        <f>275-0</f>
        <v>275</v>
      </c>
      <c r="AW19" s="1">
        <f>535-275</f>
        <v>260</v>
      </c>
      <c r="AX19" s="1">
        <f>350-50</f>
        <v>300</v>
      </c>
      <c r="AY19" s="1">
        <f>340-45</f>
        <v>295</v>
      </c>
      <c r="AZ19" s="1">
        <f t="shared" si="2"/>
        <v>2110</v>
      </c>
      <c r="BA19" s="233"/>
      <c r="BB19" s="85">
        <f>AVERAGE(BB96,BB47,BB86)</f>
        <v>59.71</v>
      </c>
      <c r="BC19" s="1">
        <f>AVERAGE(BC96,BC47,BC86)</f>
        <v>8.9500000000000011</v>
      </c>
      <c r="BD19" s="1">
        <f>AVERAGE(BD96,BD47,BD86)</f>
        <v>7.3633333333333333</v>
      </c>
      <c r="BE19" s="1">
        <f>AVERAGE(BE96,BE47,BE86)</f>
        <v>6.666666666666667</v>
      </c>
      <c r="BF19" s="1">
        <f>AVERAGE(BF96,BF47,BF86)</f>
        <v>23.98</v>
      </c>
      <c r="BH19" s="1">
        <v>17</v>
      </c>
      <c r="BI19" s="1">
        <f>330-40</f>
        <v>290</v>
      </c>
      <c r="BJ19" s="1">
        <f>690-330</f>
        <v>360</v>
      </c>
      <c r="BK19" s="1">
        <f>345-40</f>
        <v>305</v>
      </c>
      <c r="BL19" s="1">
        <f>535-40+125-345</f>
        <v>275</v>
      </c>
      <c r="BM19" s="1">
        <f>435-125</f>
        <v>310</v>
      </c>
      <c r="BN19" s="1">
        <f>260-15</f>
        <v>245</v>
      </c>
      <c r="BO19" s="1">
        <f>650-260</f>
        <v>390</v>
      </c>
      <c r="BP19" s="1">
        <f t="shared" si="3"/>
        <v>2175</v>
      </c>
      <c r="BQ19" s="233"/>
      <c r="BR19" s="85">
        <f>AVERAGE(BR42,BR65)</f>
        <v>66.900000000000006</v>
      </c>
      <c r="BS19" s="1">
        <f>AVERAGE(BS42,BS65)</f>
        <v>5.5649999999999995</v>
      </c>
      <c r="BT19" s="1">
        <f>AVERAGE(BT42,BT65)</f>
        <v>6.42</v>
      </c>
      <c r="BU19" s="1">
        <f>AVERAGE(BU42,BU65)</f>
        <v>1</v>
      </c>
      <c r="BV19" s="1">
        <f>AVERAGE(BV42,BV65)</f>
        <v>21.119999999999997</v>
      </c>
      <c r="BX19" s="1">
        <v>17</v>
      </c>
      <c r="BY19" s="1">
        <f>290-15</f>
        <v>275</v>
      </c>
      <c r="BZ19" s="1">
        <f>535-290</f>
        <v>245</v>
      </c>
      <c r="CA19" s="1">
        <f>270-55</f>
        <v>215</v>
      </c>
      <c r="CB19" s="1">
        <f>-270+510</f>
        <v>240</v>
      </c>
      <c r="CC19" s="1">
        <f>250-30</f>
        <v>220</v>
      </c>
      <c r="CD19" s="1">
        <f>485-250</f>
        <v>235</v>
      </c>
      <c r="CE19" s="68">
        <f>280-50</f>
        <v>230</v>
      </c>
      <c r="CF19" s="1">
        <f t="shared" si="4"/>
        <v>1660</v>
      </c>
      <c r="CG19" s="233"/>
      <c r="CH19" s="1">
        <f>CH53</f>
        <v>66.59</v>
      </c>
      <c r="CI19" s="1">
        <f>CI53</f>
        <v>3.76</v>
      </c>
      <c r="CJ19" s="1">
        <f>CJ53</f>
        <v>7.32</v>
      </c>
      <c r="CK19" s="1">
        <f>CK53</f>
        <v>1</v>
      </c>
      <c r="CL19" s="1">
        <f>CL53</f>
        <v>22.34</v>
      </c>
      <c r="CN19" s="1">
        <v>17</v>
      </c>
      <c r="CO19" s="1">
        <f>485-280</f>
        <v>205</v>
      </c>
      <c r="CP19" s="1">
        <f>285-5</f>
        <v>280</v>
      </c>
      <c r="CQ19" s="1">
        <f>465-285</f>
        <v>180</v>
      </c>
      <c r="CR19" s="1">
        <f>210-45</f>
        <v>165</v>
      </c>
      <c r="CS19" s="1">
        <f>390-210</f>
        <v>180</v>
      </c>
      <c r="CT19" s="1">
        <f>-390+625</f>
        <v>235</v>
      </c>
      <c r="CU19" s="1">
        <f>120-20</f>
        <v>100</v>
      </c>
      <c r="CV19" s="1">
        <f t="shared" si="5"/>
        <v>1345</v>
      </c>
      <c r="CX19" s="1"/>
      <c r="CY19" s="1"/>
      <c r="CZ19" s="1"/>
      <c r="DA19" s="1"/>
      <c r="DB19" s="1"/>
      <c r="DC19" s="84"/>
      <c r="DD19" s="1">
        <v>17</v>
      </c>
      <c r="DE19" s="1">
        <f>275-120</f>
        <v>155</v>
      </c>
      <c r="DF19" s="1">
        <f>440-275</f>
        <v>165</v>
      </c>
      <c r="DG19" s="1">
        <f>100-15</f>
        <v>85</v>
      </c>
      <c r="DH19" s="1">
        <f>240-100</f>
        <v>140</v>
      </c>
      <c r="DI19" s="1">
        <f>345-240</f>
        <v>105</v>
      </c>
      <c r="DJ19" s="1">
        <f>475-345</f>
        <v>130</v>
      </c>
      <c r="DK19" s="1">
        <f>560-475</f>
        <v>85</v>
      </c>
      <c r="DL19" s="1">
        <f t="shared" si="6"/>
        <v>865</v>
      </c>
      <c r="DM19" s="84"/>
      <c r="DN19" s="1">
        <f>DN64</f>
        <v>59.98</v>
      </c>
      <c r="DO19" s="1">
        <f>DO64</f>
        <v>2.92</v>
      </c>
      <c r="DP19" s="1">
        <f>DP64</f>
        <v>8.64</v>
      </c>
      <c r="DQ19" s="1">
        <f>DQ64</f>
        <v>1</v>
      </c>
      <c r="DR19" s="1">
        <f>DR64</f>
        <v>28.46</v>
      </c>
      <c r="DS19" s="84"/>
      <c r="DT19" s="1">
        <v>17</v>
      </c>
      <c r="DU19" s="1">
        <f>-10+120</f>
        <v>110</v>
      </c>
      <c r="DV19" s="1">
        <f>215-120</f>
        <v>95</v>
      </c>
      <c r="DW19" s="1">
        <f>350-215</f>
        <v>135</v>
      </c>
      <c r="DX19" s="1">
        <f>440-350</f>
        <v>90</v>
      </c>
      <c r="DY19" s="1">
        <f>535-440</f>
        <v>95</v>
      </c>
      <c r="DZ19" s="1">
        <f>110-50</f>
        <v>60</v>
      </c>
      <c r="EA19" s="1">
        <f>200-110</f>
        <v>90</v>
      </c>
      <c r="EB19" s="1">
        <f t="shared" si="7"/>
        <v>675</v>
      </c>
      <c r="EC19" s="84"/>
      <c r="ED19" s="1">
        <f>ED54</f>
        <v>54.01</v>
      </c>
      <c r="EE19" s="1">
        <f>EE54</f>
        <v>2.11</v>
      </c>
      <c r="EF19" s="1">
        <f>EF54</f>
        <v>9.76</v>
      </c>
      <c r="EG19" s="1">
        <f>EG54</f>
        <v>0</v>
      </c>
      <c r="EH19" s="1">
        <f>EH54</f>
        <v>34.130000000000003</v>
      </c>
      <c r="EI19" s="84"/>
      <c r="EJ19" s="1">
        <v>17</v>
      </c>
      <c r="EK19" s="1">
        <f>240-200</f>
        <v>40</v>
      </c>
      <c r="EL19" s="1">
        <f>265-240</f>
        <v>25</v>
      </c>
      <c r="EM19" s="1">
        <f>295-265</f>
        <v>30</v>
      </c>
      <c r="EN19" s="1">
        <f>315-295</f>
        <v>20</v>
      </c>
      <c r="EO19" s="1">
        <f>325-315</f>
        <v>10</v>
      </c>
      <c r="EP19" s="1">
        <f>330-325</f>
        <v>5</v>
      </c>
      <c r="EQ19" s="1">
        <f>350-330</f>
        <v>20</v>
      </c>
      <c r="ER19" s="1">
        <f t="shared" si="8"/>
        <v>150</v>
      </c>
      <c r="ES19" s="90"/>
      <c r="ET19" s="1"/>
      <c r="EU19" s="1"/>
      <c r="EV19" s="1"/>
      <c r="EW19" s="1"/>
      <c r="EX19" s="1"/>
      <c r="EY19" s="90"/>
      <c r="EZ19" s="1">
        <v>17</v>
      </c>
      <c r="FA19" s="1">
        <f>350-350</f>
        <v>0</v>
      </c>
      <c r="FB19" s="1">
        <f>355-350</f>
        <v>5</v>
      </c>
      <c r="FC19" s="1">
        <f>380-355</f>
        <v>25</v>
      </c>
      <c r="FD19" s="1">
        <f>400-380</f>
        <v>20</v>
      </c>
      <c r="FE19" s="1">
        <f>410-400</f>
        <v>10</v>
      </c>
      <c r="FF19" s="1">
        <f>445-410</f>
        <v>35</v>
      </c>
      <c r="FG19" s="1">
        <f>475-445</f>
        <v>30</v>
      </c>
      <c r="FH19" s="1">
        <f t="shared" si="9"/>
        <v>125</v>
      </c>
      <c r="FI19" s="92"/>
      <c r="FJ19" s="1">
        <v>27.79</v>
      </c>
      <c r="FK19" s="1">
        <v>0.59</v>
      </c>
      <c r="FL19" s="1">
        <v>14.54</v>
      </c>
      <c r="FM19" s="1">
        <v>0</v>
      </c>
      <c r="FN19" s="1">
        <v>57.08</v>
      </c>
      <c r="FO19" s="92"/>
      <c r="FP19" s="1">
        <v>17</v>
      </c>
      <c r="FQ19" s="1">
        <f>520-475</f>
        <v>45</v>
      </c>
      <c r="FR19" s="1">
        <f>80-45</f>
        <v>35</v>
      </c>
      <c r="FS19" s="1">
        <f>125-80</f>
        <v>45</v>
      </c>
      <c r="FT19" s="1"/>
      <c r="FU19" s="1"/>
      <c r="FV19" s="1"/>
      <c r="FW19" s="1"/>
      <c r="FX19" s="1">
        <f t="shared" si="10"/>
        <v>125</v>
      </c>
      <c r="FY19" s="93"/>
      <c r="FZ19" s="1"/>
      <c r="GA19" s="1"/>
      <c r="GB19" s="1"/>
      <c r="GC19" s="1"/>
      <c r="GD19" s="1"/>
      <c r="GE19" s="92"/>
      <c r="GF19" s="1">
        <v>17</v>
      </c>
      <c r="GG19" s="1"/>
      <c r="GH19" s="1"/>
      <c r="GI19" s="1"/>
      <c r="GJ19" s="1"/>
      <c r="GK19" s="1"/>
      <c r="GL19" s="1"/>
      <c r="GM19" s="1"/>
      <c r="GN19" s="1">
        <f t="shared" si="11"/>
        <v>0</v>
      </c>
      <c r="GO19" s="93"/>
      <c r="GP19" s="1"/>
      <c r="GQ19" s="1"/>
      <c r="GR19" s="1"/>
      <c r="GS19" s="1"/>
      <c r="GT19" s="1"/>
      <c r="GU19" s="93"/>
      <c r="GV19" s="90"/>
      <c r="GW19" s="74">
        <f t="shared" si="12"/>
        <v>11310</v>
      </c>
      <c r="GX19" s="75">
        <f t="shared" si="13"/>
        <v>113.1</v>
      </c>
      <c r="HF19" s="1">
        <v>16</v>
      </c>
      <c r="HG19" s="4">
        <v>7.49</v>
      </c>
      <c r="HH19" s="4">
        <v>563.92999999999995</v>
      </c>
      <c r="HI19" s="1">
        <v>80</v>
      </c>
      <c r="HJ19" s="4">
        <v>40.700052412751205</v>
      </c>
      <c r="HK19" s="1"/>
      <c r="HM19" s="1">
        <v>16</v>
      </c>
      <c r="HN19" s="5">
        <v>8.14</v>
      </c>
      <c r="HO19" s="21">
        <f>1136.3-263.7</f>
        <v>872.59999999999991</v>
      </c>
      <c r="HP19" s="21">
        <v>66.716999999999999</v>
      </c>
      <c r="HQ19" s="21">
        <v>30</v>
      </c>
      <c r="HR19" s="21">
        <v>69.537000000000006</v>
      </c>
      <c r="HS19" s="21">
        <v>67.957999999999998</v>
      </c>
      <c r="HT19" s="139">
        <f t="shared" si="15"/>
        <v>9.400000000000025E-2</v>
      </c>
      <c r="HU19" s="139">
        <f t="shared" si="16"/>
        <v>5.2633333333333594E-2</v>
      </c>
      <c r="HV19" s="138">
        <f t="shared" si="25"/>
        <v>45.927846666666888</v>
      </c>
      <c r="HW19" s="138">
        <f t="shared" si="17"/>
        <v>12.034070697852854</v>
      </c>
      <c r="HX19" s="139">
        <f t="shared" si="14"/>
        <v>0.29567703195592487</v>
      </c>
      <c r="HY19" s="1">
        <f>1*2500</f>
        <v>2500</v>
      </c>
      <c r="HZ19" s="74">
        <f t="shared" si="18"/>
        <v>1944.4444444444443</v>
      </c>
      <c r="IA19" s="1">
        <f>6*25</f>
        <v>150</v>
      </c>
      <c r="IB19" s="5">
        <v>25</v>
      </c>
      <c r="IC19" s="58">
        <f>50*2+25+17.4</f>
        <v>142.4</v>
      </c>
      <c r="ID19" s="58">
        <f>50*2+25+25</f>
        <v>150</v>
      </c>
      <c r="IE19" s="5">
        <f t="shared" si="19"/>
        <v>4971.399999999996</v>
      </c>
      <c r="IF19" s="5">
        <f t="shared" si="20"/>
        <v>28480</v>
      </c>
      <c r="IG19" s="74">
        <f t="shared" si="21"/>
        <v>0.17455758426966278</v>
      </c>
      <c r="II19" s="1">
        <v>16</v>
      </c>
      <c r="IJ19" s="4">
        <v>47.869199999999999</v>
      </c>
      <c r="IK19" s="4">
        <v>4.8092300000000003</v>
      </c>
      <c r="IL19" s="4">
        <v>0</v>
      </c>
      <c r="IM19" s="4">
        <v>47.321599999999997</v>
      </c>
      <c r="IN19" s="74">
        <f t="shared" si="22"/>
        <v>6307.4835000000003</v>
      </c>
      <c r="IO19" s="74">
        <f t="shared" si="23"/>
        <v>5755.0084999999999</v>
      </c>
      <c r="IP19" s="81">
        <f t="shared" si="24"/>
        <v>141.40051815257547</v>
      </c>
    </row>
    <row r="20" spans="1:250" x14ac:dyDescent="0.3">
      <c r="A20" s="101">
        <v>17</v>
      </c>
      <c r="B20" s="4">
        <v>2.0130699999999999</v>
      </c>
      <c r="C20" s="4">
        <v>31.355499999999999</v>
      </c>
      <c r="D20" s="4">
        <v>33.126300000000001</v>
      </c>
      <c r="E20" s="4">
        <v>33.505099999999999</v>
      </c>
      <c r="F20" s="2" t="s">
        <v>122</v>
      </c>
      <c r="L20" s="101">
        <v>17</v>
      </c>
      <c r="M20" s="1"/>
      <c r="N20" s="1"/>
      <c r="O20" s="1">
        <v>240</v>
      </c>
      <c r="P20" s="1">
        <f>420-240</f>
        <v>180</v>
      </c>
      <c r="Q20" s="1">
        <f>160-0</f>
        <v>160</v>
      </c>
      <c r="R20" s="1">
        <f>315-160</f>
        <v>155</v>
      </c>
      <c r="S20" s="1">
        <f>550-315</f>
        <v>235</v>
      </c>
      <c r="T20" s="1">
        <f t="shared" si="0"/>
        <v>970</v>
      </c>
      <c r="U20" s="233"/>
      <c r="V20" s="1"/>
      <c r="W20" s="1"/>
      <c r="X20" s="1"/>
      <c r="Y20" s="1"/>
      <c r="Z20" s="1"/>
      <c r="AB20" s="101">
        <v>17</v>
      </c>
      <c r="AC20" s="1">
        <f>490-15</f>
        <v>475</v>
      </c>
      <c r="AD20" s="1">
        <f>595-20</f>
        <v>575</v>
      </c>
      <c r="AE20" s="1">
        <f>510-0</f>
        <v>510</v>
      </c>
      <c r="AF20" s="1">
        <f>690-40</f>
        <v>650</v>
      </c>
      <c r="AG20" s="1">
        <f>555-20</f>
        <v>535</v>
      </c>
      <c r="AH20" s="1">
        <f>605-15+535-30</f>
        <v>1095</v>
      </c>
      <c r="AI20" s="1">
        <f>570-35+550-0</f>
        <v>1085</v>
      </c>
      <c r="AJ20" s="1">
        <f t="shared" si="1"/>
        <v>4925</v>
      </c>
      <c r="AK20" s="233"/>
      <c r="AL20" s="64">
        <f>AVERAGE(AL52,AL45)</f>
        <v>25.344999999999999</v>
      </c>
      <c r="AM20" s="4">
        <f>AVERAGE(AM52,AM45)</f>
        <v>8.9600000000000009</v>
      </c>
      <c r="AN20" s="4">
        <f>AVERAGE(AN52,AN45)</f>
        <v>13.56</v>
      </c>
      <c r="AO20" s="4">
        <f>AVERAGE(AO52,AO45)</f>
        <v>7</v>
      </c>
      <c r="AP20" s="4">
        <f>AVERAGE(AP52,AP45)</f>
        <v>52.129999999999995</v>
      </c>
      <c r="AR20" s="1">
        <v>18</v>
      </c>
      <c r="AS20" s="1">
        <f>690-30</f>
        <v>660</v>
      </c>
      <c r="AT20" s="1">
        <f>550-0</f>
        <v>550</v>
      </c>
      <c r="AU20" s="1">
        <f>410-20</f>
        <v>390</v>
      </c>
      <c r="AV20" s="1">
        <f>415-50</f>
        <v>365</v>
      </c>
      <c r="AW20" s="1">
        <f>350-50</f>
        <v>300</v>
      </c>
      <c r="AX20" s="1">
        <f>360-50</f>
        <v>310</v>
      </c>
      <c r="AY20" s="1">
        <f>265-0</f>
        <v>265</v>
      </c>
      <c r="AZ20" s="1">
        <f t="shared" si="2"/>
        <v>2840</v>
      </c>
      <c r="BA20" s="233"/>
      <c r="BB20" s="85">
        <f>AVERAGE(BB82,BB57)</f>
        <v>55.435000000000002</v>
      </c>
      <c r="BC20" s="1">
        <f>AVERAGE(BC82,BC57)</f>
        <v>10.059999999999999</v>
      </c>
      <c r="BD20" s="1">
        <f>AVERAGE(BD82,BD57)</f>
        <v>7.52</v>
      </c>
      <c r="BE20" s="1">
        <f>AVERAGE(BE82,BE57)</f>
        <v>2</v>
      </c>
      <c r="BF20" s="1">
        <f>AVERAGE(BF82,BF57)</f>
        <v>26.990000000000002</v>
      </c>
      <c r="BH20" s="1">
        <v>18</v>
      </c>
      <c r="BI20" s="1">
        <f>490-265</f>
        <v>225</v>
      </c>
      <c r="BJ20" s="1">
        <f>240-15</f>
        <v>225</v>
      </c>
      <c r="BK20" s="1">
        <f>435-240</f>
        <v>195</v>
      </c>
      <c r="BL20" s="1">
        <f>535-435</f>
        <v>100</v>
      </c>
      <c r="BM20" s="1">
        <f>205-0</f>
        <v>205</v>
      </c>
      <c r="BN20" s="1">
        <f>330-205</f>
        <v>125</v>
      </c>
      <c r="BO20" s="1">
        <f>460-330</f>
        <v>130</v>
      </c>
      <c r="BP20" s="1">
        <f t="shared" si="3"/>
        <v>1205</v>
      </c>
      <c r="BQ20" s="233"/>
      <c r="BR20" s="1"/>
      <c r="BS20" s="1"/>
      <c r="BT20" s="1"/>
      <c r="BU20" s="1"/>
      <c r="BV20" s="1"/>
      <c r="BX20" s="1">
        <v>18</v>
      </c>
      <c r="BY20" s="1">
        <f>345-25</f>
        <v>320</v>
      </c>
      <c r="BZ20" s="1">
        <f>470-345</f>
        <v>125</v>
      </c>
      <c r="CA20" s="1">
        <f>135-50</f>
        <v>85</v>
      </c>
      <c r="CB20" s="1">
        <f>-135+210</f>
        <v>75</v>
      </c>
      <c r="CC20" s="1">
        <f>285-210</f>
        <v>75</v>
      </c>
      <c r="CD20" s="1">
        <f>330-285</f>
        <v>45</v>
      </c>
      <c r="CE20" s="1">
        <f>380-330</f>
        <v>50</v>
      </c>
      <c r="CF20" s="1">
        <f t="shared" si="4"/>
        <v>775</v>
      </c>
      <c r="CG20" s="233"/>
      <c r="CH20" s="1">
        <f>CH72</f>
        <v>55.85</v>
      </c>
      <c r="CI20" s="1">
        <f>CI72</f>
        <v>6.26</v>
      </c>
      <c r="CJ20" s="1">
        <f>CJ72</f>
        <v>7.62</v>
      </c>
      <c r="CK20" s="1">
        <f>CK72</f>
        <v>1</v>
      </c>
      <c r="CL20" s="1">
        <f>CL72</f>
        <v>30.27</v>
      </c>
      <c r="CN20" s="1">
        <v>18</v>
      </c>
      <c r="CO20" s="1">
        <f>425-380</f>
        <v>45</v>
      </c>
      <c r="CP20" s="1">
        <f>55-5</f>
        <v>50</v>
      </c>
      <c r="CQ20" s="1">
        <f>90-55</f>
        <v>35</v>
      </c>
      <c r="CR20" s="1">
        <f>115-90</f>
        <v>25</v>
      </c>
      <c r="CS20" s="1">
        <f>150-115</f>
        <v>35</v>
      </c>
      <c r="CT20" s="1">
        <f>-150+185</f>
        <v>35</v>
      </c>
      <c r="CU20" s="1">
        <f>195-185</f>
        <v>10</v>
      </c>
      <c r="CV20" s="1">
        <f t="shared" si="5"/>
        <v>235</v>
      </c>
      <c r="CX20" s="1"/>
      <c r="CY20" s="1"/>
      <c r="CZ20" s="1"/>
      <c r="DA20" s="1"/>
      <c r="DB20" s="1"/>
      <c r="DC20" s="84"/>
      <c r="DD20" s="1">
        <v>18</v>
      </c>
      <c r="DE20" s="1">
        <f>225-195</f>
        <v>30</v>
      </c>
      <c r="DF20" s="1">
        <f>275-225</f>
        <v>50</v>
      </c>
      <c r="DG20" s="1">
        <f>310-275</f>
        <v>35</v>
      </c>
      <c r="DH20" s="1">
        <f>340-310</f>
        <v>30</v>
      </c>
      <c r="DI20" s="1">
        <f>360-340</f>
        <v>20</v>
      </c>
      <c r="DJ20" s="1">
        <f>395-360</f>
        <v>35</v>
      </c>
      <c r="DK20" s="1">
        <f>430-395</f>
        <v>35</v>
      </c>
      <c r="DL20" s="1">
        <f t="shared" si="6"/>
        <v>235</v>
      </c>
      <c r="DM20" s="84"/>
      <c r="DN20" s="1">
        <f>DN48</f>
        <v>25.73</v>
      </c>
      <c r="DO20" s="1">
        <f>DO48</f>
        <v>1.98</v>
      </c>
      <c r="DP20" s="1">
        <f>DP48</f>
        <v>13.77</v>
      </c>
      <c r="DQ20" s="1">
        <f>DQ48</f>
        <v>0</v>
      </c>
      <c r="DR20" s="1">
        <f>DR48</f>
        <v>58.52</v>
      </c>
      <c r="DS20" s="84"/>
      <c r="DT20" s="85">
        <v>18</v>
      </c>
      <c r="DU20" s="1">
        <f>475-430</f>
        <v>45</v>
      </c>
      <c r="DV20" s="85"/>
      <c r="DW20" s="1"/>
      <c r="DX20" s="1"/>
      <c r="DY20" s="1"/>
      <c r="DZ20" s="1"/>
      <c r="EA20" s="1"/>
      <c r="EB20" s="1">
        <f t="shared" si="7"/>
        <v>45</v>
      </c>
      <c r="EC20" s="84"/>
      <c r="ED20" s="1"/>
      <c r="EE20" s="1"/>
      <c r="EF20" s="1"/>
      <c r="EG20" s="1"/>
      <c r="EH20" s="1"/>
      <c r="EI20" s="84"/>
      <c r="EJ20" s="85">
        <v>18</v>
      </c>
      <c r="EK20" s="1"/>
      <c r="EL20" s="1"/>
      <c r="EM20" s="1"/>
      <c r="EN20" s="1"/>
      <c r="EO20" s="1"/>
      <c r="EP20" s="1"/>
      <c r="EQ20" s="1"/>
      <c r="ER20" s="1">
        <f t="shared" si="8"/>
        <v>0</v>
      </c>
      <c r="ES20" s="90"/>
      <c r="ET20" s="1"/>
      <c r="EU20" s="1"/>
      <c r="EV20" s="1"/>
      <c r="EW20" s="1"/>
      <c r="EX20" s="1"/>
      <c r="EY20" s="90"/>
      <c r="EZ20" s="85">
        <v>18</v>
      </c>
      <c r="FA20" s="1"/>
      <c r="FB20" s="1"/>
      <c r="FC20" s="1"/>
      <c r="FD20" s="1"/>
      <c r="FE20" s="1"/>
      <c r="FF20" s="1"/>
      <c r="FG20" s="1"/>
      <c r="FH20" s="1">
        <f t="shared" si="9"/>
        <v>0</v>
      </c>
      <c r="FI20" s="92"/>
      <c r="FJ20" s="1"/>
      <c r="FK20" s="1"/>
      <c r="FL20" s="1"/>
      <c r="FM20" s="1"/>
      <c r="FN20" s="1"/>
      <c r="FO20" s="92"/>
      <c r="FP20" s="85">
        <v>18</v>
      </c>
      <c r="FQ20" s="1"/>
      <c r="FR20" s="1"/>
      <c r="FS20" s="1"/>
      <c r="FT20" s="1"/>
      <c r="FU20" s="1"/>
      <c r="FV20" s="1"/>
      <c r="FW20" s="1"/>
      <c r="FX20" s="1">
        <f t="shared" si="10"/>
        <v>0</v>
      </c>
      <c r="FY20" s="93"/>
      <c r="FZ20" s="1"/>
      <c r="GA20" s="1"/>
      <c r="GB20" s="1"/>
      <c r="GC20" s="1"/>
      <c r="GD20" s="1"/>
      <c r="GE20" s="92"/>
      <c r="GF20" s="85">
        <v>18</v>
      </c>
      <c r="GG20" s="1"/>
      <c r="GH20" s="1"/>
      <c r="GI20" s="1"/>
      <c r="GJ20" s="1"/>
      <c r="GK20" s="1"/>
      <c r="GL20" s="1"/>
      <c r="GM20" s="1"/>
      <c r="GN20" s="1">
        <f t="shared" si="11"/>
        <v>0</v>
      </c>
      <c r="GO20" s="93"/>
      <c r="GP20" s="1"/>
      <c r="GQ20" s="1"/>
      <c r="GR20" s="1"/>
      <c r="GS20" s="1"/>
      <c r="GT20" s="1"/>
      <c r="GU20" s="93"/>
      <c r="GV20" s="90"/>
      <c r="GW20" s="74">
        <f t="shared" si="12"/>
        <v>11230</v>
      </c>
      <c r="GX20" s="75">
        <f t="shared" si="13"/>
        <v>112.3</v>
      </c>
      <c r="HF20" s="101">
        <v>17</v>
      </c>
      <c r="HG20" s="4">
        <v>7.54</v>
      </c>
      <c r="HH20" s="4">
        <v>498.96</v>
      </c>
      <c r="HI20" s="1">
        <v>80</v>
      </c>
      <c r="HJ20" s="4">
        <v>45.089937765542146</v>
      </c>
      <c r="HK20" s="1"/>
      <c r="HM20" s="101">
        <v>17</v>
      </c>
      <c r="HN20" s="21">
        <v>8</v>
      </c>
      <c r="HO20" s="21">
        <f>1055.43-265.05</f>
        <v>790.38000000000011</v>
      </c>
      <c r="HP20" s="21">
        <v>64.512</v>
      </c>
      <c r="HQ20" s="21">
        <v>30.07</v>
      </c>
      <c r="HR20" s="21">
        <v>67.462000000000003</v>
      </c>
      <c r="HS20" s="21">
        <v>65.768000000000001</v>
      </c>
      <c r="HT20" s="139">
        <f t="shared" si="15"/>
        <v>9.810442301296983E-2</v>
      </c>
      <c r="HU20" s="139">
        <f t="shared" si="16"/>
        <v>5.6335217825074911E-2</v>
      </c>
      <c r="HV20" s="138">
        <f t="shared" si="25"/>
        <v>44.526229464582713</v>
      </c>
      <c r="HW20" s="138">
        <f t="shared" si="17"/>
        <v>17.82557325272797</v>
      </c>
      <c r="HX20" s="139">
        <f t="shared" si="14"/>
        <v>0.39533372934371896</v>
      </c>
      <c r="HY20" s="96">
        <f>2.15*2000*18/17</f>
        <v>4552.9411764705883</v>
      </c>
      <c r="HZ20" s="74">
        <f t="shared" si="18"/>
        <v>3541.1764705882356</v>
      </c>
      <c r="IA20" s="1">
        <f>0*50</f>
        <v>0</v>
      </c>
      <c r="IB20" s="5">
        <v>20</v>
      </c>
      <c r="IC20" s="58">
        <f>75+16.5</f>
        <v>91.5</v>
      </c>
      <c r="ID20" s="58">
        <f>75+20.4</f>
        <v>95.4</v>
      </c>
      <c r="IE20" s="5">
        <f>(((ID20-IC20)*(20/IB20)*1.66)-0.15)*500</f>
        <v>3162.0000000000045</v>
      </c>
      <c r="IF20" s="5">
        <f t="shared" si="20"/>
        <v>22875</v>
      </c>
      <c r="IG20" s="74">
        <f t="shared" si="21"/>
        <v>0.1382295081967215</v>
      </c>
      <c r="II20" s="101">
        <v>17</v>
      </c>
      <c r="IJ20" s="4">
        <v>2.0130699999999999</v>
      </c>
      <c r="IK20" s="4">
        <v>31.355499999999999</v>
      </c>
      <c r="IL20" s="4">
        <v>33.126300000000001</v>
      </c>
      <c r="IM20" s="4">
        <v>33.505099999999999</v>
      </c>
      <c r="IN20" s="74">
        <f t="shared" si="22"/>
        <v>4576.3310000000001</v>
      </c>
      <c r="IO20" s="74">
        <f t="shared" si="23"/>
        <v>4023.8560000000002</v>
      </c>
      <c r="IP20" s="81">
        <f t="shared" si="24"/>
        <v>89.240664312361105</v>
      </c>
    </row>
    <row r="21" spans="1:250" x14ac:dyDescent="0.3">
      <c r="A21" s="100">
        <v>18</v>
      </c>
      <c r="B21" s="4">
        <v>32.387099999999997</v>
      </c>
      <c r="C21" s="4">
        <v>32.2241</v>
      </c>
      <c r="D21" s="4">
        <v>33.130400000000002</v>
      </c>
      <c r="E21" s="4">
        <v>2.2583199999999999</v>
      </c>
      <c r="F21" s="2" t="s">
        <v>115</v>
      </c>
      <c r="L21" s="100">
        <v>18</v>
      </c>
      <c r="M21" s="1"/>
      <c r="N21" s="1"/>
      <c r="O21" s="1">
        <v>0</v>
      </c>
      <c r="P21" s="1">
        <v>655</v>
      </c>
      <c r="Q21" s="1">
        <v>700</v>
      </c>
      <c r="R21" s="1">
        <v>790</v>
      </c>
      <c r="S21" s="3">
        <v>790</v>
      </c>
      <c r="T21" s="1">
        <f t="shared" si="0"/>
        <v>2935</v>
      </c>
      <c r="U21" s="233"/>
      <c r="V21" s="1"/>
      <c r="W21" s="1"/>
      <c r="X21" s="1"/>
      <c r="Y21" s="1"/>
      <c r="Z21" s="1"/>
      <c r="AB21" s="100">
        <v>18</v>
      </c>
      <c r="AC21" s="1">
        <v>990</v>
      </c>
      <c r="AD21" s="1">
        <v>925</v>
      </c>
      <c r="AE21" s="1">
        <v>970</v>
      </c>
      <c r="AF21" s="1">
        <v>1125</v>
      </c>
      <c r="AG21" s="1">
        <v>1250</v>
      </c>
      <c r="AH21" s="1">
        <v>1470</v>
      </c>
      <c r="AI21" s="1">
        <v>1070</v>
      </c>
      <c r="AJ21" s="1">
        <f t="shared" si="1"/>
        <v>7800</v>
      </c>
      <c r="AK21" s="233"/>
      <c r="AL21" s="1"/>
      <c r="AM21" s="1"/>
      <c r="AN21" s="1"/>
      <c r="AO21" s="1"/>
      <c r="AP21" s="1"/>
      <c r="AR21" s="1">
        <v>19</v>
      </c>
      <c r="AS21" s="1">
        <v>1000</v>
      </c>
      <c r="AT21" s="1">
        <v>1255</v>
      </c>
      <c r="AU21" s="1">
        <v>1340</v>
      </c>
      <c r="AV21" s="1">
        <v>1645</v>
      </c>
      <c r="AW21" s="1">
        <v>1465</v>
      </c>
      <c r="AX21" s="1">
        <v>1115</v>
      </c>
      <c r="AY21" s="1">
        <v>1405</v>
      </c>
      <c r="AZ21" s="1">
        <f t="shared" si="2"/>
        <v>9225</v>
      </c>
      <c r="BA21" s="233"/>
      <c r="BB21" s="1">
        <f>BB65</f>
        <v>21.92</v>
      </c>
      <c r="BC21" s="1">
        <f>BC65</f>
        <v>0.5</v>
      </c>
      <c r="BD21" s="1">
        <f>BD65</f>
        <v>18.39</v>
      </c>
      <c r="BE21" s="1">
        <f>BE65</f>
        <v>3</v>
      </c>
      <c r="BF21" s="1">
        <f>BF65</f>
        <v>59.18</v>
      </c>
      <c r="BH21" s="1">
        <v>19</v>
      </c>
      <c r="BI21" s="1">
        <v>1195</v>
      </c>
      <c r="BJ21" s="1">
        <v>970</v>
      </c>
      <c r="BK21" s="1">
        <v>1640</v>
      </c>
      <c r="BL21" s="1">
        <v>1570</v>
      </c>
      <c r="BM21" s="1">
        <v>1350</v>
      </c>
      <c r="BN21" s="1">
        <v>1395</v>
      </c>
      <c r="BO21" s="1">
        <v>1170</v>
      </c>
      <c r="BP21" s="1">
        <f t="shared" si="3"/>
        <v>9290</v>
      </c>
      <c r="BQ21" s="233"/>
      <c r="BR21" s="1"/>
      <c r="BS21" s="1"/>
      <c r="BT21" s="1"/>
      <c r="BU21" s="1"/>
      <c r="BV21" s="1"/>
      <c r="BX21" s="1">
        <v>19</v>
      </c>
      <c r="BY21" s="1">
        <v>880</v>
      </c>
      <c r="BZ21" s="1">
        <v>270</v>
      </c>
      <c r="CA21" s="1">
        <v>220</v>
      </c>
      <c r="CB21" s="1">
        <v>205</v>
      </c>
      <c r="CC21" s="1">
        <v>100</v>
      </c>
      <c r="CD21" s="1">
        <f>115-115</f>
        <v>0</v>
      </c>
      <c r="CE21" s="1">
        <f>115-115</f>
        <v>0</v>
      </c>
      <c r="CF21" s="1">
        <f t="shared" si="4"/>
        <v>1675</v>
      </c>
      <c r="CG21" s="233"/>
      <c r="CH21" s="1">
        <f>CH78</f>
        <v>0.24</v>
      </c>
      <c r="CI21" s="1">
        <f>CI78</f>
        <v>0.09</v>
      </c>
      <c r="CJ21" s="1">
        <f>CJ78</f>
        <v>20.83</v>
      </c>
      <c r="CK21" s="1">
        <f>CK78</f>
        <v>1</v>
      </c>
      <c r="CL21" s="1">
        <f>CL78</f>
        <v>78.83</v>
      </c>
      <c r="CN21" s="1">
        <v>19</v>
      </c>
      <c r="CO21" s="85"/>
      <c r="CP21" s="1"/>
      <c r="CQ21" s="1"/>
      <c r="CR21" s="1"/>
      <c r="CS21" s="1"/>
      <c r="CT21" s="1"/>
      <c r="CU21" s="1"/>
      <c r="CV21" s="1">
        <f t="shared" si="5"/>
        <v>0</v>
      </c>
      <c r="CX21" s="1"/>
      <c r="CY21" s="1"/>
      <c r="CZ21" s="1"/>
      <c r="DA21" s="1"/>
      <c r="DB21" s="1"/>
      <c r="DC21" s="84"/>
      <c r="DD21" s="1">
        <v>19</v>
      </c>
      <c r="DE21" s="1"/>
      <c r="DF21" s="1"/>
      <c r="DG21" s="1"/>
      <c r="DH21" s="1"/>
      <c r="DI21" s="1"/>
      <c r="DJ21" s="1"/>
      <c r="DK21" s="1"/>
      <c r="DL21" s="1">
        <f t="shared" si="6"/>
        <v>0</v>
      </c>
      <c r="DM21" s="84"/>
      <c r="DN21" s="1"/>
      <c r="DO21" s="1"/>
      <c r="DP21" s="1"/>
      <c r="DQ21" s="1"/>
      <c r="DR21" s="1"/>
      <c r="DS21" s="84"/>
      <c r="DT21" s="85">
        <v>19</v>
      </c>
      <c r="DU21" s="1"/>
      <c r="DV21" s="1"/>
      <c r="DW21" s="1"/>
      <c r="DX21" s="1"/>
      <c r="DY21" s="1"/>
      <c r="DZ21" s="1"/>
      <c r="EA21" s="1"/>
      <c r="EB21" s="1">
        <f t="shared" si="7"/>
        <v>0</v>
      </c>
      <c r="EC21" s="84"/>
      <c r="ED21" s="1"/>
      <c r="EE21" s="1"/>
      <c r="EF21" s="1"/>
      <c r="EG21" s="1"/>
      <c r="EH21" s="1"/>
      <c r="EI21" s="84"/>
      <c r="EJ21" s="85">
        <v>19</v>
      </c>
      <c r="EK21" s="1"/>
      <c r="EL21" s="1"/>
      <c r="EM21" s="1"/>
      <c r="EN21" s="1"/>
      <c r="EO21" s="1"/>
      <c r="EP21" s="1"/>
      <c r="EQ21" s="1"/>
      <c r="ER21" s="1">
        <f t="shared" si="8"/>
        <v>0</v>
      </c>
      <c r="ES21" s="90"/>
      <c r="ET21" s="1"/>
      <c r="EU21" s="1"/>
      <c r="EV21" s="1"/>
      <c r="EW21" s="1"/>
      <c r="EX21" s="1"/>
      <c r="EY21" s="90"/>
      <c r="EZ21" s="85">
        <v>19</v>
      </c>
      <c r="FA21" s="1"/>
      <c r="FB21" s="1"/>
      <c r="FC21" s="1"/>
      <c r="FD21" s="1"/>
      <c r="FE21" s="1"/>
      <c r="FF21" s="1"/>
      <c r="FG21" s="1"/>
      <c r="FH21" s="1">
        <f t="shared" si="9"/>
        <v>0</v>
      </c>
      <c r="FI21" s="92"/>
      <c r="FJ21" s="1"/>
      <c r="FK21" s="1"/>
      <c r="FL21" s="1"/>
      <c r="FM21" s="1"/>
      <c r="FN21" s="1"/>
      <c r="FO21" s="92"/>
      <c r="FP21" s="85">
        <v>19</v>
      </c>
      <c r="FQ21" s="1"/>
      <c r="FR21" s="1"/>
      <c r="FS21" s="1"/>
      <c r="FT21" s="1"/>
      <c r="FU21" s="1"/>
      <c r="FV21" s="1"/>
      <c r="FW21" s="1"/>
      <c r="FX21" s="1">
        <f t="shared" si="10"/>
        <v>0</v>
      </c>
      <c r="FY21" s="93"/>
      <c r="FZ21" s="1"/>
      <c r="GA21" s="1"/>
      <c r="GB21" s="1"/>
      <c r="GC21" s="1"/>
      <c r="GD21" s="1"/>
      <c r="GE21" s="92"/>
      <c r="GF21" s="85">
        <v>19</v>
      </c>
      <c r="GG21" s="1"/>
      <c r="GH21" s="1"/>
      <c r="GI21" s="1"/>
      <c r="GJ21" s="1"/>
      <c r="GK21" s="1"/>
      <c r="GL21" s="1"/>
      <c r="GM21" s="1"/>
      <c r="GN21" s="1">
        <f t="shared" si="11"/>
        <v>0</v>
      </c>
      <c r="GO21" s="93"/>
      <c r="GP21" s="1"/>
      <c r="GQ21" s="1"/>
      <c r="GR21" s="1"/>
      <c r="GS21" s="1"/>
      <c r="GT21" s="1"/>
      <c r="GU21" s="93"/>
      <c r="GV21" s="90"/>
      <c r="GW21" s="74">
        <f t="shared" si="12"/>
        <v>30925</v>
      </c>
      <c r="GX21" s="75">
        <f t="shared" si="13"/>
        <v>309.25</v>
      </c>
      <c r="HF21" s="100">
        <v>18</v>
      </c>
      <c r="HG21" s="81">
        <v>7.12</v>
      </c>
      <c r="HH21" s="4">
        <v>502.74</v>
      </c>
      <c r="HI21" s="1">
        <v>80</v>
      </c>
      <c r="HJ21" s="4">
        <v>40.830912645065226</v>
      </c>
      <c r="HK21" s="1"/>
      <c r="HM21" s="100">
        <v>18</v>
      </c>
      <c r="HN21" s="5">
        <v>7.96</v>
      </c>
      <c r="HO21" s="21">
        <f>1185.82-266.71</f>
        <v>919.1099999999999</v>
      </c>
      <c r="HP21" s="21">
        <v>54.868000000000002</v>
      </c>
      <c r="HQ21" s="21">
        <v>30.31</v>
      </c>
      <c r="HR21" s="21">
        <v>57.298000000000002</v>
      </c>
      <c r="HS21" s="21">
        <v>55.954999999999998</v>
      </c>
      <c r="HT21" s="139">
        <f t="shared" si="15"/>
        <v>8.0171560541075548E-2</v>
      </c>
      <c r="HU21" s="139">
        <f t="shared" si="16"/>
        <v>4.430880897393611E-2</v>
      </c>
      <c r="HV21" s="138">
        <f t="shared" si="25"/>
        <v>40.724669416034416</v>
      </c>
      <c r="HW21" s="138">
        <f t="shared" si="17"/>
        <v>17.368108180799346</v>
      </c>
      <c r="HX21" s="139">
        <f t="shared" si="14"/>
        <v>0.42536664148991132</v>
      </c>
      <c r="HY21" s="96">
        <f>2.23*2000*18/17</f>
        <v>4722.3529411764703</v>
      </c>
      <c r="HZ21" s="74">
        <f t="shared" si="18"/>
        <v>3672.9411764705883</v>
      </c>
      <c r="IA21" s="1">
        <f>0*50</f>
        <v>0</v>
      </c>
      <c r="IB21" s="5">
        <v>25</v>
      </c>
      <c r="IC21" s="58">
        <f>100+23.05</f>
        <v>123.05</v>
      </c>
      <c r="ID21" s="58">
        <f>100+28.1</f>
        <v>128.1</v>
      </c>
      <c r="IE21" s="5">
        <f t="shared" si="19"/>
        <v>3278.199999999998</v>
      </c>
      <c r="IF21" s="5">
        <f t="shared" si="20"/>
        <v>24610</v>
      </c>
      <c r="IG21" s="74">
        <f t="shared" si="21"/>
        <v>0.13320601381552205</v>
      </c>
      <c r="II21" s="100">
        <v>18</v>
      </c>
      <c r="IJ21" s="4">
        <v>32.387099999999997</v>
      </c>
      <c r="IK21" s="4">
        <v>32.2241</v>
      </c>
      <c r="IL21" s="4">
        <v>33.130400000000002</v>
      </c>
      <c r="IM21" s="4">
        <v>2.2583199999999999</v>
      </c>
      <c r="IN21" s="74">
        <f t="shared" si="22"/>
        <v>3831.7639999999997</v>
      </c>
      <c r="IO21" s="74">
        <f t="shared" si="23"/>
        <v>3279.2889999999998</v>
      </c>
      <c r="IP21" s="81">
        <f t="shared" si="24"/>
        <v>80.313879547738466</v>
      </c>
    </row>
    <row r="22" spans="1:250" x14ac:dyDescent="0.3">
      <c r="A22" s="1">
        <v>19</v>
      </c>
      <c r="B22" s="4">
        <v>0</v>
      </c>
      <c r="C22" s="4">
        <v>0</v>
      </c>
      <c r="D22" s="4">
        <v>27.988800000000001</v>
      </c>
      <c r="E22" s="4">
        <v>72.011200000000002</v>
      </c>
      <c r="F22" s="2" t="s">
        <v>123</v>
      </c>
      <c r="L22" s="1">
        <v>19</v>
      </c>
      <c r="M22" s="1"/>
      <c r="N22" s="1"/>
      <c r="O22" s="1">
        <v>0</v>
      </c>
      <c r="P22" s="1">
        <v>0</v>
      </c>
      <c r="Q22" s="1">
        <v>0</v>
      </c>
      <c r="R22" s="1">
        <v>0</v>
      </c>
      <c r="S22" s="1">
        <f>65-0</f>
        <v>65</v>
      </c>
      <c r="T22" s="1">
        <f t="shared" si="0"/>
        <v>65</v>
      </c>
      <c r="U22" s="235"/>
      <c r="V22" s="1"/>
      <c r="W22" s="1"/>
      <c r="X22" s="1"/>
      <c r="Y22" s="1"/>
      <c r="Z22" s="1"/>
      <c r="AB22" s="1">
        <v>19</v>
      </c>
      <c r="AC22" s="1">
        <f>690-65</f>
        <v>625</v>
      </c>
      <c r="AD22" s="1">
        <f>535-5</f>
        <v>530</v>
      </c>
      <c r="AE22" s="1">
        <f>470-0</f>
        <v>470</v>
      </c>
      <c r="AF22" s="1">
        <f>550-10</f>
        <v>540</v>
      </c>
      <c r="AG22" s="1">
        <f>690-15</f>
        <v>675</v>
      </c>
      <c r="AH22" s="1">
        <f>355-5</f>
        <v>350</v>
      </c>
      <c r="AI22" s="1">
        <f>690-10+260-355</f>
        <v>585</v>
      </c>
      <c r="AJ22" s="1">
        <f t="shared" si="1"/>
        <v>3775</v>
      </c>
      <c r="AK22" s="234"/>
      <c r="AL22" s="1"/>
      <c r="AM22" s="1"/>
      <c r="AN22" s="1"/>
      <c r="AO22" s="1"/>
      <c r="AP22" s="1"/>
      <c r="AR22" s="1">
        <v>20</v>
      </c>
      <c r="AS22" s="1"/>
      <c r="AT22" s="1">
        <f>690-260</f>
        <v>430</v>
      </c>
      <c r="AU22" s="1">
        <f>595-10</f>
        <v>585</v>
      </c>
      <c r="AV22" s="1">
        <f>400-0</f>
        <v>400</v>
      </c>
      <c r="AW22" s="1">
        <f>405-45</f>
        <v>360</v>
      </c>
      <c r="AX22" s="1">
        <f>450-50</f>
        <v>400</v>
      </c>
      <c r="AY22" s="1">
        <f>375-40</f>
        <v>335</v>
      </c>
      <c r="AZ22" s="1">
        <f t="shared" si="2"/>
        <v>2510</v>
      </c>
      <c r="BA22" s="234"/>
      <c r="BB22" s="1">
        <f>AVERAGE(BB74,BB64)</f>
        <v>61.699999999999996</v>
      </c>
      <c r="BC22" s="1">
        <f>AVERAGE(BC74,BC64)</f>
        <v>16.924999999999997</v>
      </c>
      <c r="BD22" s="1">
        <f>AVERAGE(BD74,BD64)</f>
        <v>8.9</v>
      </c>
      <c r="BE22" s="1">
        <f>AVERAGE(BE74,BE64)</f>
        <v>43.5</v>
      </c>
      <c r="BF22" s="1">
        <f>AVERAGE(BF74,BF64)</f>
        <v>12.469999999999999</v>
      </c>
      <c r="BG22" s="1"/>
      <c r="BH22" s="1">
        <v>20</v>
      </c>
      <c r="BI22" s="1">
        <f>510-0+115-375</f>
        <v>250</v>
      </c>
      <c r="BJ22" s="1">
        <f>400-115</f>
        <v>285</v>
      </c>
      <c r="BK22" s="1">
        <f>355-40</f>
        <v>315</v>
      </c>
      <c r="BL22" s="1">
        <f>515-45+130-355</f>
        <v>245</v>
      </c>
      <c r="BM22" s="1">
        <f>450-130</f>
        <v>320</v>
      </c>
      <c r="BN22" s="1">
        <f>275-40</f>
        <v>235</v>
      </c>
      <c r="BO22" s="1">
        <f>495-275</f>
        <v>220</v>
      </c>
      <c r="BP22" s="1">
        <f t="shared" si="3"/>
        <v>1870</v>
      </c>
      <c r="BQ22" s="234"/>
      <c r="BR22" s="1">
        <f>BR67</f>
        <v>63.41</v>
      </c>
      <c r="BS22" s="1">
        <f>BS67</f>
        <v>19.170000000000002</v>
      </c>
      <c r="BT22" s="1">
        <f>BT67</f>
        <v>8.85</v>
      </c>
      <c r="BU22" s="1">
        <f>BU67</f>
        <v>46</v>
      </c>
      <c r="BV22" s="1">
        <f>BV67</f>
        <v>8.57</v>
      </c>
      <c r="BX22" s="1">
        <v>20</v>
      </c>
      <c r="BY22" s="1">
        <f>275-30</f>
        <v>245</v>
      </c>
      <c r="BZ22" s="1">
        <f>465-275</f>
        <v>190</v>
      </c>
      <c r="CA22" s="1">
        <f>210-50</f>
        <v>160</v>
      </c>
      <c r="CB22" s="68">
        <f>-210+380</f>
        <v>170</v>
      </c>
      <c r="CC22" s="1">
        <f>495-380</f>
        <v>115</v>
      </c>
      <c r="CD22" s="1">
        <f>160-10</f>
        <v>150</v>
      </c>
      <c r="CE22" s="1">
        <f>275-160</f>
        <v>115</v>
      </c>
      <c r="CF22" s="1">
        <f t="shared" si="4"/>
        <v>1145</v>
      </c>
      <c r="CG22" s="235"/>
      <c r="CH22" s="1"/>
      <c r="CI22" s="1"/>
      <c r="CJ22" s="1"/>
      <c r="CK22" s="1"/>
      <c r="CL22" s="1"/>
      <c r="CN22" s="1">
        <v>20</v>
      </c>
      <c r="CO22" s="1">
        <f>380-275</f>
        <v>105</v>
      </c>
      <c r="CP22" s="1">
        <f>520-380</f>
        <v>140</v>
      </c>
      <c r="CQ22" s="1">
        <f>135-50</f>
        <v>85</v>
      </c>
      <c r="CR22" s="1">
        <f>230-135</f>
        <v>95</v>
      </c>
      <c r="CS22" s="1">
        <f>335-230</f>
        <v>105</v>
      </c>
      <c r="CT22" s="1">
        <f>-335+470</f>
        <v>135</v>
      </c>
      <c r="CU22" s="1">
        <f>85-0</f>
        <v>85</v>
      </c>
      <c r="CV22" s="1">
        <f t="shared" si="5"/>
        <v>750</v>
      </c>
      <c r="CX22" s="1">
        <f>CX51</f>
        <v>59.42</v>
      </c>
      <c r="CY22" s="1">
        <f>CY51</f>
        <v>18.04</v>
      </c>
      <c r="CZ22" s="1">
        <f>CZ51</f>
        <v>7.62</v>
      </c>
      <c r="DA22" s="1">
        <f>DA51</f>
        <v>22</v>
      </c>
      <c r="DB22" s="1">
        <f>DB51</f>
        <v>14.92</v>
      </c>
      <c r="DC22" s="84"/>
      <c r="DD22" s="1">
        <v>20</v>
      </c>
      <c r="DE22" s="1">
        <f>190-85</f>
        <v>105</v>
      </c>
      <c r="DF22" s="1">
        <f>310-190</f>
        <v>120</v>
      </c>
      <c r="DG22" s="1">
        <f>375-310</f>
        <v>65</v>
      </c>
      <c r="DH22" s="1">
        <f>500-375</f>
        <v>125</v>
      </c>
      <c r="DI22" s="1">
        <f>120-30</f>
        <v>90</v>
      </c>
      <c r="DJ22" s="1">
        <f>250-120</f>
        <v>130</v>
      </c>
      <c r="DK22" s="1">
        <f>315-250</f>
        <v>65</v>
      </c>
      <c r="DL22" s="1">
        <f t="shared" si="6"/>
        <v>700</v>
      </c>
      <c r="DM22" s="84"/>
      <c r="DN22" s="1">
        <f>DN51</f>
        <v>49.59</v>
      </c>
      <c r="DO22" s="1">
        <f>DO51</f>
        <v>20.51</v>
      </c>
      <c r="DP22" s="1">
        <f>DP51</f>
        <v>9.57</v>
      </c>
      <c r="DQ22" s="1">
        <f>DQ51</f>
        <v>21</v>
      </c>
      <c r="DR22" s="1">
        <f>DR51</f>
        <v>20.34</v>
      </c>
      <c r="DS22" s="84"/>
      <c r="DT22" s="1">
        <v>20</v>
      </c>
      <c r="DU22" s="1">
        <f>-315+415</f>
        <v>100</v>
      </c>
      <c r="DV22" s="1">
        <f>525-415</f>
        <v>110</v>
      </c>
      <c r="DW22" s="1">
        <f>85-0</f>
        <v>85</v>
      </c>
      <c r="DX22" s="1">
        <f>165-85</f>
        <v>80</v>
      </c>
      <c r="DY22" s="1">
        <f>-165+270</f>
        <v>105</v>
      </c>
      <c r="DZ22" s="1">
        <f>340-270</f>
        <v>70</v>
      </c>
      <c r="EA22" s="1">
        <f>475-340</f>
        <v>135</v>
      </c>
      <c r="EB22" s="1">
        <f t="shared" si="7"/>
        <v>685</v>
      </c>
      <c r="EC22" s="84"/>
      <c r="ED22" s="1">
        <f>ED43</f>
        <v>46.07</v>
      </c>
      <c r="EE22" s="1">
        <f>EE43</f>
        <v>19.88</v>
      </c>
      <c r="EF22" s="1">
        <f>EF43</f>
        <v>10.98</v>
      </c>
      <c r="EG22" s="1">
        <f>EG43</f>
        <v>16</v>
      </c>
      <c r="EH22" s="1">
        <f>EH43</f>
        <v>23.07</v>
      </c>
      <c r="EI22" s="84"/>
      <c r="EJ22" s="1">
        <v>20</v>
      </c>
      <c r="EK22" s="1">
        <f>75-0</f>
        <v>75</v>
      </c>
      <c r="EL22" s="1">
        <f>145-75</f>
        <v>70</v>
      </c>
      <c r="EM22" s="1">
        <f>240-145</f>
        <v>95</v>
      </c>
      <c r="EN22" s="1">
        <f>335-240</f>
        <v>95</v>
      </c>
      <c r="EO22" s="1">
        <f>415-335</f>
        <v>80</v>
      </c>
      <c r="EP22" s="1">
        <f>475-415</f>
        <v>60</v>
      </c>
      <c r="EQ22" s="1">
        <f>75-0</f>
        <v>75</v>
      </c>
      <c r="ER22" s="1">
        <f t="shared" si="8"/>
        <v>550</v>
      </c>
      <c r="ES22" s="90"/>
      <c r="ET22" s="1"/>
      <c r="EU22" s="1"/>
      <c r="EV22" s="1"/>
      <c r="EW22" s="1"/>
      <c r="EX22" s="1"/>
      <c r="EY22" s="90"/>
      <c r="EZ22" s="1">
        <v>20</v>
      </c>
      <c r="FA22" s="1">
        <f>150-75</f>
        <v>75</v>
      </c>
      <c r="FB22" s="1">
        <f>215-150</f>
        <v>65</v>
      </c>
      <c r="FC22" s="1">
        <f>280-215</f>
        <v>65</v>
      </c>
      <c r="FD22" s="1">
        <f>380-280</f>
        <v>100</v>
      </c>
      <c r="FE22" s="1">
        <f>415-380</f>
        <v>35</v>
      </c>
      <c r="FF22" s="1">
        <f>520-415</f>
        <v>105</v>
      </c>
      <c r="FG22" s="1">
        <f>120-55</f>
        <v>65</v>
      </c>
      <c r="FH22" s="1">
        <f t="shared" si="9"/>
        <v>510</v>
      </c>
      <c r="FI22" s="92"/>
      <c r="FJ22" s="1">
        <v>52.55</v>
      </c>
      <c r="FK22" s="1">
        <v>21.71</v>
      </c>
      <c r="FL22" s="1">
        <v>8.66</v>
      </c>
      <c r="FM22" s="1">
        <v>10</v>
      </c>
      <c r="FN22" s="1">
        <v>17.079999999999998</v>
      </c>
      <c r="FO22" s="92"/>
      <c r="FP22" s="1">
        <v>20</v>
      </c>
      <c r="FQ22" s="1">
        <f>200-120</f>
        <v>80</v>
      </c>
      <c r="FR22" s="1">
        <f>270-200</f>
        <v>70</v>
      </c>
      <c r="FS22" s="1">
        <f>330-270</f>
        <v>60</v>
      </c>
      <c r="FT22" s="1"/>
      <c r="FU22" s="1"/>
      <c r="FV22" s="1"/>
      <c r="FW22" s="1"/>
      <c r="FX22" s="1">
        <f t="shared" si="10"/>
        <v>210</v>
      </c>
      <c r="FY22" s="93"/>
      <c r="FZ22" s="1"/>
      <c r="GA22" s="1"/>
      <c r="GB22" s="1"/>
      <c r="GC22" s="1"/>
      <c r="GD22" s="1"/>
      <c r="GE22" s="92"/>
      <c r="GF22" s="1">
        <v>20</v>
      </c>
      <c r="GG22" s="1"/>
      <c r="GH22" s="1"/>
      <c r="GI22" s="1"/>
      <c r="GJ22" s="1"/>
      <c r="GK22" s="1"/>
      <c r="GL22" s="1"/>
      <c r="GM22" s="1"/>
      <c r="GN22" s="1">
        <f t="shared" si="11"/>
        <v>0</v>
      </c>
      <c r="GO22" s="93"/>
      <c r="GP22" s="1"/>
      <c r="GQ22" s="1"/>
      <c r="GR22" s="1"/>
      <c r="GS22" s="1"/>
      <c r="GT22" s="1"/>
      <c r="GU22" s="93"/>
      <c r="GV22" s="90"/>
      <c r="GW22" s="74">
        <f t="shared" si="12"/>
        <v>12770</v>
      </c>
      <c r="GX22" s="75">
        <f t="shared" si="13"/>
        <v>127.7</v>
      </c>
      <c r="HF22" s="1">
        <v>19</v>
      </c>
      <c r="HG22" s="4">
        <v>7.6</v>
      </c>
      <c r="HH22" s="4">
        <v>560.98</v>
      </c>
      <c r="HI22" s="1">
        <v>80</v>
      </c>
      <c r="HJ22" s="4">
        <v>41.567900133795774</v>
      </c>
      <c r="HK22" s="1"/>
      <c r="HM22" s="1">
        <v>19</v>
      </c>
      <c r="HN22" s="5">
        <v>7.84</v>
      </c>
      <c r="HO22" s="21">
        <f>1037-272.8</f>
        <v>764.2</v>
      </c>
      <c r="HP22" s="21">
        <v>66.522000000000006</v>
      </c>
      <c r="HQ22" s="21">
        <v>30.11</v>
      </c>
      <c r="HR22" s="21">
        <v>69.53</v>
      </c>
      <c r="HS22" s="21">
        <v>67.569999999999993</v>
      </c>
      <c r="HT22" s="139">
        <f t="shared" si="15"/>
        <v>9.99003653271337E-2</v>
      </c>
      <c r="HU22" s="139">
        <f t="shared" si="16"/>
        <v>6.5094652939223119E-2</v>
      </c>
      <c r="HV22" s="138">
        <f>HU22*HO22</f>
        <v>49.745333776154311</v>
      </c>
      <c r="HW22" s="138">
        <f t="shared" si="17"/>
        <v>9.0844313094100002</v>
      </c>
      <c r="HX22" s="139">
        <f t="shared" si="14"/>
        <v>0.21854438834219878</v>
      </c>
      <c r="HY22" s="131">
        <f>0.65*2500</f>
        <v>1625</v>
      </c>
      <c r="HZ22" s="74">
        <f t="shared" si="18"/>
        <v>1263.8888888888889</v>
      </c>
      <c r="IA22" s="1">
        <f>1*25</f>
        <v>25</v>
      </c>
      <c r="IB22" s="5">
        <v>25</v>
      </c>
      <c r="IC22" s="58">
        <f>50*2+25+9.8</f>
        <v>134.80000000000001</v>
      </c>
      <c r="ID22" s="58">
        <f>50*2+25+14.2</f>
        <v>139.19999999999999</v>
      </c>
      <c r="IE22" s="136">
        <f t="shared" si="19"/>
        <v>2846.5999999999844</v>
      </c>
      <c r="IF22" s="136">
        <f t="shared" si="20"/>
        <v>26960</v>
      </c>
      <c r="IG22" s="74">
        <f t="shared" si="21"/>
        <v>0.10558605341246233</v>
      </c>
      <c r="II22" s="1">
        <v>19</v>
      </c>
      <c r="IJ22" s="4">
        <v>0</v>
      </c>
      <c r="IK22" s="4">
        <v>0</v>
      </c>
      <c r="IL22" s="4">
        <v>27.988800000000001</v>
      </c>
      <c r="IM22" s="4">
        <v>72.011200000000002</v>
      </c>
      <c r="IN22" s="74">
        <f t="shared" si="22"/>
        <v>6127.6914999999999</v>
      </c>
      <c r="IO22" s="74">
        <f t="shared" si="23"/>
        <v>5575.2164999999995</v>
      </c>
      <c r="IP22" s="81">
        <f t="shared" si="24"/>
        <v>134.12312101537228</v>
      </c>
    </row>
    <row r="23" spans="1:250" x14ac:dyDescent="0.3">
      <c r="A23" s="98">
        <v>20</v>
      </c>
      <c r="B23" s="4">
        <v>71.935299999999998</v>
      </c>
      <c r="C23" s="4">
        <v>0</v>
      </c>
      <c r="D23" s="4">
        <v>28.064699999999998</v>
      </c>
      <c r="E23" s="4">
        <v>0</v>
      </c>
      <c r="F23" s="2" t="s">
        <v>117</v>
      </c>
      <c r="G23" s="68" t="s">
        <v>78</v>
      </c>
      <c r="L23" s="98">
        <v>20</v>
      </c>
      <c r="M23" s="1"/>
      <c r="N23" s="1"/>
      <c r="O23" s="1">
        <f>450</f>
        <v>450</v>
      </c>
      <c r="P23" s="1">
        <f>560-450</f>
        <v>110</v>
      </c>
      <c r="Q23" s="1">
        <f>50-40</f>
        <v>10</v>
      </c>
      <c r="R23" s="1">
        <f>50-50</f>
        <v>0</v>
      </c>
      <c r="S23" s="1">
        <f>50-50</f>
        <v>0</v>
      </c>
      <c r="T23" s="1">
        <f t="shared" si="0"/>
        <v>570</v>
      </c>
      <c r="V23" s="1"/>
      <c r="W23" s="1"/>
      <c r="X23" s="1"/>
      <c r="Y23" s="1"/>
      <c r="Z23" s="1"/>
      <c r="AB23" s="98">
        <v>20</v>
      </c>
      <c r="AC23" s="3">
        <f>80-50</f>
        <v>30</v>
      </c>
      <c r="AD23" s="3">
        <f>605-80</f>
        <v>525</v>
      </c>
      <c r="AE23" s="3">
        <f>420-5</f>
        <v>415</v>
      </c>
      <c r="AF23" s="3">
        <f>225-5</f>
        <v>220</v>
      </c>
      <c r="AG23" s="3">
        <f>690-225</f>
        <v>465</v>
      </c>
      <c r="AH23" s="3">
        <f>385-50</f>
        <v>335</v>
      </c>
      <c r="AI23" s="3">
        <f>690-385</f>
        <v>305</v>
      </c>
      <c r="AJ23" s="1">
        <f t="shared" si="1"/>
        <v>2295</v>
      </c>
      <c r="AL23" s="1">
        <v>19.54</v>
      </c>
      <c r="AM23" s="1">
        <v>29.95</v>
      </c>
      <c r="AN23" s="1">
        <v>6.75</v>
      </c>
      <c r="AO23" s="1">
        <v>138</v>
      </c>
      <c r="AP23" s="1">
        <v>43.76</v>
      </c>
      <c r="AR23" s="1">
        <v>21</v>
      </c>
      <c r="AS23" s="3"/>
      <c r="AT23" s="3">
        <f>275-5</f>
        <v>270</v>
      </c>
      <c r="AU23" s="3">
        <f>690-10+265-275</f>
        <v>670</v>
      </c>
      <c r="AV23" s="3">
        <f>690-265</f>
        <v>425</v>
      </c>
      <c r="AW23" s="3">
        <f>690-0</f>
        <v>690</v>
      </c>
      <c r="AX23" s="3">
        <f>690-5</f>
        <v>685</v>
      </c>
      <c r="AY23" s="3"/>
      <c r="AZ23" s="1">
        <f t="shared" si="2"/>
        <v>2740</v>
      </c>
      <c r="BB23" s="85">
        <f>AVERAGE(BB62,BB76)</f>
        <v>67.655000000000001</v>
      </c>
      <c r="BC23" s="1">
        <f>AVERAGE(BC62,BC76)</f>
        <v>17.55</v>
      </c>
      <c r="BD23" s="1">
        <f>AVERAGE(BD62,BD76)</f>
        <v>5.87</v>
      </c>
      <c r="BE23" s="1">
        <f>AVERAGE(BE62,BE76)</f>
        <v>110</v>
      </c>
      <c r="BF23" s="1">
        <f>AVERAGE(BF62,BF76)</f>
        <v>8.92</v>
      </c>
      <c r="BH23" s="1">
        <v>21</v>
      </c>
      <c r="BI23" s="3">
        <f>560-20+250-0</f>
        <v>790</v>
      </c>
      <c r="BJ23" s="3">
        <f>610-10+475-250</f>
        <v>825</v>
      </c>
      <c r="BK23" s="3">
        <f>595-55+340-0</f>
        <v>880</v>
      </c>
      <c r="BL23" s="3">
        <f>690-45+305-340</f>
        <v>610</v>
      </c>
      <c r="BM23" s="3">
        <f>645-50+455-305</f>
        <v>745</v>
      </c>
      <c r="BN23" s="3">
        <f>590-35</f>
        <v>555</v>
      </c>
      <c r="BO23" s="3">
        <f>510-0</f>
        <v>510</v>
      </c>
      <c r="BP23" s="1">
        <f t="shared" si="3"/>
        <v>4915</v>
      </c>
      <c r="BR23" s="85">
        <f>AVERAGE(BR68,BR86,BR93)</f>
        <v>56.323333333333345</v>
      </c>
      <c r="BS23" s="1">
        <f>AVERAGE(BS68,BS86,BS93)</f>
        <v>13.623333333333335</v>
      </c>
      <c r="BT23" s="1">
        <f>AVERAGE(BT68,BT86,BT93)</f>
        <v>9.6933333333333334</v>
      </c>
      <c r="BU23" s="1">
        <f>AVERAGE(BU68,BU86,BU93)</f>
        <v>73</v>
      </c>
      <c r="BV23" s="1">
        <f>AVERAGE(BV68,BV86,BV93)</f>
        <v>20.356666666666669</v>
      </c>
      <c r="BX23" s="1">
        <v>21</v>
      </c>
      <c r="BY23" s="3">
        <f>575-35</f>
        <v>540</v>
      </c>
      <c r="BZ23" s="3">
        <f>355-35</f>
        <v>320</v>
      </c>
      <c r="CA23" s="3">
        <f>480-355</f>
        <v>125</v>
      </c>
      <c r="CB23" s="3">
        <f>205-0</f>
        <v>205</v>
      </c>
      <c r="CC23" s="3">
        <f>385-205</f>
        <v>180</v>
      </c>
      <c r="CD23" s="3">
        <f>495-385</f>
        <v>110</v>
      </c>
      <c r="CE23" s="3">
        <f>115-15</f>
        <v>100</v>
      </c>
      <c r="CF23" s="1">
        <f t="shared" si="4"/>
        <v>1580</v>
      </c>
      <c r="CH23" s="1">
        <f>AVERAGE(CH42,CH77)</f>
        <v>50.025000000000006</v>
      </c>
      <c r="CI23" s="1">
        <f>AVERAGE(CI42,CI77)</f>
        <v>8.6300000000000008</v>
      </c>
      <c r="CJ23" s="1">
        <f>AVERAGE(CJ42,CJ77)</f>
        <v>12.045</v>
      </c>
      <c r="CK23" s="1">
        <f>AVERAGE(CK42,CK77)</f>
        <v>30</v>
      </c>
      <c r="CL23" s="1">
        <f>AVERAGE(CL42,CL77)</f>
        <v>29.3</v>
      </c>
      <c r="CN23" s="1">
        <v>21</v>
      </c>
      <c r="CO23" s="3">
        <f>215-115</f>
        <v>100</v>
      </c>
      <c r="CP23" s="3">
        <f>325-215</f>
        <v>110</v>
      </c>
      <c r="CQ23" s="3">
        <f>385-325</f>
        <v>60</v>
      </c>
      <c r="CR23" s="3">
        <f>455-385</f>
        <v>70</v>
      </c>
      <c r="CS23" s="3">
        <f>100-25</f>
        <v>75</v>
      </c>
      <c r="CT23" s="3">
        <f>-100+195</f>
        <v>95</v>
      </c>
      <c r="CU23" s="3">
        <f>275-195</f>
        <v>80</v>
      </c>
      <c r="CV23" s="1">
        <f t="shared" si="5"/>
        <v>590</v>
      </c>
      <c r="CX23" s="1"/>
      <c r="CY23" s="1"/>
      <c r="CZ23" s="1"/>
      <c r="DA23" s="1"/>
      <c r="DB23" s="1"/>
      <c r="DD23" s="1">
        <v>21</v>
      </c>
      <c r="DE23" s="3">
        <f>345-275</f>
        <v>70</v>
      </c>
      <c r="DF23" s="3">
        <f>425-345</f>
        <v>80</v>
      </c>
      <c r="DG23" s="3">
        <f>475-425</f>
        <v>50</v>
      </c>
      <c r="DH23" s="3">
        <f>80-0</f>
        <v>80</v>
      </c>
      <c r="DI23" s="3">
        <f>155-80</f>
        <v>75</v>
      </c>
      <c r="DJ23" s="3">
        <f>255-155</f>
        <v>100</v>
      </c>
      <c r="DK23" s="3">
        <f>320-255</f>
        <v>65</v>
      </c>
      <c r="DL23" s="1">
        <f t="shared" si="6"/>
        <v>520</v>
      </c>
      <c r="DM23" s="84"/>
      <c r="DN23" s="1"/>
      <c r="DO23" s="1"/>
      <c r="DP23" s="1"/>
      <c r="DQ23" s="1"/>
      <c r="DR23" s="1"/>
      <c r="DS23" s="84"/>
      <c r="DT23" s="85">
        <v>21</v>
      </c>
      <c r="DU23" s="3">
        <f>430-320</f>
        <v>110</v>
      </c>
      <c r="DV23" s="85"/>
      <c r="DW23" s="1"/>
      <c r="DX23" s="1"/>
      <c r="DY23" s="1"/>
      <c r="DZ23" s="1"/>
      <c r="EA23" s="1"/>
      <c r="EB23" s="1">
        <f t="shared" si="7"/>
        <v>110</v>
      </c>
      <c r="EC23" s="84"/>
      <c r="ED23" s="1">
        <f>ED40</f>
        <v>30.85</v>
      </c>
      <c r="EE23" s="1">
        <f>EE40</f>
        <v>6.54</v>
      </c>
      <c r="EF23" s="1">
        <f>EF40</f>
        <v>14.74</v>
      </c>
      <c r="EG23" s="1">
        <f>EG40</f>
        <v>6</v>
      </c>
      <c r="EH23" s="1">
        <f>EH40</f>
        <v>47.87</v>
      </c>
      <c r="EI23" s="84"/>
      <c r="EJ23" s="85">
        <v>21</v>
      </c>
      <c r="EK23" s="1"/>
      <c r="EL23" s="1"/>
      <c r="EM23" s="1"/>
      <c r="EN23" s="1"/>
      <c r="EO23" s="1"/>
      <c r="EP23" s="1"/>
      <c r="EQ23" s="1"/>
      <c r="ER23" s="1">
        <f t="shared" si="8"/>
        <v>0</v>
      </c>
      <c r="ES23" s="90"/>
      <c r="ET23" s="1"/>
      <c r="EU23" s="1"/>
      <c r="EV23" s="1"/>
      <c r="EW23" s="1"/>
      <c r="EX23" s="1"/>
      <c r="EY23" s="90"/>
      <c r="EZ23" s="85">
        <v>21</v>
      </c>
      <c r="FA23" s="1"/>
      <c r="FB23" s="1"/>
      <c r="FC23" s="1"/>
      <c r="FD23" s="1"/>
      <c r="FE23" s="1"/>
      <c r="FF23" s="1"/>
      <c r="FG23" s="1"/>
      <c r="FH23" s="1">
        <f t="shared" si="9"/>
        <v>0</v>
      </c>
      <c r="FI23" s="92"/>
      <c r="FJ23" s="1"/>
      <c r="FK23" s="1"/>
      <c r="FL23" s="1"/>
      <c r="FM23" s="1"/>
      <c r="FN23" s="1"/>
      <c r="FO23" s="92"/>
      <c r="FP23" s="85">
        <v>21</v>
      </c>
      <c r="FQ23" s="1"/>
      <c r="FR23" s="1"/>
      <c r="FS23" s="1"/>
      <c r="FT23" s="1"/>
      <c r="FU23" s="1"/>
      <c r="FV23" s="1"/>
      <c r="FW23" s="1"/>
      <c r="FX23" s="1">
        <f t="shared" si="10"/>
        <v>0</v>
      </c>
      <c r="FY23" s="93"/>
      <c r="FZ23" s="1"/>
      <c r="GA23" s="1"/>
      <c r="GB23" s="1"/>
      <c r="GC23" s="1"/>
      <c r="GD23" s="1"/>
      <c r="GE23" s="92"/>
      <c r="GF23" s="85">
        <v>21</v>
      </c>
      <c r="GG23" s="1"/>
      <c r="GH23" s="1"/>
      <c r="GI23" s="1"/>
      <c r="GJ23" s="1"/>
      <c r="GK23" s="1"/>
      <c r="GL23" s="1"/>
      <c r="GM23" s="1"/>
      <c r="GN23" s="1">
        <f t="shared" si="11"/>
        <v>0</v>
      </c>
      <c r="GO23" s="93"/>
      <c r="GP23" s="1"/>
      <c r="GQ23" s="1"/>
      <c r="GR23" s="1"/>
      <c r="GS23" s="1"/>
      <c r="GT23" s="1"/>
      <c r="GU23" s="93"/>
      <c r="GV23" s="90"/>
      <c r="GW23" s="74">
        <f t="shared" si="12"/>
        <v>13320</v>
      </c>
      <c r="GX23" s="75">
        <f t="shared" si="13"/>
        <v>133.19999999999999</v>
      </c>
      <c r="HF23" s="98">
        <v>20</v>
      </c>
      <c r="HG23" s="81">
        <v>7</v>
      </c>
      <c r="HH23" s="1">
        <v>677.38</v>
      </c>
      <c r="HI23" s="1">
        <v>80</v>
      </c>
      <c r="HJ23" s="4">
        <v>42.527704131691472</v>
      </c>
      <c r="HK23" s="1"/>
      <c r="HM23" s="98">
        <v>20</v>
      </c>
      <c r="HN23" s="5">
        <v>7.87</v>
      </c>
      <c r="HO23" s="21">
        <f>1116.62-264.41</f>
        <v>852.20999999999981</v>
      </c>
      <c r="HP23" s="21">
        <v>66.409000000000006</v>
      </c>
      <c r="HQ23" s="21">
        <v>30.7</v>
      </c>
      <c r="HR23" s="21">
        <v>69.007000000000005</v>
      </c>
      <c r="HS23" s="21">
        <v>67.748999999999995</v>
      </c>
      <c r="HT23" s="139">
        <f t="shared" si="15"/>
        <v>8.4625407166123753E-2</v>
      </c>
      <c r="HU23" s="139">
        <f t="shared" si="16"/>
        <v>4.0977198697068722E-2</v>
      </c>
      <c r="HV23" s="138">
        <f t="shared" si="25"/>
        <v>34.92117850162893</v>
      </c>
      <c r="HW23" s="138">
        <f t="shared" si="17"/>
        <v>24.868390581831079</v>
      </c>
      <c r="HX23" s="141">
        <f t="shared" si="14"/>
        <v>0.58475742082910265</v>
      </c>
      <c r="HY23" s="133">
        <f>2.29*2000*18/17</f>
        <v>4849.411764705882</v>
      </c>
      <c r="HZ23" s="74">
        <f t="shared" si="18"/>
        <v>3771.7647058823527</v>
      </c>
      <c r="IA23" s="1">
        <f>3*100</f>
        <v>300</v>
      </c>
      <c r="IB23" s="5">
        <v>25</v>
      </c>
      <c r="IC23" s="5">
        <f>125+4.9</f>
        <v>129.9</v>
      </c>
      <c r="ID23" s="5">
        <f>125+13.6</f>
        <v>138.6</v>
      </c>
      <c r="IE23" s="136">
        <f>(((ID23-IC23)*(20/IB23)*1.66)-0.15)*500</f>
        <v>5701.799999999992</v>
      </c>
      <c r="IF23" s="136">
        <f t="shared" si="20"/>
        <v>25980</v>
      </c>
      <c r="IG23" s="74">
        <f t="shared" si="21"/>
        <v>0.21946882217090039</v>
      </c>
      <c r="II23" s="98">
        <v>20</v>
      </c>
      <c r="IJ23" s="4">
        <v>71.935299999999998</v>
      </c>
      <c r="IK23" s="4">
        <v>0</v>
      </c>
      <c r="IL23" s="4">
        <v>28.064699999999998</v>
      </c>
      <c r="IM23" s="4">
        <v>0</v>
      </c>
      <c r="IN23" s="74">
        <f t="shared" si="22"/>
        <v>6139.6954999999998</v>
      </c>
      <c r="IO23" s="74">
        <f t="shared" si="23"/>
        <v>5587.2204999999994</v>
      </c>
      <c r="IP23" s="81">
        <f t="shared" si="24"/>
        <v>131.37837120712155</v>
      </c>
    </row>
    <row r="24" spans="1:250" x14ac:dyDescent="0.3">
      <c r="A24" s="1">
        <v>21</v>
      </c>
      <c r="B24" s="4">
        <v>5.5069600000000003</v>
      </c>
      <c r="C24" s="4">
        <v>2.4822700000000002</v>
      </c>
      <c r="D24" s="4">
        <v>47.348799999999997</v>
      </c>
      <c r="E24" s="4">
        <v>44.661900000000003</v>
      </c>
      <c r="F24" s="2" t="s">
        <v>124</v>
      </c>
      <c r="L24" s="1">
        <v>21</v>
      </c>
      <c r="M24" s="1"/>
      <c r="N24" s="1"/>
      <c r="O24" s="1">
        <f>235</f>
        <v>235</v>
      </c>
      <c r="P24" s="1">
        <v>190</v>
      </c>
      <c r="Q24" s="1">
        <v>190</v>
      </c>
      <c r="R24" s="1">
        <v>185</v>
      </c>
      <c r="S24" s="1">
        <f>180-25</f>
        <v>155</v>
      </c>
      <c r="T24" s="1">
        <f t="shared" si="0"/>
        <v>955</v>
      </c>
      <c r="V24" s="1"/>
      <c r="W24" s="1"/>
      <c r="X24" s="1"/>
      <c r="Y24" s="1"/>
      <c r="Z24" s="1"/>
      <c r="AB24" s="1">
        <v>21</v>
      </c>
      <c r="AC24" s="1">
        <v>160</v>
      </c>
      <c r="AD24" s="1">
        <v>205</v>
      </c>
      <c r="AE24" s="1">
        <v>295</v>
      </c>
      <c r="AF24" s="1">
        <v>390</v>
      </c>
      <c r="AG24" s="1">
        <v>465</v>
      </c>
      <c r="AH24" s="1">
        <v>495</v>
      </c>
      <c r="AI24" s="1">
        <v>375</v>
      </c>
      <c r="AJ24" s="1">
        <f t="shared" si="1"/>
        <v>2385</v>
      </c>
      <c r="AL24" s="1"/>
      <c r="AM24" s="1"/>
      <c r="AN24" s="1"/>
      <c r="AO24" s="1"/>
      <c r="AP24" s="1"/>
      <c r="AR24" s="1">
        <v>22</v>
      </c>
      <c r="AS24" s="1">
        <v>420</v>
      </c>
      <c r="AT24" s="1">
        <f>575-65</f>
        <v>510</v>
      </c>
      <c r="AU24" s="1">
        <v>580</v>
      </c>
      <c r="AV24" s="1">
        <v>595</v>
      </c>
      <c r="AW24" s="1">
        <v>580</v>
      </c>
      <c r="AX24" s="1">
        <v>620</v>
      </c>
      <c r="AY24" s="1">
        <v>590</v>
      </c>
      <c r="AZ24" s="1">
        <f t="shared" si="2"/>
        <v>3895</v>
      </c>
      <c r="BB24" s="85">
        <f>AVERAGE(BB40,BB70)</f>
        <v>38.534999999999997</v>
      </c>
      <c r="BC24" s="1">
        <f>AVERAGE(BC40,BC70)</f>
        <v>8.6849999999999987</v>
      </c>
      <c r="BD24" s="1">
        <f>AVERAGE(BD40,BD70)</f>
        <v>8.91</v>
      </c>
      <c r="BE24" s="1">
        <f>AVERAGE(BE40,BE70)</f>
        <v>0.5</v>
      </c>
      <c r="BF24" s="1">
        <f>AVERAGE(BF40,BF70)</f>
        <v>43.875</v>
      </c>
      <c r="BH24" s="1">
        <v>22</v>
      </c>
      <c r="BI24" s="1">
        <v>560</v>
      </c>
      <c r="BJ24" s="1">
        <v>550</v>
      </c>
      <c r="BK24" s="1">
        <v>560</v>
      </c>
      <c r="BL24" s="1">
        <v>620</v>
      </c>
      <c r="BM24" s="1">
        <v>540</v>
      </c>
      <c r="BN24" s="1">
        <v>515</v>
      </c>
      <c r="BO24" s="1">
        <v>510</v>
      </c>
      <c r="BP24" s="1">
        <f t="shared" si="3"/>
        <v>3855</v>
      </c>
      <c r="BR24" s="1">
        <f>BR85</f>
        <v>25.49</v>
      </c>
      <c r="BS24" s="1">
        <f>BS85</f>
        <v>12.09</v>
      </c>
      <c r="BT24" s="1">
        <f>BT85</f>
        <v>11.57</v>
      </c>
      <c r="BU24" s="1">
        <f>BU85</f>
        <v>0</v>
      </c>
      <c r="BV24" s="1">
        <f>BV85</f>
        <v>50.85</v>
      </c>
      <c r="BX24" s="1">
        <v>22</v>
      </c>
      <c r="BY24" s="1">
        <v>520</v>
      </c>
      <c r="BZ24" s="1">
        <v>420</v>
      </c>
      <c r="CA24" s="1">
        <v>380</v>
      </c>
      <c r="CB24" s="1">
        <v>380</v>
      </c>
      <c r="CC24" s="1">
        <v>385</v>
      </c>
      <c r="CD24" s="1">
        <v>420</v>
      </c>
      <c r="CE24" s="1">
        <v>365</v>
      </c>
      <c r="CF24" s="1">
        <f t="shared" si="4"/>
        <v>2870</v>
      </c>
      <c r="CH24" s="1"/>
      <c r="CI24" s="1"/>
      <c r="CJ24" s="1"/>
      <c r="CK24" s="1"/>
      <c r="CL24" s="1"/>
      <c r="CN24" s="1">
        <v>22</v>
      </c>
      <c r="CO24" s="1">
        <v>355</v>
      </c>
      <c r="CP24" s="1">
        <v>270</v>
      </c>
      <c r="CQ24" s="1">
        <v>250</v>
      </c>
      <c r="CR24" s="1">
        <v>240</v>
      </c>
      <c r="CS24" s="1">
        <v>225</v>
      </c>
      <c r="CT24" s="1">
        <v>235</v>
      </c>
      <c r="CU24" s="1">
        <v>210</v>
      </c>
      <c r="CV24" s="1">
        <f t="shared" si="5"/>
        <v>1785</v>
      </c>
      <c r="CX24" s="1">
        <f>CX55</f>
        <v>34.700000000000003</v>
      </c>
      <c r="CY24" s="1">
        <f>CY55</f>
        <v>6.95</v>
      </c>
      <c r="CZ24" s="1">
        <f>CZ55</f>
        <v>10.23</v>
      </c>
      <c r="DA24" s="1">
        <f>DA55</f>
        <v>0</v>
      </c>
      <c r="DB24" s="1">
        <f>DB55</f>
        <v>48.12</v>
      </c>
      <c r="DD24" s="1">
        <v>22</v>
      </c>
      <c r="DE24" s="1">
        <v>240</v>
      </c>
      <c r="DF24" s="1">
        <v>235</v>
      </c>
      <c r="DG24" s="1">
        <v>200</v>
      </c>
      <c r="DH24" s="1">
        <v>120</v>
      </c>
      <c r="DI24" s="1">
        <v>135</v>
      </c>
      <c r="DJ24" s="1">
        <v>125</v>
      </c>
      <c r="DK24" s="1">
        <v>105</v>
      </c>
      <c r="DL24" s="1">
        <f t="shared" si="6"/>
        <v>1160</v>
      </c>
      <c r="DN24" s="1"/>
      <c r="DO24" s="1"/>
      <c r="DP24" s="1"/>
      <c r="DQ24" s="1"/>
      <c r="DR24" s="1"/>
      <c r="DT24" s="85">
        <v>22</v>
      </c>
      <c r="DU24" s="1">
        <v>135</v>
      </c>
      <c r="DV24" s="85"/>
      <c r="DW24" s="1"/>
      <c r="DX24" s="1"/>
      <c r="DY24" s="1"/>
      <c r="DZ24" s="1"/>
      <c r="EA24" s="1"/>
      <c r="EB24" s="1">
        <f t="shared" si="7"/>
        <v>135</v>
      </c>
      <c r="EC24" s="84"/>
      <c r="ED24" s="1"/>
      <c r="EE24" s="1"/>
      <c r="EF24" s="1"/>
      <c r="EG24" s="1"/>
      <c r="EH24" s="1"/>
      <c r="EI24" s="84"/>
      <c r="EJ24" s="85">
        <v>22</v>
      </c>
      <c r="EK24" s="1"/>
      <c r="EL24" s="1"/>
      <c r="EM24" s="1"/>
      <c r="EN24" s="1"/>
      <c r="EO24" s="1"/>
      <c r="EP24" s="1"/>
      <c r="EQ24" s="1"/>
      <c r="ER24" s="1">
        <f t="shared" si="8"/>
        <v>0</v>
      </c>
      <c r="ES24" s="90"/>
      <c r="ET24" s="1"/>
      <c r="EU24" s="1"/>
      <c r="EV24" s="1"/>
      <c r="EW24" s="1"/>
      <c r="EX24" s="1"/>
      <c r="EY24" s="90"/>
      <c r="EZ24" s="85">
        <v>22</v>
      </c>
      <c r="FA24" s="1"/>
      <c r="FB24" s="1"/>
      <c r="FC24" s="1"/>
      <c r="FD24" s="1"/>
      <c r="FE24" s="1"/>
      <c r="FF24" s="1"/>
      <c r="FG24" s="1"/>
      <c r="FH24" s="1">
        <f t="shared" si="9"/>
        <v>0</v>
      </c>
      <c r="FI24" s="92"/>
      <c r="FJ24" s="1"/>
      <c r="FK24" s="1"/>
      <c r="FL24" s="1"/>
      <c r="FM24" s="1"/>
      <c r="FN24" s="1"/>
      <c r="FO24" s="92"/>
      <c r="FP24" s="85">
        <v>22</v>
      </c>
      <c r="FQ24" s="1"/>
      <c r="FR24" s="1"/>
      <c r="FS24" s="1"/>
      <c r="FT24" s="1"/>
      <c r="FU24" s="1"/>
      <c r="FV24" s="1"/>
      <c r="FW24" s="1"/>
      <c r="FX24" s="1">
        <f t="shared" si="10"/>
        <v>0</v>
      </c>
      <c r="FY24" s="93"/>
      <c r="FZ24" s="1"/>
      <c r="GA24" s="1"/>
      <c r="GB24" s="1"/>
      <c r="GC24" s="1"/>
      <c r="GD24" s="1"/>
      <c r="GE24" s="92"/>
      <c r="GF24" s="85">
        <v>22</v>
      </c>
      <c r="GG24" s="1"/>
      <c r="GH24" s="1"/>
      <c r="GI24" s="1"/>
      <c r="GJ24" s="1"/>
      <c r="GK24" s="1"/>
      <c r="GL24" s="1"/>
      <c r="GM24" s="1"/>
      <c r="GN24" s="1">
        <f t="shared" si="11"/>
        <v>0</v>
      </c>
      <c r="GO24" s="93"/>
      <c r="GP24" s="1"/>
      <c r="GQ24" s="1"/>
      <c r="GR24" s="1"/>
      <c r="GS24" s="1"/>
      <c r="GT24" s="1"/>
      <c r="GU24" s="93"/>
      <c r="GV24" s="90"/>
      <c r="GW24" s="74">
        <f t="shared" si="12"/>
        <v>17040</v>
      </c>
      <c r="GX24" s="75">
        <f t="shared" ref="GX24:GX35" si="26">GW24*1/100</f>
        <v>170.4</v>
      </c>
      <c r="HF24" s="1">
        <v>21</v>
      </c>
      <c r="HG24" s="81">
        <v>7.57</v>
      </c>
      <c r="HH24" s="81">
        <v>501.62</v>
      </c>
      <c r="HI24" s="1">
        <v>80</v>
      </c>
      <c r="HJ24" s="4">
        <v>40.725158020389721</v>
      </c>
      <c r="HK24" s="1"/>
      <c r="HM24" s="1">
        <v>21</v>
      </c>
      <c r="HN24" s="5">
        <v>7.98</v>
      </c>
      <c r="HO24" s="21">
        <f>1043.9-265.61</f>
        <v>778.29000000000008</v>
      </c>
      <c r="HP24" s="21">
        <v>63.889000000000003</v>
      </c>
      <c r="HQ24" s="5">
        <v>30.12</v>
      </c>
      <c r="HR24" s="21">
        <v>66.900000000000006</v>
      </c>
      <c r="HS24" s="21">
        <v>64.97</v>
      </c>
      <c r="HT24" s="139">
        <f t="shared" si="15"/>
        <v>9.9966799468791584E-2</v>
      </c>
      <c r="HU24" s="139">
        <f t="shared" si="16"/>
        <v>6.4077025232403939E-2</v>
      </c>
      <c r="HV24" s="138">
        <f t="shared" si="25"/>
        <v>49.870507968127669</v>
      </c>
      <c r="HW24" s="138">
        <f t="shared" si="17"/>
        <v>8.1165150040305889</v>
      </c>
      <c r="HX24" s="139">
        <f t="shared" si="14"/>
        <v>0.19929977926585141</v>
      </c>
      <c r="HY24" s="96">
        <f>1.81*2000*18/17</f>
        <v>3832.9411764705883</v>
      </c>
      <c r="HZ24" s="74">
        <f t="shared" si="18"/>
        <v>2981.1764705882356</v>
      </c>
      <c r="IA24" s="1">
        <f>22*100</f>
        <v>2200</v>
      </c>
      <c r="IB24" s="5">
        <v>25</v>
      </c>
      <c r="IC24" s="5">
        <f>125+13.7</f>
        <v>138.69999999999999</v>
      </c>
      <c r="ID24" s="5">
        <f>125+18.65</f>
        <v>143.65</v>
      </c>
      <c r="IE24" s="5">
        <f t="shared" ref="IE24:IE35" si="27">(((ID24-IC24)*(20/IB24)*1.66)-0.15)*500</f>
        <v>3211.8000000000111</v>
      </c>
      <c r="IF24" s="5">
        <f t="shared" si="20"/>
        <v>27740</v>
      </c>
      <c r="IG24" s="74">
        <f t="shared" si="21"/>
        <v>0.11578226387887568</v>
      </c>
      <c r="II24" s="1">
        <v>21</v>
      </c>
      <c r="IJ24" s="4">
        <v>5.5069600000000003</v>
      </c>
      <c r="IK24" s="4">
        <v>2.4822700000000002</v>
      </c>
      <c r="IL24" s="4">
        <v>47.348799999999997</v>
      </c>
      <c r="IM24" s="4">
        <v>44.661900000000003</v>
      </c>
      <c r="IN24" s="74">
        <f t="shared" si="22"/>
        <v>5995.0945000000002</v>
      </c>
      <c r="IO24" s="74">
        <f t="shared" si="23"/>
        <v>5442.6194999999998</v>
      </c>
      <c r="IP24" s="81">
        <f t="shared" si="24"/>
        <v>133.64268586201834</v>
      </c>
    </row>
    <row r="25" spans="1:250" x14ac:dyDescent="0.3">
      <c r="A25" s="78">
        <v>22</v>
      </c>
      <c r="B25" s="4">
        <v>33.091999999999999</v>
      </c>
      <c r="C25" s="4">
        <v>33.281999999999996</v>
      </c>
      <c r="D25" s="4">
        <v>1.8381700000000001</v>
      </c>
      <c r="E25" s="4">
        <v>31.787800000000001</v>
      </c>
      <c r="F25" s="2" t="s">
        <v>108</v>
      </c>
      <c r="L25" s="78">
        <v>22</v>
      </c>
      <c r="M25" s="1"/>
      <c r="N25" s="1"/>
      <c r="O25" s="1">
        <f>260</f>
        <v>260</v>
      </c>
      <c r="P25" s="1">
        <f>545-260</f>
        <v>285</v>
      </c>
      <c r="Q25" s="1">
        <f>545-15</f>
        <v>530</v>
      </c>
      <c r="R25" s="1">
        <f>665-10</f>
        <v>655</v>
      </c>
      <c r="S25" s="3">
        <f>690-0</f>
        <v>690</v>
      </c>
      <c r="T25" s="1">
        <f t="shared" si="0"/>
        <v>2420</v>
      </c>
      <c r="V25" s="1"/>
      <c r="W25" s="1"/>
      <c r="X25" s="1"/>
      <c r="Y25" s="1"/>
      <c r="Z25" s="1"/>
      <c r="AB25" s="78">
        <v>22</v>
      </c>
      <c r="AC25" s="1">
        <f>690-0</f>
        <v>690</v>
      </c>
      <c r="AD25" s="1">
        <f>690-0+185-45</f>
        <v>830</v>
      </c>
      <c r="AE25" s="1">
        <f>585-185</f>
        <v>400</v>
      </c>
      <c r="AF25" s="1">
        <f>590-0</f>
        <v>590</v>
      </c>
      <c r="AG25" s="1">
        <f>690-0</f>
        <v>690</v>
      </c>
      <c r="AH25" s="1">
        <f>540-10</f>
        <v>530</v>
      </c>
      <c r="AI25" s="1"/>
      <c r="AJ25" s="1">
        <f t="shared" si="1"/>
        <v>3730</v>
      </c>
      <c r="AL25" s="1">
        <v>66.59</v>
      </c>
      <c r="AM25" s="1">
        <v>24.96</v>
      </c>
      <c r="AN25" s="1">
        <v>1.5</v>
      </c>
      <c r="AO25" s="1">
        <v>249</v>
      </c>
      <c r="AP25" s="1">
        <v>6.94</v>
      </c>
      <c r="AR25" s="1">
        <v>24</v>
      </c>
      <c r="AS25" s="1"/>
      <c r="AT25" s="1">
        <f>690-10</f>
        <v>680</v>
      </c>
      <c r="AU25" s="1">
        <f>595-10</f>
        <v>585</v>
      </c>
      <c r="AV25" s="1">
        <f>410-15</f>
        <v>395</v>
      </c>
      <c r="AW25" s="1">
        <f>385-50</f>
        <v>335</v>
      </c>
      <c r="AX25" s="1">
        <f>450-25</f>
        <v>425</v>
      </c>
      <c r="AY25" s="1">
        <f>375-35</f>
        <v>340</v>
      </c>
      <c r="AZ25" s="1">
        <f t="shared" si="2"/>
        <v>2760</v>
      </c>
      <c r="BB25" s="85">
        <f>AVERAGE(BB63,BB81)</f>
        <v>71.965000000000003</v>
      </c>
      <c r="BC25" s="1">
        <f>AVERAGE(BC63,BC81)</f>
        <v>17.53</v>
      </c>
      <c r="BD25" s="1">
        <f>AVERAGE(BD63,BD81)</f>
        <v>2.31</v>
      </c>
      <c r="BE25" s="1">
        <f>AVERAGE(BE63,BE81)</f>
        <v>144</v>
      </c>
      <c r="BF25" s="1">
        <f>AVERAGE(BF63,BF81)</f>
        <v>8.1950000000000003</v>
      </c>
      <c r="BH25" s="1">
        <v>24</v>
      </c>
      <c r="BI25" s="1">
        <f>530-0+105-375</f>
        <v>260</v>
      </c>
      <c r="BJ25" s="1">
        <f>365-105</f>
        <v>260</v>
      </c>
      <c r="BK25" s="1">
        <f>530-0+55-365</f>
        <v>220</v>
      </c>
      <c r="BL25" s="1">
        <f>210-55</f>
        <v>155</v>
      </c>
      <c r="BM25" s="1">
        <f>385-210</f>
        <v>175</v>
      </c>
      <c r="BN25" s="1">
        <f>150-30</f>
        <v>120</v>
      </c>
      <c r="BO25" s="1">
        <f>265-150</f>
        <v>115</v>
      </c>
      <c r="BP25" s="1">
        <f t="shared" si="3"/>
        <v>1305</v>
      </c>
      <c r="BR25" s="1">
        <f>BR56</f>
        <v>73.75</v>
      </c>
      <c r="BS25" s="1">
        <f>BS56</f>
        <v>16.91</v>
      </c>
      <c r="BT25" s="1">
        <f>BT56</f>
        <v>2.23</v>
      </c>
      <c r="BU25" s="1">
        <f>BU56</f>
        <v>107</v>
      </c>
      <c r="BV25" s="1">
        <f>BV56</f>
        <v>7.11</v>
      </c>
      <c r="BX25" s="1">
        <v>24</v>
      </c>
      <c r="BY25" s="1">
        <f>390-265</f>
        <v>125</v>
      </c>
      <c r="BZ25" s="1">
        <f>490-390</f>
        <v>100</v>
      </c>
      <c r="CA25" s="1">
        <f>100-15</f>
        <v>85</v>
      </c>
      <c r="CB25" s="1">
        <f>-100+195</f>
        <v>95</v>
      </c>
      <c r="CC25" s="1">
        <f>320-195</f>
        <v>125</v>
      </c>
      <c r="CD25" s="1">
        <f>450-320</f>
        <v>130</v>
      </c>
      <c r="CE25" s="1">
        <f>170-20</f>
        <v>150</v>
      </c>
      <c r="CF25" s="1">
        <f t="shared" si="4"/>
        <v>810</v>
      </c>
      <c r="CH25" s="1">
        <f>CH45</f>
        <v>66.47</v>
      </c>
      <c r="CI25" s="1">
        <f>CI45</f>
        <v>18.21</v>
      </c>
      <c r="CJ25" s="1">
        <f>CJ45</f>
        <v>3.42</v>
      </c>
      <c r="CK25" s="1">
        <f>CK45</f>
        <v>76</v>
      </c>
      <c r="CL25" s="1">
        <f>CL45</f>
        <v>11.9</v>
      </c>
      <c r="CN25" s="1">
        <v>24</v>
      </c>
      <c r="CO25" s="1">
        <f>310-170</f>
        <v>140</v>
      </c>
      <c r="CP25" s="1">
        <f>530-310</f>
        <v>220</v>
      </c>
      <c r="CQ25" s="1">
        <f>135-0</f>
        <v>135</v>
      </c>
      <c r="CR25" s="1">
        <f>290-135</f>
        <v>155</v>
      </c>
      <c r="CS25" s="1">
        <f>475-290</f>
        <v>185</v>
      </c>
      <c r="CT25" s="1">
        <f>-475+580</f>
        <v>105</v>
      </c>
      <c r="CU25" s="1">
        <f>535-10</f>
        <v>525</v>
      </c>
      <c r="CV25" s="1">
        <f t="shared" si="5"/>
        <v>1465</v>
      </c>
      <c r="CX25" s="1"/>
      <c r="CY25" s="1"/>
      <c r="CZ25" s="1"/>
      <c r="DA25" s="1"/>
      <c r="DB25" s="1"/>
      <c r="DD25" s="1">
        <v>24</v>
      </c>
      <c r="DE25" s="1">
        <f>525-50+105-25</f>
        <v>555</v>
      </c>
      <c r="DF25" s="1">
        <f>330-105</f>
        <v>225</v>
      </c>
      <c r="DG25" s="1">
        <f>455-330</f>
        <v>125</v>
      </c>
      <c r="DH25" s="1">
        <f>230-45</f>
        <v>185</v>
      </c>
      <c r="DI25" s="1">
        <f>410-230</f>
        <v>180</v>
      </c>
      <c r="DJ25" s="1">
        <f>620-410</f>
        <v>210</v>
      </c>
      <c r="DK25" s="1">
        <f>165-10</f>
        <v>155</v>
      </c>
      <c r="DL25" s="1">
        <f t="shared" si="6"/>
        <v>1635</v>
      </c>
      <c r="DN25" s="1">
        <f>AVERAGE(DN40,DN56,DN65)</f>
        <v>38.846666666666664</v>
      </c>
      <c r="DO25" s="1">
        <f>AVERAGE(DO40,DO56,DO65)</f>
        <v>14.43</v>
      </c>
      <c r="DP25" s="1">
        <f>AVERAGE(DP40,DP56,DP65)</f>
        <v>9.59</v>
      </c>
      <c r="DQ25" s="1">
        <f>AVERAGE(DQ40,DQ56,DQ65)</f>
        <v>66</v>
      </c>
      <c r="DR25" s="1">
        <f>AVERAGE(DR40,DR56,DR65)</f>
        <v>37.139999999999993</v>
      </c>
      <c r="DT25" s="1">
        <v>24</v>
      </c>
      <c r="DU25" s="1">
        <f>-165+355</f>
        <v>190</v>
      </c>
      <c r="DV25" s="1">
        <f>535-355</f>
        <v>180</v>
      </c>
      <c r="DW25" s="1">
        <f>235-0</f>
        <v>235</v>
      </c>
      <c r="DX25" s="1">
        <f>365-235</f>
        <v>130</v>
      </c>
      <c r="DY25" s="1">
        <f>535-365</f>
        <v>170</v>
      </c>
      <c r="DZ25" s="1">
        <f>100-5</f>
        <v>95</v>
      </c>
      <c r="EA25" s="1">
        <f>295-100</f>
        <v>195</v>
      </c>
      <c r="EB25" s="1">
        <f t="shared" si="7"/>
        <v>1195</v>
      </c>
      <c r="EC25" s="84"/>
      <c r="ED25" s="1">
        <f>ED67</f>
        <v>66.5</v>
      </c>
      <c r="EE25" s="1">
        <f>EE67</f>
        <v>19.850000000000001</v>
      </c>
      <c r="EF25" s="1">
        <f>EF67</f>
        <v>2.97</v>
      </c>
      <c r="EG25" s="1">
        <f>EG67</f>
        <v>54</v>
      </c>
      <c r="EH25" s="1">
        <f>EH67</f>
        <v>10.67</v>
      </c>
      <c r="EI25" s="84"/>
      <c r="EJ25" s="1">
        <v>24</v>
      </c>
      <c r="EK25" s="1">
        <f>410-295</f>
        <v>115</v>
      </c>
      <c r="EL25" s="1">
        <f>505-410</f>
        <v>95</v>
      </c>
      <c r="EM25" s="1">
        <f>150-25</f>
        <v>125</v>
      </c>
      <c r="EN25" s="1">
        <f>275-150</f>
        <v>125</v>
      </c>
      <c r="EO25" s="1">
        <f>370-275</f>
        <v>95</v>
      </c>
      <c r="EP25" s="1">
        <f>435-370</f>
        <v>65</v>
      </c>
      <c r="EQ25" s="1">
        <f>520-435</f>
        <v>85</v>
      </c>
      <c r="ER25" s="1">
        <f t="shared" si="8"/>
        <v>705</v>
      </c>
      <c r="ES25" s="90"/>
      <c r="ET25" s="1">
        <v>67.400000000000006</v>
      </c>
      <c r="EU25" s="1">
        <v>17.510000000000002</v>
      </c>
      <c r="EV25" s="1">
        <v>3.67</v>
      </c>
      <c r="EW25" s="1">
        <v>26</v>
      </c>
      <c r="EX25" s="1">
        <v>11.42</v>
      </c>
      <c r="EY25" s="90"/>
      <c r="EZ25" s="1">
        <v>24</v>
      </c>
      <c r="FA25" s="1">
        <f>110-45</f>
        <v>65</v>
      </c>
      <c r="FB25" s="1">
        <f>175-110</f>
        <v>65</v>
      </c>
      <c r="FC25" s="1">
        <f>235-175</f>
        <v>60</v>
      </c>
      <c r="FD25" s="1">
        <f>320-235</f>
        <v>85</v>
      </c>
      <c r="FE25" s="1">
        <f>355-320</f>
        <v>35</v>
      </c>
      <c r="FF25" s="1">
        <f>475-355</f>
        <v>120</v>
      </c>
      <c r="FG25" s="1">
        <f>65-0</f>
        <v>65</v>
      </c>
      <c r="FH25" s="1">
        <f t="shared" si="9"/>
        <v>495</v>
      </c>
      <c r="FI25" s="92"/>
      <c r="FJ25" s="1">
        <v>56.14</v>
      </c>
      <c r="FK25" s="1">
        <v>17.84</v>
      </c>
      <c r="FL25" s="1">
        <v>5.14</v>
      </c>
      <c r="FM25" s="1">
        <v>6</v>
      </c>
      <c r="FN25" s="1">
        <v>20.88</v>
      </c>
      <c r="FO25" s="92"/>
      <c r="FP25" s="1">
        <v>24</v>
      </c>
      <c r="FQ25" s="1">
        <f>145-65</f>
        <v>80</v>
      </c>
      <c r="FR25" s="1">
        <f>210-145</f>
        <v>65</v>
      </c>
      <c r="FS25" s="1">
        <f>280-210</f>
        <v>70</v>
      </c>
      <c r="FT25" s="1"/>
      <c r="FU25" s="1"/>
      <c r="FV25" s="1"/>
      <c r="FW25" s="1"/>
      <c r="FX25" s="1">
        <f t="shared" si="10"/>
        <v>215</v>
      </c>
      <c r="FY25" s="93"/>
      <c r="FZ25" s="1"/>
      <c r="GA25" s="1"/>
      <c r="GB25" s="1"/>
      <c r="GC25" s="1"/>
      <c r="GD25" s="1"/>
      <c r="GE25" s="92"/>
      <c r="GF25" s="1">
        <v>24</v>
      </c>
      <c r="GG25" s="1"/>
      <c r="GH25" s="1"/>
      <c r="GI25" s="1"/>
      <c r="GJ25" s="1"/>
      <c r="GK25" s="1"/>
      <c r="GL25" s="1"/>
      <c r="GM25" s="1"/>
      <c r="GN25" s="1">
        <f t="shared" si="11"/>
        <v>0</v>
      </c>
      <c r="GO25" s="93"/>
      <c r="GP25" s="1"/>
      <c r="GQ25" s="1"/>
      <c r="GR25" s="1"/>
      <c r="GS25" s="1"/>
      <c r="GT25" s="1"/>
      <c r="GU25" s="93"/>
      <c r="GV25" s="90"/>
      <c r="GW25" s="74">
        <f t="shared" si="12"/>
        <v>16735</v>
      </c>
      <c r="GX25" s="75">
        <f t="shared" si="26"/>
        <v>167.35</v>
      </c>
      <c r="HF25" s="78">
        <v>22</v>
      </c>
      <c r="HG25" s="81">
        <v>7.09</v>
      </c>
      <c r="HH25" s="81">
        <v>689.56</v>
      </c>
      <c r="HI25" s="1">
        <v>80</v>
      </c>
      <c r="HJ25" s="4">
        <v>42.623890314627921</v>
      </c>
      <c r="HK25" s="1"/>
      <c r="HM25" s="78">
        <v>22</v>
      </c>
      <c r="HN25" s="5">
        <v>7.84</v>
      </c>
      <c r="HO25" s="21">
        <f>1117.2-264.6</f>
        <v>852.6</v>
      </c>
      <c r="HP25" s="21">
        <v>67.08</v>
      </c>
      <c r="HQ25" s="5">
        <v>31.53</v>
      </c>
      <c r="HR25" s="21">
        <v>70.287000000000006</v>
      </c>
      <c r="HS25" s="21">
        <v>68.352000000000004</v>
      </c>
      <c r="HT25" s="46">
        <f t="shared" si="15"/>
        <v>0.10171265461465295</v>
      </c>
      <c r="HU25" s="46">
        <f t="shared" si="16"/>
        <v>6.1370123691722241E-2</v>
      </c>
      <c r="HV25" s="138">
        <f t="shared" si="25"/>
        <v>52.324167459562382</v>
      </c>
      <c r="HW25" s="138">
        <f t="shared" si="17"/>
        <v>7.5615878068340763</v>
      </c>
      <c r="HX25" s="139">
        <f t="shared" si="14"/>
        <v>0.17740257285335229</v>
      </c>
      <c r="HY25" s="1">
        <f>0.92*2500</f>
        <v>2300</v>
      </c>
      <c r="HZ25" s="74">
        <f t="shared" si="18"/>
        <v>1788.8888888888889</v>
      </c>
      <c r="IA25" s="1">
        <f>0*25</f>
        <v>0</v>
      </c>
      <c r="IB25" s="5">
        <v>25</v>
      </c>
      <c r="IC25" s="5">
        <f>50*2+25+10.8</f>
        <v>135.80000000000001</v>
      </c>
      <c r="ID25" s="5">
        <f>50*2+25+15.3</f>
        <v>140.30000000000001</v>
      </c>
      <c r="IE25" s="5">
        <f t="shared" si="27"/>
        <v>2913</v>
      </c>
      <c r="IF25" s="5">
        <f t="shared" si="20"/>
        <v>27160</v>
      </c>
      <c r="IG25" s="74">
        <f t="shared" si="21"/>
        <v>0.10725331369661266</v>
      </c>
      <c r="II25" s="78">
        <v>22</v>
      </c>
      <c r="IJ25" s="4">
        <v>33.091999999999999</v>
      </c>
      <c r="IK25" s="4">
        <v>33.281999999999996</v>
      </c>
      <c r="IL25" s="4">
        <v>1.8381700000000001</v>
      </c>
      <c r="IM25" s="4">
        <v>31.787800000000001</v>
      </c>
      <c r="IN25" s="74">
        <f t="shared" si="22"/>
        <v>9828.9789999999994</v>
      </c>
      <c r="IO25" s="74">
        <f t="shared" si="23"/>
        <v>9276.503999999999</v>
      </c>
      <c r="IP25" s="81">
        <f t="shared" si="24"/>
        <v>217.63625824685536</v>
      </c>
    </row>
    <row r="26" spans="1:250" x14ac:dyDescent="0.3">
      <c r="A26" s="98">
        <v>23</v>
      </c>
      <c r="B26" s="4">
        <v>71.935299999999998</v>
      </c>
      <c r="C26" s="4">
        <v>0</v>
      </c>
      <c r="D26" s="4">
        <v>28.064699999999998</v>
      </c>
      <c r="E26" s="4">
        <v>0</v>
      </c>
      <c r="F26" s="2" t="s">
        <v>117</v>
      </c>
      <c r="L26" s="98">
        <v>23</v>
      </c>
      <c r="M26" s="1"/>
      <c r="N26" s="1"/>
      <c r="O26" s="1">
        <f>165</f>
        <v>165</v>
      </c>
      <c r="P26" s="1">
        <v>365</v>
      </c>
      <c r="Q26" s="1">
        <v>950</v>
      </c>
      <c r="R26" s="1">
        <f>570-0+550-35</f>
        <v>1085</v>
      </c>
      <c r="S26" s="1">
        <v>495</v>
      </c>
      <c r="T26" s="1">
        <f t="shared" si="0"/>
        <v>3060</v>
      </c>
      <c r="V26" s="1"/>
      <c r="W26" s="1"/>
      <c r="X26" s="1"/>
      <c r="Y26" s="1"/>
      <c r="Z26" s="1"/>
      <c r="AB26" s="98">
        <v>23</v>
      </c>
      <c r="AC26" s="1">
        <v>570</v>
      </c>
      <c r="AD26" s="1">
        <v>320</v>
      </c>
      <c r="AE26" s="1">
        <v>390</v>
      </c>
      <c r="AF26" s="1">
        <v>160</v>
      </c>
      <c r="AG26" s="1">
        <v>290</v>
      </c>
      <c r="AH26" s="1">
        <v>250</v>
      </c>
      <c r="AI26" s="1">
        <v>380</v>
      </c>
      <c r="AJ26" s="1">
        <f t="shared" si="1"/>
        <v>2360</v>
      </c>
      <c r="AL26" s="1"/>
      <c r="AM26" s="1"/>
      <c r="AN26" s="1"/>
      <c r="AO26" s="1"/>
      <c r="AP26" s="1"/>
      <c r="AR26" s="1">
        <v>25</v>
      </c>
      <c r="AS26" s="1">
        <v>160</v>
      </c>
      <c r="AT26" s="1">
        <v>170</v>
      </c>
      <c r="AU26" s="1">
        <f>360-10</f>
        <v>350</v>
      </c>
      <c r="AV26" s="1">
        <f>910-350</f>
        <v>560</v>
      </c>
      <c r="AW26" s="1">
        <v>190</v>
      </c>
      <c r="AX26" s="1">
        <v>560</v>
      </c>
      <c r="AY26" s="1">
        <v>300</v>
      </c>
      <c r="AZ26" s="1">
        <f t="shared" si="2"/>
        <v>2290</v>
      </c>
      <c r="BB26" s="1">
        <f>BB98</f>
        <v>11.549999999999999</v>
      </c>
      <c r="BC26" s="1">
        <f>BC98</f>
        <v>2.8050000000000002</v>
      </c>
      <c r="BD26" s="1">
        <f>BD98</f>
        <v>14.97</v>
      </c>
      <c r="BE26" s="1">
        <f>BE98</f>
        <v>2</v>
      </c>
      <c r="BF26" s="1">
        <f>BF98</f>
        <v>70.67</v>
      </c>
      <c r="BH26" s="1">
        <v>25</v>
      </c>
      <c r="BI26" s="1">
        <v>200</v>
      </c>
      <c r="BJ26" s="1">
        <v>105</v>
      </c>
      <c r="BK26" s="1">
        <v>80</v>
      </c>
      <c r="BL26" s="1">
        <v>100</v>
      </c>
      <c r="BM26" s="1">
        <v>120</v>
      </c>
      <c r="BN26" s="1">
        <v>90</v>
      </c>
      <c r="BO26" s="1">
        <v>145</v>
      </c>
      <c r="BP26" s="1">
        <f t="shared" si="3"/>
        <v>840</v>
      </c>
      <c r="BR26" s="1"/>
      <c r="BS26" s="1"/>
      <c r="BT26" s="1"/>
      <c r="BU26" s="1"/>
      <c r="BV26" s="1"/>
      <c r="BX26" s="1">
        <v>25</v>
      </c>
      <c r="BY26" s="1">
        <v>115</v>
      </c>
      <c r="BZ26" s="1">
        <v>90</v>
      </c>
      <c r="CA26" s="1">
        <v>165</v>
      </c>
      <c r="CB26" s="1">
        <v>140</v>
      </c>
      <c r="CC26" s="1">
        <v>195</v>
      </c>
      <c r="CD26" s="1">
        <v>145</v>
      </c>
      <c r="CE26" s="1">
        <v>165</v>
      </c>
      <c r="CF26" s="1">
        <f t="shared" si="4"/>
        <v>1015</v>
      </c>
      <c r="CH26" s="1">
        <f t="shared" ref="CH26:CL27" si="28">CH70</f>
        <v>31.18</v>
      </c>
      <c r="CI26" s="1">
        <f t="shared" si="28"/>
        <v>6.43</v>
      </c>
      <c r="CJ26" s="1">
        <f t="shared" si="28"/>
        <v>14.22</v>
      </c>
      <c r="CK26" s="1">
        <f t="shared" si="28"/>
        <v>0</v>
      </c>
      <c r="CL26" s="1">
        <f t="shared" si="28"/>
        <v>48.17</v>
      </c>
      <c r="CN26" s="1">
        <v>25</v>
      </c>
      <c r="CO26" s="1">
        <v>120</v>
      </c>
      <c r="CP26" s="1">
        <v>275</v>
      </c>
      <c r="CQ26" s="1">
        <v>210</v>
      </c>
      <c r="CR26" s="1">
        <v>180</v>
      </c>
      <c r="CS26" s="1">
        <v>245</v>
      </c>
      <c r="CT26" s="1">
        <v>340</v>
      </c>
      <c r="CU26" s="1">
        <v>145</v>
      </c>
      <c r="CV26" s="1">
        <f t="shared" si="5"/>
        <v>1515</v>
      </c>
      <c r="CX26" s="1">
        <f>CX42</f>
        <v>47.879999999999995</v>
      </c>
      <c r="CY26" s="1">
        <f>CY42</f>
        <v>10.039999999999999</v>
      </c>
      <c r="CZ26" s="1">
        <f>CZ42</f>
        <v>11.89</v>
      </c>
      <c r="DA26" s="1">
        <f>DA42</f>
        <v>0</v>
      </c>
      <c r="DB26" s="1">
        <f>DB42</f>
        <v>30.19</v>
      </c>
      <c r="DD26" s="1">
        <v>25</v>
      </c>
      <c r="DE26" s="1">
        <v>270</v>
      </c>
      <c r="DF26" s="1">
        <v>325</v>
      </c>
      <c r="DG26" s="1">
        <v>130</v>
      </c>
      <c r="DH26" s="1">
        <v>250</v>
      </c>
      <c r="DI26" s="1">
        <v>220</v>
      </c>
      <c r="DJ26" s="1">
        <v>275</v>
      </c>
      <c r="DK26" s="1">
        <v>145</v>
      </c>
      <c r="DL26" s="1">
        <f t="shared" si="6"/>
        <v>1615</v>
      </c>
      <c r="DN26" s="1"/>
      <c r="DO26" s="1"/>
      <c r="DP26" s="1"/>
      <c r="DQ26" s="1"/>
      <c r="DR26" s="1"/>
      <c r="DT26" s="1">
        <v>25</v>
      </c>
      <c r="DU26" s="1">
        <v>220</v>
      </c>
      <c r="DV26" s="1">
        <v>220</v>
      </c>
      <c r="DW26" s="1">
        <v>310</v>
      </c>
      <c r="DX26" s="1">
        <v>195</v>
      </c>
      <c r="DY26" s="1">
        <v>330</v>
      </c>
      <c r="DZ26" s="1">
        <v>245</v>
      </c>
      <c r="EA26" s="1">
        <v>370</v>
      </c>
      <c r="EB26" s="1">
        <f t="shared" si="7"/>
        <v>1890</v>
      </c>
      <c r="EC26" s="84"/>
      <c r="ED26" s="1">
        <f>ED52</f>
        <v>38.549999999999997</v>
      </c>
      <c r="EE26" s="1">
        <f>EE52</f>
        <v>5.26</v>
      </c>
      <c r="EF26" s="1">
        <f>EF52</f>
        <v>13.13</v>
      </c>
      <c r="EG26" s="1">
        <f>EG52</f>
        <v>1</v>
      </c>
      <c r="EH26" s="1">
        <f>EH52</f>
        <v>43.06</v>
      </c>
      <c r="EI26" s="84"/>
      <c r="EJ26" s="1">
        <v>25</v>
      </c>
      <c r="EK26" s="1">
        <v>260</v>
      </c>
      <c r="EL26" s="1">
        <v>130</v>
      </c>
      <c r="EM26" s="1">
        <v>230</v>
      </c>
      <c r="EN26" s="1">
        <v>285</v>
      </c>
      <c r="EO26" s="1">
        <v>360</v>
      </c>
      <c r="EP26" s="1">
        <v>290</v>
      </c>
      <c r="EQ26" s="1">
        <v>350</v>
      </c>
      <c r="ER26" s="1">
        <f t="shared" si="8"/>
        <v>1905</v>
      </c>
      <c r="ES26" s="90"/>
      <c r="ET26" s="1">
        <f>ET51</f>
        <v>38.75</v>
      </c>
      <c r="EU26" s="1">
        <f>EU51</f>
        <v>5.16</v>
      </c>
      <c r="EV26" s="1">
        <f>EV51</f>
        <v>14.56</v>
      </c>
      <c r="EW26" s="1">
        <f>EW51</f>
        <v>0</v>
      </c>
      <c r="EX26" s="1">
        <f>EX51</f>
        <v>41.53</v>
      </c>
      <c r="EY26" s="90"/>
      <c r="EZ26" s="1">
        <v>25</v>
      </c>
      <c r="FA26" s="1">
        <v>390</v>
      </c>
      <c r="FB26" s="1">
        <v>325</v>
      </c>
      <c r="FC26" s="1">
        <v>250</v>
      </c>
      <c r="FD26" s="1">
        <v>210</v>
      </c>
      <c r="FE26" s="1">
        <v>195</v>
      </c>
      <c r="FF26" s="1">
        <v>125</v>
      </c>
      <c r="FG26" s="1">
        <v>115</v>
      </c>
      <c r="FH26" s="1">
        <f t="shared" si="9"/>
        <v>1610</v>
      </c>
      <c r="FI26" s="92"/>
      <c r="FJ26" s="1">
        <f>FJ47</f>
        <v>31.589999999999996</v>
      </c>
      <c r="FK26" s="1">
        <f>FK47</f>
        <v>5.1100000000000003</v>
      </c>
      <c r="FL26" s="1">
        <f>FL47</f>
        <v>13.83</v>
      </c>
      <c r="FM26" s="1">
        <f>FM47</f>
        <v>0</v>
      </c>
      <c r="FN26" s="1">
        <f>FN47</f>
        <v>49.47</v>
      </c>
      <c r="FO26" s="92"/>
      <c r="FP26" s="1">
        <v>25</v>
      </c>
      <c r="FQ26" s="1">
        <f>365-290</f>
        <v>75</v>
      </c>
      <c r="FR26" s="1">
        <f>440-365</f>
        <v>75</v>
      </c>
      <c r="FS26" s="1">
        <f>480-440</f>
        <v>40</v>
      </c>
      <c r="FT26" s="1"/>
      <c r="FU26" s="1"/>
      <c r="FV26" s="1"/>
      <c r="FW26" s="1"/>
      <c r="FX26" s="1">
        <f t="shared" si="10"/>
        <v>190</v>
      </c>
      <c r="FY26" s="93"/>
      <c r="FZ26" s="3">
        <f>FZ45</f>
        <v>28.599999999999998</v>
      </c>
      <c r="GA26" s="3">
        <f>GA45</f>
        <v>5.0999999999999996</v>
      </c>
      <c r="GB26" s="3">
        <f>GB45</f>
        <v>14.68</v>
      </c>
      <c r="GC26" s="3">
        <f>GC45</f>
        <v>1</v>
      </c>
      <c r="GD26" s="3">
        <f>GD45</f>
        <v>51.62</v>
      </c>
      <c r="GE26" s="92"/>
      <c r="GF26" s="1">
        <v>25</v>
      </c>
      <c r="GG26" s="1"/>
      <c r="GH26" s="1"/>
      <c r="GI26" s="1"/>
      <c r="GJ26" s="1"/>
      <c r="GK26" s="1"/>
      <c r="GL26" s="1"/>
      <c r="GM26" s="1"/>
      <c r="GN26" s="1">
        <f t="shared" si="11"/>
        <v>0</v>
      </c>
      <c r="GO26" s="93"/>
      <c r="GP26" s="1"/>
      <c r="GQ26" s="1"/>
      <c r="GR26" s="1"/>
      <c r="GS26" s="1"/>
      <c r="GT26" s="1"/>
      <c r="GU26" s="93"/>
      <c r="GV26" s="90"/>
      <c r="GW26" s="74">
        <f t="shared" si="12"/>
        <v>18290</v>
      </c>
      <c r="GX26" s="75">
        <f t="shared" si="26"/>
        <v>182.9</v>
      </c>
      <c r="HF26" s="98">
        <v>23</v>
      </c>
      <c r="HG26" s="1">
        <v>7.13</v>
      </c>
      <c r="HH26" s="1">
        <v>502.63</v>
      </c>
      <c r="HI26" s="1">
        <v>80</v>
      </c>
      <c r="HJ26" s="4">
        <v>42.935681333776529</v>
      </c>
      <c r="HK26" s="1"/>
      <c r="HM26" s="98">
        <v>23</v>
      </c>
      <c r="HN26" s="5">
        <v>8.07</v>
      </c>
      <c r="HO26" s="21">
        <f>1103.7-273.7+370.1-265</f>
        <v>935.09999999999991</v>
      </c>
      <c r="HP26" s="21">
        <v>67.682000000000002</v>
      </c>
      <c r="HQ26" s="5">
        <v>30.04</v>
      </c>
      <c r="HR26" s="21">
        <v>69.596000000000004</v>
      </c>
      <c r="HS26" s="21">
        <v>68.741</v>
      </c>
      <c r="HT26" s="46">
        <f t="shared" si="15"/>
        <v>6.3715046604527342E-2</v>
      </c>
      <c r="HU26" s="46">
        <f t="shared" si="16"/>
        <v>2.8462050599201198E-2</v>
      </c>
      <c r="HV26" s="138">
        <f t="shared" si="25"/>
        <v>26.614863515313036</v>
      </c>
      <c r="HW26" s="138">
        <f t="shared" si="17"/>
        <v>33.582682770232026</v>
      </c>
      <c r="HX26" s="141">
        <f t="shared" si="14"/>
        <v>0.78216256798545991</v>
      </c>
      <c r="HY26" s="131">
        <f>0.98*2500</f>
        <v>2450</v>
      </c>
      <c r="HZ26" s="74">
        <f t="shared" si="18"/>
        <v>1905.5555555555557</v>
      </c>
      <c r="IA26" s="1">
        <f>4*25</f>
        <v>100</v>
      </c>
      <c r="IB26" s="5">
        <v>25</v>
      </c>
      <c r="IC26" s="5">
        <f>50*2+22.1</f>
        <v>122.1</v>
      </c>
      <c r="ID26" s="5">
        <f>50*2+25+7.2</f>
        <v>132.19999999999999</v>
      </c>
      <c r="IE26" s="136">
        <f t="shared" si="27"/>
        <v>6631.3999999999969</v>
      </c>
      <c r="IF26" s="136">
        <f t="shared" si="20"/>
        <v>24420</v>
      </c>
      <c r="IG26" s="74">
        <f t="shared" si="21"/>
        <v>0.27155610155610144</v>
      </c>
      <c r="II26" s="98">
        <v>23</v>
      </c>
      <c r="IJ26" s="4">
        <v>71.935299999999998</v>
      </c>
      <c r="IK26" s="4">
        <v>0</v>
      </c>
      <c r="IL26" s="4">
        <v>28.064699999999998</v>
      </c>
      <c r="IM26" s="4">
        <v>0</v>
      </c>
      <c r="IN26" s="74">
        <f t="shared" si="22"/>
        <v>5321.73</v>
      </c>
      <c r="IO26" s="74">
        <f t="shared" si="23"/>
        <v>4769.2549999999992</v>
      </c>
      <c r="IP26" s="81">
        <f t="shared" si="24"/>
        <v>111.07905713489014</v>
      </c>
    </row>
    <row r="27" spans="1:250" x14ac:dyDescent="0.3">
      <c r="A27" s="85">
        <v>24</v>
      </c>
      <c r="B27" s="4">
        <v>33.561</v>
      </c>
      <c r="C27" s="4">
        <v>1.4806999999999999</v>
      </c>
      <c r="D27" s="4">
        <v>32.657699999999998</v>
      </c>
      <c r="E27" s="4">
        <v>32.300600000000003</v>
      </c>
      <c r="F27" s="2" t="s">
        <v>110</v>
      </c>
      <c r="L27" s="85">
        <v>24</v>
      </c>
      <c r="M27" s="1"/>
      <c r="N27" s="1"/>
      <c r="O27" s="1">
        <v>0</v>
      </c>
      <c r="P27" s="1">
        <v>0</v>
      </c>
      <c r="Q27" s="1">
        <f>540-0</f>
        <v>540</v>
      </c>
      <c r="R27" s="1">
        <f>540-15</f>
        <v>525</v>
      </c>
      <c r="S27" s="1">
        <v>0</v>
      </c>
      <c r="T27" s="1">
        <f t="shared" si="0"/>
        <v>1065</v>
      </c>
      <c r="V27" s="1"/>
      <c r="W27" s="1"/>
      <c r="X27" s="1"/>
      <c r="Y27" s="1"/>
      <c r="Z27" s="1">
        <f>835-430+835</f>
        <v>1240</v>
      </c>
      <c r="AB27" s="85">
        <v>24</v>
      </c>
      <c r="AC27" s="85">
        <v>0</v>
      </c>
      <c r="AD27" s="85">
        <v>0</v>
      </c>
      <c r="AE27" s="85">
        <v>0</v>
      </c>
      <c r="AF27" s="85">
        <v>0</v>
      </c>
      <c r="AG27" s="1">
        <f>90-0</f>
        <v>90</v>
      </c>
      <c r="AH27" s="1">
        <f>560-40+560-90</f>
        <v>990</v>
      </c>
      <c r="AI27" s="1"/>
      <c r="AJ27" s="1">
        <f t="shared" si="1"/>
        <v>1080</v>
      </c>
      <c r="AL27" s="1">
        <v>3.59</v>
      </c>
      <c r="AM27" s="1">
        <v>0.28999999999999998</v>
      </c>
      <c r="AN27" s="1">
        <v>19.940000000000001</v>
      </c>
      <c r="AO27" s="1">
        <v>2</v>
      </c>
      <c r="AP27" s="1">
        <v>76.19</v>
      </c>
      <c r="AR27" s="1">
        <v>26</v>
      </c>
      <c r="AS27" s="1">
        <f>470-40</f>
        <v>430</v>
      </c>
      <c r="AT27" s="1">
        <f>570-470</f>
        <v>100</v>
      </c>
      <c r="AU27" s="1">
        <f>510-0</f>
        <v>510</v>
      </c>
      <c r="AV27" s="1">
        <f>285-40</f>
        <v>245</v>
      </c>
      <c r="AW27" s="1">
        <f>520-285</f>
        <v>235</v>
      </c>
      <c r="AX27" s="1">
        <f>260-0</f>
        <v>260</v>
      </c>
      <c r="AY27" s="1">
        <f>510-260</f>
        <v>250</v>
      </c>
      <c r="AZ27" s="1">
        <f t="shared" si="2"/>
        <v>2030</v>
      </c>
      <c r="BB27" s="1">
        <f>BB50</f>
        <v>23.6</v>
      </c>
      <c r="BC27" s="1">
        <f>BC50</f>
        <v>1.0900000000000001</v>
      </c>
      <c r="BD27" s="1">
        <f>BD50</f>
        <v>17.170000000000002</v>
      </c>
      <c r="BE27" s="1">
        <f>BE50</f>
        <v>1</v>
      </c>
      <c r="BF27" s="1">
        <f>BF50</f>
        <v>58.14</v>
      </c>
      <c r="BH27" s="1">
        <v>26</v>
      </c>
      <c r="BI27" s="1">
        <f>275-30</f>
        <v>245</v>
      </c>
      <c r="BJ27" s="1">
        <f>540-275</f>
        <v>265</v>
      </c>
      <c r="BK27" s="1">
        <f>265-10</f>
        <v>255</v>
      </c>
      <c r="BL27" s="1">
        <f>470-265</f>
        <v>205</v>
      </c>
      <c r="BM27" s="1">
        <f>275-0</f>
        <v>275</v>
      </c>
      <c r="BN27" s="1">
        <f>475-275</f>
        <v>200</v>
      </c>
      <c r="BO27" s="1">
        <f>240-25</f>
        <v>215</v>
      </c>
      <c r="BP27" s="1">
        <f t="shared" si="3"/>
        <v>1660</v>
      </c>
      <c r="BR27" s="1">
        <f t="shared" ref="BR27:BV28" si="29">BR72</f>
        <v>38.15</v>
      </c>
      <c r="BS27" s="1">
        <f t="shared" si="29"/>
        <v>1.4</v>
      </c>
      <c r="BT27" s="1">
        <f t="shared" si="29"/>
        <v>15</v>
      </c>
      <c r="BU27" s="1">
        <f t="shared" si="29"/>
        <v>1</v>
      </c>
      <c r="BV27" s="1">
        <f t="shared" si="29"/>
        <v>45.44</v>
      </c>
      <c r="BX27" s="1">
        <v>26</v>
      </c>
      <c r="BY27" s="1">
        <f>460-240</f>
        <v>220</v>
      </c>
      <c r="BZ27" s="1">
        <f>105-0</f>
        <v>105</v>
      </c>
      <c r="CA27" s="1">
        <f>180-105</f>
        <v>75</v>
      </c>
      <c r="CB27" s="1">
        <f>-180+255</f>
        <v>75</v>
      </c>
      <c r="CC27" s="1">
        <f>385-255</f>
        <v>130</v>
      </c>
      <c r="CD27" s="1">
        <f>145-30</f>
        <v>115</v>
      </c>
      <c r="CE27" s="1">
        <f>245-145</f>
        <v>100</v>
      </c>
      <c r="CF27" s="1">
        <f t="shared" si="4"/>
        <v>820</v>
      </c>
      <c r="CH27" s="1">
        <f t="shared" si="28"/>
        <v>36.880000000000003</v>
      </c>
      <c r="CI27" s="1">
        <f t="shared" si="28"/>
        <v>1.03</v>
      </c>
      <c r="CJ27" s="1">
        <f t="shared" si="28"/>
        <v>15.49</v>
      </c>
      <c r="CK27" s="1">
        <f t="shared" si="28"/>
        <v>1</v>
      </c>
      <c r="CL27" s="1">
        <f t="shared" si="28"/>
        <v>46.6</v>
      </c>
      <c r="CN27" s="1">
        <v>26</v>
      </c>
      <c r="CO27" s="1">
        <f>315-245</f>
        <v>70</v>
      </c>
      <c r="CP27" s="1">
        <f>400-315</f>
        <v>85</v>
      </c>
      <c r="CQ27" s="1">
        <f>480-400</f>
        <v>80</v>
      </c>
      <c r="CR27" s="1">
        <f>25-10</f>
        <v>15</v>
      </c>
      <c r="CS27" s="1">
        <f>45-25</f>
        <v>20</v>
      </c>
      <c r="CT27" s="1">
        <f>-45+75</f>
        <v>30</v>
      </c>
      <c r="CU27" s="1">
        <f>90-75</f>
        <v>15</v>
      </c>
      <c r="CV27" s="1">
        <f t="shared" si="5"/>
        <v>315</v>
      </c>
      <c r="CX27" s="1">
        <f>CX41</f>
        <v>22.93</v>
      </c>
      <c r="CY27" s="1">
        <f>CY41</f>
        <v>0.55000000000000004</v>
      </c>
      <c r="CZ27" s="1">
        <f>CZ41</f>
        <v>16.670000000000002</v>
      </c>
      <c r="DA27" s="1">
        <f>DA41</f>
        <v>0</v>
      </c>
      <c r="DB27" s="1">
        <f>DB41</f>
        <v>59.86</v>
      </c>
      <c r="DD27" s="1">
        <v>26</v>
      </c>
      <c r="DE27" s="1">
        <f>90-90</f>
        <v>0</v>
      </c>
      <c r="DF27" s="1">
        <f>100-90</f>
        <v>10</v>
      </c>
      <c r="DG27" s="1">
        <f>100-100</f>
        <v>0</v>
      </c>
      <c r="DH27" s="1">
        <f>115-100</f>
        <v>15</v>
      </c>
      <c r="DI27" s="1">
        <f>130-115</f>
        <v>15</v>
      </c>
      <c r="DJ27" s="1">
        <f>140-130</f>
        <v>10</v>
      </c>
      <c r="DK27" s="1">
        <f>140-140</f>
        <v>0</v>
      </c>
      <c r="DL27" s="1">
        <f t="shared" si="6"/>
        <v>50</v>
      </c>
      <c r="DN27" s="1"/>
      <c r="DO27" s="1"/>
      <c r="DP27" s="1"/>
      <c r="DQ27" s="1"/>
      <c r="DR27" s="1"/>
      <c r="DT27" s="85">
        <v>26</v>
      </c>
      <c r="DU27" s="1">
        <f>-140+145</f>
        <v>5</v>
      </c>
      <c r="DV27" s="85"/>
      <c r="DW27" s="1"/>
      <c r="DX27" s="1"/>
      <c r="DY27" s="1"/>
      <c r="DZ27" s="1"/>
      <c r="EA27" s="1"/>
      <c r="EB27" s="1">
        <f t="shared" si="7"/>
        <v>5</v>
      </c>
      <c r="EC27" s="84"/>
      <c r="ED27" s="1"/>
      <c r="EE27" s="1"/>
      <c r="EF27" s="1"/>
      <c r="EG27" s="1"/>
      <c r="EH27" s="1"/>
      <c r="EI27" s="84"/>
      <c r="EJ27" s="85">
        <v>26</v>
      </c>
      <c r="EK27" s="1"/>
      <c r="EL27" s="1"/>
      <c r="EM27" s="1"/>
      <c r="EN27" s="1"/>
      <c r="EO27" s="1"/>
      <c r="EP27" s="1"/>
      <c r="EQ27" s="1"/>
      <c r="ER27" s="1">
        <f t="shared" si="8"/>
        <v>0</v>
      </c>
      <c r="ES27" s="90"/>
      <c r="ET27" s="1"/>
      <c r="EU27" s="1"/>
      <c r="EV27" s="1"/>
      <c r="EW27" s="1"/>
      <c r="EX27" s="1"/>
      <c r="EY27" s="90"/>
      <c r="EZ27" s="85">
        <v>26</v>
      </c>
      <c r="FA27" s="1"/>
      <c r="FB27" s="1"/>
      <c r="FC27" s="1"/>
      <c r="FD27" s="1"/>
      <c r="FE27" s="1"/>
      <c r="FF27" s="1"/>
      <c r="FG27" s="1"/>
      <c r="FH27" s="1">
        <f t="shared" si="9"/>
        <v>0</v>
      </c>
      <c r="FI27" s="92"/>
      <c r="FJ27" s="1"/>
      <c r="FK27" s="1"/>
      <c r="FL27" s="1"/>
      <c r="FM27" s="1"/>
      <c r="FN27" s="1"/>
      <c r="FO27" s="92"/>
      <c r="FP27" s="85">
        <v>26</v>
      </c>
      <c r="FQ27" s="1"/>
      <c r="FR27" s="1"/>
      <c r="FS27" s="1"/>
      <c r="FT27" s="1"/>
      <c r="FU27" s="1"/>
      <c r="FV27" s="1"/>
      <c r="FW27" s="1"/>
      <c r="FX27" s="1">
        <f t="shared" si="10"/>
        <v>0</v>
      </c>
      <c r="FY27" s="93"/>
      <c r="FZ27" s="1"/>
      <c r="GA27" s="1"/>
      <c r="GB27" s="1"/>
      <c r="GC27" s="1"/>
      <c r="GD27" s="1"/>
      <c r="GE27" s="92"/>
      <c r="GF27" s="85">
        <v>26</v>
      </c>
      <c r="GG27" s="1"/>
      <c r="GH27" s="1"/>
      <c r="GI27" s="1"/>
      <c r="GJ27" s="1"/>
      <c r="GK27" s="1"/>
      <c r="GL27" s="1"/>
      <c r="GM27" s="1"/>
      <c r="GN27" s="1">
        <f t="shared" si="11"/>
        <v>0</v>
      </c>
      <c r="GO27" s="93"/>
      <c r="GP27" s="1"/>
      <c r="GQ27" s="1"/>
      <c r="GR27" s="1"/>
      <c r="GS27" s="1"/>
      <c r="GT27" s="1"/>
      <c r="GU27" s="93"/>
      <c r="GV27" s="90"/>
      <c r="GW27" s="74">
        <f t="shared" si="12"/>
        <v>7025</v>
      </c>
      <c r="GX27" s="75">
        <f t="shared" si="26"/>
        <v>70.25</v>
      </c>
      <c r="HF27" s="85">
        <v>24</v>
      </c>
      <c r="HG27" s="1">
        <v>7.25</v>
      </c>
      <c r="HH27" s="81">
        <v>562.80999999999995</v>
      </c>
      <c r="HI27" s="1">
        <v>80</v>
      </c>
      <c r="HJ27" s="4">
        <v>42.390634830705686</v>
      </c>
      <c r="HK27" s="1"/>
      <c r="HM27" s="85">
        <v>24</v>
      </c>
      <c r="HN27" s="5">
        <v>7.92</v>
      </c>
      <c r="HO27" s="21">
        <f>1158.9-264.68</f>
        <v>894.22</v>
      </c>
      <c r="HP27" s="21">
        <v>67.679000000000002</v>
      </c>
      <c r="HQ27" s="5">
        <v>33.270000000000003</v>
      </c>
      <c r="HR27" s="21">
        <v>70.787000000000006</v>
      </c>
      <c r="HS27" s="21">
        <v>68.968000000000004</v>
      </c>
      <c r="HT27" s="46">
        <f t="shared" si="15"/>
        <v>9.3417493237150706E-2</v>
      </c>
      <c r="HU27" s="46">
        <f t="shared" si="16"/>
        <v>5.467388037270822E-2</v>
      </c>
      <c r="HV27" s="138">
        <f t="shared" si="25"/>
        <v>48.890477306883149</v>
      </c>
      <c r="HW27" s="138">
        <f t="shared" si="17"/>
        <v>10.762022475591074</v>
      </c>
      <c r="HX27" s="139">
        <f t="shared" si="14"/>
        <v>0.25387736037856162</v>
      </c>
      <c r="HY27" s="96">
        <f>1.59*2000*18/17</f>
        <v>3367.0588235294117</v>
      </c>
      <c r="HZ27" s="74">
        <f t="shared" si="18"/>
        <v>2618.8235294117644</v>
      </c>
      <c r="IA27" s="1">
        <v>0</v>
      </c>
      <c r="IB27" s="5">
        <v>20</v>
      </c>
      <c r="IC27" s="5">
        <f>100+5.15</f>
        <v>105.15</v>
      </c>
      <c r="ID27" s="5">
        <f>100+12.55</f>
        <v>112.55</v>
      </c>
      <c r="IE27" s="5">
        <f t="shared" si="27"/>
        <v>6066.9999999999918</v>
      </c>
      <c r="IF27" s="5">
        <f t="shared" si="20"/>
        <v>26287.5</v>
      </c>
      <c r="IG27" s="74">
        <f t="shared" si="21"/>
        <v>0.23079410366143574</v>
      </c>
      <c r="II27" s="85">
        <v>24</v>
      </c>
      <c r="IJ27" s="4">
        <v>33.561</v>
      </c>
      <c r="IK27" s="4">
        <v>1.4806999999999999</v>
      </c>
      <c r="IL27" s="4">
        <v>32.657699999999998</v>
      </c>
      <c r="IM27" s="4">
        <v>32.300600000000003</v>
      </c>
      <c r="IN27" s="74">
        <f t="shared" si="22"/>
        <v>1526.2545</v>
      </c>
      <c r="IO27" s="74">
        <f t="shared" si="23"/>
        <v>973.77949999999998</v>
      </c>
      <c r="IP27" s="81">
        <f t="shared" si="24"/>
        <v>22.971571524912434</v>
      </c>
    </row>
    <row r="28" spans="1:250" x14ac:dyDescent="0.3">
      <c r="A28" s="101">
        <v>25</v>
      </c>
      <c r="B28" s="4">
        <v>2.0130699999999999</v>
      </c>
      <c r="C28" s="4">
        <v>31.355499999999999</v>
      </c>
      <c r="D28" s="4">
        <v>33.126300000000001</v>
      </c>
      <c r="E28" s="4">
        <v>33.505099999999999</v>
      </c>
      <c r="F28" s="2" t="s">
        <v>122</v>
      </c>
      <c r="L28" s="101">
        <v>25</v>
      </c>
      <c r="M28" s="1"/>
      <c r="N28" s="1"/>
      <c r="O28" s="1">
        <f>235</f>
        <v>235</v>
      </c>
      <c r="P28" s="1">
        <f>330-235</f>
        <v>95</v>
      </c>
      <c r="Q28" s="1">
        <f>440-330</f>
        <v>110</v>
      </c>
      <c r="R28" s="1">
        <f>275-25</f>
        <v>250</v>
      </c>
      <c r="S28" s="1">
        <v>390</v>
      </c>
      <c r="T28" s="1">
        <f t="shared" si="0"/>
        <v>1080</v>
      </c>
      <c r="V28" s="1"/>
      <c r="W28" s="1"/>
      <c r="X28" s="1"/>
      <c r="Y28" s="1"/>
      <c r="Z28" s="1"/>
      <c r="AB28" s="101">
        <v>25</v>
      </c>
      <c r="AC28" s="1">
        <v>575</v>
      </c>
      <c r="AD28" s="1">
        <v>580</v>
      </c>
      <c r="AE28" s="1">
        <v>525</v>
      </c>
      <c r="AF28" s="1">
        <v>630</v>
      </c>
      <c r="AG28" s="1">
        <v>825</v>
      </c>
      <c r="AH28" s="1">
        <v>685</v>
      </c>
      <c r="AI28" s="1">
        <v>650</v>
      </c>
      <c r="AJ28" s="1">
        <f t="shared" si="1"/>
        <v>4470</v>
      </c>
      <c r="AL28" s="1">
        <f>AL41</f>
        <v>34.700000000000003</v>
      </c>
      <c r="AM28" s="1">
        <f>AM41</f>
        <v>6.95</v>
      </c>
      <c r="AN28" s="1">
        <f>AN41</f>
        <v>10.23</v>
      </c>
      <c r="AO28" s="1">
        <f>AO41</f>
        <v>0</v>
      </c>
      <c r="AP28" s="1">
        <f>AP41</f>
        <v>48.12</v>
      </c>
      <c r="AR28" s="1">
        <v>27</v>
      </c>
      <c r="AS28" s="1">
        <v>405</v>
      </c>
      <c r="AT28" s="1">
        <v>385</v>
      </c>
      <c r="AU28" s="1">
        <v>340</v>
      </c>
      <c r="AV28" s="1">
        <v>315</v>
      </c>
      <c r="AW28" s="1">
        <v>280</v>
      </c>
      <c r="AX28" s="1">
        <v>310</v>
      </c>
      <c r="AY28" s="1">
        <v>235</v>
      </c>
      <c r="AZ28" s="1">
        <f t="shared" si="2"/>
        <v>2270</v>
      </c>
      <c r="BB28" s="1"/>
      <c r="BC28" s="1"/>
      <c r="BD28" s="1"/>
      <c r="BE28" s="1"/>
      <c r="BF28" s="1"/>
      <c r="BH28" s="1">
        <v>27</v>
      </c>
      <c r="BI28" s="1">
        <f>375-225</f>
        <v>150</v>
      </c>
      <c r="BJ28" s="1">
        <f>455-50+125-375</f>
        <v>155</v>
      </c>
      <c r="BK28" s="1">
        <f>500-215</f>
        <v>285</v>
      </c>
      <c r="BL28" s="1">
        <f>270-30</f>
        <v>240</v>
      </c>
      <c r="BM28" s="1">
        <f>505-365</f>
        <v>140</v>
      </c>
      <c r="BN28" s="1">
        <f>100-0</f>
        <v>100</v>
      </c>
      <c r="BO28" s="1">
        <f>200-100</f>
        <v>100</v>
      </c>
      <c r="BP28" s="1">
        <f t="shared" si="3"/>
        <v>1170</v>
      </c>
      <c r="BR28" s="1">
        <f t="shared" si="29"/>
        <v>37.65</v>
      </c>
      <c r="BS28" s="1">
        <f t="shared" si="29"/>
        <v>18.920000000000002</v>
      </c>
      <c r="BT28" s="1">
        <f t="shared" si="29"/>
        <v>7.73</v>
      </c>
      <c r="BU28" s="1">
        <f t="shared" si="29"/>
        <v>0</v>
      </c>
      <c r="BV28" s="1">
        <f t="shared" si="29"/>
        <v>35.700000000000003</v>
      </c>
      <c r="BX28" s="1">
        <v>27</v>
      </c>
      <c r="BY28" s="1">
        <f>305-200</f>
        <v>105</v>
      </c>
      <c r="BZ28" s="1">
        <v>85</v>
      </c>
      <c r="CA28" s="1">
        <v>80</v>
      </c>
      <c r="CB28" s="1">
        <v>75</v>
      </c>
      <c r="CC28" s="1">
        <f>435-365</f>
        <v>70</v>
      </c>
      <c r="CD28" s="1">
        <f>100-20</f>
        <v>80</v>
      </c>
      <c r="CE28" s="1">
        <f>160-100</f>
        <v>60</v>
      </c>
      <c r="CF28" s="1">
        <f t="shared" si="4"/>
        <v>555</v>
      </c>
      <c r="CH28" s="1"/>
      <c r="CI28" s="1"/>
      <c r="CJ28" s="1"/>
      <c r="CK28" s="1"/>
      <c r="CL28" s="1"/>
      <c r="CN28" s="1">
        <v>27</v>
      </c>
      <c r="CO28" s="1">
        <v>50</v>
      </c>
      <c r="CP28" s="1">
        <v>75</v>
      </c>
      <c r="CQ28" s="1">
        <v>45</v>
      </c>
      <c r="CR28" s="1">
        <v>35</v>
      </c>
      <c r="CS28" s="1">
        <v>35</v>
      </c>
      <c r="CT28" s="1">
        <v>45</v>
      </c>
      <c r="CU28" s="1">
        <v>30</v>
      </c>
      <c r="CV28" s="1">
        <f t="shared" si="5"/>
        <v>315</v>
      </c>
      <c r="CX28" s="1">
        <f>CX40</f>
        <v>38.82</v>
      </c>
      <c r="CY28" s="1">
        <f>CY40</f>
        <v>5.58</v>
      </c>
      <c r="CZ28" s="1">
        <f>CZ40</f>
        <v>14.5</v>
      </c>
      <c r="DA28" s="1">
        <f>DA40</f>
        <v>0</v>
      </c>
      <c r="DB28" s="1">
        <f>DB40</f>
        <v>18.740000000000002</v>
      </c>
      <c r="DD28" s="1">
        <v>27</v>
      </c>
      <c r="DE28" s="1">
        <v>30</v>
      </c>
      <c r="DF28" s="1">
        <v>50</v>
      </c>
      <c r="DG28" s="1">
        <v>40</v>
      </c>
      <c r="DH28" s="1">
        <v>30</v>
      </c>
      <c r="DI28" s="1">
        <f>380-355</f>
        <v>25</v>
      </c>
      <c r="DJ28" s="1">
        <v>30</v>
      </c>
      <c r="DK28" s="1">
        <f>390-390</f>
        <v>0</v>
      </c>
      <c r="DL28" s="1">
        <f t="shared" si="6"/>
        <v>205</v>
      </c>
      <c r="DN28" s="1"/>
      <c r="DO28" s="1"/>
      <c r="DP28" s="1"/>
      <c r="DQ28" s="1"/>
      <c r="DR28" s="1"/>
      <c r="DT28" s="85">
        <v>27</v>
      </c>
      <c r="DU28" s="1">
        <f>400-390</f>
        <v>10</v>
      </c>
      <c r="DV28" s="85"/>
      <c r="DW28" s="1"/>
      <c r="DX28" s="1"/>
      <c r="DY28" s="1"/>
      <c r="DZ28" s="1"/>
      <c r="EA28" s="1"/>
      <c r="EB28" s="1">
        <f t="shared" si="7"/>
        <v>10</v>
      </c>
      <c r="EC28" s="84"/>
      <c r="ED28" s="1"/>
      <c r="EE28" s="1"/>
      <c r="EF28" s="1"/>
      <c r="EG28" s="1"/>
      <c r="EH28" s="1"/>
      <c r="EI28" s="84"/>
      <c r="EJ28" s="85">
        <v>27</v>
      </c>
      <c r="EK28" s="1"/>
      <c r="EL28" s="1"/>
      <c r="EM28" s="1"/>
      <c r="EN28" s="1"/>
      <c r="EO28" s="1"/>
      <c r="EP28" s="1"/>
      <c r="EQ28" s="1"/>
      <c r="ER28" s="1">
        <f t="shared" si="8"/>
        <v>0</v>
      </c>
      <c r="ES28" s="90"/>
      <c r="ET28" s="1">
        <f>ET42</f>
        <v>12.69</v>
      </c>
      <c r="EU28" s="1">
        <f>EU42</f>
        <v>12.58</v>
      </c>
      <c r="EV28" s="1">
        <f>EV42</f>
        <v>10.5</v>
      </c>
      <c r="EW28" s="1">
        <f>EW42</f>
        <v>0</v>
      </c>
      <c r="EX28" s="1">
        <f>EX42</f>
        <v>64.23</v>
      </c>
      <c r="EY28" s="90"/>
      <c r="EZ28" s="85">
        <v>27</v>
      </c>
      <c r="FA28" s="1"/>
      <c r="FB28" s="1"/>
      <c r="FC28" s="1"/>
      <c r="FD28" s="1"/>
      <c r="FE28" s="1"/>
      <c r="FF28" s="1"/>
      <c r="FG28" s="1"/>
      <c r="FH28" s="1">
        <f t="shared" si="9"/>
        <v>0</v>
      </c>
      <c r="FI28" s="92"/>
      <c r="FJ28" s="1"/>
      <c r="FK28" s="1"/>
      <c r="FL28" s="1"/>
      <c r="FM28" s="1"/>
      <c r="FN28" s="1"/>
      <c r="FO28" s="92"/>
      <c r="FP28" s="85">
        <v>27</v>
      </c>
      <c r="FQ28" s="1"/>
      <c r="FR28" s="1"/>
      <c r="FS28" s="1"/>
      <c r="FT28" s="1"/>
      <c r="FU28" s="1"/>
      <c r="FV28" s="1"/>
      <c r="FW28" s="1"/>
      <c r="FX28" s="1">
        <f t="shared" si="10"/>
        <v>0</v>
      </c>
      <c r="FY28" s="93"/>
      <c r="FZ28" s="1"/>
      <c r="GA28" s="1"/>
      <c r="GB28" s="1"/>
      <c r="GC28" s="1"/>
      <c r="GD28" s="1"/>
      <c r="GE28" s="92"/>
      <c r="GF28" s="85">
        <v>27</v>
      </c>
      <c r="GG28" s="1"/>
      <c r="GH28" s="1"/>
      <c r="GI28" s="1"/>
      <c r="GJ28" s="1"/>
      <c r="GK28" s="1"/>
      <c r="GL28" s="1"/>
      <c r="GM28" s="1"/>
      <c r="GN28" s="1">
        <f t="shared" si="11"/>
        <v>0</v>
      </c>
      <c r="GO28" s="93"/>
      <c r="GP28" s="1"/>
      <c r="GQ28" s="1"/>
      <c r="GR28" s="1"/>
      <c r="GS28" s="1"/>
      <c r="GT28" s="1"/>
      <c r="GU28" s="93"/>
      <c r="GV28" s="90"/>
      <c r="GW28" s="74">
        <f t="shared" si="12"/>
        <v>10075</v>
      </c>
      <c r="GX28" s="75">
        <f t="shared" si="26"/>
        <v>100.75</v>
      </c>
      <c r="HF28" s="101">
        <v>25</v>
      </c>
      <c r="HG28" s="1">
        <v>7.58</v>
      </c>
      <c r="HH28" s="81">
        <v>566.51</v>
      </c>
      <c r="HI28" s="1">
        <v>80</v>
      </c>
      <c r="HJ28" s="4">
        <v>40.790903009959564</v>
      </c>
      <c r="HK28" s="1"/>
      <c r="HM28" s="101">
        <v>25</v>
      </c>
      <c r="HN28" s="5">
        <v>7.96</v>
      </c>
      <c r="HO28" s="21">
        <f>1041.51-264.4</f>
        <v>777.11</v>
      </c>
      <c r="HP28" s="21">
        <v>67.076999999999998</v>
      </c>
      <c r="HQ28" s="5">
        <v>30.56</v>
      </c>
      <c r="HR28" s="21">
        <v>70.197999999999993</v>
      </c>
      <c r="HS28" s="21">
        <v>68.361000000000004</v>
      </c>
      <c r="HT28" s="46">
        <f t="shared" si="15"/>
        <v>0.10212696335078518</v>
      </c>
      <c r="HU28" s="46">
        <f t="shared" si="16"/>
        <v>6.0111256544502265E-2</v>
      </c>
      <c r="HV28" s="138">
        <f t="shared" si="25"/>
        <v>46.713058573298156</v>
      </c>
      <c r="HW28" s="138">
        <f t="shared" si="17"/>
        <v>11.339709388429945</v>
      </c>
      <c r="HX28" s="139">
        <f t="shared" si="14"/>
        <v>0.27799603714733223</v>
      </c>
      <c r="HY28" s="96">
        <f>0.87*2000*18/17</f>
        <v>1842.3529411764705</v>
      </c>
      <c r="HZ28" s="74">
        <f t="shared" si="18"/>
        <v>1432.9411764705883</v>
      </c>
      <c r="IA28" s="1">
        <f>2*100</f>
        <v>200</v>
      </c>
      <c r="IB28" s="5">
        <v>18</v>
      </c>
      <c r="IC28" s="5">
        <f>75+6.9</f>
        <v>81.900000000000006</v>
      </c>
      <c r="ID28" s="5">
        <f>75+8.9</f>
        <v>83.9</v>
      </c>
      <c r="IE28" s="20">
        <f t="shared" si="27"/>
        <v>1769.4444444444443</v>
      </c>
      <c r="IF28" s="5">
        <f t="shared" si="20"/>
        <v>22750</v>
      </c>
      <c r="IG28" s="74">
        <f t="shared" si="21"/>
        <v>7.7777777777777779E-2</v>
      </c>
      <c r="II28" s="101">
        <v>25</v>
      </c>
      <c r="IJ28" s="4">
        <v>2.0130699999999999</v>
      </c>
      <c r="IK28" s="4">
        <v>31.355499999999999</v>
      </c>
      <c r="IL28" s="4">
        <v>33.126300000000001</v>
      </c>
      <c r="IM28" s="4">
        <v>33.505099999999999</v>
      </c>
      <c r="IN28" s="74">
        <f t="shared" si="22"/>
        <v>3380.9</v>
      </c>
      <c r="IO28" s="74">
        <f t="shared" si="23"/>
        <v>2828.4250000000002</v>
      </c>
      <c r="IP28" s="81">
        <f t="shared" si="24"/>
        <v>69.339602491992096</v>
      </c>
    </row>
    <row r="29" spans="1:250" x14ac:dyDescent="0.3">
      <c r="A29" s="1">
        <v>26</v>
      </c>
      <c r="B29" s="4">
        <v>26.569099999999999</v>
      </c>
      <c r="C29" s="4">
        <v>0</v>
      </c>
      <c r="D29" s="4">
        <v>0</v>
      </c>
      <c r="E29" s="4">
        <v>73.430899999999994</v>
      </c>
      <c r="F29" s="2" t="s">
        <v>125</v>
      </c>
      <c r="L29" s="1">
        <v>26</v>
      </c>
      <c r="M29" s="1"/>
      <c r="N29" s="1"/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f t="shared" si="0"/>
        <v>0</v>
      </c>
      <c r="V29" s="1"/>
      <c r="W29" s="1"/>
      <c r="X29" s="1"/>
      <c r="Y29" s="1"/>
      <c r="Z29" s="1"/>
      <c r="AB29" s="1">
        <v>26</v>
      </c>
      <c r="AC29" s="1">
        <f>40</f>
        <v>40</v>
      </c>
      <c r="AD29" s="1">
        <f>650-40</f>
        <v>610</v>
      </c>
      <c r="AE29" s="1">
        <f>310-0</f>
        <v>310</v>
      </c>
      <c r="AF29" s="1">
        <f>535-310</f>
        <v>225</v>
      </c>
      <c r="AG29" s="1">
        <f>690-0</f>
        <v>690</v>
      </c>
      <c r="AH29" s="1">
        <f>165-0</f>
        <v>165</v>
      </c>
      <c r="AI29" s="1">
        <f>545-165</f>
        <v>380</v>
      </c>
      <c r="AJ29" s="1">
        <f t="shared" si="1"/>
        <v>2420</v>
      </c>
      <c r="AL29" s="1"/>
      <c r="AM29" s="1"/>
      <c r="AN29" s="1"/>
      <c r="AO29" s="1"/>
      <c r="AP29" s="1"/>
      <c r="AR29" s="1">
        <v>28</v>
      </c>
      <c r="AS29" s="1">
        <f>690-40</f>
        <v>650</v>
      </c>
      <c r="AT29" s="1">
        <f>500-10</f>
        <v>490</v>
      </c>
      <c r="AU29" s="1">
        <f>425-40</f>
        <v>385</v>
      </c>
      <c r="AV29" s="1">
        <f>450-15</f>
        <v>435</v>
      </c>
      <c r="AW29" s="1">
        <f>520-35</f>
        <v>485</v>
      </c>
      <c r="AX29" s="1">
        <f>505-0</f>
        <v>505</v>
      </c>
      <c r="AY29" s="1">
        <f>405-30</f>
        <v>375</v>
      </c>
      <c r="AZ29" s="1">
        <f t="shared" si="2"/>
        <v>3325</v>
      </c>
      <c r="BB29" s="85">
        <f>AVERAGE(BB51,BB73)</f>
        <v>19.850000000000001</v>
      </c>
      <c r="BC29" s="1">
        <f>AVERAGE(BC51,BC73)</f>
        <v>8.120000000000001</v>
      </c>
      <c r="BD29" s="1">
        <f>AVERAGE(BD51,BD73)</f>
        <v>16.195</v>
      </c>
      <c r="BE29" s="1">
        <f>AVERAGE(BE51,BE73)</f>
        <v>17</v>
      </c>
      <c r="BF29" s="1">
        <f>AVERAGE(BF51,BF73)</f>
        <v>55.835000000000001</v>
      </c>
      <c r="BH29" s="1">
        <v>28</v>
      </c>
      <c r="BI29" s="1">
        <f>385-40</f>
        <v>345</v>
      </c>
      <c r="BJ29" s="1">
        <f>525-50+215-385</f>
        <v>305</v>
      </c>
      <c r="BK29" s="1">
        <f>500-215</f>
        <v>285</v>
      </c>
      <c r="BL29" s="1">
        <f>270-30</f>
        <v>240</v>
      </c>
      <c r="BM29" s="1">
        <f>490-270</f>
        <v>220</v>
      </c>
      <c r="BN29" s="1">
        <f>395-30</f>
        <v>365</v>
      </c>
      <c r="BO29" s="1">
        <f>310-50</f>
        <v>260</v>
      </c>
      <c r="BP29" s="1">
        <f t="shared" si="3"/>
        <v>2020</v>
      </c>
      <c r="BR29" s="1"/>
      <c r="BS29" s="1"/>
      <c r="BT29" s="1"/>
      <c r="BU29" s="1"/>
      <c r="BV29" s="1"/>
      <c r="BX29" s="1">
        <v>28</v>
      </c>
      <c r="BY29" s="1">
        <f>525-50+120-310</f>
        <v>285</v>
      </c>
      <c r="BZ29" s="1">
        <f>230-120</f>
        <v>110</v>
      </c>
      <c r="CA29" s="1">
        <f>365-230</f>
        <v>135</v>
      </c>
      <c r="CB29" s="1">
        <f>-365+515</f>
        <v>150</v>
      </c>
      <c r="CC29" s="1">
        <f>260-35</f>
        <v>225</v>
      </c>
      <c r="CD29" s="1">
        <f>480-260</f>
        <v>220</v>
      </c>
      <c r="CE29" s="1">
        <f>295-0</f>
        <v>295</v>
      </c>
      <c r="CF29" s="1">
        <f t="shared" si="4"/>
        <v>1420</v>
      </c>
      <c r="CH29" s="1">
        <f>CH51</f>
        <v>49.54</v>
      </c>
      <c r="CI29" s="1">
        <f>CI51</f>
        <v>14.11</v>
      </c>
      <c r="CJ29" s="1">
        <f>CJ51</f>
        <v>12.02</v>
      </c>
      <c r="CK29" s="1">
        <f>CK51</f>
        <v>98</v>
      </c>
      <c r="CL29" s="1">
        <f>CL51</f>
        <v>24.33</v>
      </c>
      <c r="CN29" s="1">
        <v>28</v>
      </c>
      <c r="CO29" s="1">
        <f>495-295</f>
        <v>200</v>
      </c>
      <c r="CP29" s="1">
        <f>340-15</f>
        <v>325</v>
      </c>
      <c r="CQ29" s="1">
        <f>550-340</f>
        <v>210</v>
      </c>
      <c r="CR29" s="1">
        <f>205-15</f>
        <v>190</v>
      </c>
      <c r="CS29" s="1">
        <f>465-205</f>
        <v>260</v>
      </c>
      <c r="CT29" s="1">
        <f>-50+340</f>
        <v>290</v>
      </c>
      <c r="CU29" s="1">
        <f>465-340</f>
        <v>125</v>
      </c>
      <c r="CV29" s="1">
        <f t="shared" si="5"/>
        <v>1600</v>
      </c>
      <c r="CX29" s="1">
        <f>CX56</f>
        <v>49.09</v>
      </c>
      <c r="CY29" s="1">
        <f>CY56</f>
        <v>15.84</v>
      </c>
      <c r="CZ29" s="1">
        <f>CZ56</f>
        <v>10.119999999999999</v>
      </c>
      <c r="DA29" s="1">
        <f>DA56</f>
        <v>56</v>
      </c>
      <c r="DB29" s="1">
        <f>DB56</f>
        <v>24.95</v>
      </c>
      <c r="DD29" s="1">
        <v>28</v>
      </c>
      <c r="DE29" s="1">
        <f>690-465</f>
        <v>225</v>
      </c>
      <c r="DF29" s="1">
        <f>250-50</f>
        <v>200</v>
      </c>
      <c r="DG29" s="1">
        <f>365-250</f>
        <v>115</v>
      </c>
      <c r="DH29" s="1">
        <f>560-365</f>
        <v>195</v>
      </c>
      <c r="DI29" s="1">
        <f>165-10</f>
        <v>155</v>
      </c>
      <c r="DJ29" s="1">
        <f>405-165</f>
        <v>240</v>
      </c>
      <c r="DK29" s="1">
        <f>540-405</f>
        <v>135</v>
      </c>
      <c r="DL29" s="1">
        <f t="shared" si="6"/>
        <v>1265</v>
      </c>
      <c r="DN29" s="1">
        <f>DN50</f>
        <v>56.35</v>
      </c>
      <c r="DO29" s="1">
        <f>DO50</f>
        <v>16.09</v>
      </c>
      <c r="DP29" s="1">
        <f>DP50</f>
        <v>8.86</v>
      </c>
      <c r="DQ29" s="1">
        <f>DQ50</f>
        <v>73</v>
      </c>
      <c r="DR29" s="1">
        <f>DR50</f>
        <v>18.7</v>
      </c>
      <c r="DT29" s="1">
        <v>28</v>
      </c>
      <c r="DU29" s="1">
        <f>0+165</f>
        <v>165</v>
      </c>
      <c r="DV29" s="1">
        <f>535-165</f>
        <v>370</v>
      </c>
      <c r="DW29" s="1">
        <f>225-0</f>
        <v>225</v>
      </c>
      <c r="DX29" s="1">
        <f>400-225</f>
        <v>175</v>
      </c>
      <c r="DY29" s="1">
        <f>645-400</f>
        <v>245</v>
      </c>
      <c r="DZ29" s="1">
        <f>295-55</f>
        <v>240</v>
      </c>
      <c r="EA29" s="1">
        <f>655-295</f>
        <v>360</v>
      </c>
      <c r="EB29" s="1">
        <f t="shared" si="7"/>
        <v>1780</v>
      </c>
      <c r="EC29" s="84"/>
      <c r="ED29" s="1">
        <f>AVERAGE(ED44,ED58)</f>
        <v>49.760000000000005</v>
      </c>
      <c r="EE29" s="1">
        <f>AVERAGE(EE44,EE58)</f>
        <v>17.375</v>
      </c>
      <c r="EF29" s="1">
        <f>AVERAGE(EF44,EF58)</f>
        <v>10.085000000000001</v>
      </c>
      <c r="EG29" s="1">
        <f>AVERAGE(EG44,EG58)</f>
        <v>17.5</v>
      </c>
      <c r="EH29" s="1">
        <f>AVERAGE(EH44,EH58)</f>
        <v>22.784999999999997</v>
      </c>
      <c r="EI29" s="84"/>
      <c r="EJ29" s="1">
        <v>28</v>
      </c>
      <c r="EK29" s="1">
        <f>260-50</f>
        <v>210</v>
      </c>
      <c r="EL29" s="1">
        <f>375-260</f>
        <v>115</v>
      </c>
      <c r="EM29" s="1">
        <f>570-375</f>
        <v>195</v>
      </c>
      <c r="EN29" s="1">
        <f>205-35</f>
        <v>170</v>
      </c>
      <c r="EO29" s="1">
        <f>460-205</f>
        <v>255</v>
      </c>
      <c r="EP29" s="1">
        <f>170-50</f>
        <v>120</v>
      </c>
      <c r="EQ29" s="1">
        <f>325-170</f>
        <v>155</v>
      </c>
      <c r="ER29" s="1">
        <f t="shared" si="8"/>
        <v>1220</v>
      </c>
      <c r="ES29" s="90"/>
      <c r="ET29" s="1"/>
      <c r="EU29" s="1"/>
      <c r="EV29" s="1"/>
      <c r="EW29" s="1"/>
      <c r="EX29" s="1"/>
      <c r="EY29" s="90"/>
      <c r="EZ29" s="1">
        <v>28</v>
      </c>
      <c r="FA29" s="1">
        <f>525-325</f>
        <v>200</v>
      </c>
      <c r="FB29" s="1">
        <f>135-55</f>
        <v>80</v>
      </c>
      <c r="FC29" s="1">
        <f>215-135</f>
        <v>80</v>
      </c>
      <c r="FD29" s="1">
        <f>320-215</f>
        <v>105</v>
      </c>
      <c r="FE29" s="1">
        <f>400-320</f>
        <v>80</v>
      </c>
      <c r="FF29" s="1">
        <f>510-400</f>
        <v>110</v>
      </c>
      <c r="FG29" s="1">
        <f>150-40</f>
        <v>110</v>
      </c>
      <c r="FH29" s="1">
        <f t="shared" si="9"/>
        <v>765</v>
      </c>
      <c r="FI29" s="92"/>
      <c r="FJ29" s="1">
        <v>46.04</v>
      </c>
      <c r="FK29" s="1">
        <v>16.86</v>
      </c>
      <c r="FL29" s="1">
        <v>9.49</v>
      </c>
      <c r="FM29" s="1">
        <v>4</v>
      </c>
      <c r="FN29" s="1">
        <v>27.6</v>
      </c>
      <c r="FO29" s="92"/>
      <c r="FP29" s="1">
        <v>28</v>
      </c>
      <c r="FQ29" s="1">
        <f>275-150</f>
        <v>125</v>
      </c>
      <c r="FR29" s="1">
        <f>385-275</f>
        <v>110</v>
      </c>
      <c r="FS29" s="1">
        <f>490-385</f>
        <v>105</v>
      </c>
      <c r="FT29" s="1">
        <f>-490+600</f>
        <v>110</v>
      </c>
      <c r="FU29" s="1">
        <f>175-40</f>
        <v>135</v>
      </c>
      <c r="FV29" s="1">
        <f>235-175</f>
        <v>60</v>
      </c>
      <c r="FW29" s="1">
        <f>585-235</f>
        <v>350</v>
      </c>
      <c r="FX29" s="1">
        <f t="shared" si="10"/>
        <v>995</v>
      </c>
      <c r="FY29" s="93"/>
      <c r="FZ29" s="3">
        <v>51.26</v>
      </c>
      <c r="GA29" s="1">
        <v>20.059999999999999</v>
      </c>
      <c r="GB29" s="1">
        <v>4.4800000000000004</v>
      </c>
      <c r="GC29" s="1">
        <v>13</v>
      </c>
      <c r="GD29" s="1">
        <v>24.2</v>
      </c>
      <c r="GE29" s="92"/>
      <c r="GF29" s="1">
        <v>28</v>
      </c>
      <c r="GG29" s="1">
        <f>570-10</f>
        <v>560</v>
      </c>
      <c r="GH29" s="85"/>
      <c r="GI29" s="1"/>
      <c r="GJ29" s="1"/>
      <c r="GK29" s="1"/>
      <c r="GL29" s="1"/>
      <c r="GM29" s="1"/>
      <c r="GN29" s="1">
        <f t="shared" si="11"/>
        <v>560</v>
      </c>
      <c r="GO29" s="93"/>
      <c r="GP29" s="1"/>
      <c r="GQ29" s="1"/>
      <c r="GR29" s="1"/>
      <c r="GS29" s="1"/>
      <c r="GT29" s="1"/>
      <c r="GU29" s="93"/>
      <c r="GV29" s="90"/>
      <c r="GW29" s="74">
        <f t="shared" si="12"/>
        <v>16810</v>
      </c>
      <c r="GX29" s="75">
        <f t="shared" si="26"/>
        <v>168.1</v>
      </c>
      <c r="HF29" s="1">
        <v>26</v>
      </c>
      <c r="HG29" s="1">
        <v>7.43</v>
      </c>
      <c r="HH29" s="1">
        <v>504.18</v>
      </c>
      <c r="HI29" s="1">
        <v>80</v>
      </c>
      <c r="HJ29" s="4">
        <v>44.768744624556525</v>
      </c>
      <c r="HK29" s="1"/>
      <c r="HM29" s="1">
        <v>26</v>
      </c>
      <c r="HN29" s="5">
        <v>7.82</v>
      </c>
      <c r="HO29" s="21">
        <f>1045.2-265.2</f>
        <v>780</v>
      </c>
      <c r="HP29" s="21">
        <v>64.587000000000003</v>
      </c>
      <c r="HQ29" s="5">
        <v>30</v>
      </c>
      <c r="HR29" s="21">
        <v>67.616</v>
      </c>
      <c r="HS29" s="21">
        <v>65.813999999999993</v>
      </c>
      <c r="HT29" s="46">
        <f t="shared" si="15"/>
        <v>0.10096666666666655</v>
      </c>
      <c r="HU29" s="46">
        <f t="shared" si="16"/>
        <v>6.0066666666666893E-2</v>
      </c>
      <c r="HV29" s="138">
        <f t="shared" si="25"/>
        <v>46.852000000000174</v>
      </c>
      <c r="HW29" s="138">
        <f t="shared" si="17"/>
        <v>15.178609576324888</v>
      </c>
      <c r="HX29" s="141">
        <f t="shared" si="14"/>
        <v>0.33904478902897639</v>
      </c>
      <c r="HY29" s="131">
        <f>0.89*2500</f>
        <v>2225</v>
      </c>
      <c r="HZ29" s="74">
        <f t="shared" si="18"/>
        <v>1730.5555555555557</v>
      </c>
      <c r="IA29" s="1">
        <f>0*25</f>
        <v>0</v>
      </c>
      <c r="IB29" s="5">
        <v>25</v>
      </c>
      <c r="IC29" s="5">
        <f>50*2+25+20.8</f>
        <v>145.80000000000001</v>
      </c>
      <c r="ID29" s="5">
        <f>50*2+25+25.9</f>
        <v>150.9</v>
      </c>
      <c r="IE29" s="136">
        <f t="shared" si="27"/>
        <v>3311.399999999996</v>
      </c>
      <c r="IF29" s="136">
        <f t="shared" si="20"/>
        <v>29160</v>
      </c>
      <c r="IG29" s="74">
        <f t="shared" si="21"/>
        <v>0.11355967078189287</v>
      </c>
      <c r="II29" s="1">
        <v>26</v>
      </c>
      <c r="IJ29" s="4">
        <v>26.569099999999999</v>
      </c>
      <c r="IK29" s="4">
        <v>0</v>
      </c>
      <c r="IL29" s="4">
        <v>0</v>
      </c>
      <c r="IM29" s="4">
        <v>73.430899999999994</v>
      </c>
      <c r="IN29" s="74">
        <f t="shared" si="22"/>
        <v>6071.0825000000004</v>
      </c>
      <c r="IO29" s="74">
        <f t="shared" si="23"/>
        <v>5518.6075000000001</v>
      </c>
      <c r="IP29" s="81">
        <f t="shared" si="24"/>
        <v>123.26920368843527</v>
      </c>
    </row>
    <row r="30" spans="1:250" x14ac:dyDescent="0.3">
      <c r="A30" s="1">
        <v>27</v>
      </c>
      <c r="B30" s="4">
        <v>72.5886</v>
      </c>
      <c r="C30" s="4">
        <v>27.4114</v>
      </c>
      <c r="D30" s="4">
        <v>0</v>
      </c>
      <c r="E30" s="4">
        <v>0</v>
      </c>
      <c r="F30" s="2" t="s">
        <v>126</v>
      </c>
      <c r="L30" s="1">
        <v>27</v>
      </c>
      <c r="M30" s="1"/>
      <c r="N30" s="1"/>
      <c r="O30" s="1">
        <v>0</v>
      </c>
      <c r="P30" s="1">
        <v>0</v>
      </c>
      <c r="Q30" s="1">
        <f>65-0</f>
        <v>65</v>
      </c>
      <c r="R30" s="1">
        <f>85-65</f>
        <v>20</v>
      </c>
      <c r="S30" s="1">
        <f>110-85</f>
        <v>25</v>
      </c>
      <c r="T30" s="1">
        <f t="shared" si="0"/>
        <v>110</v>
      </c>
      <c r="V30" s="1"/>
      <c r="W30" s="1"/>
      <c r="X30" s="1"/>
      <c r="Y30" s="1"/>
      <c r="Z30" s="1"/>
      <c r="AB30" s="1">
        <v>27</v>
      </c>
      <c r="AC30" s="1">
        <f>330-110</f>
        <v>220</v>
      </c>
      <c r="AD30" s="1">
        <f>500-330</f>
        <v>170</v>
      </c>
      <c r="AE30" s="1">
        <f>310-15</f>
        <v>295</v>
      </c>
      <c r="AF30" s="1">
        <f>320-310</f>
        <v>10</v>
      </c>
      <c r="AG30" s="1">
        <f>335-320</f>
        <v>15</v>
      </c>
      <c r="AH30" s="1">
        <f>370-335</f>
        <v>35</v>
      </c>
      <c r="AI30" s="1">
        <f>640-0+245-370</f>
        <v>515</v>
      </c>
      <c r="AJ30" s="1">
        <f t="shared" si="1"/>
        <v>1260</v>
      </c>
      <c r="AL30" s="1"/>
      <c r="AM30" s="1"/>
      <c r="AN30" s="1"/>
      <c r="AO30" s="1"/>
      <c r="AP30" s="1"/>
      <c r="AR30" s="1">
        <v>30</v>
      </c>
      <c r="AS30" s="1">
        <f>-245+790</f>
        <v>545</v>
      </c>
      <c r="AT30" s="1">
        <f>620-0</f>
        <v>620</v>
      </c>
      <c r="AU30" s="1">
        <f>480-40</f>
        <v>440</v>
      </c>
      <c r="AV30" s="1">
        <f>465-5</f>
        <v>460</v>
      </c>
      <c r="AW30" s="1">
        <f>425-50</f>
        <v>375</v>
      </c>
      <c r="AX30" s="1">
        <f>435-5</f>
        <v>430</v>
      </c>
      <c r="AY30" s="1">
        <f>425-15</f>
        <v>410</v>
      </c>
      <c r="AZ30" s="1">
        <f t="shared" si="2"/>
        <v>3280</v>
      </c>
      <c r="BB30" s="85">
        <f>AVERAGE(BB52,BB80)</f>
        <v>60.674999999999997</v>
      </c>
      <c r="BC30" s="1">
        <f>AVERAGE(BC52,BC80)</f>
        <v>18.29</v>
      </c>
      <c r="BD30" s="1">
        <f>AVERAGE(BD52,BD80)</f>
        <v>4.0549999999999997</v>
      </c>
      <c r="BE30" s="1">
        <f>AVERAGE(BE52,BE80)</f>
        <v>1</v>
      </c>
      <c r="BF30" s="1">
        <f>AVERAGE(BF52,BF80)</f>
        <v>16.98</v>
      </c>
      <c r="BH30" s="1">
        <v>30</v>
      </c>
      <c r="BI30" s="1">
        <f>365-0</f>
        <v>365</v>
      </c>
      <c r="BJ30" s="1">
        <f>535-0+185-365</f>
        <v>355</v>
      </c>
      <c r="BK30" s="1">
        <f>495-185</f>
        <v>310</v>
      </c>
      <c r="BL30" s="1">
        <f>235-20</f>
        <v>215</v>
      </c>
      <c r="BM30" s="1">
        <f>465-235</f>
        <v>230</v>
      </c>
      <c r="BN30" s="1">
        <f>140-5</f>
        <v>135</v>
      </c>
      <c r="BO30" s="1">
        <f>265-140</f>
        <v>125</v>
      </c>
      <c r="BP30" s="1">
        <f t="shared" si="3"/>
        <v>1735</v>
      </c>
      <c r="BR30" s="1">
        <f>BR53</f>
        <v>70.45</v>
      </c>
      <c r="BS30" s="1">
        <f>BS53</f>
        <v>16.190000000000001</v>
      </c>
      <c r="BT30" s="1">
        <f>BT53</f>
        <v>2.75</v>
      </c>
      <c r="BU30" s="1">
        <f>BU53</f>
        <v>0</v>
      </c>
      <c r="BV30" s="1">
        <f>BV53</f>
        <v>10.61</v>
      </c>
      <c r="BX30" s="1">
        <v>30</v>
      </c>
      <c r="BY30" s="1">
        <f>390-265</f>
        <v>125</v>
      </c>
      <c r="BZ30" s="1">
        <f>425-390</f>
        <v>35</v>
      </c>
      <c r="CA30" s="1">
        <f>40-0</f>
        <v>40</v>
      </c>
      <c r="CB30" s="1">
        <f>75-40</f>
        <v>35</v>
      </c>
      <c r="CC30" s="1">
        <f>85-75</f>
        <v>10</v>
      </c>
      <c r="CD30" s="1">
        <f>165-85</f>
        <v>80</v>
      </c>
      <c r="CE30" s="1">
        <f>255-165</f>
        <v>90</v>
      </c>
      <c r="CF30" s="1">
        <f t="shared" si="4"/>
        <v>415</v>
      </c>
      <c r="CH30" s="1">
        <f>CH65</f>
        <v>65.41</v>
      </c>
      <c r="CI30" s="1">
        <f>CI65</f>
        <v>12.4</v>
      </c>
      <c r="CJ30" s="1">
        <f>CJ65</f>
        <v>4.3099999999999996</v>
      </c>
      <c r="CK30" s="1">
        <f>CK65</f>
        <v>1</v>
      </c>
      <c r="CL30" s="1">
        <f>CL65</f>
        <v>17.88</v>
      </c>
      <c r="CN30" s="1">
        <v>30</v>
      </c>
      <c r="CO30" s="1">
        <f>360-255</f>
        <v>105</v>
      </c>
      <c r="CP30" s="1">
        <f>550-360</f>
        <v>190</v>
      </c>
      <c r="CQ30" s="1">
        <f>125-20</f>
        <v>105</v>
      </c>
      <c r="CR30" s="1">
        <f>250-125</f>
        <v>125</v>
      </c>
      <c r="CS30" s="1">
        <f>430-250</f>
        <v>180</v>
      </c>
      <c r="CT30" s="1">
        <f>0+250</f>
        <v>250</v>
      </c>
      <c r="CU30" s="1">
        <f>345-250</f>
        <v>95</v>
      </c>
      <c r="CV30" s="1">
        <f t="shared" si="5"/>
        <v>1050</v>
      </c>
      <c r="CX30" s="1"/>
      <c r="CY30" s="1"/>
      <c r="CZ30" s="1"/>
      <c r="DA30" s="1"/>
      <c r="DB30" s="1"/>
      <c r="DD30" s="1">
        <v>30</v>
      </c>
      <c r="DE30" s="1">
        <f>455-345</f>
        <v>110</v>
      </c>
      <c r="DF30" s="1">
        <f>105-35</f>
        <v>70</v>
      </c>
      <c r="DG30" s="1">
        <f>160-105</f>
        <v>55</v>
      </c>
      <c r="DH30" s="1">
        <f>415-160</f>
        <v>255</v>
      </c>
      <c r="DI30" s="1">
        <f>205-45</f>
        <v>160</v>
      </c>
      <c r="DJ30" s="1">
        <f>385-205</f>
        <v>180</v>
      </c>
      <c r="DK30" s="1">
        <f>485-385</f>
        <v>100</v>
      </c>
      <c r="DL30" s="1">
        <f t="shared" si="6"/>
        <v>930</v>
      </c>
      <c r="DN30" s="1">
        <f>DN49</f>
        <v>52.17</v>
      </c>
      <c r="DO30" s="1">
        <f>DO49</f>
        <v>10.029999999999999</v>
      </c>
      <c r="DP30" s="1">
        <f>DP49</f>
        <v>7.59</v>
      </c>
      <c r="DQ30" s="1">
        <f>DQ49</f>
        <v>11</v>
      </c>
      <c r="DR30" s="1">
        <f>DR49</f>
        <v>30.21</v>
      </c>
      <c r="DT30" s="1">
        <v>30</v>
      </c>
      <c r="DU30" s="1">
        <f>-15+125</f>
        <v>110</v>
      </c>
      <c r="DV30" s="1">
        <f>205-125</f>
        <v>80</v>
      </c>
      <c r="DW30" s="1">
        <f>315-205</f>
        <v>110</v>
      </c>
      <c r="DX30" s="1">
        <f>365-315</f>
        <v>50</v>
      </c>
      <c r="DY30" s="1">
        <f>-365+470</f>
        <v>105</v>
      </c>
      <c r="DZ30" s="1">
        <f>70-50</f>
        <v>20</v>
      </c>
      <c r="EA30" s="1">
        <f>120-70</f>
        <v>50</v>
      </c>
      <c r="EB30" s="1">
        <f t="shared" si="7"/>
        <v>525</v>
      </c>
      <c r="EC30" s="84"/>
      <c r="ED30" s="1"/>
      <c r="EE30" s="1"/>
      <c r="EF30" s="1"/>
      <c r="EG30" s="1"/>
      <c r="EH30" s="1"/>
      <c r="EI30" s="84"/>
      <c r="EJ30" s="85">
        <v>30</v>
      </c>
      <c r="EK30" s="1">
        <f>170-120</f>
        <v>50</v>
      </c>
      <c r="EL30" s="1"/>
      <c r="EM30" s="1"/>
      <c r="EN30" s="1"/>
      <c r="EO30" s="1"/>
      <c r="EP30" s="1"/>
      <c r="EQ30" s="1"/>
      <c r="ER30" s="1">
        <f t="shared" si="8"/>
        <v>50</v>
      </c>
      <c r="ES30" s="90"/>
      <c r="ET30" s="1"/>
      <c r="EU30" s="1"/>
      <c r="EV30" s="1"/>
      <c r="EW30" s="1"/>
      <c r="EX30" s="1"/>
      <c r="EY30" s="90"/>
      <c r="EZ30" s="85">
        <v>30</v>
      </c>
      <c r="FA30" s="1"/>
      <c r="FB30" s="1"/>
      <c r="FC30" s="1"/>
      <c r="FD30" s="1"/>
      <c r="FE30" s="1"/>
      <c r="FF30" s="1"/>
      <c r="FG30" s="1"/>
      <c r="FH30" s="1">
        <f t="shared" si="9"/>
        <v>0</v>
      </c>
      <c r="FI30" s="92"/>
      <c r="FJ30" s="1"/>
      <c r="FK30" s="1"/>
      <c r="FL30" s="1"/>
      <c r="FM30" s="1"/>
      <c r="FN30" s="1"/>
      <c r="FO30" s="92"/>
      <c r="FP30" s="85">
        <v>30</v>
      </c>
      <c r="FQ30" s="1"/>
      <c r="FR30" s="1"/>
      <c r="FS30" s="1"/>
      <c r="FT30" s="1"/>
      <c r="FU30" s="1"/>
      <c r="FV30" s="1"/>
      <c r="FW30" s="1"/>
      <c r="FX30" s="1">
        <f t="shared" si="10"/>
        <v>0</v>
      </c>
      <c r="FY30" s="93"/>
      <c r="FZ30" s="1"/>
      <c r="GA30" s="1"/>
      <c r="GB30" s="1"/>
      <c r="GC30" s="1"/>
      <c r="GD30" s="1"/>
      <c r="GE30" s="92"/>
      <c r="GF30" s="85">
        <v>30</v>
      </c>
      <c r="GG30" s="1"/>
      <c r="GH30" s="1"/>
      <c r="GI30" s="1"/>
      <c r="GJ30" s="1"/>
      <c r="GK30" s="1"/>
      <c r="GL30" s="1"/>
      <c r="GM30" s="1"/>
      <c r="GN30" s="1">
        <f t="shared" si="11"/>
        <v>0</v>
      </c>
      <c r="GO30" s="93"/>
      <c r="GP30" s="1"/>
      <c r="GQ30" s="1"/>
      <c r="GR30" s="1"/>
      <c r="GS30" s="1"/>
      <c r="GT30" s="1"/>
      <c r="GU30" s="93"/>
      <c r="GV30" s="90"/>
      <c r="GW30" s="74">
        <f t="shared" si="12"/>
        <v>9355</v>
      </c>
      <c r="GX30" s="75">
        <f t="shared" si="26"/>
        <v>93.55</v>
      </c>
      <c r="HF30" s="1">
        <v>27</v>
      </c>
      <c r="HG30" s="1">
        <v>7.29</v>
      </c>
      <c r="HH30" s="81">
        <v>186.37</v>
      </c>
      <c r="HI30" s="1">
        <v>80</v>
      </c>
      <c r="HJ30" s="4">
        <v>40.821913530657625</v>
      </c>
      <c r="HK30" s="1"/>
      <c r="HM30" s="1">
        <v>27</v>
      </c>
      <c r="HN30" s="5">
        <v>7.84</v>
      </c>
      <c r="HO30" s="21">
        <f>1143.9+680.5-269.5-264.4</f>
        <v>1290.5</v>
      </c>
      <c r="HP30" s="21">
        <f>66.742</f>
        <v>66.742000000000004</v>
      </c>
      <c r="HQ30" s="21">
        <v>30.71</v>
      </c>
      <c r="HR30" s="21">
        <v>68.363</v>
      </c>
      <c r="HS30" s="21">
        <v>67.554000000000002</v>
      </c>
      <c r="HT30" s="46">
        <f t="shared" si="15"/>
        <v>5.2784109410615274E-2</v>
      </c>
      <c r="HU30" s="46">
        <f t="shared" si="16"/>
        <v>2.6343210680559996E-2</v>
      </c>
      <c r="HV30" s="138">
        <f t="shared" si="25"/>
        <v>33.995913383262675</v>
      </c>
      <c r="HW30" s="138">
        <f t="shared" si="17"/>
        <v>24.087865099163487</v>
      </c>
      <c r="HX30" s="141">
        <f>(HW30/HJ30)</f>
        <v>0.59007192499864769</v>
      </c>
      <c r="HY30" s="131">
        <f>0.78*2500</f>
        <v>1950</v>
      </c>
      <c r="HZ30" s="74">
        <f t="shared" si="18"/>
        <v>1516.6666666666667</v>
      </c>
      <c r="IA30" s="1">
        <f>0*25</f>
        <v>0</v>
      </c>
      <c r="IB30" s="5">
        <v>25</v>
      </c>
      <c r="IC30" s="5">
        <f>50*2+25+6.5</f>
        <v>131.5</v>
      </c>
      <c r="ID30" s="5">
        <f>50*2+25+11.3</f>
        <v>136.30000000000001</v>
      </c>
      <c r="IE30" s="136">
        <f t="shared" si="27"/>
        <v>3112.2000000000071</v>
      </c>
      <c r="IF30" s="136">
        <f t="shared" si="20"/>
        <v>26300</v>
      </c>
      <c r="IG30" s="74">
        <f t="shared" si="21"/>
        <v>0.11833460076045654</v>
      </c>
      <c r="II30" s="1">
        <v>27</v>
      </c>
      <c r="IJ30" s="4">
        <v>72.5886</v>
      </c>
      <c r="IK30" s="4">
        <v>27.4114</v>
      </c>
      <c r="IL30" s="4">
        <v>0</v>
      </c>
      <c r="IM30" s="4">
        <v>0</v>
      </c>
      <c r="IN30" s="74">
        <f t="shared" si="22"/>
        <v>5528.6619999999994</v>
      </c>
      <c r="IO30" s="74">
        <f t="shared" si="23"/>
        <v>4976.186999999999</v>
      </c>
      <c r="IP30" s="81">
        <f t="shared" si="24"/>
        <v>121.89989565929676</v>
      </c>
    </row>
    <row r="31" spans="1:250" x14ac:dyDescent="0.3">
      <c r="A31" s="1">
        <v>28</v>
      </c>
      <c r="B31" s="4">
        <v>0</v>
      </c>
      <c r="C31" s="4">
        <v>72.453699999999998</v>
      </c>
      <c r="D31" s="4">
        <v>27.3537</v>
      </c>
      <c r="E31" s="4">
        <v>0.19259899999999999</v>
      </c>
      <c r="F31" s="2" t="s">
        <v>127</v>
      </c>
      <c r="L31" s="1">
        <v>28</v>
      </c>
      <c r="M31" s="1"/>
      <c r="N31" s="1"/>
      <c r="O31" s="1">
        <v>40</v>
      </c>
      <c r="P31" s="1">
        <f>230-40</f>
        <v>190</v>
      </c>
      <c r="Q31" s="1">
        <f>330-230</f>
        <v>100</v>
      </c>
      <c r="R31" s="1">
        <f>645-330</f>
        <v>315</v>
      </c>
      <c r="S31" s="1">
        <f>365-40</f>
        <v>325</v>
      </c>
      <c r="T31" s="1">
        <f t="shared" si="0"/>
        <v>970</v>
      </c>
      <c r="V31" s="1"/>
      <c r="W31" s="1"/>
      <c r="X31" s="1"/>
      <c r="Y31" s="1"/>
      <c r="Z31" s="1"/>
      <c r="AB31" s="1">
        <v>28</v>
      </c>
      <c r="AC31" s="1">
        <f>740-365</f>
        <v>375</v>
      </c>
      <c r="AD31" s="1">
        <f>365-45</f>
        <v>320</v>
      </c>
      <c r="AE31" s="1">
        <f>540-5+125-365</f>
        <v>295</v>
      </c>
      <c r="AF31" s="1">
        <f>395-125</f>
        <v>270</v>
      </c>
      <c r="AG31" s="1">
        <f>685-395</f>
        <v>290</v>
      </c>
      <c r="AH31" s="1">
        <f>395-25</f>
        <v>370</v>
      </c>
      <c r="AI31" s="1">
        <f>690-40+260-395</f>
        <v>515</v>
      </c>
      <c r="AJ31" s="1">
        <f t="shared" si="1"/>
        <v>2435</v>
      </c>
      <c r="AL31" s="1"/>
      <c r="AM31" s="1"/>
      <c r="AN31" s="1"/>
      <c r="AO31" s="1"/>
      <c r="AP31" s="1"/>
      <c r="AR31" s="1">
        <v>31</v>
      </c>
      <c r="AS31" s="1"/>
      <c r="AT31" s="1">
        <f>790-260</f>
        <v>530</v>
      </c>
      <c r="AU31" s="1">
        <f>470-0</f>
        <v>470</v>
      </c>
      <c r="AV31" s="1">
        <f>480-40</f>
        <v>440</v>
      </c>
      <c r="AW31" s="1">
        <f>380-55</f>
        <v>325</v>
      </c>
      <c r="AX31" s="1">
        <f>460-15</f>
        <v>445</v>
      </c>
      <c r="AY31" s="1">
        <f>380-30</f>
        <v>350</v>
      </c>
      <c r="AZ31" s="1">
        <f t="shared" si="2"/>
        <v>2560</v>
      </c>
      <c r="BB31" s="85">
        <f>AVERAGE(BB61,BB71)</f>
        <v>50.83</v>
      </c>
      <c r="BC31" s="1">
        <f>AVERAGE(BC61,BC71)</f>
        <v>15.69</v>
      </c>
      <c r="BD31" s="1">
        <f>AVERAGE(BD61,BD71)</f>
        <v>8.9550000000000001</v>
      </c>
      <c r="BE31" s="1">
        <f>AVERAGE(BE61,BE71)</f>
        <v>1</v>
      </c>
      <c r="BF31" s="1">
        <f>AVERAGE(BF61,BF71)</f>
        <v>24.524999999999999</v>
      </c>
      <c r="BH31" s="1">
        <v>31</v>
      </c>
      <c r="BI31" s="1">
        <f>545-380</f>
        <v>165</v>
      </c>
      <c r="BJ31" s="1">
        <f>255-0</f>
        <v>255</v>
      </c>
      <c r="BK31" s="1">
        <f>320-255</f>
        <v>65</v>
      </c>
      <c r="BL31" s="1">
        <f>390-320</f>
        <v>70</v>
      </c>
      <c r="BM31" s="1">
        <f>425-390</f>
        <v>35</v>
      </c>
      <c r="BN31" s="1">
        <f>40-0</f>
        <v>40</v>
      </c>
      <c r="BO31" s="1">
        <f>230-40</f>
        <v>190</v>
      </c>
      <c r="BP31" s="1">
        <f t="shared" si="3"/>
        <v>820</v>
      </c>
      <c r="BR31" s="1">
        <f>BR55</f>
        <v>56.19</v>
      </c>
      <c r="BS31" s="1">
        <f>BS55</f>
        <v>12.8</v>
      </c>
      <c r="BT31" s="1">
        <f>BT55</f>
        <v>10.1</v>
      </c>
      <c r="BU31" s="1">
        <f>BU55</f>
        <v>1</v>
      </c>
      <c r="BV31" s="1">
        <f>BV55</f>
        <v>20.91</v>
      </c>
      <c r="BX31" s="1">
        <v>31</v>
      </c>
      <c r="BY31" s="1">
        <f>285-230</f>
        <v>55</v>
      </c>
      <c r="BZ31" s="1">
        <f>495-285</f>
        <v>210</v>
      </c>
      <c r="CA31" s="1">
        <f>100-0</f>
        <v>100</v>
      </c>
      <c r="CB31" s="1">
        <f>-100+215</f>
        <v>115</v>
      </c>
      <c r="CC31" s="1">
        <f>345-215</f>
        <v>130</v>
      </c>
      <c r="CD31" s="1">
        <f>450-345</f>
        <v>105</v>
      </c>
      <c r="CE31" s="1">
        <f>550-450</f>
        <v>100</v>
      </c>
      <c r="CF31" s="1">
        <f t="shared" si="4"/>
        <v>815</v>
      </c>
      <c r="CH31" s="1"/>
      <c r="CI31" s="1"/>
      <c r="CJ31" s="1"/>
      <c r="CK31" s="1"/>
      <c r="CL31" s="1"/>
      <c r="CN31" s="1">
        <v>31</v>
      </c>
      <c r="CO31" s="1">
        <f>90-0</f>
        <v>90</v>
      </c>
      <c r="CP31" s="1">
        <f>150-90</f>
        <v>60</v>
      </c>
      <c r="CQ31" s="1">
        <f>215-150</f>
        <v>65</v>
      </c>
      <c r="CR31" s="1">
        <f>275-215</f>
        <v>60</v>
      </c>
      <c r="CS31" s="1">
        <f>330-275</f>
        <v>55</v>
      </c>
      <c r="CT31" s="1">
        <f>-330+420</f>
        <v>90</v>
      </c>
      <c r="CU31" s="1">
        <f>90-45</f>
        <v>45</v>
      </c>
      <c r="CV31" s="1">
        <f t="shared" si="5"/>
        <v>465</v>
      </c>
      <c r="CX31" s="1"/>
      <c r="CY31" s="1"/>
      <c r="CZ31" s="1"/>
      <c r="DA31" s="1"/>
      <c r="DB31" s="1"/>
      <c r="DD31" s="1">
        <v>31</v>
      </c>
      <c r="DE31" s="1">
        <f>130-90</f>
        <v>40</v>
      </c>
      <c r="DF31" s="1">
        <f>170-130</f>
        <v>40</v>
      </c>
      <c r="DG31" s="1">
        <f>190-170</f>
        <v>20</v>
      </c>
      <c r="DH31" s="1">
        <f>230-190</f>
        <v>40</v>
      </c>
      <c r="DI31" s="1">
        <f>275-230</f>
        <v>45</v>
      </c>
      <c r="DJ31" s="1">
        <f>300-275</f>
        <v>25</v>
      </c>
      <c r="DK31" s="1">
        <f>305-300</f>
        <v>5</v>
      </c>
      <c r="DL31" s="1">
        <f t="shared" si="6"/>
        <v>215</v>
      </c>
      <c r="DN31" s="1">
        <f>DN63</f>
        <v>43.03</v>
      </c>
      <c r="DO31" s="1">
        <f>DO63</f>
        <v>7.58</v>
      </c>
      <c r="DP31" s="1">
        <f>DP63</f>
        <v>9.26</v>
      </c>
      <c r="DQ31" s="1">
        <f>DQ63</f>
        <v>1</v>
      </c>
      <c r="DR31" s="1">
        <f>DR63</f>
        <v>40.14</v>
      </c>
      <c r="DT31" s="85">
        <v>31</v>
      </c>
      <c r="DU31" s="1">
        <f>340-305</f>
        <v>35</v>
      </c>
      <c r="DV31" s="85"/>
      <c r="DW31" s="1"/>
      <c r="DX31" s="1"/>
      <c r="DY31" s="1"/>
      <c r="DZ31" s="1"/>
      <c r="EA31" s="1"/>
      <c r="EB31" s="1">
        <f t="shared" si="7"/>
        <v>35</v>
      </c>
      <c r="EC31" s="84"/>
      <c r="ED31" s="1"/>
      <c r="EE31" s="1"/>
      <c r="EF31" s="1"/>
      <c r="EG31" s="1"/>
      <c r="EH31" s="1"/>
      <c r="EI31" s="84"/>
      <c r="EJ31" s="85">
        <v>31</v>
      </c>
      <c r="EK31" s="1"/>
      <c r="EL31" s="1"/>
      <c r="EM31" s="1"/>
      <c r="EN31" s="1"/>
      <c r="EO31" s="1"/>
      <c r="EP31" s="1"/>
      <c r="EQ31" s="1"/>
      <c r="ER31" s="1">
        <f t="shared" si="8"/>
        <v>0</v>
      </c>
      <c r="ES31" s="90"/>
      <c r="ET31" s="1"/>
      <c r="EU31" s="1"/>
      <c r="EV31" s="1"/>
      <c r="EW31" s="1"/>
      <c r="EX31" s="1"/>
      <c r="EY31" s="90"/>
      <c r="EZ31" s="85">
        <v>31</v>
      </c>
      <c r="FA31" s="1"/>
      <c r="FB31" s="1"/>
      <c r="FC31" s="1"/>
      <c r="FD31" s="1"/>
      <c r="FE31" s="1"/>
      <c r="FF31" s="1"/>
      <c r="FG31" s="1"/>
      <c r="FH31" s="1">
        <f t="shared" si="9"/>
        <v>0</v>
      </c>
      <c r="FI31" s="92"/>
      <c r="FJ31" s="1"/>
      <c r="FK31" s="1"/>
      <c r="FL31" s="1"/>
      <c r="FM31" s="1"/>
      <c r="FN31" s="1"/>
      <c r="FO31" s="92"/>
      <c r="FP31" s="85">
        <v>31</v>
      </c>
      <c r="FQ31" s="1"/>
      <c r="FR31" s="1"/>
      <c r="FS31" s="1"/>
      <c r="FT31" s="1"/>
      <c r="FU31" s="1"/>
      <c r="FV31" s="1"/>
      <c r="FW31" s="1"/>
      <c r="FX31" s="1">
        <f t="shared" si="10"/>
        <v>0</v>
      </c>
      <c r="FY31" s="93"/>
      <c r="FZ31" s="1"/>
      <c r="GA31" s="1"/>
      <c r="GB31" s="1"/>
      <c r="GC31" s="1"/>
      <c r="GD31" s="1"/>
      <c r="GE31" s="92"/>
      <c r="GF31" s="85">
        <v>31</v>
      </c>
      <c r="GG31" s="1"/>
      <c r="GH31" s="1"/>
      <c r="GI31" s="1"/>
      <c r="GJ31" s="1"/>
      <c r="GK31" s="1"/>
      <c r="GL31" s="1"/>
      <c r="GM31" s="1"/>
      <c r="GN31" s="1">
        <f t="shared" si="11"/>
        <v>0</v>
      </c>
      <c r="GO31" s="93"/>
      <c r="GP31" s="1"/>
      <c r="GQ31" s="1"/>
      <c r="GR31" s="1"/>
      <c r="GS31" s="1"/>
      <c r="GT31" s="1"/>
      <c r="GU31" s="93"/>
      <c r="GV31" s="90"/>
      <c r="GW31" s="74">
        <f t="shared" si="12"/>
        <v>8315</v>
      </c>
      <c r="GX31" s="75">
        <f t="shared" si="26"/>
        <v>83.15</v>
      </c>
      <c r="HF31" s="1">
        <v>28</v>
      </c>
      <c r="HG31" s="1">
        <v>7.94</v>
      </c>
      <c r="HH31" s="81">
        <v>186.48</v>
      </c>
      <c r="HI31" s="1">
        <v>80</v>
      </c>
      <c r="HJ31" s="4">
        <v>39.185214519557441</v>
      </c>
      <c r="HK31" s="1"/>
      <c r="HM31" s="1">
        <v>28</v>
      </c>
      <c r="HN31" s="5">
        <v>7.85</v>
      </c>
      <c r="HO31" s="21">
        <f>968.45-HH31</f>
        <v>781.97</v>
      </c>
      <c r="HP31" s="21">
        <v>64.427000000000007</v>
      </c>
      <c r="HQ31" s="5">
        <v>30.14</v>
      </c>
      <c r="HR31" s="21">
        <v>67.680999999999997</v>
      </c>
      <c r="HS31" s="21">
        <v>65.804000000000002</v>
      </c>
      <c r="HT31" s="46">
        <f t="shared" si="15"/>
        <v>0.10796284007962809</v>
      </c>
      <c r="HU31" s="46">
        <f t="shared" si="16"/>
        <v>6.2276045122760297E-2</v>
      </c>
      <c r="HV31" s="138">
        <f t="shared" si="25"/>
        <v>48.697999004644871</v>
      </c>
      <c r="HW31" s="138">
        <f t="shared" si="17"/>
        <v>7.7490804666811073</v>
      </c>
      <c r="HX31" s="139">
        <f t="shared" si="14"/>
        <v>0.19775521358479539</v>
      </c>
      <c r="HY31" s="96">
        <f>1.71*2000*18/17</f>
        <v>3621.1764705882351</v>
      </c>
      <c r="HZ31" s="74">
        <f t="shared" si="18"/>
        <v>2816.4705882352941</v>
      </c>
      <c r="IA31" s="1">
        <v>0</v>
      </c>
      <c r="IB31" s="5">
        <v>20</v>
      </c>
      <c r="IC31" s="5">
        <f>75+10.4</f>
        <v>85.4</v>
      </c>
      <c r="ID31" s="5">
        <f>75+14.3</f>
        <v>89.3</v>
      </c>
      <c r="IE31" s="5">
        <f t="shared" si="27"/>
        <v>3161.9999999999923</v>
      </c>
      <c r="IF31" s="5">
        <f t="shared" si="20"/>
        <v>21350</v>
      </c>
      <c r="IG31" s="74">
        <f t="shared" si="21"/>
        <v>0.14810304449648676</v>
      </c>
      <c r="II31" s="1">
        <v>28</v>
      </c>
      <c r="IJ31" s="4">
        <v>0</v>
      </c>
      <c r="IK31" s="4">
        <v>72.453699999999998</v>
      </c>
      <c r="IL31" s="4">
        <v>27.3537</v>
      </c>
      <c r="IM31" s="4">
        <v>0.19259899999999999</v>
      </c>
      <c r="IN31" s="74">
        <f t="shared" si="22"/>
        <v>3859.2825000000003</v>
      </c>
      <c r="IO31" s="74">
        <f t="shared" si="23"/>
        <v>3306.8075000000003</v>
      </c>
      <c r="IP31" s="81">
        <f t="shared" si="24"/>
        <v>84.38916414122383</v>
      </c>
    </row>
    <row r="32" spans="1:250" x14ac:dyDescent="0.3">
      <c r="A32" s="1">
        <v>29</v>
      </c>
      <c r="B32" s="4">
        <v>0</v>
      </c>
      <c r="C32" s="4">
        <v>0</v>
      </c>
      <c r="D32" s="4">
        <v>100</v>
      </c>
      <c r="E32" s="4">
        <v>0</v>
      </c>
      <c r="F32" s="2" t="s">
        <v>128</v>
      </c>
      <c r="L32" s="1">
        <v>29</v>
      </c>
      <c r="M32" s="1"/>
      <c r="N32" s="1"/>
      <c r="O32" s="1">
        <f>445</f>
        <v>445</v>
      </c>
      <c r="P32" s="1">
        <f>645-445</f>
        <v>200</v>
      </c>
      <c r="Q32" s="1">
        <f>485+15-50</f>
        <v>450</v>
      </c>
      <c r="R32" s="1">
        <f>265-30</f>
        <v>235</v>
      </c>
      <c r="S32" s="1">
        <f>650-265</f>
        <v>385</v>
      </c>
      <c r="T32" s="1">
        <f t="shared" si="0"/>
        <v>1715</v>
      </c>
      <c r="V32" s="1"/>
      <c r="W32" s="1"/>
      <c r="X32" s="1"/>
      <c r="Y32" s="1"/>
      <c r="Z32" s="1"/>
      <c r="AB32" s="1">
        <v>29</v>
      </c>
      <c r="AC32" s="1">
        <f>425-20</f>
        <v>405</v>
      </c>
      <c r="AD32" s="1">
        <f>365-5</f>
        <v>360</v>
      </c>
      <c r="AE32" s="1">
        <f>545-10+160-365</f>
        <v>330</v>
      </c>
      <c r="AF32" s="1">
        <f>505-160</f>
        <v>345</v>
      </c>
      <c r="AG32" s="1">
        <f>690-30</f>
        <v>660</v>
      </c>
      <c r="AH32" s="1">
        <f>405-50</f>
        <v>355</v>
      </c>
      <c r="AI32" s="1">
        <f>690-50</f>
        <v>640</v>
      </c>
      <c r="AJ32" s="1">
        <f t="shared" si="1"/>
        <v>3095</v>
      </c>
      <c r="AL32" s="1"/>
      <c r="AM32" s="1"/>
      <c r="AN32" s="1"/>
      <c r="AO32" s="1"/>
      <c r="AP32" s="1"/>
      <c r="AR32" s="1">
        <v>32</v>
      </c>
      <c r="AS32" s="1">
        <v>450</v>
      </c>
      <c r="AT32" s="1">
        <f>690-0</f>
        <v>690</v>
      </c>
      <c r="AU32" s="1">
        <f>690-0+255-35</f>
        <v>910</v>
      </c>
      <c r="AV32" s="1">
        <f>690-40+390-255</f>
        <v>785</v>
      </c>
      <c r="AW32" s="1">
        <f>690-30</f>
        <v>660</v>
      </c>
      <c r="AX32" s="68">
        <f>690-50</f>
        <v>640</v>
      </c>
      <c r="AY32" s="1">
        <f>690-35</f>
        <v>655</v>
      </c>
      <c r="AZ32" s="1">
        <f t="shared" si="2"/>
        <v>4790</v>
      </c>
      <c r="BB32" s="1">
        <f t="shared" ref="BB32:BG32" si="30">BB95</f>
        <v>52.86</v>
      </c>
      <c r="BC32" s="1">
        <f t="shared" si="30"/>
        <v>22.54</v>
      </c>
      <c r="BD32" s="1">
        <f t="shared" si="30"/>
        <v>5.74</v>
      </c>
      <c r="BE32" s="1">
        <f t="shared" si="30"/>
        <v>0</v>
      </c>
      <c r="BF32" s="1">
        <f t="shared" si="30"/>
        <v>18.87</v>
      </c>
      <c r="BG32" s="1">
        <f t="shared" si="30"/>
        <v>0</v>
      </c>
      <c r="BH32" s="1">
        <v>32</v>
      </c>
      <c r="BI32" s="1">
        <f>535-0+335-50</f>
        <v>820</v>
      </c>
      <c r="BJ32" s="1">
        <f>690-40+485-335</f>
        <v>800</v>
      </c>
      <c r="BK32" s="1">
        <f>555-20+280-5</f>
        <v>810</v>
      </c>
      <c r="BL32" s="1">
        <f>690-35+285-280</f>
        <v>660</v>
      </c>
      <c r="BM32" s="1">
        <f>620-30+375-285</f>
        <v>680</v>
      </c>
      <c r="BN32" s="1">
        <f>420-10</f>
        <v>410</v>
      </c>
      <c r="BO32" s="1">
        <f>400-0</f>
        <v>400</v>
      </c>
      <c r="BP32" s="1">
        <f>SUM(BJ32:BO32)</f>
        <v>3760</v>
      </c>
      <c r="BR32" s="85">
        <f>AVERAGE(BR84,BR94,BR54)</f>
        <v>68.016666666666666</v>
      </c>
      <c r="BS32" s="1">
        <f>AVERAGE(BS84,BS94,BS54)</f>
        <v>17.190000000000001</v>
      </c>
      <c r="BT32" s="1">
        <f>AVERAGE(BT84,BT94,BT54)</f>
        <v>3.08</v>
      </c>
      <c r="BU32" s="1">
        <f>AVERAGE(BU84,BU94,BU54)</f>
        <v>2.6666666666666665</v>
      </c>
      <c r="BV32" s="1">
        <f>AVERAGE(BV84,BV94,BV54)</f>
        <v>11.709999999999999</v>
      </c>
      <c r="BX32" s="1">
        <v>32</v>
      </c>
      <c r="BY32" s="1">
        <f>440-30</f>
        <v>410</v>
      </c>
      <c r="BZ32" s="1">
        <f>320-15</f>
        <v>305</v>
      </c>
      <c r="CA32" s="1">
        <f>495-10+90-320</f>
        <v>255</v>
      </c>
      <c r="CB32" s="1">
        <f>-90+335</f>
        <v>245</v>
      </c>
      <c r="CC32" s="1">
        <f>500-335</f>
        <v>165</v>
      </c>
      <c r="CD32" s="1">
        <f>265-10</f>
        <v>255</v>
      </c>
      <c r="CE32" s="1">
        <f>435-265</f>
        <v>170</v>
      </c>
      <c r="CF32" s="1">
        <f t="shared" si="4"/>
        <v>1805</v>
      </c>
      <c r="CH32" s="1"/>
      <c r="CI32" s="1"/>
      <c r="CJ32" s="1"/>
      <c r="CK32" s="1"/>
      <c r="CL32" s="1"/>
      <c r="CN32" s="1">
        <v>32</v>
      </c>
      <c r="CO32" s="1">
        <f>155-10</f>
        <v>145</v>
      </c>
      <c r="CP32" s="1">
        <f>350-155</f>
        <v>195</v>
      </c>
      <c r="CQ32" s="1">
        <f>465-350</f>
        <v>115</v>
      </c>
      <c r="CR32" s="1">
        <f>165-50</f>
        <v>115</v>
      </c>
      <c r="CS32" s="1">
        <f>285-165</f>
        <v>120</v>
      </c>
      <c r="CT32" s="1">
        <f>120</f>
        <v>120</v>
      </c>
      <c r="CU32" s="1">
        <v>120</v>
      </c>
      <c r="CV32" s="1">
        <f t="shared" si="5"/>
        <v>930</v>
      </c>
      <c r="CX32" s="1"/>
      <c r="CY32" s="1"/>
      <c r="CZ32" s="1"/>
      <c r="DA32" s="1"/>
      <c r="DB32" s="1"/>
      <c r="DD32" s="1">
        <v>32</v>
      </c>
      <c r="DE32" s="1">
        <v>110</v>
      </c>
      <c r="DF32" s="1">
        <f>185-85</f>
        <v>100</v>
      </c>
      <c r="DG32" s="1">
        <f>240-185</f>
        <v>55</v>
      </c>
      <c r="DH32" s="1">
        <f>315-240</f>
        <v>75</v>
      </c>
      <c r="DI32" s="1">
        <f>370-315</f>
        <v>55</v>
      </c>
      <c r="DJ32" s="1">
        <f>425-370</f>
        <v>55</v>
      </c>
      <c r="DK32" s="1">
        <f>455-425</f>
        <v>30</v>
      </c>
      <c r="DL32" s="1">
        <f t="shared" si="6"/>
        <v>480</v>
      </c>
      <c r="DN32" s="1"/>
      <c r="DO32" s="1"/>
      <c r="DP32" s="1"/>
      <c r="DQ32" s="1"/>
      <c r="DR32" s="1"/>
      <c r="DT32" s="85">
        <v>32</v>
      </c>
      <c r="DU32" s="1">
        <f>-40+100</f>
        <v>60</v>
      </c>
      <c r="DV32" s="85"/>
      <c r="DW32" s="1"/>
      <c r="DX32" s="1"/>
      <c r="DY32" s="1"/>
      <c r="DZ32" s="1"/>
      <c r="EA32" s="1"/>
      <c r="EB32" s="1">
        <f t="shared" si="7"/>
        <v>60</v>
      </c>
      <c r="EC32" s="84"/>
      <c r="ED32" s="1">
        <f>ED51</f>
        <v>37.72</v>
      </c>
      <c r="EE32" s="1">
        <f>EE51</f>
        <v>4.22</v>
      </c>
      <c r="EF32" s="1">
        <f>EF51</f>
        <v>12.3</v>
      </c>
      <c r="EG32" s="1">
        <f>EG51</f>
        <v>0</v>
      </c>
      <c r="EH32" s="1">
        <f>EH51</f>
        <v>45.76</v>
      </c>
      <c r="EI32" s="84"/>
      <c r="EJ32" s="85">
        <v>32</v>
      </c>
      <c r="EK32" s="1"/>
      <c r="EL32" s="1"/>
      <c r="EM32" s="1"/>
      <c r="EN32" s="1"/>
      <c r="EO32" s="1"/>
      <c r="EP32" s="1"/>
      <c r="EQ32" s="1"/>
      <c r="ER32" s="1">
        <f t="shared" si="8"/>
        <v>0</v>
      </c>
      <c r="ES32" s="90"/>
      <c r="ET32" s="1"/>
      <c r="EU32" s="1"/>
      <c r="EV32" s="1"/>
      <c r="EW32" s="1"/>
      <c r="EX32" s="1"/>
      <c r="EY32" s="90"/>
      <c r="EZ32" s="85">
        <v>32</v>
      </c>
      <c r="FA32" s="1"/>
      <c r="FB32" s="1"/>
      <c r="FC32" s="1"/>
      <c r="FD32" s="1"/>
      <c r="FE32" s="1"/>
      <c r="FF32" s="1"/>
      <c r="FG32" s="1"/>
      <c r="FH32" s="1">
        <f t="shared" si="9"/>
        <v>0</v>
      </c>
      <c r="FI32" s="92"/>
      <c r="FJ32" s="1"/>
      <c r="FK32" s="1"/>
      <c r="FL32" s="1"/>
      <c r="FM32" s="1"/>
      <c r="FN32" s="1"/>
      <c r="FO32" s="92"/>
      <c r="FP32" s="85">
        <v>32</v>
      </c>
      <c r="FQ32" s="1"/>
      <c r="FR32" s="1"/>
      <c r="FS32" s="1"/>
      <c r="FT32" s="1"/>
      <c r="FU32" s="1"/>
      <c r="FV32" s="1"/>
      <c r="FW32" s="1"/>
      <c r="FX32" s="1">
        <f t="shared" si="10"/>
        <v>0</v>
      </c>
      <c r="FY32" s="93"/>
      <c r="FZ32" s="1"/>
      <c r="GA32" s="1"/>
      <c r="GB32" s="1"/>
      <c r="GC32" s="1"/>
      <c r="GD32" s="1"/>
      <c r="GE32" s="92"/>
      <c r="GF32" s="85">
        <v>32</v>
      </c>
      <c r="GG32" s="1"/>
      <c r="GH32" s="1"/>
      <c r="GI32" s="1"/>
      <c r="GJ32" s="1"/>
      <c r="GK32" s="1"/>
      <c r="GL32" s="1"/>
      <c r="GM32" s="1"/>
      <c r="GN32" s="1">
        <f t="shared" si="11"/>
        <v>0</v>
      </c>
      <c r="GO32" s="93"/>
      <c r="GP32" s="1"/>
      <c r="GQ32" s="1"/>
      <c r="GR32" s="1"/>
      <c r="GS32" s="1"/>
      <c r="GT32" s="1"/>
      <c r="GU32" s="93"/>
      <c r="GV32" s="90"/>
      <c r="GW32" s="74">
        <f t="shared" si="12"/>
        <v>16635</v>
      </c>
      <c r="GX32" s="75">
        <f t="shared" si="26"/>
        <v>166.35</v>
      </c>
      <c r="HF32" s="1">
        <v>29</v>
      </c>
      <c r="HG32" s="1">
        <v>7.52</v>
      </c>
      <c r="HH32" s="1">
        <v>186.93</v>
      </c>
      <c r="HI32" s="1">
        <v>80</v>
      </c>
      <c r="HJ32" s="4">
        <v>38.51216042258266</v>
      </c>
      <c r="HK32" s="1"/>
      <c r="HM32" s="1">
        <v>29</v>
      </c>
      <c r="HN32" s="5">
        <v>8.02</v>
      </c>
      <c r="HO32" s="21">
        <f>996.66-HH32</f>
        <v>809.73</v>
      </c>
      <c r="HP32" s="21">
        <v>64.441999999999993</v>
      </c>
      <c r="HQ32" s="21">
        <v>30.4</v>
      </c>
      <c r="HR32" s="21">
        <v>67.480999999999995</v>
      </c>
      <c r="HS32" s="21">
        <v>65.822999999999993</v>
      </c>
      <c r="HT32" s="46">
        <f t="shared" si="15"/>
        <v>9.9967105263157954E-2</v>
      </c>
      <c r="HU32" s="46">
        <f t="shared" si="16"/>
        <v>5.4539473684210568E-2</v>
      </c>
      <c r="HV32" s="138">
        <f t="shared" si="25"/>
        <v>44.162248026315822</v>
      </c>
      <c r="HW32" s="138">
        <f t="shared" si="17"/>
        <v>11.611777348035375</v>
      </c>
      <c r="HX32" s="140">
        <f t="shared" si="14"/>
        <v>0.30150937315961351</v>
      </c>
      <c r="HY32" s="132">
        <f>2.44*2000*18/17</f>
        <v>5167.0588235294117</v>
      </c>
      <c r="HZ32" s="74">
        <f t="shared" si="18"/>
        <v>4018.8235294117644</v>
      </c>
      <c r="IA32" s="1">
        <v>0</v>
      </c>
      <c r="IB32" s="5">
        <v>18</v>
      </c>
      <c r="IC32" s="5">
        <f>75+10.6</f>
        <v>85.6</v>
      </c>
      <c r="ID32" s="5">
        <f>75+14.8</f>
        <v>89.8</v>
      </c>
      <c r="IE32" s="135">
        <f t="shared" si="27"/>
        <v>3798.3333333333358</v>
      </c>
      <c r="IF32" s="135">
        <f t="shared" si="20"/>
        <v>23777.777777777777</v>
      </c>
      <c r="IG32" s="74">
        <f t="shared" si="21"/>
        <v>0.15974299065420572</v>
      </c>
      <c r="II32" s="1">
        <v>29</v>
      </c>
      <c r="IJ32" s="4">
        <v>0</v>
      </c>
      <c r="IK32" s="4">
        <v>0</v>
      </c>
      <c r="IL32" s="4">
        <v>100</v>
      </c>
      <c r="IM32" s="4">
        <v>0</v>
      </c>
      <c r="IN32" s="74">
        <f t="shared" si="22"/>
        <v>9523.9359999999997</v>
      </c>
      <c r="IO32" s="74">
        <f t="shared" si="23"/>
        <v>8971.4609999999993</v>
      </c>
      <c r="IP32" s="81">
        <f t="shared" si="24"/>
        <v>232.95138214939865</v>
      </c>
    </row>
    <row r="33" spans="1:250" x14ac:dyDescent="0.3">
      <c r="A33" s="1">
        <v>30</v>
      </c>
      <c r="B33" s="4">
        <v>0</v>
      </c>
      <c r="C33" s="4">
        <v>0</v>
      </c>
      <c r="D33" s="4">
        <v>74.203400000000002</v>
      </c>
      <c r="E33" s="4">
        <v>25.796600000000002</v>
      </c>
      <c r="F33" s="2" t="s">
        <v>129</v>
      </c>
      <c r="L33" s="1">
        <v>30</v>
      </c>
      <c r="M33" s="1"/>
      <c r="N33" s="1"/>
      <c r="O33" s="1">
        <f>310</f>
        <v>310</v>
      </c>
      <c r="P33" s="1">
        <f>455-310</f>
        <v>145</v>
      </c>
      <c r="Q33" s="1">
        <v>310</v>
      </c>
      <c r="R33" s="1">
        <v>280</v>
      </c>
      <c r="S33" s="1">
        <v>310</v>
      </c>
      <c r="T33" s="1">
        <f t="shared" si="0"/>
        <v>1355</v>
      </c>
      <c r="V33" s="1"/>
      <c r="W33" s="1"/>
      <c r="X33" s="1"/>
      <c r="Y33" s="1"/>
      <c r="Z33" s="1"/>
      <c r="AB33" s="1">
        <v>30</v>
      </c>
      <c r="AC33" s="1">
        <v>330</v>
      </c>
      <c r="AD33" s="1">
        <v>220</v>
      </c>
      <c r="AE33" s="1">
        <v>210</v>
      </c>
      <c r="AF33" s="1">
        <v>210</v>
      </c>
      <c r="AG33" s="1">
        <v>615</v>
      </c>
      <c r="AH33" s="1">
        <v>205</v>
      </c>
      <c r="AI33" s="1">
        <v>390</v>
      </c>
      <c r="AJ33" s="1">
        <f t="shared" si="1"/>
        <v>2180</v>
      </c>
      <c r="AL33" s="1"/>
      <c r="AM33" s="1"/>
      <c r="AN33" s="1"/>
      <c r="AO33" s="1"/>
      <c r="AP33" s="1"/>
      <c r="AR33" s="1">
        <v>33</v>
      </c>
      <c r="AS33" s="1">
        <v>500</v>
      </c>
      <c r="AT33" s="1">
        <v>925</v>
      </c>
      <c r="AU33" s="1">
        <v>390</v>
      </c>
      <c r="AV33" s="1">
        <v>430</v>
      </c>
      <c r="AW33" s="1">
        <v>410</v>
      </c>
      <c r="AX33" s="1">
        <v>515</v>
      </c>
      <c r="AY33" s="1">
        <v>410</v>
      </c>
      <c r="AZ33" s="1">
        <f t="shared" si="2"/>
        <v>3580</v>
      </c>
      <c r="BB33" s="1"/>
      <c r="BC33" s="1"/>
      <c r="BD33" s="1"/>
      <c r="BE33" s="1"/>
      <c r="BF33" s="1"/>
      <c r="BH33" s="1">
        <v>33</v>
      </c>
      <c r="BI33" s="1">
        <v>530</v>
      </c>
      <c r="BJ33" s="1">
        <v>690</v>
      </c>
      <c r="BK33" s="1">
        <v>680</v>
      </c>
      <c r="BL33" s="1">
        <v>740</v>
      </c>
      <c r="BM33" s="1">
        <v>1000</v>
      </c>
      <c r="BN33" s="1">
        <v>695</v>
      </c>
      <c r="BO33" s="1">
        <v>780</v>
      </c>
      <c r="BP33" s="1">
        <f>SUM(BI33:BO33)</f>
        <v>5115</v>
      </c>
      <c r="BR33" s="1">
        <f t="shared" ref="BR33:BV34" si="31">BR82</f>
        <v>37.65</v>
      </c>
      <c r="BS33" s="1">
        <f t="shared" si="31"/>
        <v>18.920000000000002</v>
      </c>
      <c r="BT33" s="1">
        <f t="shared" si="31"/>
        <v>7.73</v>
      </c>
      <c r="BU33" s="1">
        <f t="shared" si="31"/>
        <v>0</v>
      </c>
      <c r="BV33" s="1">
        <f t="shared" si="31"/>
        <v>35.700000000000003</v>
      </c>
      <c r="BX33" s="1">
        <v>33</v>
      </c>
      <c r="BY33" s="1">
        <v>880</v>
      </c>
      <c r="BZ33" s="1">
        <v>820</v>
      </c>
      <c r="CA33" s="1">
        <v>780</v>
      </c>
      <c r="CB33" s="1">
        <v>840</v>
      </c>
      <c r="CC33" s="1">
        <v>880</v>
      </c>
      <c r="CD33" s="1">
        <v>840</v>
      </c>
      <c r="CE33" s="1">
        <v>820</v>
      </c>
      <c r="CF33" s="1">
        <f t="shared" si="4"/>
        <v>5860</v>
      </c>
      <c r="CH33" s="1">
        <f>AVERAGE(CH44,CH63)</f>
        <v>48.03</v>
      </c>
      <c r="CI33" s="1">
        <f>AVERAGE(CI44,CI63)</f>
        <v>12.809999999999999</v>
      </c>
      <c r="CJ33" s="1">
        <f>AVERAGE(CJ44,CJ63)</f>
        <v>9.0649999999999995</v>
      </c>
      <c r="CK33" s="1">
        <f>AVERAGE(CK44,CK63)</f>
        <v>0</v>
      </c>
      <c r="CL33" s="1">
        <f>AVERAGE(CL44,CL63)</f>
        <v>30.090000000000003</v>
      </c>
      <c r="CN33" s="1">
        <v>33</v>
      </c>
      <c r="CO33" s="1">
        <v>740</v>
      </c>
      <c r="CP33" s="1">
        <v>1230</v>
      </c>
      <c r="CQ33" s="1">
        <v>470</v>
      </c>
      <c r="CR33" s="1">
        <v>470</v>
      </c>
      <c r="CS33" s="1">
        <v>492</v>
      </c>
      <c r="CT33" s="1">
        <v>410</v>
      </c>
      <c r="CU33" s="1">
        <v>205</v>
      </c>
      <c r="CV33" s="1">
        <f t="shared" si="5"/>
        <v>4017</v>
      </c>
      <c r="CX33" s="1"/>
      <c r="CY33" s="1"/>
      <c r="CZ33" s="1"/>
      <c r="DA33" s="1"/>
      <c r="DB33" s="1"/>
      <c r="DD33" s="1">
        <v>33</v>
      </c>
      <c r="DE33" s="1">
        <v>145</v>
      </c>
      <c r="DF33" s="1">
        <v>80</v>
      </c>
      <c r="DG33" s="1">
        <v>105</v>
      </c>
      <c r="DH33" s="1">
        <v>140</v>
      </c>
      <c r="DI33" s="1">
        <v>80</v>
      </c>
      <c r="DJ33" s="1">
        <v>100</v>
      </c>
      <c r="DK33" s="1">
        <v>100</v>
      </c>
      <c r="DL33" s="1">
        <f t="shared" si="6"/>
        <v>750</v>
      </c>
      <c r="DN33" s="1"/>
      <c r="DO33" s="1"/>
      <c r="DP33" s="1"/>
      <c r="DQ33" s="1"/>
      <c r="DR33" s="1"/>
      <c r="DT33" s="85">
        <v>33</v>
      </c>
      <c r="DU33" s="1">
        <v>80</v>
      </c>
      <c r="DV33" s="85"/>
      <c r="DW33" s="1"/>
      <c r="DX33" s="1"/>
      <c r="DY33" s="1"/>
      <c r="DZ33" s="1"/>
      <c r="EA33" s="1"/>
      <c r="EB33" s="1">
        <f t="shared" si="7"/>
        <v>80</v>
      </c>
      <c r="EC33" s="84"/>
      <c r="ED33" s="1">
        <f>ED64</f>
        <v>34.700000000000003</v>
      </c>
      <c r="EE33" s="1">
        <f>EE64</f>
        <v>6.95</v>
      </c>
      <c r="EF33" s="1">
        <f>EF64</f>
        <v>10.23</v>
      </c>
      <c r="EG33" s="1">
        <f>EG64</f>
        <v>0</v>
      </c>
      <c r="EH33" s="1">
        <f>EH64</f>
        <v>48.12</v>
      </c>
      <c r="EI33" s="84"/>
      <c r="EJ33" s="85">
        <v>33</v>
      </c>
      <c r="EK33" s="1"/>
      <c r="EL33" s="1"/>
      <c r="EM33" s="1"/>
      <c r="EN33" s="1"/>
      <c r="EO33" s="1"/>
      <c r="EP33" s="1"/>
      <c r="EQ33" s="1"/>
      <c r="ER33" s="1">
        <f t="shared" si="8"/>
        <v>0</v>
      </c>
      <c r="ES33" s="90"/>
      <c r="ET33" s="1"/>
      <c r="EU33" s="1"/>
      <c r="EV33" s="1"/>
      <c r="EW33" s="1"/>
      <c r="EX33" s="1"/>
      <c r="EY33" s="90"/>
      <c r="EZ33" s="85">
        <v>33</v>
      </c>
      <c r="FA33" s="1"/>
      <c r="FB33" s="1"/>
      <c r="FC33" s="1"/>
      <c r="FD33" s="1"/>
      <c r="FE33" s="1"/>
      <c r="FF33" s="1"/>
      <c r="FG33" s="1"/>
      <c r="FH33" s="1">
        <f t="shared" si="9"/>
        <v>0</v>
      </c>
      <c r="FI33" s="92"/>
      <c r="FJ33" s="1"/>
      <c r="FK33" s="1"/>
      <c r="FL33" s="1"/>
      <c r="FM33" s="1"/>
      <c r="FN33" s="1"/>
      <c r="FO33" s="92"/>
      <c r="FP33" s="85">
        <v>33</v>
      </c>
      <c r="FQ33" s="1"/>
      <c r="FR33" s="1"/>
      <c r="FS33" s="1"/>
      <c r="FT33" s="1"/>
      <c r="FU33" s="1"/>
      <c r="FV33" s="1"/>
      <c r="FW33" s="1"/>
      <c r="FX33" s="1">
        <f t="shared" si="10"/>
        <v>0</v>
      </c>
      <c r="FY33" s="93"/>
      <c r="FZ33" s="1"/>
      <c r="GA33" s="1"/>
      <c r="GB33" s="1"/>
      <c r="GC33" s="1"/>
      <c r="GD33" s="1"/>
      <c r="GE33" s="92"/>
      <c r="GF33" s="85">
        <v>33</v>
      </c>
      <c r="GG33" s="1"/>
      <c r="GH33" s="1"/>
      <c r="GI33" s="1"/>
      <c r="GJ33" s="1"/>
      <c r="GK33" s="1"/>
      <c r="GL33" s="1"/>
      <c r="GM33" s="1"/>
      <c r="GN33" s="1">
        <f t="shared" si="11"/>
        <v>0</v>
      </c>
      <c r="GO33" s="93"/>
      <c r="GP33" s="1"/>
      <c r="GQ33" s="1"/>
      <c r="GR33" s="1"/>
      <c r="GS33" s="1"/>
      <c r="GT33" s="1"/>
      <c r="GU33" s="93"/>
      <c r="GV33" s="90"/>
      <c r="GW33" s="74">
        <f t="shared" si="12"/>
        <v>22937</v>
      </c>
      <c r="GX33" s="75">
        <f t="shared" si="26"/>
        <v>229.37</v>
      </c>
      <c r="HF33" s="1">
        <v>30</v>
      </c>
      <c r="HG33" s="1">
        <v>7.24</v>
      </c>
      <c r="HH33" s="1">
        <v>186.18</v>
      </c>
      <c r="HI33" s="1">
        <v>80</v>
      </c>
      <c r="HJ33" s="4">
        <v>39.95065019703992</v>
      </c>
      <c r="HK33" s="1"/>
      <c r="HM33" s="1">
        <v>30</v>
      </c>
      <c r="HN33" s="5">
        <v>8.0500000000000007</v>
      </c>
      <c r="HO33" s="21">
        <f>983.39-HH33</f>
        <v>797.21</v>
      </c>
      <c r="HP33" s="21">
        <v>71.153999999999996</v>
      </c>
      <c r="HQ33" s="5">
        <v>30.21</v>
      </c>
      <c r="HR33" s="21">
        <v>74.003</v>
      </c>
      <c r="HS33" s="21">
        <v>72.356999999999999</v>
      </c>
      <c r="HT33" s="46">
        <f t="shared" si="15"/>
        <v>9.4306521019530076E-2</v>
      </c>
      <c r="HU33" s="46">
        <f t="shared" si="16"/>
        <v>5.4485269778219159E-2</v>
      </c>
      <c r="HV33" s="138">
        <f t="shared" si="25"/>
        <v>43.436201919894096</v>
      </c>
      <c r="HW33" s="138">
        <f t="shared" si="17"/>
        <v>13.776313228914361</v>
      </c>
      <c r="HX33" s="139">
        <f t="shared" si="14"/>
        <v>0.34483326706745554</v>
      </c>
      <c r="HY33" s="133">
        <f>1.74*2500*18/17</f>
        <v>4605.8823529411766</v>
      </c>
      <c r="HZ33" s="74">
        <f t="shared" si="18"/>
        <v>3582.3529411764707</v>
      </c>
      <c r="IA33" s="1">
        <f>1*100</f>
        <v>100</v>
      </c>
      <c r="IB33" s="5">
        <v>25</v>
      </c>
      <c r="IC33" s="5">
        <f>100+26.8+2.4</f>
        <v>129.19999999999999</v>
      </c>
      <c r="ID33" s="5">
        <f>100+26.8+9.6</f>
        <v>136.4</v>
      </c>
      <c r="IE33" s="136">
        <f t="shared" si="27"/>
        <v>4705.8000000000111</v>
      </c>
      <c r="IF33" s="136">
        <f t="shared" si="20"/>
        <v>25840</v>
      </c>
      <c r="IG33" s="74">
        <f t="shared" si="21"/>
        <v>0.18211300309597567</v>
      </c>
      <c r="II33" s="1">
        <v>30</v>
      </c>
      <c r="IJ33" s="4">
        <v>0</v>
      </c>
      <c r="IK33" s="4">
        <v>0</v>
      </c>
      <c r="IL33" s="4">
        <v>74.203400000000002</v>
      </c>
      <c r="IM33" s="4">
        <v>25.796600000000002</v>
      </c>
      <c r="IN33" s="74">
        <f t="shared" si="22"/>
        <v>9218.143</v>
      </c>
      <c r="IO33" s="74">
        <f t="shared" si="23"/>
        <v>8665.6679999999997</v>
      </c>
      <c r="IP33" s="81">
        <f t="shared" si="24"/>
        <v>216.90931079369687</v>
      </c>
    </row>
    <row r="34" spans="1:250" x14ac:dyDescent="0.3">
      <c r="A34" s="1">
        <v>31</v>
      </c>
      <c r="B34" s="4">
        <v>0</v>
      </c>
      <c r="C34" s="4">
        <v>26.537199999999999</v>
      </c>
      <c r="D34" s="4">
        <v>73.462800000000001</v>
      </c>
      <c r="E34" s="4">
        <v>0</v>
      </c>
      <c r="F34" s="2" t="s">
        <v>130</v>
      </c>
      <c r="L34" s="1">
        <v>31</v>
      </c>
      <c r="M34" s="1"/>
      <c r="N34" s="1"/>
      <c r="O34" s="1">
        <f>345</f>
        <v>345</v>
      </c>
      <c r="P34" s="1">
        <v>190</v>
      </c>
      <c r="Q34" s="1">
        <v>160</v>
      </c>
      <c r="R34" s="1">
        <v>180</v>
      </c>
      <c r="S34" s="1">
        <v>225</v>
      </c>
      <c r="T34" s="1">
        <f t="shared" si="0"/>
        <v>1100</v>
      </c>
      <c r="V34" s="1"/>
      <c r="W34" s="1"/>
      <c r="X34" s="1"/>
      <c r="Y34" s="1"/>
      <c r="Z34" s="1"/>
      <c r="AB34" s="1">
        <v>31</v>
      </c>
      <c r="AC34" s="1">
        <v>270</v>
      </c>
      <c r="AD34" s="1">
        <v>340</v>
      </c>
      <c r="AE34" s="1">
        <v>270</v>
      </c>
      <c r="AF34" s="1">
        <v>360</v>
      </c>
      <c r="AG34" s="1">
        <v>490</v>
      </c>
      <c r="AH34" s="1">
        <v>90</v>
      </c>
      <c r="AI34" s="1">
        <v>110</v>
      </c>
      <c r="AJ34" s="1">
        <f t="shared" si="1"/>
        <v>1930</v>
      </c>
      <c r="AL34" s="1"/>
      <c r="AM34" s="1"/>
      <c r="AN34" s="1"/>
      <c r="AO34" s="1"/>
      <c r="AP34" s="1"/>
      <c r="AR34" s="1">
        <v>34</v>
      </c>
      <c r="AS34" s="1">
        <v>150</v>
      </c>
      <c r="AT34" s="1">
        <v>630</v>
      </c>
      <c r="AU34" s="1">
        <v>250</v>
      </c>
      <c r="AV34" s="1">
        <v>470</v>
      </c>
      <c r="AW34" s="1">
        <v>400</v>
      </c>
      <c r="AX34" s="1">
        <v>490</v>
      </c>
      <c r="AY34" s="1">
        <v>270</v>
      </c>
      <c r="AZ34" s="1">
        <f t="shared" si="2"/>
        <v>2660</v>
      </c>
      <c r="BB34" s="1"/>
      <c r="BC34" s="1"/>
      <c r="BD34" s="1"/>
      <c r="BE34" s="1"/>
      <c r="BF34" s="1"/>
      <c r="BH34" s="1">
        <v>34</v>
      </c>
      <c r="BI34" s="1">
        <v>400</v>
      </c>
      <c r="BJ34" s="1">
        <v>580</v>
      </c>
      <c r="BK34" s="1">
        <v>700</v>
      </c>
      <c r="BL34" s="1">
        <v>690</v>
      </c>
      <c r="BM34" s="1">
        <v>1080</v>
      </c>
      <c r="BN34" s="1">
        <v>790</v>
      </c>
      <c r="BO34" s="1">
        <v>1350</v>
      </c>
      <c r="BP34" s="1">
        <f>SUM(BI34:BO34)</f>
        <v>5590</v>
      </c>
      <c r="BR34" s="1">
        <f t="shared" si="31"/>
        <v>38.67</v>
      </c>
      <c r="BS34" s="1">
        <f t="shared" si="31"/>
        <v>14.79</v>
      </c>
      <c r="BT34" s="1">
        <f t="shared" si="31"/>
        <v>7.94</v>
      </c>
      <c r="BU34" s="1">
        <f t="shared" si="31"/>
        <v>0</v>
      </c>
      <c r="BV34" s="1">
        <f t="shared" si="31"/>
        <v>38.6</v>
      </c>
      <c r="BX34" s="1">
        <v>34</v>
      </c>
      <c r="BY34" s="1">
        <v>1240</v>
      </c>
      <c r="BZ34" s="1">
        <v>960</v>
      </c>
      <c r="CA34" s="1">
        <v>900</v>
      </c>
      <c r="CB34" s="1">
        <v>1080</v>
      </c>
      <c r="CC34" s="1">
        <v>1050</v>
      </c>
      <c r="CD34" s="1">
        <v>1170</v>
      </c>
      <c r="CE34" s="1">
        <v>1030</v>
      </c>
      <c r="CF34" s="1">
        <f t="shared" si="4"/>
        <v>7430</v>
      </c>
      <c r="CH34" s="1">
        <f>AVERAGE(CH43,CH64)</f>
        <v>41.14</v>
      </c>
      <c r="CI34" s="1">
        <f>AVERAGE(CI43,CI64)</f>
        <v>11.69</v>
      </c>
      <c r="CJ34" s="1">
        <f>AVERAGE(CJ43,CJ64)</f>
        <v>7.87</v>
      </c>
      <c r="CK34" s="1">
        <f>AVERAGE(CK43,CK64)</f>
        <v>0</v>
      </c>
      <c r="CL34" s="1">
        <f>AVERAGE(CL43,CL64)</f>
        <v>39.295000000000002</v>
      </c>
      <c r="CN34" s="1">
        <v>34</v>
      </c>
      <c r="CO34" s="1">
        <v>1140</v>
      </c>
      <c r="CP34" s="1">
        <v>1370</v>
      </c>
      <c r="CQ34" s="1">
        <v>900</v>
      </c>
      <c r="CR34" s="1">
        <v>670</v>
      </c>
      <c r="CS34" s="1">
        <v>700</v>
      </c>
      <c r="CT34" s="1">
        <v>880</v>
      </c>
      <c r="CU34" s="1">
        <v>490</v>
      </c>
      <c r="CV34" s="1">
        <f t="shared" si="5"/>
        <v>6150</v>
      </c>
      <c r="CX34" s="1"/>
      <c r="CY34" s="1"/>
      <c r="CZ34" s="1"/>
      <c r="DA34" s="1"/>
      <c r="DB34" s="1"/>
      <c r="DD34" s="1">
        <v>34</v>
      </c>
      <c r="DE34" s="1">
        <v>450</v>
      </c>
      <c r="DF34" s="1">
        <v>340</v>
      </c>
      <c r="DG34" s="1">
        <v>220</v>
      </c>
      <c r="DH34" s="1">
        <v>430</v>
      </c>
      <c r="DI34" s="1">
        <v>290</v>
      </c>
      <c r="DJ34" s="1">
        <v>150</v>
      </c>
      <c r="DK34" s="1">
        <v>20</v>
      </c>
      <c r="DL34" s="1">
        <f t="shared" si="6"/>
        <v>1900</v>
      </c>
      <c r="DN34" s="1">
        <f>DN52</f>
        <v>29.79</v>
      </c>
      <c r="DO34" s="1">
        <f>DO52</f>
        <v>16.29</v>
      </c>
      <c r="DP34" s="1">
        <f>DP52</f>
        <v>10.53</v>
      </c>
      <c r="DQ34" s="1">
        <f>DQ52</f>
        <v>1</v>
      </c>
      <c r="DR34" s="1">
        <f>DR52</f>
        <v>43.38</v>
      </c>
      <c r="DT34" s="78">
        <v>34</v>
      </c>
      <c r="DU34" s="1">
        <v>40</v>
      </c>
      <c r="DV34" s="1">
        <v>110</v>
      </c>
      <c r="DW34" s="1">
        <f>190-190</f>
        <v>0</v>
      </c>
      <c r="DX34" s="1">
        <v>20</v>
      </c>
      <c r="DY34" s="1">
        <v>0</v>
      </c>
      <c r="DZ34" s="1">
        <v>70</v>
      </c>
      <c r="EA34" s="1">
        <v>20</v>
      </c>
      <c r="EB34" s="1">
        <f t="shared" si="7"/>
        <v>260</v>
      </c>
      <c r="EC34" s="84"/>
      <c r="ED34" s="1"/>
      <c r="EE34" s="1"/>
      <c r="EF34" s="1"/>
      <c r="EG34" s="1"/>
      <c r="EH34" s="1"/>
      <c r="EI34" s="84"/>
      <c r="EJ34" s="3">
        <v>34</v>
      </c>
      <c r="EK34" s="1">
        <v>90</v>
      </c>
      <c r="EL34" s="1">
        <v>40</v>
      </c>
      <c r="EM34" s="1">
        <v>20</v>
      </c>
      <c r="EN34" s="1">
        <v>90</v>
      </c>
      <c r="EO34" s="1">
        <v>30</v>
      </c>
      <c r="EP34" s="1">
        <v>20</v>
      </c>
      <c r="EQ34" s="1">
        <v>0</v>
      </c>
      <c r="ER34" s="1">
        <f t="shared" si="8"/>
        <v>290</v>
      </c>
      <c r="ES34" s="90"/>
      <c r="ET34" s="1"/>
      <c r="EU34" s="1"/>
      <c r="EV34" s="1"/>
      <c r="EW34" s="1"/>
      <c r="EX34" s="1"/>
      <c r="EY34" s="90"/>
      <c r="EZ34" s="3">
        <v>34</v>
      </c>
      <c r="FA34" s="1">
        <v>110</v>
      </c>
      <c r="FB34" s="1">
        <v>20</v>
      </c>
      <c r="FC34" s="1">
        <v>160</v>
      </c>
      <c r="FD34" s="1">
        <v>50</v>
      </c>
      <c r="FE34" s="1">
        <v>110</v>
      </c>
      <c r="FF34" s="1">
        <v>40</v>
      </c>
      <c r="FG34" s="1">
        <v>20</v>
      </c>
      <c r="FH34" s="1">
        <f t="shared" si="9"/>
        <v>510</v>
      </c>
      <c r="FI34" s="92"/>
      <c r="FJ34" s="1"/>
      <c r="FK34" s="1"/>
      <c r="FL34" s="1"/>
      <c r="FM34" s="1"/>
      <c r="FN34" s="1"/>
      <c r="FO34" s="92"/>
      <c r="FP34" s="3">
        <v>34</v>
      </c>
      <c r="FQ34" s="1">
        <v>10</v>
      </c>
      <c r="FR34" s="1">
        <f>415-385</f>
        <v>30</v>
      </c>
      <c r="FS34" s="1">
        <v>30</v>
      </c>
      <c r="FT34" s="1"/>
      <c r="FU34" s="1"/>
      <c r="FV34" s="1"/>
      <c r="FW34" s="1"/>
      <c r="FX34" s="1">
        <f t="shared" si="10"/>
        <v>70</v>
      </c>
      <c r="FY34" s="93"/>
      <c r="FZ34" s="1">
        <v>4.97</v>
      </c>
      <c r="GA34" s="1">
        <v>0.39</v>
      </c>
      <c r="GB34" s="1">
        <v>18.96</v>
      </c>
      <c r="GC34" s="1">
        <v>1</v>
      </c>
      <c r="GD34" s="1">
        <v>75.680000000000007</v>
      </c>
      <c r="GE34" s="92"/>
      <c r="GF34" s="3">
        <v>34</v>
      </c>
      <c r="GG34" s="1"/>
      <c r="GH34" s="1"/>
      <c r="GI34" s="1"/>
      <c r="GJ34" s="1"/>
      <c r="GK34" s="1"/>
      <c r="GL34" s="1"/>
      <c r="GM34" s="1"/>
      <c r="GN34" s="1">
        <f t="shared" si="11"/>
        <v>0</v>
      </c>
      <c r="GO34" s="93"/>
      <c r="GP34" s="1"/>
      <c r="GQ34" s="1"/>
      <c r="GR34" s="1"/>
      <c r="GS34" s="1"/>
      <c r="GT34" s="1"/>
      <c r="GU34" s="93"/>
      <c r="GV34" s="90"/>
      <c r="GW34" s="74">
        <f t="shared" si="12"/>
        <v>27890</v>
      </c>
      <c r="GX34" s="75">
        <f t="shared" si="26"/>
        <v>278.89999999999998</v>
      </c>
      <c r="HF34" s="1">
        <v>31</v>
      </c>
      <c r="HG34" s="1">
        <v>7.77</v>
      </c>
      <c r="HH34" s="1">
        <v>187.51</v>
      </c>
      <c r="HI34" s="1">
        <v>80</v>
      </c>
      <c r="HJ34" s="4">
        <v>38.754742592645485</v>
      </c>
      <c r="HK34" s="1"/>
      <c r="HM34" s="1">
        <v>31</v>
      </c>
      <c r="HN34" s="5">
        <v>7.98</v>
      </c>
      <c r="HO34" s="21">
        <f>952.9-HH34</f>
        <v>765.39</v>
      </c>
      <c r="HP34" s="21">
        <v>66.37</v>
      </c>
      <c r="HQ34" s="5">
        <v>30.18</v>
      </c>
      <c r="HR34" s="21">
        <v>69.063999999999993</v>
      </c>
      <c r="HS34" s="21">
        <v>67.646000000000001</v>
      </c>
      <c r="HT34" s="46">
        <f t="shared" si="15"/>
        <v>8.9264413518886296E-2</v>
      </c>
      <c r="HU34" s="46">
        <f t="shared" si="16"/>
        <v>4.6984758117958651E-2</v>
      </c>
      <c r="HV34" s="21">
        <f t="shared" si="25"/>
        <v>35.961664015904368</v>
      </c>
      <c r="HW34" s="138">
        <f t="shared" si="17"/>
        <v>20.054943528509654</v>
      </c>
      <c r="HX34" s="139">
        <f t="shared" si="14"/>
        <v>0.51748359521591802</v>
      </c>
      <c r="HY34" s="131">
        <f>0.58*2500</f>
        <v>1450</v>
      </c>
      <c r="HZ34" s="74">
        <f t="shared" si="18"/>
        <v>1127.7777777777778</v>
      </c>
      <c r="IA34" s="1">
        <f>1*25</f>
        <v>25</v>
      </c>
      <c r="IB34" s="5">
        <v>25</v>
      </c>
      <c r="IC34" s="5">
        <f>50*2+25+5.5</f>
        <v>130.5</v>
      </c>
      <c r="ID34" s="5">
        <f>50*2+25+11.55</f>
        <v>136.55000000000001</v>
      </c>
      <c r="IE34" s="136">
        <f t="shared" si="27"/>
        <v>3942.2000000000075</v>
      </c>
      <c r="IF34" s="136">
        <f t="shared" si="20"/>
        <v>26100</v>
      </c>
      <c r="IG34" s="74">
        <f t="shared" si="21"/>
        <v>0.15104214559387003</v>
      </c>
      <c r="II34" s="1">
        <v>31</v>
      </c>
      <c r="IJ34" s="4">
        <v>0</v>
      </c>
      <c r="IK34" s="4">
        <v>26.537199999999999</v>
      </c>
      <c r="IL34" s="4">
        <v>73.462800000000001</v>
      </c>
      <c r="IM34" s="4">
        <v>0</v>
      </c>
      <c r="IN34" s="74">
        <f t="shared" si="22"/>
        <v>9603.0799999999981</v>
      </c>
      <c r="IO34" s="74">
        <f t="shared" si="23"/>
        <v>9050.6049999999977</v>
      </c>
      <c r="IP34" s="81">
        <f t="shared" si="24"/>
        <v>233.53541771988282</v>
      </c>
    </row>
    <row r="35" spans="1:250" x14ac:dyDescent="0.3">
      <c r="L35" s="1" t="s">
        <v>77</v>
      </c>
      <c r="M35" s="1"/>
      <c r="N35" s="1"/>
      <c r="O35" s="1">
        <v>95</v>
      </c>
      <c r="P35" s="1">
        <f>250-95</f>
        <v>155</v>
      </c>
      <c r="Q35" s="1">
        <f>445-250</f>
        <v>195</v>
      </c>
      <c r="R35" s="1">
        <f>360-0</f>
        <v>360</v>
      </c>
      <c r="S35" s="1">
        <f>485-360</f>
        <v>125</v>
      </c>
      <c r="T35" s="1">
        <f t="shared" si="0"/>
        <v>930</v>
      </c>
      <c r="V35" s="1"/>
      <c r="W35" s="1"/>
      <c r="X35" s="1"/>
      <c r="Y35" s="1"/>
      <c r="Z35" s="1"/>
      <c r="AB35" s="1" t="s">
        <v>77</v>
      </c>
      <c r="AC35" s="1">
        <f>345-15</f>
        <v>330</v>
      </c>
      <c r="AD35" s="1">
        <f>460-345</f>
        <v>115</v>
      </c>
      <c r="AE35" s="1">
        <f>480-460</f>
        <v>20</v>
      </c>
      <c r="AF35" s="1">
        <f>495-480</f>
        <v>15</v>
      </c>
      <c r="AG35" s="1">
        <f>90-30</f>
        <v>60</v>
      </c>
      <c r="AH35" s="1">
        <f>120-90</f>
        <v>30</v>
      </c>
      <c r="AI35" s="1">
        <f>160-120</f>
        <v>40</v>
      </c>
      <c r="AJ35" s="1">
        <f t="shared" si="1"/>
        <v>610</v>
      </c>
      <c r="AL35" s="1"/>
      <c r="AM35" s="1"/>
      <c r="AN35" s="1"/>
      <c r="AO35" s="1"/>
      <c r="AP35" s="1"/>
      <c r="AR35" s="1" t="s">
        <v>77</v>
      </c>
      <c r="AS35" s="1">
        <f>265-160</f>
        <v>105</v>
      </c>
      <c r="AT35" s="1">
        <f>285-265</f>
        <v>20</v>
      </c>
      <c r="AU35" s="1">
        <f>330-285</f>
        <v>45</v>
      </c>
      <c r="AV35" s="1">
        <f>365-330</f>
        <v>35</v>
      </c>
      <c r="AW35" s="1"/>
      <c r="AX35" s="1">
        <f>415-365</f>
        <v>50</v>
      </c>
      <c r="AY35" s="1">
        <f>470-415</f>
        <v>55</v>
      </c>
      <c r="AZ35" s="1">
        <f t="shared" si="2"/>
        <v>310</v>
      </c>
      <c r="BB35" s="1"/>
      <c r="BC35" s="1"/>
      <c r="BD35" s="1"/>
      <c r="BE35" s="1"/>
      <c r="BF35" s="1"/>
      <c r="BH35" s="1" t="s">
        <v>77</v>
      </c>
      <c r="BI35" s="1">
        <f>490-470</f>
        <v>20</v>
      </c>
      <c r="BJ35" s="1">
        <f>530-490</f>
        <v>40</v>
      </c>
      <c r="BK35" s="1">
        <f>125-50</f>
        <v>75</v>
      </c>
      <c r="BL35" s="1">
        <f>160-125</f>
        <v>35</v>
      </c>
      <c r="BM35" s="1">
        <v>15</v>
      </c>
      <c r="BN35" s="1">
        <f>230-215</f>
        <v>15</v>
      </c>
      <c r="BO35" s="1">
        <v>0</v>
      </c>
      <c r="BP35" s="1">
        <f>SUM(BI35:BO35)</f>
        <v>200</v>
      </c>
      <c r="BR35" s="1">
        <f>BR87</f>
        <v>26.95</v>
      </c>
      <c r="BS35" s="1">
        <f>BS87</f>
        <v>5.19</v>
      </c>
      <c r="BT35" s="1">
        <f>BT87</f>
        <v>11.54</v>
      </c>
      <c r="BU35" s="1">
        <f>BU87</f>
        <v>1</v>
      </c>
      <c r="BV35" s="1">
        <f>BV87</f>
        <v>56.32</v>
      </c>
      <c r="BX35" s="1" t="s">
        <v>77</v>
      </c>
      <c r="BY35" s="1"/>
      <c r="BZ35" s="1"/>
      <c r="CA35" s="1"/>
      <c r="CB35" s="1"/>
      <c r="CC35" s="1"/>
      <c r="CD35" s="1"/>
      <c r="CE35" s="1"/>
      <c r="CF35" s="1">
        <f t="shared" si="4"/>
        <v>0</v>
      </c>
      <c r="CH35" s="1"/>
      <c r="CI35" s="1"/>
      <c r="CJ35" s="1"/>
      <c r="CK35" s="1"/>
      <c r="CL35" s="1"/>
      <c r="CN35" s="1" t="s">
        <v>77</v>
      </c>
      <c r="CO35" s="1"/>
      <c r="CP35" s="1"/>
      <c r="CQ35" s="1"/>
      <c r="CR35" s="1"/>
      <c r="CS35" s="1"/>
      <c r="CT35" s="1"/>
      <c r="CU35" s="1"/>
      <c r="CV35" s="1">
        <f t="shared" si="5"/>
        <v>0</v>
      </c>
      <c r="CX35" s="1"/>
      <c r="CY35" s="1"/>
      <c r="CZ35" s="1"/>
      <c r="DA35" s="1"/>
      <c r="DB35" s="1"/>
      <c r="DD35" s="1" t="s">
        <v>77</v>
      </c>
      <c r="DE35" s="1"/>
      <c r="DF35" s="1"/>
      <c r="DG35" s="1"/>
      <c r="DH35" s="1"/>
      <c r="DI35" s="1"/>
      <c r="DJ35" s="1"/>
      <c r="DK35" s="1"/>
      <c r="DL35" s="1">
        <f t="shared" si="6"/>
        <v>0</v>
      </c>
      <c r="DN35" s="1"/>
      <c r="DO35" s="1"/>
      <c r="DP35" s="1"/>
      <c r="DQ35" s="1"/>
      <c r="DR35" s="1"/>
      <c r="DT35" s="85" t="s">
        <v>77</v>
      </c>
      <c r="DU35" s="1"/>
      <c r="DV35" s="1"/>
      <c r="DW35" s="1"/>
      <c r="DX35" s="1"/>
      <c r="DY35" s="1"/>
      <c r="DZ35" s="1"/>
      <c r="EA35" s="1"/>
      <c r="EB35" s="1">
        <f t="shared" si="7"/>
        <v>0</v>
      </c>
      <c r="EC35" s="84"/>
      <c r="ED35" s="1"/>
      <c r="EE35" s="1"/>
      <c r="EF35" s="1"/>
      <c r="EG35" s="1"/>
      <c r="EH35" s="1"/>
      <c r="EI35" s="84"/>
      <c r="EJ35" s="85" t="s">
        <v>77</v>
      </c>
      <c r="EK35" s="1"/>
      <c r="EL35" s="1"/>
      <c r="EM35" s="1"/>
      <c r="EN35" s="1"/>
      <c r="EO35" s="1"/>
      <c r="EP35" s="1"/>
      <c r="EQ35" s="1"/>
      <c r="ER35" s="1">
        <f t="shared" si="8"/>
        <v>0</v>
      </c>
      <c r="ES35" s="90"/>
      <c r="ET35" s="1"/>
      <c r="EU35" s="1"/>
      <c r="EV35" s="1"/>
      <c r="EW35" s="1"/>
      <c r="EX35" s="1"/>
      <c r="EY35" s="90"/>
      <c r="EZ35" s="85" t="s">
        <v>77</v>
      </c>
      <c r="FA35" s="1"/>
      <c r="FB35" s="1"/>
      <c r="FC35" s="1"/>
      <c r="FD35" s="1"/>
      <c r="FE35" s="1"/>
      <c r="FF35" s="1"/>
      <c r="FG35" s="1"/>
      <c r="FH35" s="1">
        <f t="shared" si="9"/>
        <v>0</v>
      </c>
      <c r="FI35" s="92"/>
      <c r="FJ35" s="1"/>
      <c r="FK35" s="1"/>
      <c r="FL35" s="1"/>
      <c r="FM35" s="1"/>
      <c r="FN35" s="1"/>
      <c r="FO35" s="92"/>
      <c r="FP35" s="85" t="s">
        <v>77</v>
      </c>
      <c r="FQ35" s="1"/>
      <c r="FR35" s="1"/>
      <c r="FS35" s="1"/>
      <c r="FT35" s="1"/>
      <c r="FU35" s="1"/>
      <c r="FV35" s="1"/>
      <c r="FW35" s="1"/>
      <c r="FX35" s="1">
        <f t="shared" si="10"/>
        <v>0</v>
      </c>
      <c r="FY35" s="93"/>
      <c r="FZ35" s="1"/>
      <c r="GA35" s="1"/>
      <c r="GB35" s="1"/>
      <c r="GC35" s="1"/>
      <c r="GD35" s="1"/>
      <c r="GE35" s="92"/>
      <c r="GF35" s="85" t="s">
        <v>77</v>
      </c>
      <c r="GG35" s="1"/>
      <c r="GH35" s="1"/>
      <c r="GI35" s="1"/>
      <c r="GJ35" s="1"/>
      <c r="GK35" s="1"/>
      <c r="GL35" s="1"/>
      <c r="GM35" s="1"/>
      <c r="GN35" s="1">
        <f t="shared" si="11"/>
        <v>0</v>
      </c>
      <c r="GO35" s="93"/>
      <c r="GP35" s="1"/>
      <c r="GQ35" s="1"/>
      <c r="GR35" s="1"/>
      <c r="GS35" s="1"/>
      <c r="GT35" s="1"/>
      <c r="GU35" s="93"/>
      <c r="GV35" s="90"/>
      <c r="GW35" s="74">
        <f t="shared" si="12"/>
        <v>2050</v>
      </c>
      <c r="GX35" s="75">
        <f t="shared" si="26"/>
        <v>20.5</v>
      </c>
      <c r="HF35" s="85" t="s">
        <v>77</v>
      </c>
      <c r="HG35" s="1">
        <v>7.86</v>
      </c>
      <c r="HH35" s="85"/>
      <c r="HI35" s="1"/>
      <c r="HJ35" s="4"/>
      <c r="HK35" s="1"/>
      <c r="HM35" s="85" t="s">
        <v>77</v>
      </c>
      <c r="HN35" s="5">
        <v>8.15</v>
      </c>
      <c r="HO35" s="21">
        <f>996-HH35</f>
        <v>996</v>
      </c>
      <c r="HP35" s="21">
        <v>65.683000000000007</v>
      </c>
      <c r="HQ35" s="21">
        <v>31.1</v>
      </c>
      <c r="HR35" s="21">
        <v>67.058999999999997</v>
      </c>
      <c r="HS35" s="21">
        <v>66.52</v>
      </c>
      <c r="HT35" s="46">
        <f t="shared" si="15"/>
        <v>4.4244372990353394E-2</v>
      </c>
      <c r="HU35" s="46">
        <f t="shared" si="16"/>
        <v>1.733118971061098E-2</v>
      </c>
      <c r="HV35" s="21">
        <f>HU35*HO35</f>
        <v>17.261864951768537</v>
      </c>
      <c r="HW35" s="138"/>
      <c r="HX35" s="139"/>
      <c r="HY35" s="96">
        <f>1.27*2500*18/17</f>
        <v>3361.7647058823532</v>
      </c>
      <c r="HZ35" s="74">
        <f t="shared" si="18"/>
        <v>2614.7058823529414</v>
      </c>
      <c r="IA35" s="1">
        <v>0</v>
      </c>
      <c r="IB35" s="5">
        <v>25</v>
      </c>
      <c r="IC35" s="5">
        <f>100+10.4</f>
        <v>110.4</v>
      </c>
      <c r="ID35" s="5">
        <f>100+14.2</f>
        <v>114.2</v>
      </c>
      <c r="IE35" s="5">
        <f t="shared" si="27"/>
        <v>2448.1999999999975</v>
      </c>
      <c r="IF35" s="5">
        <f t="shared" si="20"/>
        <v>22080</v>
      </c>
      <c r="IG35" s="74">
        <f t="shared" si="21"/>
        <v>0.11087862318840569</v>
      </c>
      <c r="II35" s="1" t="s">
        <v>77</v>
      </c>
      <c r="IJ35" s="1"/>
      <c r="IK35" s="1"/>
      <c r="IL35" s="1"/>
      <c r="IM35" s="1"/>
      <c r="IN35" s="74">
        <f t="shared" si="22"/>
        <v>552.47500000000002</v>
      </c>
    </row>
    <row r="36" spans="1:250" s="162" customFormat="1" x14ac:dyDescent="0.3">
      <c r="L36" s="13"/>
      <c r="M36" s="13"/>
      <c r="N36" s="13"/>
      <c r="O36" s="13"/>
      <c r="P36" s="13"/>
      <c r="Q36" s="13"/>
      <c r="R36" s="13"/>
      <c r="S36" s="13"/>
      <c r="T36" s="13"/>
      <c r="V36" s="13"/>
      <c r="W36" s="13"/>
      <c r="X36" s="13"/>
      <c r="Y36" s="13"/>
      <c r="Z36" s="13"/>
      <c r="AB36" s="13"/>
      <c r="AC36" s="13"/>
      <c r="AD36" s="13"/>
      <c r="AE36" s="13"/>
      <c r="AF36" s="13"/>
      <c r="AG36" s="13"/>
      <c r="AH36" s="13"/>
      <c r="AI36" s="13"/>
      <c r="AJ36" s="13"/>
      <c r="AL36" s="13"/>
      <c r="AM36" s="13"/>
      <c r="AN36" s="13"/>
      <c r="AO36" s="13"/>
      <c r="AP36" s="13"/>
      <c r="AR36" s="13"/>
      <c r="AS36" s="13"/>
      <c r="AT36" s="13"/>
      <c r="AU36" s="13"/>
      <c r="AV36" s="13"/>
      <c r="AW36" s="13"/>
      <c r="AX36" s="13"/>
      <c r="AY36" s="13"/>
      <c r="AZ36" s="13"/>
      <c r="BB36" s="13"/>
      <c r="BC36" s="13"/>
      <c r="BD36" s="13"/>
      <c r="BE36" s="13"/>
      <c r="BF36" s="13"/>
      <c r="BH36" s="13"/>
      <c r="BI36" s="13"/>
      <c r="BJ36" s="13"/>
      <c r="BK36" s="13"/>
      <c r="BL36" s="13"/>
      <c r="BM36" s="13"/>
      <c r="BN36" s="13"/>
      <c r="BO36" s="13"/>
      <c r="BP36" s="13"/>
      <c r="BR36" s="13"/>
      <c r="BS36" s="13"/>
      <c r="BT36" s="13"/>
      <c r="BU36" s="13"/>
      <c r="BV36" s="13"/>
      <c r="BX36" s="13"/>
      <c r="BY36" s="13"/>
      <c r="BZ36" s="13"/>
      <c r="CA36" s="13"/>
      <c r="CB36" s="13"/>
      <c r="CC36" s="13"/>
      <c r="CD36" s="13"/>
      <c r="CE36" s="13"/>
      <c r="CF36" s="13"/>
      <c r="CH36" s="13"/>
      <c r="CI36" s="13"/>
      <c r="CJ36" s="13"/>
      <c r="CK36" s="13"/>
      <c r="CL36" s="13"/>
      <c r="CN36" s="13"/>
      <c r="CO36" s="13"/>
      <c r="CP36" s="13"/>
      <c r="CQ36" s="13"/>
      <c r="CR36" s="13"/>
      <c r="CS36" s="13"/>
      <c r="CT36" s="13"/>
      <c r="CU36" s="13"/>
      <c r="CV36" s="13"/>
      <c r="CX36" s="13"/>
      <c r="CY36" s="13"/>
      <c r="CZ36" s="13"/>
      <c r="DA36" s="13"/>
      <c r="DB36" s="13"/>
      <c r="DD36" s="13"/>
      <c r="DE36" s="13"/>
      <c r="DF36" s="13"/>
      <c r="DG36" s="13"/>
      <c r="DH36" s="13"/>
      <c r="DI36" s="13"/>
      <c r="DJ36" s="13"/>
      <c r="DK36" s="13"/>
      <c r="DL36" s="13"/>
      <c r="DN36" s="13"/>
      <c r="DO36" s="13"/>
      <c r="DP36" s="13"/>
      <c r="DQ36" s="13"/>
      <c r="DR36" s="13"/>
      <c r="DT36" s="165"/>
      <c r="DU36" s="13"/>
      <c r="DV36" s="13"/>
      <c r="DW36" s="13"/>
      <c r="DX36" s="13"/>
      <c r="DY36" s="13"/>
      <c r="DZ36" s="13"/>
      <c r="EA36" s="13"/>
      <c r="EB36" s="13"/>
      <c r="ED36" s="13"/>
      <c r="EE36" s="13"/>
      <c r="EF36" s="13"/>
      <c r="EG36" s="13"/>
      <c r="EH36" s="13"/>
      <c r="EJ36" s="165"/>
      <c r="EK36" s="13"/>
      <c r="EL36" s="13"/>
      <c r="EM36" s="13"/>
      <c r="EN36" s="13"/>
      <c r="EO36" s="13"/>
      <c r="EP36" s="13"/>
      <c r="EQ36" s="13"/>
      <c r="ER36" s="13"/>
      <c r="ET36" s="13"/>
      <c r="EU36" s="13"/>
      <c r="EV36" s="13"/>
      <c r="EW36" s="13"/>
      <c r="EX36" s="13"/>
      <c r="EZ36" s="165"/>
      <c r="FA36" s="13"/>
      <c r="FB36" s="13"/>
      <c r="FC36" s="13"/>
      <c r="FD36" s="13"/>
      <c r="FE36" s="13"/>
      <c r="FF36" s="13"/>
      <c r="FG36" s="13"/>
      <c r="FH36" s="13"/>
      <c r="FJ36" s="13"/>
      <c r="FK36" s="13"/>
      <c r="FL36" s="13"/>
      <c r="FM36" s="13"/>
      <c r="FN36" s="13"/>
      <c r="FP36" s="165"/>
      <c r="FQ36" s="13"/>
      <c r="FR36" s="13"/>
      <c r="FS36" s="13"/>
      <c r="FT36" s="13"/>
      <c r="FU36" s="13"/>
      <c r="FV36" s="13"/>
      <c r="FW36" s="13"/>
      <c r="FX36" s="13"/>
      <c r="FZ36" s="13"/>
      <c r="GA36" s="13"/>
      <c r="GB36" s="13"/>
      <c r="GC36" s="13"/>
      <c r="GD36" s="13"/>
      <c r="GF36" s="165"/>
      <c r="GG36" s="13"/>
      <c r="GH36" s="13"/>
      <c r="GI36" s="13"/>
      <c r="GJ36" s="13"/>
      <c r="GK36" s="13"/>
      <c r="GL36" s="13"/>
      <c r="GM36" s="13"/>
      <c r="GN36" s="13"/>
      <c r="GP36" s="13"/>
      <c r="GQ36" s="13"/>
      <c r="GR36" s="13"/>
      <c r="GS36" s="13"/>
      <c r="GT36" s="13"/>
      <c r="GW36" s="166"/>
      <c r="GX36" s="167"/>
      <c r="HF36" s="165"/>
      <c r="HG36" s="13"/>
      <c r="HH36" s="165"/>
      <c r="HI36" s="13"/>
      <c r="HJ36" s="61"/>
      <c r="HK36" s="13"/>
      <c r="HM36" s="165"/>
      <c r="HN36" s="26"/>
      <c r="HO36" s="27"/>
      <c r="HP36" s="27"/>
      <c r="HQ36" s="27"/>
      <c r="HR36" s="27"/>
      <c r="HS36" s="27"/>
      <c r="HT36" s="168"/>
      <c r="HU36" s="168"/>
      <c r="HV36" s="27"/>
      <c r="HW36" s="169"/>
      <c r="HX36" s="170"/>
      <c r="HY36" s="171"/>
      <c r="HZ36" s="166"/>
      <c r="IA36" s="13"/>
      <c r="IB36" s="26"/>
      <c r="IC36" s="26"/>
      <c r="ID36" s="26"/>
      <c r="IE36" s="26"/>
      <c r="IF36" s="26"/>
      <c r="IG36" s="166"/>
      <c r="II36" s="13"/>
      <c r="IJ36" s="13"/>
      <c r="IK36" s="13"/>
      <c r="IL36" s="13"/>
      <c r="IM36" s="13"/>
      <c r="IN36" s="166"/>
    </row>
    <row r="37" spans="1:250" x14ac:dyDescent="0.3">
      <c r="A37" s="94"/>
      <c r="B37" s="202"/>
      <c r="C37" s="202"/>
      <c r="D37" s="202"/>
      <c r="E37" s="202"/>
      <c r="F37" s="94"/>
      <c r="HW37" s="11">
        <v>0.61884706501711029</v>
      </c>
      <c r="HX37" s="11"/>
      <c r="IE37" s="240" t="s">
        <v>215</v>
      </c>
      <c r="IF37" s="223"/>
      <c r="IG37" s="223"/>
      <c r="IH37" s="223"/>
      <c r="II37" s="223"/>
      <c r="IJ37" s="223"/>
    </row>
    <row r="38" spans="1:250" x14ac:dyDescent="0.3">
      <c r="V38" s="72" t="s">
        <v>68</v>
      </c>
      <c r="W38" s="72" t="s">
        <v>69</v>
      </c>
      <c r="X38" s="72" t="s">
        <v>70</v>
      </c>
      <c r="Y38" s="72" t="s">
        <v>71</v>
      </c>
      <c r="Z38" s="72" t="s">
        <v>72</v>
      </c>
      <c r="AL38" s="72" t="s">
        <v>68</v>
      </c>
      <c r="AM38" s="72" t="s">
        <v>69</v>
      </c>
      <c r="AN38" s="72" t="s">
        <v>70</v>
      </c>
      <c r="AO38" s="72" t="s">
        <v>71</v>
      </c>
      <c r="AP38" s="72" t="s">
        <v>72</v>
      </c>
      <c r="BB38" s="72" t="s">
        <v>68</v>
      </c>
      <c r="BC38" s="72" t="s">
        <v>69</v>
      </c>
      <c r="BD38" s="72" t="s">
        <v>70</v>
      </c>
      <c r="BE38" s="72" t="s">
        <v>71</v>
      </c>
      <c r="BF38" s="72" t="s">
        <v>72</v>
      </c>
      <c r="BR38" s="72" t="s">
        <v>68</v>
      </c>
      <c r="BS38" s="72" t="s">
        <v>69</v>
      </c>
      <c r="BT38" s="72" t="s">
        <v>70</v>
      </c>
      <c r="BU38" s="72" t="s">
        <v>71</v>
      </c>
      <c r="BV38" s="72" t="s">
        <v>72</v>
      </c>
      <c r="CH38" s="72" t="s">
        <v>68</v>
      </c>
      <c r="CI38" s="72" t="s">
        <v>69</v>
      </c>
      <c r="CJ38" s="72" t="s">
        <v>70</v>
      </c>
      <c r="CK38" s="72" t="s">
        <v>71</v>
      </c>
      <c r="CL38" s="72" t="s">
        <v>72</v>
      </c>
      <c r="CX38" s="72" t="s">
        <v>68</v>
      </c>
      <c r="CY38" s="72" t="s">
        <v>69</v>
      </c>
      <c r="CZ38" s="72" t="s">
        <v>70</v>
      </c>
      <c r="DA38" s="72" t="s">
        <v>71</v>
      </c>
      <c r="DB38" s="72" t="s">
        <v>72</v>
      </c>
      <c r="DN38" s="72" t="s">
        <v>68</v>
      </c>
      <c r="DO38" s="72" t="s">
        <v>69</v>
      </c>
      <c r="DP38" s="72" t="s">
        <v>70</v>
      </c>
      <c r="DQ38" s="72" t="s">
        <v>71</v>
      </c>
      <c r="DR38" s="72" t="s">
        <v>72</v>
      </c>
      <c r="ED38" s="72" t="s">
        <v>68</v>
      </c>
      <c r="EE38" s="72" t="s">
        <v>69</v>
      </c>
      <c r="EF38" s="72" t="s">
        <v>70</v>
      </c>
      <c r="EG38" s="72" t="s">
        <v>71</v>
      </c>
      <c r="EH38" s="72" t="s">
        <v>72</v>
      </c>
      <c r="ER38" s="91"/>
      <c r="ES38" s="91"/>
      <c r="ET38" s="72" t="s">
        <v>68</v>
      </c>
      <c r="EU38" s="72" t="s">
        <v>69</v>
      </c>
      <c r="EV38" s="72" t="s">
        <v>70</v>
      </c>
      <c r="EW38" s="72" t="s">
        <v>71</v>
      </c>
      <c r="EX38" s="72" t="s">
        <v>72</v>
      </c>
      <c r="FJ38" s="72" t="s">
        <v>68</v>
      </c>
      <c r="FK38" s="72" t="s">
        <v>69</v>
      </c>
      <c r="FL38" s="72" t="s">
        <v>70</v>
      </c>
      <c r="FM38" s="72" t="s">
        <v>71</v>
      </c>
      <c r="FN38" s="72" t="s">
        <v>72</v>
      </c>
      <c r="FX38" s="93"/>
      <c r="FY38" s="93"/>
      <c r="FZ38" s="72" t="s">
        <v>68</v>
      </c>
      <c r="GA38" s="72" t="s">
        <v>69</v>
      </c>
      <c r="GB38" s="72" t="s">
        <v>70</v>
      </c>
      <c r="GC38" s="72" t="s">
        <v>71</v>
      </c>
      <c r="GD38" s="72" t="s">
        <v>72</v>
      </c>
      <c r="GP38" s="72" t="s">
        <v>68</v>
      </c>
      <c r="GQ38" s="72" t="s">
        <v>69</v>
      </c>
      <c r="GR38" s="72" t="s">
        <v>70</v>
      </c>
      <c r="GS38" s="72" t="s">
        <v>71</v>
      </c>
      <c r="GT38" s="72" t="s">
        <v>72</v>
      </c>
      <c r="HN38" s="175"/>
      <c r="HO38" s="175"/>
      <c r="HP38" s="175"/>
      <c r="HQ38" s="175"/>
      <c r="HR38" s="175"/>
      <c r="HS38" s="175"/>
      <c r="HT38" s="175"/>
      <c r="HU38" s="107"/>
      <c r="HW38" s="11">
        <v>0.56559949780288754</v>
      </c>
      <c r="HX38" s="11"/>
      <c r="IE38" s="223"/>
      <c r="IF38" s="223"/>
      <c r="IG38" s="223"/>
      <c r="IH38" s="223"/>
      <c r="II38" s="223"/>
      <c r="IJ38" s="223"/>
    </row>
    <row r="39" spans="1:250" x14ac:dyDescent="0.3">
      <c r="V39" s="19">
        <v>45331</v>
      </c>
      <c r="W39" s="84"/>
      <c r="X39" s="84"/>
      <c r="Y39" s="84"/>
      <c r="Z39" s="84"/>
      <c r="AL39" s="19">
        <v>45339</v>
      </c>
      <c r="AM39" s="84"/>
      <c r="AN39" s="84"/>
      <c r="AO39" s="84"/>
      <c r="AP39" s="84"/>
      <c r="AS39" s="97"/>
      <c r="AT39" s="97"/>
      <c r="AU39" s="97"/>
      <c r="AV39" s="97"/>
      <c r="AW39" s="97"/>
      <c r="BB39" s="19">
        <v>45347</v>
      </c>
      <c r="BC39" s="84"/>
      <c r="BD39" s="84"/>
      <c r="BE39" s="84"/>
      <c r="BF39" s="84"/>
      <c r="BR39" s="19">
        <v>45354</v>
      </c>
      <c r="BS39" s="84"/>
      <c r="BT39" s="84"/>
      <c r="BU39" s="84"/>
      <c r="BV39" s="84"/>
      <c r="CH39" s="19">
        <v>45360</v>
      </c>
      <c r="CI39" s="84"/>
      <c r="CJ39" s="84"/>
      <c r="CK39" s="84"/>
      <c r="CL39" s="84"/>
      <c r="CX39" s="19">
        <v>45366</v>
      </c>
      <c r="CZ39" s="84"/>
      <c r="DA39" s="84"/>
      <c r="DB39" s="84"/>
      <c r="DN39" s="19">
        <v>45375</v>
      </c>
      <c r="ED39" s="19">
        <v>45379</v>
      </c>
      <c r="ET39" s="19">
        <v>45386</v>
      </c>
      <c r="FJ39" s="19">
        <v>45395</v>
      </c>
      <c r="FK39" s="93"/>
      <c r="FL39" s="93"/>
      <c r="FM39" s="93"/>
      <c r="FN39" s="93"/>
      <c r="FX39" s="93"/>
      <c r="FY39" s="93"/>
      <c r="FZ39" s="19">
        <v>45399</v>
      </c>
      <c r="GA39" s="93"/>
      <c r="GB39" s="93"/>
      <c r="GC39" s="93"/>
      <c r="GD39" s="93"/>
      <c r="GP39" s="19">
        <v>45404</v>
      </c>
      <c r="HW39" s="11">
        <v>0.64743276283618656</v>
      </c>
      <c r="HX39" s="11"/>
      <c r="IE39" s="223"/>
      <c r="IF39" s="223"/>
      <c r="IG39" s="223"/>
      <c r="IH39" s="223"/>
      <c r="II39" s="223"/>
      <c r="IJ39" s="223"/>
    </row>
    <row r="40" spans="1:250" x14ac:dyDescent="0.3">
      <c r="T40" s="68">
        <v>3</v>
      </c>
      <c r="V40" s="68">
        <v>12.38</v>
      </c>
      <c r="W40" s="68">
        <v>20.51</v>
      </c>
      <c r="X40" s="68">
        <v>13.17</v>
      </c>
      <c r="Y40" s="68">
        <v>325</v>
      </c>
      <c r="Z40" s="68">
        <v>53.94</v>
      </c>
      <c r="AJ40" s="68">
        <v>26</v>
      </c>
      <c r="AL40" s="68">
        <v>3.59</v>
      </c>
      <c r="AM40" s="68">
        <v>0.28999999999999998</v>
      </c>
      <c r="AN40" s="68">
        <v>19.940000000000001</v>
      </c>
      <c r="AO40" s="68">
        <v>2</v>
      </c>
      <c r="AP40" s="68">
        <v>76.19</v>
      </c>
      <c r="AS40" s="97"/>
      <c r="AT40" s="97"/>
      <c r="AU40" s="97"/>
      <c r="AV40" s="97"/>
      <c r="AW40" s="97"/>
      <c r="AZ40" s="68">
        <v>22</v>
      </c>
      <c r="BB40" s="68">
        <v>38.93</v>
      </c>
      <c r="BC40" s="68">
        <v>8</v>
      </c>
      <c r="BD40" s="68">
        <v>7.06</v>
      </c>
      <c r="BE40" s="68">
        <v>1</v>
      </c>
      <c r="BF40" s="68">
        <v>46.02</v>
      </c>
      <c r="BP40" s="68">
        <v>12</v>
      </c>
      <c r="BR40" s="68">
        <v>68.63</v>
      </c>
      <c r="BS40" s="68">
        <v>12.6</v>
      </c>
      <c r="BT40" s="68">
        <v>3.95</v>
      </c>
      <c r="BU40" s="68">
        <v>112</v>
      </c>
      <c r="BV40" s="68">
        <v>14.82</v>
      </c>
      <c r="CF40" s="68">
        <v>1</v>
      </c>
      <c r="CH40" s="68">
        <v>64.22</v>
      </c>
      <c r="CI40" s="68">
        <v>17.309999999999999</v>
      </c>
      <c r="CJ40" s="68">
        <v>3.75</v>
      </c>
      <c r="CK40" s="68">
        <v>36</v>
      </c>
      <c r="CL40" s="68">
        <v>14.72</v>
      </c>
      <c r="CV40" s="68">
        <v>27</v>
      </c>
      <c r="CX40" s="84">
        <v>38.82</v>
      </c>
      <c r="CY40" s="84">
        <v>5.58</v>
      </c>
      <c r="CZ40" s="68">
        <v>14.5</v>
      </c>
      <c r="DA40" s="68">
        <v>0</v>
      </c>
      <c r="DB40" s="68">
        <f>CX40-CY40-CZ40</f>
        <v>18.740000000000002</v>
      </c>
      <c r="DL40" s="68">
        <v>24</v>
      </c>
      <c r="DN40" s="68">
        <v>61.56</v>
      </c>
      <c r="DO40" s="68">
        <v>22.47</v>
      </c>
      <c r="DP40" s="68">
        <v>3.26</v>
      </c>
      <c r="DQ40" s="68">
        <v>99</v>
      </c>
      <c r="DR40" s="68">
        <v>12.71</v>
      </c>
      <c r="EB40" s="68">
        <v>21</v>
      </c>
      <c r="ED40" s="68">
        <v>30.85</v>
      </c>
      <c r="EE40" s="68">
        <v>6.54</v>
      </c>
      <c r="EF40" s="68">
        <v>14.74</v>
      </c>
      <c r="EG40" s="68">
        <v>6</v>
      </c>
      <c r="EH40" s="68">
        <v>47.87</v>
      </c>
      <c r="ER40" s="68">
        <v>15</v>
      </c>
      <c r="ET40" s="2">
        <v>49.83</v>
      </c>
      <c r="EU40" s="68">
        <v>12.32</v>
      </c>
      <c r="EV40" s="68">
        <v>8.23</v>
      </c>
      <c r="EW40" s="68">
        <v>0</v>
      </c>
      <c r="EX40" s="68">
        <v>29.62</v>
      </c>
      <c r="FH40" s="68">
        <v>28</v>
      </c>
      <c r="FJ40" s="68">
        <v>46.04</v>
      </c>
      <c r="FK40" s="68">
        <v>16.86</v>
      </c>
      <c r="FL40" s="68">
        <v>9.49</v>
      </c>
      <c r="FM40" s="68">
        <v>4</v>
      </c>
      <c r="FN40" s="68">
        <v>27.6</v>
      </c>
      <c r="FX40" s="68">
        <v>2</v>
      </c>
      <c r="FZ40" s="2">
        <v>0.78</v>
      </c>
      <c r="GA40" s="2">
        <v>0.15</v>
      </c>
      <c r="GB40" s="2">
        <v>20.190000000000001</v>
      </c>
      <c r="GC40" s="2">
        <v>1</v>
      </c>
      <c r="GD40" s="2">
        <v>78.88</v>
      </c>
      <c r="GN40" s="68">
        <v>28</v>
      </c>
      <c r="GP40" s="68">
        <v>9.81</v>
      </c>
      <c r="GQ40" s="68">
        <v>5.18</v>
      </c>
      <c r="GR40" s="68">
        <v>17.43</v>
      </c>
      <c r="GS40" s="68">
        <v>2</v>
      </c>
      <c r="GT40" s="68">
        <v>67.58</v>
      </c>
      <c r="HW40" s="11">
        <v>0.64193893947509495</v>
      </c>
      <c r="HX40" s="11"/>
      <c r="IE40" s="223"/>
      <c r="IF40" s="223"/>
      <c r="IG40" s="223"/>
      <c r="IH40" s="223"/>
      <c r="II40" s="223"/>
      <c r="IJ40" s="223"/>
    </row>
    <row r="41" spans="1:250" x14ac:dyDescent="0.3">
      <c r="AJ41" s="68">
        <v>27</v>
      </c>
      <c r="AL41" s="1">
        <v>34.700000000000003</v>
      </c>
      <c r="AM41" s="1">
        <v>6.95</v>
      </c>
      <c r="AN41" s="1">
        <v>10.23</v>
      </c>
      <c r="AO41" s="1">
        <v>0</v>
      </c>
      <c r="AP41" s="1">
        <v>48.12</v>
      </c>
      <c r="AS41" s="97"/>
      <c r="AT41" s="97"/>
      <c r="AU41" s="97"/>
      <c r="AV41" s="97"/>
      <c r="AW41" s="97"/>
      <c r="AZ41" s="68">
        <v>4</v>
      </c>
      <c r="BB41" s="68">
        <v>51.51</v>
      </c>
      <c r="BC41" s="68">
        <v>16.05</v>
      </c>
      <c r="BD41" s="68">
        <v>6.43</v>
      </c>
      <c r="BE41" s="68">
        <v>142</v>
      </c>
      <c r="BF41" s="68">
        <v>26.02</v>
      </c>
      <c r="BP41" s="68">
        <v>29</v>
      </c>
      <c r="BR41" s="68">
        <v>13.85</v>
      </c>
      <c r="BS41" s="68">
        <v>0.28999999999999998</v>
      </c>
      <c r="BT41" s="68">
        <v>19.98</v>
      </c>
      <c r="BU41" s="68">
        <v>1</v>
      </c>
      <c r="BV41" s="68">
        <v>65.87</v>
      </c>
      <c r="CF41" s="68">
        <v>5</v>
      </c>
      <c r="CH41" s="68">
        <v>9.44</v>
      </c>
      <c r="CI41" s="68">
        <v>0.28999999999999998</v>
      </c>
      <c r="CJ41" s="68">
        <v>19.809999999999999</v>
      </c>
      <c r="CK41" s="68">
        <v>1</v>
      </c>
      <c r="CL41" s="68">
        <v>70.459999999999994</v>
      </c>
      <c r="CV41" s="68">
        <v>26</v>
      </c>
      <c r="CX41" s="84">
        <v>22.93</v>
      </c>
      <c r="CY41" s="84">
        <v>0.55000000000000004</v>
      </c>
      <c r="CZ41" s="68">
        <v>16.670000000000002</v>
      </c>
      <c r="DA41" s="68">
        <v>0</v>
      </c>
      <c r="DB41" s="68">
        <v>59.86</v>
      </c>
      <c r="ER41" s="68">
        <v>29</v>
      </c>
      <c r="ET41" s="2">
        <v>0.33</v>
      </c>
      <c r="EU41" s="68">
        <v>0.1</v>
      </c>
      <c r="EV41" s="68">
        <v>20.54</v>
      </c>
      <c r="EW41" s="68">
        <v>0</v>
      </c>
      <c r="EX41" s="68">
        <v>79.03</v>
      </c>
      <c r="FH41" s="68">
        <v>20</v>
      </c>
      <c r="FJ41" s="68">
        <v>52.55</v>
      </c>
      <c r="FK41" s="68">
        <v>21.71</v>
      </c>
      <c r="FL41" s="68">
        <v>8.66</v>
      </c>
      <c r="FM41" s="68">
        <v>10</v>
      </c>
      <c r="FN41" s="68">
        <v>17.079999999999998</v>
      </c>
      <c r="FX41" s="68">
        <v>3</v>
      </c>
      <c r="FZ41" s="2">
        <v>37.78</v>
      </c>
      <c r="GA41" s="2">
        <v>9.56</v>
      </c>
      <c r="GB41" s="2">
        <v>10.99</v>
      </c>
      <c r="GC41" s="2">
        <v>0</v>
      </c>
      <c r="GD41" s="2">
        <v>41.67</v>
      </c>
    </row>
    <row r="42" spans="1:250" x14ac:dyDescent="0.3">
      <c r="AJ42" s="68">
        <v>12</v>
      </c>
      <c r="AL42" s="2">
        <v>53.4</v>
      </c>
      <c r="AM42" s="68">
        <v>21.63</v>
      </c>
      <c r="AN42" s="68">
        <v>4.8499999999999996</v>
      </c>
      <c r="AO42" s="68">
        <v>483</v>
      </c>
      <c r="AP42" s="68">
        <v>20.12</v>
      </c>
      <c r="AZ42" s="68">
        <v>1</v>
      </c>
      <c r="BB42" s="2">
        <v>60.99</v>
      </c>
      <c r="BC42" s="68">
        <v>23.36</v>
      </c>
      <c r="BD42" s="68">
        <v>3.33</v>
      </c>
      <c r="BE42" s="68">
        <v>64</v>
      </c>
      <c r="BF42" s="68">
        <v>12.32</v>
      </c>
      <c r="BP42" s="68">
        <v>17</v>
      </c>
      <c r="BR42" s="2">
        <v>66.709999999999994</v>
      </c>
      <c r="BS42" s="68">
        <v>4.88</v>
      </c>
      <c r="BT42" s="68">
        <v>6.63</v>
      </c>
      <c r="BU42" s="68">
        <v>1</v>
      </c>
      <c r="BV42" s="68">
        <v>21.79</v>
      </c>
      <c r="CF42" s="68">
        <v>21</v>
      </c>
      <c r="CH42" s="2">
        <v>67.62</v>
      </c>
      <c r="CI42" s="68">
        <v>11.05</v>
      </c>
      <c r="CJ42" s="68">
        <v>8.61</v>
      </c>
      <c r="CK42" s="68">
        <v>30</v>
      </c>
      <c r="CL42" s="68">
        <v>12.72</v>
      </c>
      <c r="CV42" s="68">
        <v>25</v>
      </c>
      <c r="CX42" s="2">
        <f>4.56*10.5</f>
        <v>47.879999999999995</v>
      </c>
      <c r="CY42" s="84">
        <v>10.039999999999999</v>
      </c>
      <c r="CZ42" s="68">
        <v>11.89</v>
      </c>
      <c r="DA42" s="68">
        <v>0</v>
      </c>
      <c r="DB42" s="68">
        <v>30.19</v>
      </c>
      <c r="DN42" s="19">
        <v>45374</v>
      </c>
      <c r="ED42" s="19">
        <v>45378</v>
      </c>
      <c r="ER42" s="68">
        <v>27</v>
      </c>
      <c r="ET42" s="1">
        <v>12.69</v>
      </c>
      <c r="EU42" s="1">
        <v>12.58</v>
      </c>
      <c r="EV42" s="1">
        <v>10.5</v>
      </c>
      <c r="EW42" s="1">
        <v>0</v>
      </c>
      <c r="EX42" s="1">
        <v>64.23</v>
      </c>
      <c r="FH42" s="68">
        <v>24</v>
      </c>
      <c r="FJ42" s="2">
        <v>56.14</v>
      </c>
      <c r="FK42" s="68">
        <v>17.84</v>
      </c>
      <c r="FL42" s="68">
        <v>5.14</v>
      </c>
      <c r="FM42" s="68">
        <v>6</v>
      </c>
      <c r="FN42" s="68">
        <v>20.88</v>
      </c>
      <c r="FX42" s="68">
        <v>6</v>
      </c>
      <c r="FZ42" s="68">
        <v>48.87</v>
      </c>
      <c r="GA42" s="68">
        <v>7.01</v>
      </c>
      <c r="GB42" s="68">
        <v>8.35</v>
      </c>
      <c r="GC42" s="68">
        <v>1</v>
      </c>
      <c r="GD42" s="68">
        <v>35.770000000000003</v>
      </c>
      <c r="GP42" s="19">
        <v>45405</v>
      </c>
    </row>
    <row r="43" spans="1:250" x14ac:dyDescent="0.3">
      <c r="AZ43" s="68">
        <v>2</v>
      </c>
      <c r="BB43" s="2">
        <v>2.81</v>
      </c>
      <c r="BC43" s="2">
        <v>0.62</v>
      </c>
      <c r="BD43" s="2">
        <v>20.420000000000002</v>
      </c>
      <c r="BE43" s="2">
        <v>1</v>
      </c>
      <c r="BF43" s="2">
        <v>76.150000000000006</v>
      </c>
      <c r="BP43" s="68">
        <v>15</v>
      </c>
      <c r="BR43" s="2">
        <v>69.02</v>
      </c>
      <c r="BS43" s="2">
        <v>15.91</v>
      </c>
      <c r="BT43" s="2">
        <v>3.1</v>
      </c>
      <c r="BU43" s="2">
        <v>19</v>
      </c>
      <c r="BV43" s="2">
        <v>11.97</v>
      </c>
      <c r="CF43" s="68">
        <v>34</v>
      </c>
      <c r="CH43" s="2">
        <v>49.71</v>
      </c>
      <c r="CI43" s="2">
        <v>18.739999999999998</v>
      </c>
      <c r="CJ43" s="2">
        <v>5.08</v>
      </c>
      <c r="CK43" s="2">
        <v>0</v>
      </c>
      <c r="CL43" s="2">
        <v>26.46</v>
      </c>
      <c r="CV43" s="68">
        <v>12</v>
      </c>
      <c r="CX43" s="2">
        <v>67.75</v>
      </c>
      <c r="CY43" s="2">
        <v>12.29</v>
      </c>
      <c r="CZ43" s="2">
        <v>4.18</v>
      </c>
      <c r="DA43" s="2">
        <v>26</v>
      </c>
      <c r="DB43" s="2">
        <v>15.78</v>
      </c>
      <c r="DL43" s="68">
        <v>12</v>
      </c>
      <c r="DN43" s="68">
        <v>60.69</v>
      </c>
      <c r="DO43" s="68">
        <v>14.18</v>
      </c>
      <c r="DP43" s="68">
        <v>5.09</v>
      </c>
      <c r="DQ43" s="68">
        <v>107</v>
      </c>
      <c r="DR43" s="68">
        <v>20.04</v>
      </c>
      <c r="EB43" s="68">
        <v>20</v>
      </c>
      <c r="ED43" s="68">
        <v>46.07</v>
      </c>
      <c r="EE43" s="68">
        <v>19.88</v>
      </c>
      <c r="EF43" s="68">
        <v>10.98</v>
      </c>
      <c r="EG43" s="68">
        <v>16</v>
      </c>
      <c r="EH43" s="68">
        <v>23.07</v>
      </c>
      <c r="ER43" s="95">
        <v>12</v>
      </c>
      <c r="ET43" s="2">
        <v>2.21</v>
      </c>
      <c r="EU43" s="68">
        <v>3.08</v>
      </c>
      <c r="EV43" s="68">
        <v>19.329999999999998</v>
      </c>
      <c r="EW43" s="68">
        <v>19</v>
      </c>
      <c r="EX43" s="68">
        <v>75.39</v>
      </c>
      <c r="FH43" s="68">
        <v>1</v>
      </c>
      <c r="FJ43" s="2">
        <v>50.37</v>
      </c>
      <c r="FK43" s="2">
        <v>19.79</v>
      </c>
      <c r="FL43" s="2">
        <v>6.48</v>
      </c>
      <c r="FM43" s="2">
        <v>4</v>
      </c>
      <c r="FN43" s="2">
        <v>23.36</v>
      </c>
      <c r="FX43" s="68">
        <v>8</v>
      </c>
      <c r="FZ43" s="2">
        <v>42.13</v>
      </c>
      <c r="GA43" s="2">
        <v>13.94</v>
      </c>
      <c r="GB43" s="2">
        <v>7.27</v>
      </c>
      <c r="GC43" s="2">
        <v>1</v>
      </c>
      <c r="GD43" s="2">
        <v>36.659999999999997</v>
      </c>
      <c r="GN43" s="68">
        <v>8</v>
      </c>
      <c r="GP43" s="68">
        <v>3.3</v>
      </c>
      <c r="GQ43" s="68">
        <v>1.08</v>
      </c>
      <c r="GR43" s="68">
        <v>19.29</v>
      </c>
      <c r="GS43" s="68">
        <v>1</v>
      </c>
      <c r="GT43" s="68">
        <v>76.33</v>
      </c>
    </row>
    <row r="44" spans="1:250" x14ac:dyDescent="0.3">
      <c r="AL44" s="19">
        <v>45338</v>
      </c>
      <c r="BP44" s="68">
        <v>3</v>
      </c>
      <c r="BR44" s="2">
        <v>73.83</v>
      </c>
      <c r="BS44" s="2">
        <v>17.350000000000001</v>
      </c>
      <c r="BT44" s="2">
        <v>1.83</v>
      </c>
      <c r="BU44" s="2">
        <v>104</v>
      </c>
      <c r="BV44" s="2">
        <v>7</v>
      </c>
      <c r="CF44" s="68">
        <v>33</v>
      </c>
      <c r="CH44" s="2">
        <v>46.61</v>
      </c>
      <c r="CI44" s="2">
        <v>15.11</v>
      </c>
      <c r="CJ44" s="2">
        <v>4.79</v>
      </c>
      <c r="CK44" s="2">
        <v>0</v>
      </c>
      <c r="CL44" s="2">
        <v>33.49</v>
      </c>
      <c r="CV44" s="68">
        <v>2</v>
      </c>
      <c r="CX44" s="2">
        <v>2.96</v>
      </c>
      <c r="CY44" s="2">
        <v>0.37</v>
      </c>
      <c r="CZ44" s="2">
        <v>20.329999999999998</v>
      </c>
      <c r="DA44" s="2">
        <v>1</v>
      </c>
      <c r="DB44" s="2">
        <v>76.34</v>
      </c>
      <c r="DL44" s="68">
        <v>3</v>
      </c>
      <c r="DN44" s="68">
        <v>68.98</v>
      </c>
      <c r="DO44" s="68">
        <v>20.86</v>
      </c>
      <c r="DP44" s="68">
        <v>2.21</v>
      </c>
      <c r="DQ44" s="68">
        <v>29</v>
      </c>
      <c r="DR44" s="68">
        <v>7.96</v>
      </c>
      <c r="EB44" s="68">
        <v>28</v>
      </c>
      <c r="ED44" s="68">
        <v>49.63</v>
      </c>
      <c r="EE44" s="68">
        <v>16.97</v>
      </c>
      <c r="EF44" s="68">
        <v>9.82</v>
      </c>
      <c r="EG44" s="68">
        <v>20</v>
      </c>
      <c r="EH44" s="68">
        <v>23.58</v>
      </c>
      <c r="ER44" s="68">
        <v>4</v>
      </c>
      <c r="ET44" s="2">
        <v>20.350000000000001</v>
      </c>
      <c r="EU44" s="68">
        <v>3.18</v>
      </c>
      <c r="EV44" s="68">
        <v>16.22</v>
      </c>
      <c r="EW44" s="68">
        <v>1</v>
      </c>
      <c r="EX44" s="68">
        <v>60.26</v>
      </c>
      <c r="FX44" s="68">
        <v>13</v>
      </c>
      <c r="FZ44" s="2">
        <v>0.1</v>
      </c>
      <c r="GA44" s="2">
        <v>0.3</v>
      </c>
      <c r="GB44" s="2">
        <v>20.29</v>
      </c>
      <c r="GC44" s="2">
        <v>1</v>
      </c>
      <c r="GD44" s="2">
        <v>79.319999999999993</v>
      </c>
    </row>
    <row r="45" spans="1:250" x14ac:dyDescent="0.3">
      <c r="AJ45" s="68">
        <v>18</v>
      </c>
      <c r="AL45" s="68">
        <v>23.94</v>
      </c>
      <c r="AM45" s="68">
        <v>7.76</v>
      </c>
      <c r="AN45" s="68">
        <v>14.4</v>
      </c>
      <c r="AO45" s="68">
        <v>6</v>
      </c>
      <c r="AP45" s="68">
        <v>53.89</v>
      </c>
      <c r="BB45" s="19">
        <v>45346</v>
      </c>
      <c r="BP45" s="68">
        <v>4</v>
      </c>
      <c r="BR45" s="2">
        <v>53.1</v>
      </c>
      <c r="BS45" s="2">
        <v>13.56</v>
      </c>
      <c r="BT45" s="2">
        <v>6.54</v>
      </c>
      <c r="BU45" s="2">
        <v>97</v>
      </c>
      <c r="BV45" s="2">
        <v>26.79</v>
      </c>
      <c r="CF45" s="68">
        <v>24</v>
      </c>
      <c r="CH45" s="2">
        <v>66.47</v>
      </c>
      <c r="CI45" s="2">
        <v>18.21</v>
      </c>
      <c r="CJ45" s="2">
        <v>3.42</v>
      </c>
      <c r="CK45" s="2">
        <v>76</v>
      </c>
      <c r="CL45" s="2">
        <v>11.9</v>
      </c>
      <c r="CV45" s="68">
        <v>3</v>
      </c>
      <c r="CX45" s="2">
        <v>33.56</v>
      </c>
      <c r="CY45" s="2">
        <v>11.73</v>
      </c>
      <c r="CZ45" s="2">
        <v>10.94</v>
      </c>
      <c r="DA45" s="2">
        <v>29</v>
      </c>
      <c r="DB45" s="2">
        <v>43.77</v>
      </c>
      <c r="EB45" s="36">
        <v>11</v>
      </c>
      <c r="ED45" s="68">
        <v>32.57</v>
      </c>
      <c r="EE45" s="68">
        <v>4.6399999999999997</v>
      </c>
      <c r="EF45" s="68">
        <v>10.66</v>
      </c>
      <c r="EG45" s="68">
        <v>1</v>
      </c>
      <c r="EH45" s="68">
        <v>52.13</v>
      </c>
      <c r="ER45" s="68">
        <v>14</v>
      </c>
      <c r="ET45" s="2">
        <v>20.56</v>
      </c>
      <c r="EU45" s="68">
        <v>1.1299999999999999</v>
      </c>
      <c r="EV45" s="68">
        <v>14.85</v>
      </c>
      <c r="EW45" s="68">
        <v>1</v>
      </c>
      <c r="EX45" s="68">
        <v>63.47</v>
      </c>
      <c r="FJ45" s="19">
        <v>45394</v>
      </c>
      <c r="FX45" s="68">
        <v>25</v>
      </c>
      <c r="FZ45" s="2">
        <f>5*5.72</f>
        <v>28.599999999999998</v>
      </c>
      <c r="GA45" s="2">
        <v>5.0999999999999996</v>
      </c>
      <c r="GB45" s="2">
        <v>14.68</v>
      </c>
      <c r="GC45" s="2">
        <v>1</v>
      </c>
      <c r="GD45" s="2">
        <v>51.62</v>
      </c>
    </row>
    <row r="46" spans="1:250" x14ac:dyDescent="0.3">
      <c r="AJ46" s="68">
        <v>24</v>
      </c>
      <c r="AL46" s="68">
        <v>66.59</v>
      </c>
      <c r="AM46" s="68">
        <v>24.96</v>
      </c>
      <c r="AN46" s="68">
        <v>1.5</v>
      </c>
      <c r="AO46" s="68">
        <v>249</v>
      </c>
      <c r="AP46" s="68">
        <v>6.94</v>
      </c>
      <c r="AZ46" s="68">
        <v>14</v>
      </c>
      <c r="BB46" s="68">
        <v>62.23</v>
      </c>
      <c r="BC46" s="68">
        <v>9.16</v>
      </c>
      <c r="BD46" s="68">
        <v>7.05</v>
      </c>
      <c r="BE46" s="68">
        <v>1</v>
      </c>
      <c r="BF46" s="68">
        <v>21.57</v>
      </c>
      <c r="BP46" s="68">
        <v>9</v>
      </c>
      <c r="BR46" s="2">
        <v>61.47</v>
      </c>
      <c r="BS46" s="2">
        <v>11.27</v>
      </c>
      <c r="BT46" s="2">
        <v>10.41</v>
      </c>
      <c r="BU46" s="2">
        <v>314</v>
      </c>
      <c r="BV46" s="2">
        <v>16.86</v>
      </c>
      <c r="CV46" s="68">
        <v>6</v>
      </c>
      <c r="CX46" s="2">
        <v>57.28</v>
      </c>
      <c r="CY46" s="2">
        <v>9.8000000000000007</v>
      </c>
      <c r="CZ46" s="2">
        <v>7.14</v>
      </c>
      <c r="DA46" s="2">
        <v>56</v>
      </c>
      <c r="DB46" s="2">
        <v>25.78</v>
      </c>
      <c r="DN46" s="19">
        <v>45373</v>
      </c>
      <c r="EB46" s="68">
        <v>10</v>
      </c>
      <c r="ED46" s="68">
        <v>46.53</v>
      </c>
      <c r="EE46" s="68">
        <v>11.42</v>
      </c>
      <c r="EF46" s="68">
        <v>11.43</v>
      </c>
      <c r="EG46" s="68">
        <v>5</v>
      </c>
      <c r="EH46" s="68">
        <v>30.62</v>
      </c>
      <c r="FH46" s="68">
        <v>11</v>
      </c>
      <c r="FJ46" s="68">
        <v>25.49</v>
      </c>
      <c r="FK46" s="68">
        <v>12.09</v>
      </c>
      <c r="FL46" s="68">
        <v>11.57</v>
      </c>
      <c r="FM46" s="68">
        <v>0</v>
      </c>
      <c r="FN46" s="68">
        <v>50.85</v>
      </c>
      <c r="FX46" s="68">
        <v>28</v>
      </c>
      <c r="FZ46" s="2">
        <v>51.26</v>
      </c>
      <c r="GA46" s="68">
        <v>20.059999999999999</v>
      </c>
      <c r="GB46" s="68">
        <v>4.4800000000000004</v>
      </c>
      <c r="GC46" s="68">
        <v>13</v>
      </c>
      <c r="GD46" s="68">
        <v>24.2</v>
      </c>
    </row>
    <row r="47" spans="1:250" x14ac:dyDescent="0.3">
      <c r="AJ47" s="68">
        <v>4</v>
      </c>
      <c r="AL47" s="68">
        <v>31.34</v>
      </c>
      <c r="AM47" s="68">
        <v>16.690000000000001</v>
      </c>
      <c r="AN47" s="68">
        <v>10.62</v>
      </c>
      <c r="AO47" s="68">
        <v>172</v>
      </c>
      <c r="AP47" s="68">
        <v>41.35</v>
      </c>
      <c r="AZ47" s="68">
        <v>17</v>
      </c>
      <c r="BB47" s="68">
        <v>65.489999999999995</v>
      </c>
      <c r="BC47" s="68">
        <v>6.53</v>
      </c>
      <c r="BD47" s="68">
        <v>6.49</v>
      </c>
      <c r="BE47" s="68">
        <v>5</v>
      </c>
      <c r="BF47" s="68">
        <v>21.5</v>
      </c>
      <c r="BP47" s="38">
        <v>7</v>
      </c>
      <c r="BR47" s="2">
        <v>39.090000000000003</v>
      </c>
      <c r="BS47" s="2">
        <v>7.74</v>
      </c>
      <c r="BT47" s="2">
        <v>13.87</v>
      </c>
      <c r="BU47" s="2">
        <v>165</v>
      </c>
      <c r="BV47" s="2">
        <v>39.29</v>
      </c>
      <c r="CH47" s="19">
        <v>45359</v>
      </c>
      <c r="DL47" s="68">
        <v>15</v>
      </c>
      <c r="DN47" s="68">
        <v>58.6</v>
      </c>
      <c r="DO47" s="68">
        <v>14.31</v>
      </c>
      <c r="DP47" s="68">
        <v>5.93</v>
      </c>
      <c r="DQ47" s="68">
        <v>0</v>
      </c>
      <c r="DR47" s="68">
        <v>21.16</v>
      </c>
      <c r="EB47" s="68">
        <v>1</v>
      </c>
      <c r="ED47" s="68">
        <v>28.8</v>
      </c>
      <c r="EE47" s="68">
        <v>12.11</v>
      </c>
      <c r="EF47" s="68">
        <v>12.04</v>
      </c>
      <c r="EG47" s="68">
        <v>6</v>
      </c>
      <c r="EH47" s="68">
        <v>47.09</v>
      </c>
      <c r="ET47" s="19">
        <v>45389</v>
      </c>
      <c r="FH47" s="68">
        <v>25</v>
      </c>
      <c r="FJ47" s="68">
        <f>10.53*3</f>
        <v>31.589999999999996</v>
      </c>
      <c r="FK47" s="68">
        <v>5.1100000000000003</v>
      </c>
      <c r="FL47" s="68">
        <v>13.83</v>
      </c>
      <c r="FM47" s="68">
        <v>0</v>
      </c>
      <c r="FN47" s="68">
        <v>49.47</v>
      </c>
      <c r="FX47" s="68">
        <v>34</v>
      </c>
      <c r="FZ47" s="162">
        <v>37.450000000000003</v>
      </c>
      <c r="GA47" s="162">
        <v>0.88</v>
      </c>
      <c r="GB47" s="162">
        <v>14.3</v>
      </c>
      <c r="GC47" s="162">
        <v>0</v>
      </c>
      <c r="GD47" s="162">
        <v>47.38</v>
      </c>
    </row>
    <row r="48" spans="1:250" x14ac:dyDescent="0.3">
      <c r="AJ48" s="68">
        <v>3</v>
      </c>
      <c r="AL48" s="68">
        <v>21.61</v>
      </c>
      <c r="AM48" s="68">
        <v>13.89</v>
      </c>
      <c r="AN48" s="68">
        <v>13.28</v>
      </c>
      <c r="AO48" s="68">
        <v>179</v>
      </c>
      <c r="AP48" s="68">
        <v>51.22</v>
      </c>
      <c r="AZ48" s="68">
        <v>12</v>
      </c>
      <c r="BB48" s="68">
        <v>60.71</v>
      </c>
      <c r="BC48" s="68">
        <v>14.57</v>
      </c>
      <c r="BD48" s="68">
        <v>4.87</v>
      </c>
      <c r="BE48" s="68">
        <v>322</v>
      </c>
      <c r="BF48" s="68">
        <v>19.86</v>
      </c>
      <c r="CF48" s="68">
        <v>23</v>
      </c>
      <c r="CH48" s="68">
        <v>10.93</v>
      </c>
      <c r="CI48" s="68">
        <v>0.28999999999999998</v>
      </c>
      <c r="CJ48" s="68">
        <v>19.649999999999999</v>
      </c>
      <c r="CK48" s="68">
        <v>0</v>
      </c>
      <c r="CL48" s="68">
        <v>69.13</v>
      </c>
      <c r="CX48" s="19">
        <v>45364</v>
      </c>
      <c r="DL48" s="68">
        <v>18</v>
      </c>
      <c r="DN48" s="68">
        <v>25.73</v>
      </c>
      <c r="DO48" s="68">
        <v>1.98</v>
      </c>
      <c r="DP48" s="68">
        <v>13.77</v>
      </c>
      <c r="DQ48" s="68">
        <v>0</v>
      </c>
      <c r="DR48" s="68">
        <v>58.52</v>
      </c>
      <c r="EB48" s="68">
        <v>6</v>
      </c>
      <c r="ED48" s="68">
        <v>53.34</v>
      </c>
      <c r="EE48" s="68">
        <v>12.27</v>
      </c>
      <c r="EF48" s="68">
        <v>6.41</v>
      </c>
      <c r="EG48" s="68">
        <v>36</v>
      </c>
      <c r="EH48" s="68">
        <v>27.99</v>
      </c>
      <c r="ER48" s="68">
        <v>24</v>
      </c>
      <c r="ET48" s="68">
        <v>67.400000000000006</v>
      </c>
      <c r="EU48" s="68">
        <v>17.510000000000002</v>
      </c>
      <c r="EV48" s="68">
        <v>3.67</v>
      </c>
      <c r="EW48" s="68">
        <v>26</v>
      </c>
      <c r="EX48" s="68">
        <v>11.42</v>
      </c>
    </row>
    <row r="49" spans="36:186" x14ac:dyDescent="0.3">
      <c r="AJ49" s="68">
        <v>12</v>
      </c>
      <c r="AL49" s="68">
        <v>55.85</v>
      </c>
      <c r="AM49" s="68">
        <v>27.05</v>
      </c>
      <c r="AN49" s="68">
        <v>2.96</v>
      </c>
      <c r="AO49" s="68">
        <v>560</v>
      </c>
      <c r="AP49" s="68">
        <v>14.13</v>
      </c>
      <c r="AZ49" s="68">
        <v>16</v>
      </c>
      <c r="BB49" s="68">
        <v>15.15</v>
      </c>
      <c r="BC49" s="68">
        <v>9.64</v>
      </c>
      <c r="BD49" s="68">
        <v>15.01</v>
      </c>
      <c r="BE49" s="68">
        <v>1</v>
      </c>
      <c r="BF49" s="68">
        <v>60.2</v>
      </c>
      <c r="BR49" s="19">
        <v>45353</v>
      </c>
      <c r="CV49" s="68">
        <v>10</v>
      </c>
      <c r="CX49" s="84">
        <v>46.69</v>
      </c>
      <c r="CY49" s="84">
        <v>12.09</v>
      </c>
      <c r="CZ49" s="68">
        <v>12.08</v>
      </c>
      <c r="DA49" s="68">
        <v>30</v>
      </c>
      <c r="DB49" s="68">
        <v>29.15</v>
      </c>
      <c r="DL49" s="68">
        <v>30</v>
      </c>
      <c r="DN49" s="68">
        <v>52.17</v>
      </c>
      <c r="DO49" s="68">
        <v>10.029999999999999</v>
      </c>
      <c r="DP49" s="68">
        <v>7.59</v>
      </c>
      <c r="DQ49" s="68">
        <v>11</v>
      </c>
      <c r="DR49" s="68">
        <v>30.21</v>
      </c>
      <c r="ER49" s="68">
        <v>7</v>
      </c>
      <c r="ET49" s="68">
        <v>59.21</v>
      </c>
      <c r="EU49" s="68">
        <v>8.24</v>
      </c>
      <c r="EV49" s="68">
        <v>12.38</v>
      </c>
      <c r="EW49" s="68">
        <v>3</v>
      </c>
      <c r="EX49" s="68">
        <v>20.18</v>
      </c>
      <c r="FJ49" s="19">
        <v>45393</v>
      </c>
      <c r="FZ49" s="19">
        <v>45400</v>
      </c>
    </row>
    <row r="50" spans="36:186" x14ac:dyDescent="0.3">
      <c r="AZ50" s="68">
        <v>26</v>
      </c>
      <c r="BB50" s="68">
        <v>23.6</v>
      </c>
      <c r="BC50" s="68">
        <v>1.0900000000000001</v>
      </c>
      <c r="BD50" s="68">
        <v>17.170000000000002</v>
      </c>
      <c r="BE50" s="68">
        <v>1</v>
      </c>
      <c r="BF50" s="68">
        <v>58.14</v>
      </c>
      <c r="BP50" s="68">
        <v>12</v>
      </c>
      <c r="BR50" s="68">
        <v>69.27</v>
      </c>
      <c r="BS50" s="68">
        <v>14.08</v>
      </c>
      <c r="BT50" s="68">
        <v>3.45</v>
      </c>
      <c r="BU50" s="68">
        <v>246</v>
      </c>
      <c r="BV50" s="68">
        <v>13.2</v>
      </c>
      <c r="CH50" s="19">
        <v>45358</v>
      </c>
      <c r="CV50" s="68">
        <v>9</v>
      </c>
      <c r="CX50" s="84">
        <v>62.72</v>
      </c>
      <c r="CY50" s="84">
        <v>9.48</v>
      </c>
      <c r="CZ50" s="68">
        <v>8.3800000000000008</v>
      </c>
      <c r="DA50" s="68">
        <v>140</v>
      </c>
      <c r="DB50" s="68">
        <v>19.420000000000002</v>
      </c>
      <c r="DL50" s="68">
        <v>28</v>
      </c>
      <c r="DN50" s="68">
        <v>56.35</v>
      </c>
      <c r="DO50" s="68">
        <v>16.09</v>
      </c>
      <c r="DP50" s="68">
        <v>8.86</v>
      </c>
      <c r="DQ50" s="68">
        <v>73</v>
      </c>
      <c r="DR50" s="68">
        <v>18.7</v>
      </c>
      <c r="ED50" s="19">
        <v>45376</v>
      </c>
      <c r="ER50" s="68">
        <v>8</v>
      </c>
      <c r="ET50" s="68">
        <v>34.44</v>
      </c>
      <c r="EU50" s="68">
        <v>9.1999999999999993</v>
      </c>
      <c r="EV50" s="68">
        <v>12.99</v>
      </c>
      <c r="EW50" s="68">
        <v>0</v>
      </c>
      <c r="EX50" s="68">
        <v>43.37</v>
      </c>
      <c r="FH50" s="68">
        <v>10</v>
      </c>
      <c r="FJ50" s="68">
        <v>43.13</v>
      </c>
      <c r="FK50" s="68">
        <v>10.83</v>
      </c>
      <c r="FL50" s="68">
        <v>13.22</v>
      </c>
      <c r="FM50" s="68">
        <v>0</v>
      </c>
      <c r="FN50" s="68">
        <v>32.82</v>
      </c>
      <c r="FX50" s="68">
        <v>8</v>
      </c>
      <c r="FZ50" s="68">
        <v>4.79</v>
      </c>
      <c r="GA50" s="68">
        <v>2.39</v>
      </c>
      <c r="GB50" s="68">
        <v>18.63</v>
      </c>
      <c r="GC50" s="68">
        <v>0</v>
      </c>
      <c r="GD50" s="68">
        <v>74.19</v>
      </c>
    </row>
    <row r="51" spans="36:186" x14ac:dyDescent="0.3">
      <c r="AL51" s="19">
        <v>45337</v>
      </c>
      <c r="AZ51" s="68">
        <v>28</v>
      </c>
      <c r="BB51" s="68">
        <v>37.29</v>
      </c>
      <c r="BC51" s="68">
        <v>15.73</v>
      </c>
      <c r="BD51" s="68">
        <v>11.45</v>
      </c>
      <c r="BE51" s="68">
        <v>30</v>
      </c>
      <c r="BF51" s="68">
        <v>35.53</v>
      </c>
      <c r="BP51" s="68">
        <v>1</v>
      </c>
      <c r="BR51" s="68">
        <v>62.45</v>
      </c>
      <c r="BS51" s="68">
        <v>19.55</v>
      </c>
      <c r="BT51" s="68">
        <v>3.69</v>
      </c>
      <c r="BU51" s="68">
        <v>51</v>
      </c>
      <c r="BV51" s="68">
        <v>14.31</v>
      </c>
      <c r="CF51" s="68">
        <v>28</v>
      </c>
      <c r="CH51" s="68">
        <v>49.54</v>
      </c>
      <c r="CI51" s="68">
        <v>14.11</v>
      </c>
      <c r="CJ51" s="68">
        <v>12.02</v>
      </c>
      <c r="CK51" s="68">
        <v>98</v>
      </c>
      <c r="CL51" s="68">
        <v>24.33</v>
      </c>
      <c r="CV51" s="68">
        <v>20</v>
      </c>
      <c r="CX51" s="84">
        <v>59.42</v>
      </c>
      <c r="CY51" s="84">
        <v>18.04</v>
      </c>
      <c r="CZ51" s="68">
        <v>7.62</v>
      </c>
      <c r="DA51" s="68">
        <v>22</v>
      </c>
      <c r="DB51" s="68">
        <v>14.92</v>
      </c>
      <c r="DL51" s="68">
        <v>20</v>
      </c>
      <c r="DN51" s="68">
        <v>49.59</v>
      </c>
      <c r="DO51" s="68">
        <v>20.51</v>
      </c>
      <c r="DP51" s="68">
        <v>9.57</v>
      </c>
      <c r="DQ51" s="68">
        <v>21</v>
      </c>
      <c r="DR51" s="68">
        <v>20.34</v>
      </c>
      <c r="EB51" s="68">
        <v>32</v>
      </c>
      <c r="ED51" s="68">
        <v>37.72</v>
      </c>
      <c r="EE51" s="68">
        <v>4.22</v>
      </c>
      <c r="EF51" s="68">
        <v>12.3</v>
      </c>
      <c r="EG51" s="68">
        <v>0</v>
      </c>
      <c r="EH51" s="68">
        <v>45.76</v>
      </c>
      <c r="ER51" s="68">
        <v>25</v>
      </c>
      <c r="ET51" s="68">
        <f>7.75*5</f>
        <v>38.75</v>
      </c>
      <c r="EU51" s="68">
        <v>5.16</v>
      </c>
      <c r="EV51" s="68">
        <v>14.56</v>
      </c>
      <c r="EW51" s="68">
        <v>0</v>
      </c>
      <c r="EX51" s="68">
        <v>41.53</v>
      </c>
      <c r="FX51" s="68">
        <v>7</v>
      </c>
      <c r="FZ51" s="68">
        <v>15.01</v>
      </c>
      <c r="GA51" s="68">
        <v>2.35</v>
      </c>
      <c r="GB51" s="68">
        <v>16.7</v>
      </c>
      <c r="GC51" s="68">
        <v>0</v>
      </c>
      <c r="GD51" s="68">
        <v>65.930000000000007</v>
      </c>
    </row>
    <row r="52" spans="36:186" x14ac:dyDescent="0.3">
      <c r="AJ52" s="68">
        <v>18</v>
      </c>
      <c r="AL52" s="68">
        <v>26.75</v>
      </c>
      <c r="AM52" s="68">
        <v>10.16</v>
      </c>
      <c r="AN52" s="68">
        <v>12.72</v>
      </c>
      <c r="AO52" s="68">
        <v>8</v>
      </c>
      <c r="AP52" s="68">
        <v>50.37</v>
      </c>
      <c r="AZ52" s="68">
        <v>30</v>
      </c>
      <c r="BB52" s="68">
        <v>67.66</v>
      </c>
      <c r="BC52" s="68">
        <v>18.690000000000001</v>
      </c>
      <c r="BD52" s="68">
        <v>2.62</v>
      </c>
      <c r="BE52" s="68">
        <v>1</v>
      </c>
      <c r="BF52" s="68">
        <v>11.03</v>
      </c>
      <c r="BP52" s="68">
        <v>4</v>
      </c>
      <c r="BR52" s="68">
        <v>45.18</v>
      </c>
      <c r="BS52" s="68">
        <v>11.72</v>
      </c>
      <c r="BT52" s="68">
        <v>8.5399999999999991</v>
      </c>
      <c r="BU52" s="68">
        <v>81</v>
      </c>
      <c r="BV52" s="68">
        <v>34.56</v>
      </c>
      <c r="CF52" s="68">
        <v>12</v>
      </c>
      <c r="CH52" s="68">
        <v>68.14</v>
      </c>
      <c r="CI52" s="68">
        <v>9.98</v>
      </c>
      <c r="CJ52" s="68">
        <v>4.68</v>
      </c>
      <c r="CK52" s="68">
        <v>43</v>
      </c>
      <c r="CL52" s="68">
        <v>17.2</v>
      </c>
      <c r="DL52" s="68">
        <v>34</v>
      </c>
      <c r="DN52" s="68">
        <v>29.79</v>
      </c>
      <c r="DO52" s="68">
        <v>16.29</v>
      </c>
      <c r="DP52" s="68">
        <v>10.53</v>
      </c>
      <c r="DQ52" s="68">
        <v>1</v>
      </c>
      <c r="DR52" s="68">
        <v>43.38</v>
      </c>
      <c r="EB52" s="68">
        <v>25</v>
      </c>
      <c r="ED52" s="68">
        <f>7.71*5</f>
        <v>38.549999999999997</v>
      </c>
      <c r="EE52" s="68">
        <v>5.26</v>
      </c>
      <c r="EF52" s="68">
        <v>13.13</v>
      </c>
      <c r="EG52" s="68">
        <v>1</v>
      </c>
      <c r="EH52" s="68">
        <v>43.06</v>
      </c>
      <c r="ER52" s="68">
        <v>3</v>
      </c>
      <c r="ET52" s="68">
        <v>36.89</v>
      </c>
      <c r="EU52" s="68">
        <v>13.56</v>
      </c>
      <c r="EV52" s="68">
        <v>9.9600000000000009</v>
      </c>
      <c r="EW52" s="68">
        <v>2</v>
      </c>
      <c r="EX52" s="68">
        <v>39.6</v>
      </c>
      <c r="FJ52" s="19">
        <v>45397</v>
      </c>
      <c r="FX52" s="68">
        <v>28</v>
      </c>
      <c r="FZ52" s="68">
        <v>3.01</v>
      </c>
      <c r="GA52" s="68">
        <v>1.22</v>
      </c>
      <c r="GB52" s="68">
        <v>19.64</v>
      </c>
      <c r="GC52" s="68">
        <v>1</v>
      </c>
      <c r="GD52" s="68">
        <v>76.12</v>
      </c>
    </row>
    <row r="53" spans="36:186" x14ac:dyDescent="0.3">
      <c r="AJ53" s="68">
        <v>15</v>
      </c>
      <c r="AL53" s="68">
        <v>21.23</v>
      </c>
      <c r="AM53" s="68">
        <v>12.92</v>
      </c>
      <c r="AN53" s="68">
        <v>13.22</v>
      </c>
      <c r="AO53" s="68">
        <v>20</v>
      </c>
      <c r="AP53" s="68">
        <v>52.63</v>
      </c>
      <c r="BP53" s="68">
        <v>30</v>
      </c>
      <c r="BR53" s="68">
        <v>70.45</v>
      </c>
      <c r="BS53" s="68">
        <v>16.190000000000001</v>
      </c>
      <c r="BT53" s="68">
        <v>2.75</v>
      </c>
      <c r="BU53" s="68">
        <v>0</v>
      </c>
      <c r="BV53" s="68">
        <v>10.61</v>
      </c>
      <c r="CF53" s="68">
        <v>17</v>
      </c>
      <c r="CH53" s="68">
        <v>66.59</v>
      </c>
      <c r="CI53" s="68">
        <v>3.76</v>
      </c>
      <c r="CJ53" s="68">
        <v>7.32</v>
      </c>
      <c r="CK53" s="68">
        <v>1</v>
      </c>
      <c r="CL53" s="68">
        <v>22.34</v>
      </c>
      <c r="CX53" s="19">
        <v>45362</v>
      </c>
      <c r="EB53" s="68">
        <v>7</v>
      </c>
      <c r="ED53" s="2">
        <v>58.26</v>
      </c>
      <c r="EE53" s="68">
        <v>13.65</v>
      </c>
      <c r="EF53" s="68">
        <v>10.14</v>
      </c>
      <c r="EG53" s="68">
        <v>70</v>
      </c>
      <c r="EH53" s="68">
        <v>17.96</v>
      </c>
      <c r="EN53" s="68" t="s">
        <v>88</v>
      </c>
      <c r="FH53" s="68">
        <v>16</v>
      </c>
      <c r="FJ53" s="68">
        <v>18.36</v>
      </c>
      <c r="FK53" s="68">
        <v>5.74</v>
      </c>
      <c r="FL53" s="68">
        <v>17.12</v>
      </c>
      <c r="FM53" s="68">
        <v>0</v>
      </c>
      <c r="FN53" s="68">
        <v>58.77</v>
      </c>
    </row>
    <row r="54" spans="36:186" x14ac:dyDescent="0.3">
      <c r="AJ54" s="68">
        <v>12</v>
      </c>
      <c r="AL54" s="68">
        <v>35.729999999999997</v>
      </c>
      <c r="AM54" s="68">
        <v>27.62</v>
      </c>
      <c r="AN54" s="68">
        <v>5.95</v>
      </c>
      <c r="AO54" s="68">
        <v>492</v>
      </c>
      <c r="AP54" s="68">
        <v>30.7</v>
      </c>
      <c r="BB54" s="19">
        <v>45345</v>
      </c>
      <c r="BP54" s="68">
        <v>32</v>
      </c>
      <c r="BR54" s="68">
        <v>70.430000000000007</v>
      </c>
      <c r="BS54" s="68">
        <v>15.37</v>
      </c>
      <c r="BT54" s="68">
        <v>2.97</v>
      </c>
      <c r="BU54" s="68">
        <v>1</v>
      </c>
      <c r="BV54" s="68">
        <v>11.23</v>
      </c>
      <c r="CF54" s="68">
        <v>9</v>
      </c>
      <c r="CH54" s="68">
        <v>64.17</v>
      </c>
      <c r="CI54" s="68">
        <v>10.47</v>
      </c>
      <c r="CJ54" s="68">
        <v>9.77</v>
      </c>
      <c r="CK54" s="68">
        <v>230</v>
      </c>
      <c r="CL54" s="68">
        <v>15.59</v>
      </c>
      <c r="CV54" s="68">
        <v>35</v>
      </c>
      <c r="CX54" s="84">
        <v>1.51</v>
      </c>
      <c r="CY54" s="84">
        <v>0.36</v>
      </c>
      <c r="CZ54" s="68">
        <v>20.25</v>
      </c>
      <c r="DA54" s="68">
        <v>1</v>
      </c>
      <c r="DB54" s="68">
        <v>77.89</v>
      </c>
      <c r="DN54" s="19">
        <v>45372</v>
      </c>
      <c r="EB54" s="68">
        <v>17</v>
      </c>
      <c r="ED54" s="2">
        <v>54.01</v>
      </c>
      <c r="EE54" s="2">
        <v>2.11</v>
      </c>
      <c r="EF54" s="2">
        <v>9.76</v>
      </c>
      <c r="EG54" s="2">
        <v>0</v>
      </c>
      <c r="EH54" s="2">
        <v>34.130000000000003</v>
      </c>
      <c r="FH54" s="68">
        <v>17</v>
      </c>
      <c r="FJ54" s="68">
        <v>27.79</v>
      </c>
      <c r="FK54" s="68">
        <v>0.59</v>
      </c>
      <c r="FL54" s="68">
        <v>14.54</v>
      </c>
      <c r="FM54" s="68">
        <v>0</v>
      </c>
      <c r="FN54" s="68">
        <v>57.08</v>
      </c>
      <c r="FZ54" s="19">
        <v>45402</v>
      </c>
    </row>
    <row r="55" spans="36:186" x14ac:dyDescent="0.3">
      <c r="AJ55" s="68">
        <v>4</v>
      </c>
      <c r="AL55" s="68">
        <v>23.35</v>
      </c>
      <c r="AM55" s="68">
        <v>15</v>
      </c>
      <c r="AN55" s="68">
        <v>12.48</v>
      </c>
      <c r="AO55" s="68">
        <v>132</v>
      </c>
      <c r="AP55" s="68">
        <v>49.17</v>
      </c>
      <c r="AZ55" s="68">
        <v>12</v>
      </c>
      <c r="BB55" s="68">
        <v>56.04</v>
      </c>
      <c r="BC55" s="68">
        <v>14.43</v>
      </c>
      <c r="BD55" s="68">
        <v>5.9</v>
      </c>
      <c r="BE55" s="68">
        <v>366</v>
      </c>
      <c r="BF55" s="68">
        <v>23.63</v>
      </c>
      <c r="BP55" s="68">
        <v>31</v>
      </c>
      <c r="BR55" s="68">
        <v>56.19</v>
      </c>
      <c r="BS55" s="68">
        <v>12.8</v>
      </c>
      <c r="BT55" s="68">
        <v>10.1</v>
      </c>
      <c r="BU55" s="68">
        <v>1</v>
      </c>
      <c r="BV55" s="68">
        <v>20.91</v>
      </c>
      <c r="CF55" s="68">
        <v>4</v>
      </c>
      <c r="CH55" s="68">
        <v>39.03</v>
      </c>
      <c r="CI55" s="68">
        <v>8.64</v>
      </c>
      <c r="CJ55" s="68">
        <v>10.59</v>
      </c>
      <c r="CK55" s="68">
        <v>60</v>
      </c>
      <c r="CL55" s="68">
        <v>41.73</v>
      </c>
      <c r="CV55" s="68">
        <v>22</v>
      </c>
      <c r="CX55" s="84">
        <v>34.700000000000003</v>
      </c>
      <c r="CY55" s="84">
        <v>6.95</v>
      </c>
      <c r="CZ55" s="68">
        <v>10.23</v>
      </c>
      <c r="DA55" s="68">
        <v>0</v>
      </c>
      <c r="DB55" s="68">
        <v>48.12</v>
      </c>
      <c r="DL55" s="68">
        <v>10</v>
      </c>
      <c r="DN55" s="68">
        <v>16.63</v>
      </c>
      <c r="DO55" s="68">
        <v>5.57</v>
      </c>
      <c r="DP55" s="68">
        <v>17.3</v>
      </c>
      <c r="DQ55" s="68">
        <v>18</v>
      </c>
      <c r="DR55" s="68">
        <v>60.5</v>
      </c>
      <c r="FH55" s="68">
        <v>7</v>
      </c>
      <c r="FJ55" s="68">
        <v>64.55</v>
      </c>
      <c r="FK55" s="68">
        <v>14.71</v>
      </c>
      <c r="FL55" s="68">
        <v>10.72</v>
      </c>
      <c r="FM55" s="68">
        <v>25</v>
      </c>
      <c r="FN55" s="68">
        <v>10.02</v>
      </c>
      <c r="FX55" s="68">
        <v>8</v>
      </c>
      <c r="FZ55" s="68">
        <v>9.76</v>
      </c>
      <c r="GA55" s="68">
        <v>4.58</v>
      </c>
      <c r="GB55" s="68">
        <v>16.88</v>
      </c>
      <c r="GC55" s="68">
        <v>1</v>
      </c>
      <c r="GD55" s="68">
        <v>68.78</v>
      </c>
    </row>
    <row r="56" spans="36:186" x14ac:dyDescent="0.3">
      <c r="AJ56" s="68">
        <v>1</v>
      </c>
      <c r="AL56" s="68">
        <v>41.31</v>
      </c>
      <c r="AM56" s="68">
        <v>29.2</v>
      </c>
      <c r="AN56" s="68">
        <v>4.26</v>
      </c>
      <c r="AO56" s="68">
        <v>85</v>
      </c>
      <c r="AP56" s="68">
        <v>25.23</v>
      </c>
      <c r="AZ56" s="68">
        <v>15</v>
      </c>
      <c r="BB56" s="68">
        <v>59.37</v>
      </c>
      <c r="BC56" s="68">
        <v>26.32</v>
      </c>
      <c r="BD56" s="68">
        <v>2.76</v>
      </c>
      <c r="BE56" s="68">
        <v>56</v>
      </c>
      <c r="BF56" s="68">
        <v>11.55</v>
      </c>
      <c r="BP56" s="68">
        <v>24</v>
      </c>
      <c r="BR56" s="68">
        <v>73.75</v>
      </c>
      <c r="BS56" s="68">
        <v>16.91</v>
      </c>
      <c r="BT56" s="68">
        <v>2.23</v>
      </c>
      <c r="BU56" s="68">
        <v>107</v>
      </c>
      <c r="BV56" s="68">
        <v>7.11</v>
      </c>
      <c r="CF56" s="68">
        <v>11</v>
      </c>
      <c r="CH56" s="68">
        <v>32.520000000000003</v>
      </c>
      <c r="CI56" s="68">
        <v>15.24</v>
      </c>
      <c r="CJ56" s="68">
        <v>5.77</v>
      </c>
      <c r="CK56" s="68">
        <v>2</v>
      </c>
      <c r="CL56" s="68">
        <v>46.48</v>
      </c>
      <c r="CV56" s="68">
        <v>28</v>
      </c>
      <c r="CX56" s="84">
        <v>49.09</v>
      </c>
      <c r="CY56" s="84">
        <v>15.84</v>
      </c>
      <c r="CZ56" s="68">
        <v>10.119999999999999</v>
      </c>
      <c r="DA56" s="68">
        <v>56</v>
      </c>
      <c r="DB56" s="68">
        <v>24.95</v>
      </c>
      <c r="DL56" s="68">
        <v>24</v>
      </c>
      <c r="DN56" s="68">
        <v>13.49</v>
      </c>
      <c r="DO56" s="68">
        <v>5.67</v>
      </c>
      <c r="DP56" s="68">
        <v>16.46</v>
      </c>
      <c r="DQ56" s="68">
        <v>27</v>
      </c>
      <c r="DR56" s="68">
        <v>64.39</v>
      </c>
      <c r="FX56" s="68">
        <v>1</v>
      </c>
      <c r="FZ56" s="68">
        <v>49.87</v>
      </c>
      <c r="GA56" s="68">
        <v>21.94</v>
      </c>
      <c r="GB56" s="68">
        <v>6.31</v>
      </c>
      <c r="GC56" s="68">
        <v>1</v>
      </c>
      <c r="GD56" s="68">
        <v>21.88</v>
      </c>
    </row>
    <row r="57" spans="36:186" x14ac:dyDescent="0.3">
      <c r="AJ57" s="68">
        <v>3</v>
      </c>
      <c r="AL57" s="68">
        <v>22.94</v>
      </c>
      <c r="AM57" s="68">
        <v>16.11</v>
      </c>
      <c r="AN57" s="68">
        <v>12.44</v>
      </c>
      <c r="AO57" s="68">
        <v>206</v>
      </c>
      <c r="AP57" s="68">
        <v>48.51</v>
      </c>
      <c r="AZ57" s="68">
        <v>18</v>
      </c>
      <c r="BB57" s="68">
        <v>60.88</v>
      </c>
      <c r="BC57" s="68">
        <v>9.76</v>
      </c>
      <c r="BD57" s="68">
        <v>6.44</v>
      </c>
      <c r="BE57" s="68">
        <v>1</v>
      </c>
      <c r="BF57" s="68">
        <v>22.92</v>
      </c>
      <c r="CF57" s="68">
        <v>6</v>
      </c>
      <c r="CH57" s="68">
        <v>46.6</v>
      </c>
      <c r="CI57" s="68">
        <v>10.77</v>
      </c>
      <c r="CJ57" s="68">
        <v>8.51</v>
      </c>
      <c r="CK57" s="68">
        <v>181</v>
      </c>
      <c r="CL57" s="68">
        <v>34.119999999999997</v>
      </c>
      <c r="CV57" s="68">
        <v>3</v>
      </c>
      <c r="CX57" s="84">
        <v>70.930000000000007</v>
      </c>
      <c r="CY57" s="84">
        <v>19.87</v>
      </c>
      <c r="CZ57" s="68">
        <v>2.02</v>
      </c>
      <c r="DA57" s="68">
        <v>51</v>
      </c>
      <c r="DB57" s="68">
        <v>7.18</v>
      </c>
      <c r="ED57" s="19">
        <v>45385</v>
      </c>
      <c r="ET57" s="97"/>
      <c r="EU57" s="97"/>
      <c r="EV57" s="97"/>
      <c r="EW57" s="97"/>
      <c r="EX57" s="97"/>
    </row>
    <row r="58" spans="36:186" x14ac:dyDescent="0.3">
      <c r="AZ58" s="68">
        <v>4</v>
      </c>
      <c r="BB58" s="68">
        <v>44.12</v>
      </c>
      <c r="BC58" s="68">
        <v>13.92</v>
      </c>
      <c r="BD58" s="68">
        <v>8.35</v>
      </c>
      <c r="BE58" s="68">
        <v>130</v>
      </c>
      <c r="BF58" s="68">
        <v>33.61</v>
      </c>
      <c r="BR58" s="19">
        <v>45352</v>
      </c>
      <c r="CV58" s="68">
        <v>15</v>
      </c>
      <c r="CX58" s="84">
        <v>67.760000000000005</v>
      </c>
      <c r="CY58" s="84">
        <v>13.54</v>
      </c>
      <c r="CZ58" s="68">
        <v>4.05</v>
      </c>
      <c r="DA58" s="68">
        <v>8</v>
      </c>
      <c r="DB58" s="68">
        <v>14.65</v>
      </c>
      <c r="DN58" s="19">
        <v>45369</v>
      </c>
      <c r="EB58" s="68">
        <v>28</v>
      </c>
      <c r="ED58" s="68">
        <v>49.89</v>
      </c>
      <c r="EE58" s="68">
        <v>17.78</v>
      </c>
      <c r="EF58" s="68">
        <v>10.35</v>
      </c>
      <c r="EG58" s="68">
        <v>15</v>
      </c>
      <c r="EH58" s="68">
        <v>21.99</v>
      </c>
      <c r="FZ58" s="19">
        <v>45403</v>
      </c>
    </row>
    <row r="59" spans="36:186" x14ac:dyDescent="0.3">
      <c r="AL59" s="19">
        <v>45336</v>
      </c>
      <c r="AZ59" s="68">
        <v>11</v>
      </c>
      <c r="BB59" s="68">
        <v>29.79</v>
      </c>
      <c r="BC59" s="68">
        <v>16.29</v>
      </c>
      <c r="BD59" s="68">
        <v>10.53</v>
      </c>
      <c r="BE59" s="68">
        <v>10</v>
      </c>
      <c r="BF59" s="68">
        <v>43.38</v>
      </c>
      <c r="BP59" s="68">
        <v>8</v>
      </c>
      <c r="BR59" s="68">
        <v>38.79</v>
      </c>
      <c r="BS59" s="68">
        <v>12.87</v>
      </c>
      <c r="BT59" s="68">
        <v>10.68</v>
      </c>
      <c r="BU59" s="68">
        <v>110</v>
      </c>
      <c r="BV59" s="68">
        <v>37.659999999999997</v>
      </c>
      <c r="CH59" s="19">
        <v>45357</v>
      </c>
      <c r="DL59" s="68">
        <v>13</v>
      </c>
      <c r="DN59" s="68">
        <v>1.74</v>
      </c>
      <c r="DO59" s="68">
        <v>1.36</v>
      </c>
      <c r="DP59" s="68">
        <v>19.809999999999999</v>
      </c>
      <c r="DQ59" s="68">
        <v>1</v>
      </c>
      <c r="DR59" s="68">
        <v>77.09</v>
      </c>
      <c r="EB59" s="68">
        <v>10</v>
      </c>
      <c r="ED59" s="68">
        <v>31.47</v>
      </c>
      <c r="EE59" s="68">
        <v>6.57</v>
      </c>
      <c r="EF59" s="68">
        <v>14.19</v>
      </c>
      <c r="EG59" s="68">
        <v>0</v>
      </c>
      <c r="EH59" s="68">
        <v>47.77</v>
      </c>
      <c r="FX59" s="68">
        <v>7</v>
      </c>
      <c r="FZ59" s="68">
        <v>54.54</v>
      </c>
      <c r="GA59" s="68">
        <v>13.15</v>
      </c>
      <c r="GB59" s="68">
        <v>6.9</v>
      </c>
      <c r="GC59" s="68">
        <v>0</v>
      </c>
      <c r="GD59" s="68">
        <v>25.42</v>
      </c>
    </row>
    <row r="60" spans="36:186" x14ac:dyDescent="0.3">
      <c r="AJ60" s="68">
        <v>21</v>
      </c>
      <c r="AL60" s="68">
        <v>19.54</v>
      </c>
      <c r="AM60" s="68">
        <v>29.95</v>
      </c>
      <c r="AN60" s="68">
        <v>6.75</v>
      </c>
      <c r="AO60" s="68">
        <v>138</v>
      </c>
      <c r="AP60" s="68">
        <v>43.76</v>
      </c>
      <c r="AZ60" s="68">
        <v>10</v>
      </c>
      <c r="BB60" s="68">
        <v>48.95</v>
      </c>
      <c r="BC60" s="68">
        <v>11.07</v>
      </c>
      <c r="BD60" s="68">
        <v>10.52</v>
      </c>
      <c r="BE60" s="68">
        <v>84</v>
      </c>
      <c r="BF60" s="68">
        <v>29.46</v>
      </c>
      <c r="BP60" s="68">
        <v>7</v>
      </c>
      <c r="BR60" s="68">
        <v>53.3</v>
      </c>
      <c r="BS60" s="68">
        <v>15.08</v>
      </c>
      <c r="BT60" s="68">
        <v>9.08</v>
      </c>
      <c r="BU60" s="68">
        <v>397</v>
      </c>
      <c r="BV60" s="68">
        <v>22.54</v>
      </c>
      <c r="CF60" s="68">
        <v>7</v>
      </c>
      <c r="CH60" s="68">
        <v>64.709999999999994</v>
      </c>
      <c r="CI60" s="68">
        <v>11.26</v>
      </c>
      <c r="CJ60" s="68">
        <v>10.54</v>
      </c>
      <c r="CK60" s="68">
        <v>173</v>
      </c>
      <c r="CL60" s="68">
        <v>13.49</v>
      </c>
      <c r="DL60" s="68">
        <v>7</v>
      </c>
      <c r="DN60" s="68">
        <v>62.55</v>
      </c>
      <c r="DO60" s="68">
        <v>13.33</v>
      </c>
      <c r="DP60" s="68">
        <v>8.98</v>
      </c>
      <c r="DQ60" s="68">
        <v>93</v>
      </c>
      <c r="DR60" s="68">
        <v>15.14</v>
      </c>
      <c r="EB60" s="68">
        <v>7</v>
      </c>
      <c r="ED60" s="68">
        <v>61.41</v>
      </c>
      <c r="EE60" s="68">
        <v>12.8</v>
      </c>
      <c r="EF60" s="68">
        <v>11.62</v>
      </c>
      <c r="EG60" s="68">
        <v>80</v>
      </c>
      <c r="EH60" s="68">
        <v>14.17</v>
      </c>
      <c r="FX60" s="68">
        <v>28</v>
      </c>
      <c r="FZ60" s="68">
        <v>15</v>
      </c>
      <c r="GA60" s="68">
        <v>4.8600000000000003</v>
      </c>
      <c r="GB60" s="68">
        <v>17.04</v>
      </c>
      <c r="GC60" s="68">
        <v>1</v>
      </c>
      <c r="GD60" s="68">
        <v>63.11</v>
      </c>
    </row>
    <row r="61" spans="36:186" x14ac:dyDescent="0.3">
      <c r="AJ61" s="68">
        <v>35</v>
      </c>
      <c r="AL61" s="68">
        <v>21.18</v>
      </c>
      <c r="AM61" s="68">
        <v>23.81</v>
      </c>
      <c r="AN61" s="68">
        <v>8.7100000000000009</v>
      </c>
      <c r="AO61" s="68">
        <v>1</v>
      </c>
      <c r="AP61" s="68">
        <v>46.3</v>
      </c>
      <c r="AZ61" s="68">
        <v>31</v>
      </c>
      <c r="BB61" s="68">
        <v>54.13</v>
      </c>
      <c r="BC61" s="68">
        <v>14.68</v>
      </c>
      <c r="BD61" s="68">
        <v>8.7200000000000006</v>
      </c>
      <c r="BE61" s="68">
        <v>1</v>
      </c>
      <c r="BF61" s="68">
        <v>22.47</v>
      </c>
      <c r="DL61" s="68">
        <v>16</v>
      </c>
      <c r="DN61" s="68">
        <v>38.119999999999997</v>
      </c>
      <c r="DO61" s="68">
        <v>10.9</v>
      </c>
      <c r="DP61" s="68">
        <v>13.03</v>
      </c>
      <c r="DQ61" s="68">
        <v>1</v>
      </c>
      <c r="DR61" s="68">
        <v>37.950000000000003</v>
      </c>
      <c r="FX61" s="68">
        <v>8</v>
      </c>
      <c r="FZ61" s="68">
        <v>0.08</v>
      </c>
      <c r="GA61" s="68">
        <v>0.22</v>
      </c>
      <c r="GB61" s="68">
        <v>20.29</v>
      </c>
      <c r="GC61" s="68">
        <v>0</v>
      </c>
      <c r="GD61" s="68">
        <v>79.41</v>
      </c>
    </row>
    <row r="62" spans="36:186" x14ac:dyDescent="0.3">
      <c r="AZ62" s="68">
        <v>21</v>
      </c>
      <c r="BB62" s="68">
        <v>66.790000000000006</v>
      </c>
      <c r="BC62" s="68">
        <v>15.69</v>
      </c>
      <c r="BD62" s="68">
        <v>7.74</v>
      </c>
      <c r="BE62" s="68">
        <v>94</v>
      </c>
      <c r="BF62" s="68">
        <v>9.7799999999999994</v>
      </c>
      <c r="BR62" s="19">
        <v>45351</v>
      </c>
      <c r="CH62" s="19">
        <v>45356</v>
      </c>
      <c r="DL62" s="68">
        <v>1</v>
      </c>
      <c r="DN62" s="68">
        <v>64.14</v>
      </c>
      <c r="DO62" s="68">
        <v>16.7</v>
      </c>
      <c r="DP62" s="68">
        <v>4.33</v>
      </c>
      <c r="DQ62" s="68">
        <v>22</v>
      </c>
      <c r="DR62" s="68">
        <v>14.83</v>
      </c>
      <c r="ED62" s="19">
        <v>45382</v>
      </c>
    </row>
    <row r="63" spans="36:186" x14ac:dyDescent="0.3">
      <c r="AL63" s="19">
        <v>45335</v>
      </c>
      <c r="AZ63" s="68">
        <v>24</v>
      </c>
      <c r="BB63" s="68">
        <v>73.459999999999994</v>
      </c>
      <c r="BC63" s="68">
        <v>16.829999999999998</v>
      </c>
      <c r="BD63" s="68">
        <v>2.1</v>
      </c>
      <c r="BE63" s="68">
        <v>128</v>
      </c>
      <c r="BF63" s="68">
        <v>7.61</v>
      </c>
      <c r="BP63" s="68">
        <v>5</v>
      </c>
      <c r="BR63" s="68">
        <v>14.63</v>
      </c>
      <c r="BS63" s="68">
        <v>0.61</v>
      </c>
      <c r="BT63" s="68">
        <v>19.52</v>
      </c>
      <c r="BU63" s="68">
        <v>3</v>
      </c>
      <c r="BV63" s="68">
        <v>65.23</v>
      </c>
      <c r="CF63" s="68">
        <v>33</v>
      </c>
      <c r="CH63" s="68">
        <v>49.45</v>
      </c>
      <c r="CI63" s="68">
        <v>10.51</v>
      </c>
      <c r="CJ63" s="68">
        <v>13.34</v>
      </c>
      <c r="CK63" s="68">
        <v>0</v>
      </c>
      <c r="CL63" s="68">
        <v>26.69</v>
      </c>
      <c r="DL63" s="68">
        <v>31</v>
      </c>
      <c r="DN63" s="68">
        <v>43.03</v>
      </c>
      <c r="DO63" s="68">
        <v>7.58</v>
      </c>
      <c r="DP63" s="68">
        <v>9.26</v>
      </c>
      <c r="DQ63" s="68">
        <v>1</v>
      </c>
      <c r="DR63" s="68">
        <v>40.14</v>
      </c>
      <c r="EB63" s="68">
        <v>12</v>
      </c>
      <c r="ED63" s="68">
        <v>54.45</v>
      </c>
      <c r="EE63" s="68">
        <v>14.7</v>
      </c>
      <c r="EF63" s="68">
        <v>6.22</v>
      </c>
      <c r="EG63" s="68">
        <v>108</v>
      </c>
      <c r="EH63" s="68">
        <v>24.63</v>
      </c>
    </row>
    <row r="64" spans="36:186" x14ac:dyDescent="0.3">
      <c r="AJ64" s="68">
        <v>4</v>
      </c>
      <c r="AL64" s="68">
        <v>35.46</v>
      </c>
      <c r="AM64" s="68">
        <v>27.25</v>
      </c>
      <c r="AN64" s="68">
        <v>7.69</v>
      </c>
      <c r="AO64" s="68">
        <v>172</v>
      </c>
      <c r="AP64" s="68">
        <v>29.61</v>
      </c>
      <c r="AZ64" s="68">
        <v>20</v>
      </c>
      <c r="BB64" s="68">
        <v>65.459999999999994</v>
      </c>
      <c r="BC64" s="68">
        <v>16.579999999999998</v>
      </c>
      <c r="BD64" s="68">
        <v>7.87</v>
      </c>
      <c r="BE64" s="68">
        <v>45</v>
      </c>
      <c r="BF64" s="68">
        <v>10.08</v>
      </c>
      <c r="BP64" s="68">
        <v>9</v>
      </c>
      <c r="BR64" s="68">
        <v>62.35</v>
      </c>
      <c r="BS64" s="68">
        <v>9.3000000000000007</v>
      </c>
      <c r="BT64" s="68">
        <v>10.130000000000001</v>
      </c>
      <c r="BU64" s="68">
        <v>228</v>
      </c>
      <c r="BV64" s="68">
        <v>18.22</v>
      </c>
      <c r="CF64" s="68">
        <v>34</v>
      </c>
      <c r="CH64" s="68">
        <v>32.57</v>
      </c>
      <c r="CI64" s="68">
        <v>4.6399999999999997</v>
      </c>
      <c r="CJ64" s="68">
        <v>10.66</v>
      </c>
      <c r="CK64" s="68">
        <v>0</v>
      </c>
      <c r="CL64" s="68">
        <v>52.13</v>
      </c>
      <c r="DL64" s="68">
        <v>17</v>
      </c>
      <c r="DN64" s="68">
        <v>59.98</v>
      </c>
      <c r="DO64" s="68">
        <v>2.92</v>
      </c>
      <c r="DP64" s="68">
        <v>8.64</v>
      </c>
      <c r="DQ64" s="68">
        <v>1</v>
      </c>
      <c r="DR64" s="68">
        <v>28.46</v>
      </c>
      <c r="EB64" s="68">
        <v>33</v>
      </c>
      <c r="ED64" s="68">
        <v>34.700000000000003</v>
      </c>
      <c r="EE64" s="68">
        <v>6.95</v>
      </c>
      <c r="EF64" s="68">
        <v>10.23</v>
      </c>
      <c r="EG64" s="68">
        <v>0</v>
      </c>
      <c r="EH64" s="68">
        <v>48.12</v>
      </c>
    </row>
    <row r="65" spans="36:138" x14ac:dyDescent="0.3">
      <c r="AJ65" s="68">
        <v>3</v>
      </c>
      <c r="AL65" s="68">
        <v>21.23</v>
      </c>
      <c r="AM65" s="68">
        <v>23.44</v>
      </c>
      <c r="AN65" s="68">
        <v>11.23</v>
      </c>
      <c r="AO65" s="68">
        <v>324</v>
      </c>
      <c r="AP65" s="68">
        <v>44.11</v>
      </c>
      <c r="AZ65" s="68">
        <v>19</v>
      </c>
      <c r="BB65" s="68">
        <v>21.92</v>
      </c>
      <c r="BC65" s="68">
        <v>0.5</v>
      </c>
      <c r="BD65" s="68">
        <v>18.39</v>
      </c>
      <c r="BE65" s="68">
        <v>3</v>
      </c>
      <c r="BF65" s="68">
        <v>59.18</v>
      </c>
      <c r="BP65" s="68">
        <v>17</v>
      </c>
      <c r="BR65" s="68">
        <v>67.09</v>
      </c>
      <c r="BS65" s="68">
        <v>6.25</v>
      </c>
      <c r="BT65" s="68">
        <v>6.21</v>
      </c>
      <c r="BU65" s="68">
        <v>1</v>
      </c>
      <c r="BV65" s="68">
        <v>20.45</v>
      </c>
      <c r="CF65" s="68">
        <v>30</v>
      </c>
      <c r="CH65" s="68">
        <v>65.41</v>
      </c>
      <c r="CI65" s="68">
        <v>12.4</v>
      </c>
      <c r="CJ65" s="68">
        <v>4.3099999999999996</v>
      </c>
      <c r="CK65" s="68">
        <v>1</v>
      </c>
      <c r="CL65" s="68">
        <v>17.88</v>
      </c>
      <c r="DL65" s="68">
        <v>24</v>
      </c>
      <c r="DN65" s="68">
        <v>41.49</v>
      </c>
      <c r="DO65" s="68">
        <v>15.15</v>
      </c>
      <c r="DP65" s="68">
        <v>9.0500000000000007</v>
      </c>
      <c r="DQ65" s="68">
        <v>72</v>
      </c>
      <c r="DR65" s="68">
        <v>34.32</v>
      </c>
      <c r="EB65" s="68">
        <v>3</v>
      </c>
      <c r="ED65" s="68">
        <v>67.09</v>
      </c>
      <c r="EE65" s="68">
        <v>19.43</v>
      </c>
      <c r="EF65" s="68">
        <v>2.76</v>
      </c>
      <c r="EG65" s="68">
        <v>4</v>
      </c>
      <c r="EH65" s="68">
        <v>10.72</v>
      </c>
    </row>
    <row r="66" spans="36:138" x14ac:dyDescent="0.3">
      <c r="AZ66" s="68">
        <v>3</v>
      </c>
      <c r="BB66" s="68">
        <v>38.869999999999997</v>
      </c>
      <c r="BC66" s="68">
        <v>12.02</v>
      </c>
      <c r="BD66" s="68">
        <v>9.7200000000000006</v>
      </c>
      <c r="BE66" s="68">
        <v>104</v>
      </c>
      <c r="BF66" s="68">
        <v>39.380000000000003</v>
      </c>
      <c r="BP66" s="68">
        <v>4</v>
      </c>
      <c r="BR66" s="68">
        <v>49.54</v>
      </c>
      <c r="BS66" s="68">
        <v>14.19</v>
      </c>
      <c r="BT66" s="68">
        <v>7.26</v>
      </c>
      <c r="BU66" s="68">
        <v>115</v>
      </c>
      <c r="BV66" s="68">
        <v>29.01</v>
      </c>
      <c r="CF66" s="68">
        <v>16</v>
      </c>
      <c r="CH66" s="68">
        <v>22.71</v>
      </c>
      <c r="CI66" s="68">
        <v>8.06</v>
      </c>
      <c r="CJ66" s="68">
        <v>18.010000000000002</v>
      </c>
      <c r="CK66" s="68">
        <v>0</v>
      </c>
      <c r="CL66" s="68">
        <v>51.23</v>
      </c>
      <c r="EB66" s="68">
        <v>8</v>
      </c>
      <c r="ED66" s="68">
        <v>18.87</v>
      </c>
      <c r="EE66" s="68">
        <v>6.98</v>
      </c>
      <c r="EF66" s="68">
        <v>15.81</v>
      </c>
      <c r="EG66" s="68">
        <v>1</v>
      </c>
      <c r="EH66" s="68">
        <v>58.33</v>
      </c>
    </row>
    <row r="67" spans="36:138" x14ac:dyDescent="0.3">
      <c r="AL67" s="19">
        <v>45334</v>
      </c>
      <c r="AZ67" s="68">
        <v>9</v>
      </c>
      <c r="BB67" s="68">
        <v>65.64</v>
      </c>
      <c r="BC67" s="68">
        <v>10.51</v>
      </c>
      <c r="BD67" s="68">
        <v>9.1300000000000008</v>
      </c>
      <c r="BE67" s="68">
        <v>222</v>
      </c>
      <c r="BF67" s="68">
        <v>14.72</v>
      </c>
      <c r="BP67" s="68">
        <v>20</v>
      </c>
      <c r="BR67" s="68">
        <v>63.41</v>
      </c>
      <c r="BS67" s="68">
        <v>19.170000000000002</v>
      </c>
      <c r="BT67" s="68">
        <v>8.85</v>
      </c>
      <c r="BU67" s="68">
        <v>46</v>
      </c>
      <c r="BV67" s="68">
        <v>8.57</v>
      </c>
      <c r="CF67" s="68">
        <v>14</v>
      </c>
      <c r="CH67" s="68">
        <v>53.22</v>
      </c>
      <c r="CI67" s="68">
        <v>4.88</v>
      </c>
      <c r="CJ67" s="68">
        <v>8.99</v>
      </c>
      <c r="CK67" s="68">
        <v>1</v>
      </c>
      <c r="CL67" s="68">
        <v>32.909999999999997</v>
      </c>
      <c r="EB67" s="68">
        <v>24</v>
      </c>
      <c r="ED67" s="68">
        <v>66.5</v>
      </c>
      <c r="EE67" s="68">
        <v>19.850000000000001</v>
      </c>
      <c r="EF67" s="68">
        <v>2.97</v>
      </c>
      <c r="EG67" s="68">
        <v>54</v>
      </c>
      <c r="EH67" s="68">
        <v>10.67</v>
      </c>
    </row>
    <row r="68" spans="36:138" x14ac:dyDescent="0.3">
      <c r="AJ68" s="68">
        <v>3</v>
      </c>
      <c r="AL68" s="68">
        <v>12.4</v>
      </c>
      <c r="AM68" s="68">
        <v>16.61</v>
      </c>
      <c r="AN68" s="68">
        <v>14.47</v>
      </c>
      <c r="AO68" s="68">
        <v>250</v>
      </c>
      <c r="AP68" s="68">
        <v>56.52</v>
      </c>
      <c r="BP68" s="68">
        <v>21</v>
      </c>
      <c r="BR68" s="68">
        <v>59.65</v>
      </c>
      <c r="BS68" s="68">
        <v>14.39</v>
      </c>
      <c r="BT68" s="68">
        <v>9.42</v>
      </c>
      <c r="BU68" s="68">
        <v>66</v>
      </c>
      <c r="BV68" s="68">
        <v>16.53</v>
      </c>
      <c r="CF68" s="68">
        <v>1</v>
      </c>
      <c r="CH68" s="68">
        <v>64.8</v>
      </c>
      <c r="CI68" s="68">
        <v>18.21</v>
      </c>
      <c r="CJ68" s="68">
        <v>3.52</v>
      </c>
      <c r="CK68" s="68">
        <v>39</v>
      </c>
      <c r="CL68" s="68">
        <v>13.48</v>
      </c>
    </row>
    <row r="69" spans="36:138" x14ac:dyDescent="0.3">
      <c r="AJ69" s="36">
        <v>15</v>
      </c>
      <c r="AL69" s="68">
        <v>0.8</v>
      </c>
      <c r="AM69" s="68">
        <v>1.41</v>
      </c>
      <c r="AN69" s="68">
        <v>19.66</v>
      </c>
      <c r="AO69" s="68">
        <v>0</v>
      </c>
      <c r="AP69" s="68">
        <v>78.13</v>
      </c>
      <c r="BB69" s="19">
        <v>45343</v>
      </c>
      <c r="CF69" s="68">
        <v>4</v>
      </c>
      <c r="CH69" s="68">
        <v>41.53</v>
      </c>
      <c r="CI69" s="68">
        <v>9.65</v>
      </c>
      <c r="CJ69" s="68">
        <v>9.74</v>
      </c>
      <c r="CK69" s="68">
        <v>59</v>
      </c>
      <c r="CL69" s="68">
        <v>39.090000000000003</v>
      </c>
    </row>
    <row r="70" spans="36:138" x14ac:dyDescent="0.3">
      <c r="AJ70" s="68">
        <v>12</v>
      </c>
      <c r="AL70" s="68">
        <v>17.88</v>
      </c>
      <c r="AM70" s="68">
        <v>25.15</v>
      </c>
      <c r="AN70" s="68">
        <v>6.35</v>
      </c>
      <c r="AO70" s="68">
        <v>458</v>
      </c>
      <c r="AP70" s="68">
        <v>50.62</v>
      </c>
      <c r="AZ70" s="68">
        <v>22</v>
      </c>
      <c r="BB70" s="68">
        <v>38.14</v>
      </c>
      <c r="BC70" s="68">
        <v>9.3699999999999992</v>
      </c>
      <c r="BD70" s="68">
        <v>10.76</v>
      </c>
      <c r="BE70" s="68">
        <v>0</v>
      </c>
      <c r="BF70" s="68">
        <v>41.73</v>
      </c>
      <c r="BR70" s="19">
        <v>45350</v>
      </c>
      <c r="CF70" s="68">
        <v>25</v>
      </c>
      <c r="CH70" s="68">
        <v>31.18</v>
      </c>
      <c r="CI70" s="68">
        <v>6.43</v>
      </c>
      <c r="CJ70" s="68">
        <v>14.22</v>
      </c>
      <c r="CK70" s="68">
        <v>0</v>
      </c>
      <c r="CL70" s="68">
        <v>48.17</v>
      </c>
    </row>
    <row r="71" spans="36:138" x14ac:dyDescent="0.3">
      <c r="AZ71" s="68">
        <v>31</v>
      </c>
      <c r="BB71" s="68">
        <v>47.53</v>
      </c>
      <c r="BC71" s="68">
        <v>16.7</v>
      </c>
      <c r="BD71" s="68">
        <v>9.19</v>
      </c>
      <c r="BE71" s="68">
        <v>1</v>
      </c>
      <c r="BF71" s="68">
        <v>26.58</v>
      </c>
      <c r="BP71" s="68">
        <v>29</v>
      </c>
      <c r="BR71" s="68">
        <v>28.93</v>
      </c>
      <c r="BS71" s="68">
        <v>0.68</v>
      </c>
      <c r="BT71" s="68">
        <v>16.37</v>
      </c>
      <c r="BU71" s="68">
        <v>0</v>
      </c>
      <c r="BV71" s="68">
        <v>54.03</v>
      </c>
      <c r="CF71" s="68">
        <v>26</v>
      </c>
      <c r="CH71" s="68">
        <v>36.880000000000003</v>
      </c>
      <c r="CI71" s="68">
        <v>1.03</v>
      </c>
      <c r="CJ71" s="68">
        <v>15.49</v>
      </c>
      <c r="CK71" s="68">
        <v>1</v>
      </c>
      <c r="CL71" s="68">
        <v>46.6</v>
      </c>
    </row>
    <row r="72" spans="36:138" x14ac:dyDescent="0.3">
      <c r="AZ72" s="68">
        <v>29</v>
      </c>
      <c r="BB72" s="68">
        <v>14</v>
      </c>
      <c r="BC72" s="68">
        <v>1.82</v>
      </c>
      <c r="BD72" s="68">
        <v>18.149999999999999</v>
      </c>
      <c r="BE72" s="68">
        <v>1</v>
      </c>
      <c r="BF72" s="68">
        <v>66.03</v>
      </c>
      <c r="BP72" s="68">
        <v>26</v>
      </c>
      <c r="BR72" s="68">
        <v>38.15</v>
      </c>
      <c r="BS72" s="68">
        <v>1.4</v>
      </c>
      <c r="BT72" s="68">
        <v>15</v>
      </c>
      <c r="BU72" s="68">
        <v>1</v>
      </c>
      <c r="BV72" s="68">
        <v>45.44</v>
      </c>
      <c r="CF72" s="68">
        <v>18</v>
      </c>
      <c r="CH72" s="68">
        <v>55.85</v>
      </c>
      <c r="CI72" s="68">
        <v>6.26</v>
      </c>
      <c r="CJ72" s="68">
        <v>7.62</v>
      </c>
      <c r="CK72" s="68">
        <v>1</v>
      </c>
      <c r="CL72" s="68">
        <v>30.27</v>
      </c>
    </row>
    <row r="73" spans="36:138" x14ac:dyDescent="0.3">
      <c r="AZ73" s="68">
        <v>28</v>
      </c>
      <c r="BB73" s="68">
        <v>2.41</v>
      </c>
      <c r="BC73" s="68">
        <v>0.51</v>
      </c>
      <c r="BD73" s="68">
        <v>20.94</v>
      </c>
      <c r="BE73" s="68">
        <v>4</v>
      </c>
      <c r="BF73" s="68">
        <v>76.14</v>
      </c>
      <c r="BP73" s="68">
        <v>27</v>
      </c>
      <c r="BR73" s="1">
        <v>37.65</v>
      </c>
      <c r="BS73" s="1">
        <v>18.920000000000002</v>
      </c>
      <c r="BT73" s="1">
        <v>7.73</v>
      </c>
      <c r="BU73" s="1">
        <v>0</v>
      </c>
      <c r="BV73" s="1">
        <v>35.700000000000003</v>
      </c>
      <c r="CF73" s="68">
        <v>8</v>
      </c>
      <c r="CH73" s="68">
        <v>33.51</v>
      </c>
      <c r="CI73" s="68">
        <v>8.02</v>
      </c>
      <c r="CJ73" s="68">
        <v>12.88</v>
      </c>
      <c r="CK73" s="68">
        <v>54</v>
      </c>
      <c r="CL73" s="68">
        <v>45.58</v>
      </c>
    </row>
    <row r="74" spans="36:138" x14ac:dyDescent="0.3">
      <c r="AZ74" s="68">
        <v>20</v>
      </c>
      <c r="BB74" s="68">
        <v>57.94</v>
      </c>
      <c r="BC74" s="68">
        <v>17.27</v>
      </c>
      <c r="BD74" s="68">
        <v>9.93</v>
      </c>
      <c r="BE74" s="68">
        <v>42</v>
      </c>
      <c r="BF74" s="68">
        <v>14.86</v>
      </c>
      <c r="BP74" s="68">
        <v>15</v>
      </c>
      <c r="BR74" s="68">
        <v>65.98</v>
      </c>
      <c r="BS74" s="68">
        <v>19.899999999999999</v>
      </c>
      <c r="BT74" s="68">
        <v>2.82</v>
      </c>
      <c r="BU74" s="68">
        <v>34</v>
      </c>
      <c r="BV74" s="68">
        <v>11.3</v>
      </c>
      <c r="CF74" s="68">
        <v>10</v>
      </c>
      <c r="CH74" s="68">
        <v>28.04</v>
      </c>
      <c r="CI74" s="68">
        <v>5.73</v>
      </c>
      <c r="CJ74" s="68">
        <v>14.8</v>
      </c>
      <c r="CK74" s="68">
        <v>32</v>
      </c>
      <c r="CL74" s="68">
        <v>51.43</v>
      </c>
    </row>
    <row r="75" spans="36:138" x14ac:dyDescent="0.3">
      <c r="AZ75" s="68">
        <v>23</v>
      </c>
      <c r="BB75" s="68">
        <v>2.34</v>
      </c>
      <c r="BC75" s="68">
        <v>0.32</v>
      </c>
      <c r="BD75" s="68">
        <v>20.95</v>
      </c>
      <c r="BE75" s="68">
        <v>1</v>
      </c>
      <c r="BF75" s="68">
        <v>76.39</v>
      </c>
      <c r="BP75" s="68">
        <v>1</v>
      </c>
      <c r="BR75" s="68">
        <v>62.3</v>
      </c>
      <c r="BS75" s="68">
        <v>20.91</v>
      </c>
      <c r="BT75" s="68">
        <v>3.45</v>
      </c>
      <c r="BU75" s="68">
        <v>56</v>
      </c>
      <c r="BV75" s="68">
        <v>13.34</v>
      </c>
    </row>
    <row r="76" spans="36:138" x14ac:dyDescent="0.3">
      <c r="AZ76" s="68">
        <v>21</v>
      </c>
      <c r="BB76" s="68">
        <v>68.52</v>
      </c>
      <c r="BC76" s="68">
        <v>19.41</v>
      </c>
      <c r="BD76" s="68">
        <v>4</v>
      </c>
      <c r="BE76" s="68">
        <v>126</v>
      </c>
      <c r="BF76" s="68">
        <v>8.06</v>
      </c>
      <c r="CH76" s="19">
        <v>45355</v>
      </c>
    </row>
    <row r="77" spans="36:138" x14ac:dyDescent="0.3">
      <c r="AZ77" s="68">
        <v>10</v>
      </c>
      <c r="BB77" s="68">
        <v>34.82</v>
      </c>
      <c r="BC77" s="68">
        <v>10.64</v>
      </c>
      <c r="BD77" s="68">
        <v>13.58</v>
      </c>
      <c r="BE77" s="68">
        <v>92</v>
      </c>
      <c r="BF77" s="68">
        <v>40.950000000000003</v>
      </c>
      <c r="BR77" s="19">
        <v>45349</v>
      </c>
      <c r="CF77" s="68">
        <v>21</v>
      </c>
      <c r="CH77" s="68">
        <v>32.43</v>
      </c>
      <c r="CI77" s="68">
        <v>6.21</v>
      </c>
      <c r="CJ77" s="68">
        <v>15.48</v>
      </c>
      <c r="CK77" s="68">
        <v>30</v>
      </c>
      <c r="CL77" s="68">
        <v>45.88</v>
      </c>
    </row>
    <row r="78" spans="36:138" x14ac:dyDescent="0.3">
      <c r="AZ78" s="68">
        <v>9</v>
      </c>
      <c r="BB78" s="68">
        <v>63.45</v>
      </c>
      <c r="BC78" s="68">
        <v>12.28</v>
      </c>
      <c r="BD78" s="68">
        <v>6.69</v>
      </c>
      <c r="BE78" s="68">
        <v>109</v>
      </c>
      <c r="BF78" s="68">
        <v>17.579999999999998</v>
      </c>
      <c r="BP78" s="68">
        <v>4</v>
      </c>
      <c r="BR78" s="68">
        <v>45.12</v>
      </c>
      <c r="BS78" s="68">
        <v>13.76</v>
      </c>
      <c r="BT78" s="68">
        <v>8.18</v>
      </c>
      <c r="BU78" s="68">
        <v>127</v>
      </c>
      <c r="BV78" s="68">
        <v>32.93</v>
      </c>
      <c r="CF78" s="68">
        <v>19</v>
      </c>
      <c r="CH78" s="68">
        <v>0.24</v>
      </c>
      <c r="CI78" s="68">
        <v>0.09</v>
      </c>
      <c r="CJ78" s="68">
        <v>20.83</v>
      </c>
      <c r="CK78" s="68">
        <v>1</v>
      </c>
      <c r="CL78" s="68">
        <v>78.83</v>
      </c>
    </row>
    <row r="79" spans="36:138" x14ac:dyDescent="0.3">
      <c r="AZ79" s="68">
        <v>5</v>
      </c>
      <c r="BB79" s="68">
        <v>9.1300000000000008</v>
      </c>
      <c r="BC79" s="68">
        <v>0.42</v>
      </c>
      <c r="BD79" s="68">
        <v>20.239999999999998</v>
      </c>
      <c r="BE79" s="68">
        <v>1</v>
      </c>
      <c r="BF79" s="68">
        <v>70.209999999999994</v>
      </c>
      <c r="BP79" s="68">
        <v>3</v>
      </c>
      <c r="BR79" s="68">
        <v>73.930000000000007</v>
      </c>
      <c r="BS79" s="68">
        <v>16.05</v>
      </c>
      <c r="BT79" s="68">
        <v>2.0099999999999998</v>
      </c>
      <c r="BU79" s="68">
        <v>90</v>
      </c>
      <c r="BV79" s="68">
        <v>8</v>
      </c>
    </row>
    <row r="80" spans="36:138" x14ac:dyDescent="0.3">
      <c r="AZ80" s="68">
        <v>30</v>
      </c>
      <c r="BB80" s="68">
        <v>53.69</v>
      </c>
      <c r="BC80" s="68">
        <v>17.89</v>
      </c>
      <c r="BD80" s="68">
        <v>5.49</v>
      </c>
      <c r="BE80" s="68">
        <v>1</v>
      </c>
      <c r="BF80" s="68">
        <v>22.93</v>
      </c>
      <c r="BP80" s="68">
        <v>8</v>
      </c>
      <c r="BR80" s="68">
        <v>19.64</v>
      </c>
      <c r="BS80" s="68">
        <v>9.26</v>
      </c>
      <c r="BT80" s="68">
        <v>12.49</v>
      </c>
      <c r="BU80" s="68">
        <v>23</v>
      </c>
      <c r="BV80" s="68">
        <v>58.61</v>
      </c>
    </row>
    <row r="81" spans="52:74" x14ac:dyDescent="0.3">
      <c r="AZ81" s="68">
        <v>24</v>
      </c>
      <c r="BB81" s="68">
        <v>70.47</v>
      </c>
      <c r="BC81" s="68">
        <v>18.23</v>
      </c>
      <c r="BD81" s="68">
        <v>2.52</v>
      </c>
      <c r="BE81" s="68">
        <v>160</v>
      </c>
      <c r="BF81" s="68">
        <v>8.7799999999999994</v>
      </c>
      <c r="BP81" s="68">
        <v>10</v>
      </c>
      <c r="BR81" s="68">
        <v>52.47</v>
      </c>
      <c r="BS81" s="68">
        <v>12.54</v>
      </c>
      <c r="BT81" s="68">
        <v>10.75</v>
      </c>
      <c r="BU81" s="68">
        <v>127</v>
      </c>
      <c r="BV81" s="68">
        <v>24.24</v>
      </c>
    </row>
    <row r="82" spans="52:74" x14ac:dyDescent="0.3">
      <c r="AZ82" s="68">
        <v>18</v>
      </c>
      <c r="BB82" s="68">
        <v>49.99</v>
      </c>
      <c r="BC82" s="68">
        <v>10.36</v>
      </c>
      <c r="BD82" s="68">
        <v>8.6</v>
      </c>
      <c r="BE82" s="68">
        <v>3</v>
      </c>
      <c r="BF82" s="68">
        <v>31.06</v>
      </c>
      <c r="BP82" s="68">
        <v>33</v>
      </c>
      <c r="BR82" s="68">
        <v>37.65</v>
      </c>
      <c r="BS82" s="68">
        <v>18.920000000000002</v>
      </c>
      <c r="BT82" s="68">
        <v>7.73</v>
      </c>
      <c r="BU82" s="68">
        <v>0</v>
      </c>
      <c r="BV82" s="68">
        <v>35.700000000000003</v>
      </c>
    </row>
    <row r="83" spans="52:74" x14ac:dyDescent="0.3">
      <c r="AZ83" s="68">
        <v>4</v>
      </c>
      <c r="BB83" s="68">
        <v>48.62</v>
      </c>
      <c r="BC83" s="68">
        <v>17.38</v>
      </c>
      <c r="BD83" s="68">
        <v>6.85</v>
      </c>
      <c r="BE83" s="68">
        <v>172</v>
      </c>
      <c r="BF83" s="68">
        <v>27.15</v>
      </c>
      <c r="BP83" s="68">
        <v>34</v>
      </c>
      <c r="BR83" s="68">
        <v>38.67</v>
      </c>
      <c r="BS83" s="68">
        <v>14.79</v>
      </c>
      <c r="BT83" s="68">
        <v>7.94</v>
      </c>
      <c r="BU83" s="68">
        <v>0</v>
      </c>
      <c r="BV83" s="68">
        <v>38.6</v>
      </c>
    </row>
    <row r="84" spans="52:74" x14ac:dyDescent="0.3">
      <c r="AZ84" s="68">
        <v>1</v>
      </c>
      <c r="BB84" s="68">
        <v>57.28</v>
      </c>
      <c r="BC84" s="68">
        <v>28.89</v>
      </c>
      <c r="BD84" s="68">
        <v>3.07</v>
      </c>
      <c r="BE84" s="68">
        <v>81</v>
      </c>
      <c r="BF84" s="68">
        <v>10.76</v>
      </c>
      <c r="BP84" s="68">
        <v>32</v>
      </c>
      <c r="BR84" s="68">
        <v>67.37</v>
      </c>
      <c r="BS84" s="68">
        <v>17.43</v>
      </c>
      <c r="BT84" s="68">
        <v>3.2</v>
      </c>
      <c r="BU84" s="68">
        <v>6</v>
      </c>
      <c r="BV84" s="68">
        <v>12</v>
      </c>
    </row>
    <row r="85" spans="52:74" x14ac:dyDescent="0.3">
      <c r="AZ85" s="68">
        <v>15</v>
      </c>
      <c r="BB85" s="68">
        <v>55</v>
      </c>
      <c r="BC85" s="68">
        <v>21.91</v>
      </c>
      <c r="BD85" s="68">
        <v>4.2</v>
      </c>
      <c r="BE85" s="68">
        <v>36</v>
      </c>
      <c r="BF85" s="68">
        <v>18.89</v>
      </c>
      <c r="BP85" s="68">
        <v>22</v>
      </c>
      <c r="BR85" s="68">
        <v>25.49</v>
      </c>
      <c r="BS85" s="68">
        <v>12.09</v>
      </c>
      <c r="BT85" s="68">
        <v>11.57</v>
      </c>
      <c r="BU85" s="68">
        <v>0</v>
      </c>
      <c r="BV85" s="68">
        <v>50.85</v>
      </c>
    </row>
    <row r="86" spans="52:74" x14ac:dyDescent="0.3">
      <c r="AZ86" s="68">
        <v>17</v>
      </c>
      <c r="BB86" s="68">
        <v>60.1</v>
      </c>
      <c r="BC86" s="68">
        <v>8.56</v>
      </c>
      <c r="BD86" s="68">
        <v>7.21</v>
      </c>
      <c r="BE86" s="68">
        <v>6</v>
      </c>
      <c r="BF86" s="68">
        <v>24.13</v>
      </c>
      <c r="BP86" s="68">
        <v>21</v>
      </c>
      <c r="BR86" s="68">
        <v>69.62</v>
      </c>
      <c r="BS86" s="68">
        <v>16.34</v>
      </c>
      <c r="BT86" s="68">
        <v>4.34</v>
      </c>
      <c r="BU86" s="68">
        <v>91</v>
      </c>
      <c r="BV86" s="68">
        <v>9.6999999999999993</v>
      </c>
    </row>
    <row r="87" spans="52:74" x14ac:dyDescent="0.3">
      <c r="AZ87" s="68">
        <v>12</v>
      </c>
      <c r="BB87" s="68">
        <v>67.05</v>
      </c>
      <c r="BC87" s="68">
        <v>17.77</v>
      </c>
      <c r="BD87" s="68">
        <v>2.9</v>
      </c>
      <c r="BE87" s="68">
        <v>461</v>
      </c>
      <c r="BF87" s="68">
        <v>12.29</v>
      </c>
      <c r="BP87" s="68" t="s">
        <v>77</v>
      </c>
      <c r="BR87" s="68">
        <v>26.95</v>
      </c>
      <c r="BS87" s="68">
        <v>5.19</v>
      </c>
      <c r="BT87" s="68">
        <v>11.54</v>
      </c>
      <c r="BU87" s="68">
        <v>1</v>
      </c>
      <c r="BV87" s="68">
        <v>56.32</v>
      </c>
    </row>
    <row r="88" spans="52:74" x14ac:dyDescent="0.3">
      <c r="AZ88" s="68">
        <v>14</v>
      </c>
      <c r="BB88" s="68">
        <v>51.48</v>
      </c>
      <c r="BC88" s="68">
        <v>9.2899999999999991</v>
      </c>
      <c r="BD88" s="68">
        <v>9.02</v>
      </c>
      <c r="BE88" s="68">
        <v>1</v>
      </c>
      <c r="BF88" s="68">
        <v>30.22</v>
      </c>
      <c r="BP88" s="68">
        <v>12</v>
      </c>
      <c r="BR88" s="68">
        <v>71.540000000000006</v>
      </c>
      <c r="BS88" s="68">
        <v>16.14</v>
      </c>
      <c r="BT88" s="68">
        <v>2.38</v>
      </c>
      <c r="BU88" s="68">
        <v>350</v>
      </c>
      <c r="BV88" s="68">
        <v>9.94</v>
      </c>
    </row>
    <row r="89" spans="52:74" x14ac:dyDescent="0.3">
      <c r="AZ89" s="68">
        <v>32</v>
      </c>
      <c r="BB89" s="68">
        <v>64.98</v>
      </c>
      <c r="BC89" s="68">
        <v>16.37</v>
      </c>
      <c r="BD89" s="68">
        <v>4.4800000000000004</v>
      </c>
      <c r="BE89" s="68">
        <v>0</v>
      </c>
      <c r="BF89" s="68">
        <v>14.16</v>
      </c>
      <c r="BP89" s="68">
        <v>4</v>
      </c>
      <c r="BR89" s="68">
        <v>47.94</v>
      </c>
      <c r="BS89" s="68">
        <v>13.81</v>
      </c>
      <c r="BT89" s="68">
        <v>7.58</v>
      </c>
      <c r="BU89" s="68">
        <v>123</v>
      </c>
      <c r="BV89" s="68">
        <v>30.67</v>
      </c>
    </row>
    <row r="90" spans="52:74" x14ac:dyDescent="0.3">
      <c r="BP90" s="68">
        <v>9</v>
      </c>
      <c r="BR90" s="68">
        <v>59.96</v>
      </c>
      <c r="BS90" s="68">
        <v>8.99</v>
      </c>
      <c r="BT90" s="68">
        <v>7.82</v>
      </c>
      <c r="BU90" s="68">
        <v>128</v>
      </c>
      <c r="BV90" s="68">
        <v>23.23</v>
      </c>
    </row>
    <row r="91" spans="52:74" x14ac:dyDescent="0.3">
      <c r="BB91" s="19">
        <v>45341</v>
      </c>
    </row>
    <row r="92" spans="52:74" x14ac:dyDescent="0.3">
      <c r="AZ92" s="68">
        <v>29</v>
      </c>
      <c r="BB92" s="68">
        <v>11.59</v>
      </c>
      <c r="BC92" s="68">
        <v>0.67</v>
      </c>
      <c r="BD92" s="68">
        <v>18.940000000000001</v>
      </c>
      <c r="BE92" s="68">
        <v>2</v>
      </c>
      <c r="BF92" s="68">
        <v>68.8</v>
      </c>
      <c r="BR92" s="19">
        <v>45348</v>
      </c>
    </row>
    <row r="93" spans="52:74" x14ac:dyDescent="0.3">
      <c r="AZ93" s="36">
        <v>10</v>
      </c>
      <c r="BB93" s="68">
        <v>2.08</v>
      </c>
      <c r="BC93" s="68">
        <v>1.22</v>
      </c>
      <c r="BD93" s="68">
        <v>20.149999999999999</v>
      </c>
      <c r="BE93" s="68">
        <v>23</v>
      </c>
      <c r="BF93" s="68">
        <v>76.540000000000006</v>
      </c>
      <c r="BP93" s="68">
        <v>21</v>
      </c>
      <c r="BR93" s="68">
        <v>39.700000000000003</v>
      </c>
      <c r="BS93" s="68">
        <v>10.14</v>
      </c>
      <c r="BT93" s="68">
        <v>15.32</v>
      </c>
      <c r="BU93" s="68">
        <v>62</v>
      </c>
      <c r="BV93" s="68">
        <v>34.840000000000003</v>
      </c>
    </row>
    <row r="94" spans="52:74" x14ac:dyDescent="0.3">
      <c r="AZ94" s="68">
        <v>12</v>
      </c>
      <c r="BB94" s="68">
        <v>57.07</v>
      </c>
      <c r="BC94" s="68">
        <v>16.95</v>
      </c>
      <c r="BD94" s="68">
        <v>5.21</v>
      </c>
      <c r="BE94" s="68">
        <v>428</v>
      </c>
      <c r="BF94" s="68">
        <v>20.78</v>
      </c>
      <c r="BP94" s="68">
        <v>32</v>
      </c>
      <c r="BR94" s="68">
        <v>66.25</v>
      </c>
      <c r="BS94" s="68">
        <v>18.77</v>
      </c>
      <c r="BT94" s="68">
        <v>3.07</v>
      </c>
      <c r="BU94" s="68">
        <v>1</v>
      </c>
      <c r="BV94" s="68">
        <v>11.9</v>
      </c>
    </row>
    <row r="95" spans="52:74" x14ac:dyDescent="0.3">
      <c r="AZ95" s="68">
        <v>32</v>
      </c>
      <c r="BB95" s="68">
        <v>52.86</v>
      </c>
      <c r="BC95" s="68">
        <v>22.54</v>
      </c>
      <c r="BD95" s="68">
        <v>5.74</v>
      </c>
      <c r="BE95" s="68">
        <v>0</v>
      </c>
      <c r="BF95" s="68">
        <v>18.87</v>
      </c>
      <c r="BP95" s="68">
        <v>10</v>
      </c>
      <c r="BR95" s="68">
        <v>51.46</v>
      </c>
      <c r="BS95" s="68">
        <v>13.15</v>
      </c>
      <c r="BT95" s="68">
        <v>10.48</v>
      </c>
      <c r="BU95" s="68">
        <v>102</v>
      </c>
      <c r="BV95" s="68">
        <v>24.91</v>
      </c>
    </row>
    <row r="96" spans="52:74" x14ac:dyDescent="0.3">
      <c r="AZ96" s="68">
        <v>17</v>
      </c>
      <c r="BB96" s="68">
        <v>53.54</v>
      </c>
      <c r="BC96" s="68">
        <v>11.76</v>
      </c>
      <c r="BD96" s="68">
        <v>8.39</v>
      </c>
      <c r="BE96" s="68">
        <v>9</v>
      </c>
      <c r="BF96" s="68">
        <v>26.31</v>
      </c>
      <c r="BP96" s="68">
        <v>5</v>
      </c>
      <c r="BR96" s="68">
        <v>14.97</v>
      </c>
      <c r="BS96" s="68">
        <v>0.48</v>
      </c>
      <c r="BT96" s="68">
        <v>19.670000000000002</v>
      </c>
      <c r="BU96" s="68">
        <v>0</v>
      </c>
      <c r="BV96" s="68">
        <v>64.88</v>
      </c>
    </row>
    <row r="97" spans="3:234" x14ac:dyDescent="0.3">
      <c r="AZ97" s="68">
        <v>15</v>
      </c>
      <c r="BB97" s="68">
        <v>37.29</v>
      </c>
      <c r="BC97" s="68">
        <v>22.22</v>
      </c>
      <c r="BD97" s="68">
        <v>8.1199999999999992</v>
      </c>
      <c r="BE97" s="68">
        <v>33</v>
      </c>
      <c r="BF97" s="68">
        <v>32.369999999999997</v>
      </c>
    </row>
    <row r="98" spans="3:234" x14ac:dyDescent="0.3">
      <c r="AZ98" s="36">
        <v>25</v>
      </c>
      <c r="BB98" s="68">
        <f>0.7*16.5</f>
        <v>11.549999999999999</v>
      </c>
      <c r="BC98" s="68">
        <f>0.17*16.5</f>
        <v>2.8050000000000002</v>
      </c>
      <c r="BD98" s="68">
        <v>14.97</v>
      </c>
      <c r="BE98" s="68">
        <v>2</v>
      </c>
      <c r="BF98" s="68">
        <v>70.67</v>
      </c>
    </row>
    <row r="99" spans="3:234" x14ac:dyDescent="0.3">
      <c r="AZ99" s="68">
        <v>12</v>
      </c>
      <c r="BB99" s="68">
        <v>52.01</v>
      </c>
      <c r="BC99" s="68">
        <v>18.440000000000001</v>
      </c>
      <c r="BD99" s="68">
        <v>5.89</v>
      </c>
      <c r="BE99" s="68">
        <v>486</v>
      </c>
      <c r="BF99" s="68">
        <v>23.66</v>
      </c>
    </row>
    <row r="101" spans="3:234" x14ac:dyDescent="0.3">
      <c r="L101" s="87"/>
      <c r="M101" s="87" t="s">
        <v>92</v>
      </c>
      <c r="N101" s="87"/>
      <c r="O101" s="87"/>
      <c r="P101" s="87"/>
      <c r="Q101" s="87"/>
      <c r="R101" s="87"/>
      <c r="S101" s="87"/>
      <c r="T101" s="87"/>
      <c r="U101" s="87"/>
      <c r="AA101" s="87"/>
      <c r="AB101" s="87"/>
      <c r="AC101" s="87" t="s">
        <v>92</v>
      </c>
      <c r="AD101" s="87"/>
      <c r="AE101" s="87"/>
      <c r="AF101" s="87"/>
      <c r="AG101" s="87"/>
      <c r="AH101" s="87"/>
      <c r="AI101" s="87"/>
      <c r="AJ101" s="87"/>
      <c r="AK101" s="87"/>
      <c r="AQ101" s="87"/>
      <c r="AR101" s="87"/>
      <c r="AS101" s="87" t="s">
        <v>92</v>
      </c>
      <c r="AT101" s="87"/>
      <c r="AU101" s="87"/>
      <c r="AV101" s="87"/>
      <c r="AW101" s="87"/>
      <c r="AX101" s="87"/>
      <c r="AY101" s="87"/>
      <c r="AZ101" s="87"/>
      <c r="BA101" s="87"/>
      <c r="BG101" s="87"/>
      <c r="BH101" s="87"/>
      <c r="BI101" s="89" t="s">
        <v>92</v>
      </c>
      <c r="BJ101" s="87"/>
      <c r="BK101" s="87"/>
      <c r="BL101" s="87"/>
      <c r="BM101" s="87"/>
      <c r="BN101" s="87"/>
      <c r="BO101" s="87"/>
      <c r="BP101" s="87"/>
      <c r="BQ101" s="87"/>
      <c r="BW101" s="87"/>
      <c r="BX101" s="87"/>
      <c r="BY101" s="90" t="s">
        <v>92</v>
      </c>
      <c r="BZ101" s="87"/>
      <c r="CA101" s="87"/>
      <c r="CB101" s="87"/>
      <c r="CC101" s="87"/>
      <c r="CD101" s="87"/>
      <c r="CE101" s="87"/>
      <c r="CF101" s="87"/>
      <c r="CG101" s="87"/>
      <c r="CM101" s="87"/>
      <c r="CN101" s="87"/>
      <c r="CO101" s="90" t="s">
        <v>92</v>
      </c>
      <c r="CP101" s="87"/>
      <c r="CQ101" s="87"/>
      <c r="CR101" s="87"/>
      <c r="CS101" s="87"/>
      <c r="CT101" s="87"/>
      <c r="CU101" s="87"/>
      <c r="CV101" s="87"/>
      <c r="CW101" s="87"/>
      <c r="DC101" s="87"/>
      <c r="DD101" s="87"/>
      <c r="DE101" s="90" t="s">
        <v>92</v>
      </c>
      <c r="DF101" s="87"/>
      <c r="DG101" s="87"/>
      <c r="DH101" s="87"/>
      <c r="DI101" s="87"/>
      <c r="DJ101" s="87"/>
      <c r="DK101" s="87"/>
      <c r="DL101" s="87"/>
      <c r="DM101" s="87"/>
      <c r="DS101" s="87"/>
      <c r="DT101" s="87"/>
      <c r="DU101" s="90" t="s">
        <v>92</v>
      </c>
      <c r="DV101" s="87"/>
      <c r="DW101" s="87"/>
      <c r="DX101" s="87"/>
      <c r="DY101" s="87"/>
      <c r="DZ101" s="87"/>
      <c r="EA101" s="87"/>
      <c r="EB101" s="87"/>
      <c r="EC101" s="87"/>
      <c r="EI101" s="87"/>
      <c r="EK101" s="90" t="s">
        <v>56</v>
      </c>
      <c r="EL101" s="90"/>
      <c r="EM101" s="90"/>
      <c r="EN101" s="90"/>
      <c r="EO101" s="90"/>
      <c r="EP101" s="90"/>
      <c r="EQ101" s="90"/>
      <c r="ER101" s="90"/>
      <c r="ES101" s="90"/>
      <c r="EZ101" s="93"/>
      <c r="FA101" s="93" t="s">
        <v>56</v>
      </c>
      <c r="FB101" s="93"/>
      <c r="FC101" s="93"/>
      <c r="FD101" s="93"/>
      <c r="FE101" s="93"/>
      <c r="FF101" s="93"/>
      <c r="FG101" s="93"/>
      <c r="FH101" s="93"/>
      <c r="FP101" s="93"/>
      <c r="FQ101" s="93" t="s">
        <v>92</v>
      </c>
      <c r="FR101" s="93"/>
      <c r="FS101" s="93"/>
      <c r="FT101" s="93"/>
      <c r="FU101" s="93"/>
      <c r="FV101" s="93"/>
      <c r="FW101" s="93"/>
      <c r="FX101" s="93"/>
      <c r="GG101" s="93" t="s">
        <v>92</v>
      </c>
      <c r="GH101" s="93"/>
      <c r="GI101" s="93"/>
      <c r="GJ101" s="93"/>
      <c r="GK101" s="93"/>
      <c r="GL101" s="93"/>
      <c r="GM101" s="93"/>
      <c r="GN101" s="93"/>
      <c r="GO101" s="93"/>
      <c r="GP101" s="93"/>
      <c r="GQ101" s="93"/>
      <c r="GR101" s="93"/>
      <c r="GS101" s="93"/>
      <c r="GT101" s="93"/>
      <c r="GU101" s="93"/>
      <c r="GV101" s="93"/>
      <c r="GW101" s="93"/>
    </row>
    <row r="102" spans="3:234" x14ac:dyDescent="0.3">
      <c r="L102" s="36" t="s">
        <v>59</v>
      </c>
      <c r="M102" s="231" t="s">
        <v>60</v>
      </c>
      <c r="N102" s="231"/>
      <c r="O102" s="231"/>
      <c r="P102" s="231"/>
      <c r="Q102" s="231"/>
      <c r="R102" s="231"/>
      <c r="S102" s="231"/>
      <c r="T102" s="87"/>
      <c r="U102" s="233"/>
      <c r="AA102" s="87"/>
      <c r="AB102" s="36" t="s">
        <v>59</v>
      </c>
      <c r="AC102" s="231" t="s">
        <v>61</v>
      </c>
      <c r="AD102" s="231"/>
      <c r="AE102" s="231"/>
      <c r="AF102" s="231"/>
      <c r="AG102" s="231"/>
      <c r="AH102" s="231"/>
      <c r="AI102" s="231"/>
      <c r="AJ102" s="87"/>
      <c r="AK102" s="233"/>
      <c r="AQ102" s="87"/>
      <c r="AR102" s="36" t="s">
        <v>59</v>
      </c>
      <c r="AS102" s="231" t="s">
        <v>62</v>
      </c>
      <c r="AT102" s="231"/>
      <c r="AU102" s="231"/>
      <c r="AV102" s="231"/>
      <c r="AW102" s="231"/>
      <c r="AX102" s="231"/>
      <c r="AY102" s="231"/>
      <c r="AZ102" s="87"/>
      <c r="BA102" s="233"/>
      <c r="BG102" s="87"/>
      <c r="BH102" s="36" t="s">
        <v>59</v>
      </c>
      <c r="BI102" s="231" t="s">
        <v>63</v>
      </c>
      <c r="BJ102" s="231"/>
      <c r="BK102" s="231"/>
      <c r="BL102" s="231"/>
      <c r="BM102" s="231"/>
      <c r="BN102" s="231"/>
      <c r="BO102" s="231"/>
      <c r="BP102" s="87"/>
      <c r="BQ102" s="233"/>
      <c r="BW102" s="87"/>
      <c r="BX102" s="36" t="s">
        <v>59</v>
      </c>
      <c r="BY102" s="231" t="s">
        <v>64</v>
      </c>
      <c r="BZ102" s="231"/>
      <c r="CA102" s="231"/>
      <c r="CB102" s="231"/>
      <c r="CC102" s="231"/>
      <c r="CD102" s="231"/>
      <c r="CE102" s="231"/>
      <c r="CF102" s="87"/>
      <c r="CG102" s="233"/>
      <c r="CM102" s="87"/>
      <c r="CN102" s="36" t="s">
        <v>59</v>
      </c>
      <c r="CO102" s="231" t="s">
        <v>65</v>
      </c>
      <c r="CP102" s="231"/>
      <c r="CQ102" s="231"/>
      <c r="CR102" s="231"/>
      <c r="CS102" s="231"/>
      <c r="CT102" s="231"/>
      <c r="CU102" s="231"/>
      <c r="CV102" s="87"/>
      <c r="CW102" s="87"/>
      <c r="DC102" s="87"/>
      <c r="DD102" s="36" t="s">
        <v>59</v>
      </c>
      <c r="DE102" s="231" t="s">
        <v>86</v>
      </c>
      <c r="DF102" s="231"/>
      <c r="DG102" s="231"/>
      <c r="DH102" s="231"/>
      <c r="DI102" s="231"/>
      <c r="DJ102" s="231"/>
      <c r="DK102" s="231"/>
      <c r="DL102" s="87"/>
      <c r="DM102" s="87"/>
      <c r="DS102" s="87"/>
      <c r="DT102" s="36" t="s">
        <v>59</v>
      </c>
      <c r="DU102" s="231" t="s">
        <v>87</v>
      </c>
      <c r="DV102" s="231"/>
      <c r="DW102" s="231"/>
      <c r="DX102" s="231"/>
      <c r="DY102" s="231"/>
      <c r="DZ102" s="231"/>
      <c r="EA102" s="231"/>
      <c r="EB102" s="87"/>
      <c r="EC102" s="87"/>
      <c r="EI102" s="87"/>
      <c r="EJ102" s="36" t="s">
        <v>59</v>
      </c>
      <c r="EK102" s="231" t="s">
        <v>93</v>
      </c>
      <c r="EL102" s="231"/>
      <c r="EM102" s="231"/>
      <c r="EN102" s="231"/>
      <c r="EO102" s="231"/>
      <c r="EP102" s="231"/>
      <c r="EQ102" s="231"/>
      <c r="ER102" s="90"/>
      <c r="ES102" s="90"/>
      <c r="EZ102" s="36" t="s">
        <v>59</v>
      </c>
      <c r="FA102" s="231" t="s">
        <v>95</v>
      </c>
      <c r="FB102" s="231"/>
      <c r="FC102" s="231"/>
      <c r="FD102" s="231"/>
      <c r="FE102" s="231"/>
      <c r="FF102" s="231"/>
      <c r="FG102" s="231"/>
      <c r="FH102" s="93"/>
      <c r="FP102" s="36" t="s">
        <v>59</v>
      </c>
      <c r="FQ102" s="231" t="s">
        <v>101</v>
      </c>
      <c r="FR102" s="231"/>
      <c r="FS102" s="231"/>
      <c r="FT102" s="231"/>
      <c r="FU102" s="231"/>
      <c r="FV102" s="231"/>
      <c r="FW102" s="231"/>
      <c r="FX102" s="93"/>
      <c r="FZ102" s="93"/>
      <c r="GA102" s="93"/>
      <c r="GB102" s="93"/>
      <c r="GC102" s="93"/>
      <c r="GD102" s="93"/>
      <c r="GE102" s="93"/>
      <c r="GF102" s="36" t="s">
        <v>59</v>
      </c>
      <c r="GG102" s="231" t="s">
        <v>102</v>
      </c>
      <c r="GH102" s="231"/>
      <c r="GI102" s="231"/>
      <c r="GJ102" s="231"/>
      <c r="GK102" s="231"/>
      <c r="GL102" s="231"/>
      <c r="GM102" s="231"/>
      <c r="GN102" s="93"/>
      <c r="GO102" s="93"/>
      <c r="GP102" s="93"/>
      <c r="GQ102" s="93"/>
      <c r="GR102" s="93"/>
      <c r="GS102" s="93"/>
      <c r="GT102" s="93"/>
      <c r="GU102" s="93"/>
      <c r="GV102" s="93"/>
      <c r="HC102" s="93"/>
    </row>
    <row r="103" spans="3:234" x14ac:dyDescent="0.3">
      <c r="L103" s="70"/>
      <c r="M103" s="69">
        <v>45327</v>
      </c>
      <c r="N103" s="69">
        <v>45328</v>
      </c>
      <c r="O103" s="69">
        <v>45329</v>
      </c>
      <c r="P103" s="69">
        <v>45330</v>
      </c>
      <c r="Q103" s="69">
        <v>45331</v>
      </c>
      <c r="R103" s="69">
        <v>45332</v>
      </c>
      <c r="S103" s="69">
        <v>45333</v>
      </c>
      <c r="T103" s="71" t="s">
        <v>67</v>
      </c>
      <c r="U103" s="233"/>
      <c r="AA103" s="87"/>
      <c r="AB103" s="70"/>
      <c r="AC103" s="69">
        <v>45334</v>
      </c>
      <c r="AD103" s="69">
        <v>45335</v>
      </c>
      <c r="AE103" s="69">
        <v>45336</v>
      </c>
      <c r="AF103" s="69">
        <v>45337</v>
      </c>
      <c r="AG103" s="69">
        <v>45338</v>
      </c>
      <c r="AH103" s="69">
        <v>45339</v>
      </c>
      <c r="AI103" s="69">
        <v>45340</v>
      </c>
      <c r="AJ103" s="71" t="s">
        <v>67</v>
      </c>
      <c r="AK103" s="233"/>
      <c r="AQ103" s="87"/>
      <c r="AR103" s="70"/>
      <c r="AS103" s="69">
        <v>45341</v>
      </c>
      <c r="AT103" s="69">
        <v>45342</v>
      </c>
      <c r="AU103" s="69">
        <v>45343</v>
      </c>
      <c r="AV103" s="69">
        <v>45344</v>
      </c>
      <c r="AW103" s="69">
        <v>45345</v>
      </c>
      <c r="AX103" s="69">
        <v>45346</v>
      </c>
      <c r="AY103" s="69">
        <v>45347</v>
      </c>
      <c r="AZ103" s="71" t="s">
        <v>67</v>
      </c>
      <c r="BA103" s="233"/>
      <c r="BG103" s="87"/>
      <c r="BH103" s="70"/>
      <c r="BI103" s="69">
        <v>45348</v>
      </c>
      <c r="BJ103" s="69">
        <v>45349</v>
      </c>
      <c r="BK103" s="69">
        <v>45350</v>
      </c>
      <c r="BL103" s="69">
        <v>45351</v>
      </c>
      <c r="BM103" s="69">
        <v>45352</v>
      </c>
      <c r="BN103" s="69">
        <v>45353</v>
      </c>
      <c r="BO103" s="69">
        <v>45354</v>
      </c>
      <c r="BP103" s="71" t="s">
        <v>67</v>
      </c>
      <c r="BQ103" s="233"/>
      <c r="BW103" s="87"/>
      <c r="BX103" s="70"/>
      <c r="BY103" s="69">
        <v>45355</v>
      </c>
      <c r="BZ103" s="69">
        <v>45356</v>
      </c>
      <c r="CA103" s="69">
        <v>45357</v>
      </c>
      <c r="CB103" s="69">
        <v>45358</v>
      </c>
      <c r="CC103" s="69">
        <v>45359</v>
      </c>
      <c r="CD103" s="69">
        <v>45360</v>
      </c>
      <c r="CE103" s="69">
        <v>45361</v>
      </c>
      <c r="CF103" s="71" t="s">
        <v>67</v>
      </c>
      <c r="CG103" s="233"/>
      <c r="CM103" s="87"/>
      <c r="CN103" s="70"/>
      <c r="CO103" s="69">
        <v>45362</v>
      </c>
      <c r="CP103" s="69">
        <v>45363</v>
      </c>
      <c r="CQ103" s="69">
        <v>45364</v>
      </c>
      <c r="CR103" s="69">
        <v>45365</v>
      </c>
      <c r="CS103" s="69">
        <v>45366</v>
      </c>
      <c r="CT103" s="69">
        <v>45367</v>
      </c>
      <c r="CU103" s="69">
        <v>45368</v>
      </c>
      <c r="CV103" s="71" t="s">
        <v>67</v>
      </c>
      <c r="CW103" s="87"/>
      <c r="DC103" s="87"/>
      <c r="DD103" s="70"/>
      <c r="DE103" s="69">
        <v>45369</v>
      </c>
      <c r="DF103" s="69">
        <v>45370</v>
      </c>
      <c r="DG103" s="69">
        <v>45371</v>
      </c>
      <c r="DH103" s="69">
        <v>45372</v>
      </c>
      <c r="DI103" s="69">
        <v>45373</v>
      </c>
      <c r="DJ103" s="69">
        <v>45374</v>
      </c>
      <c r="DK103" s="69">
        <v>45375</v>
      </c>
      <c r="DL103" s="71" t="s">
        <v>67</v>
      </c>
      <c r="DM103" s="87"/>
      <c r="DS103" s="87"/>
      <c r="DT103" s="70"/>
      <c r="DU103" s="69">
        <v>45376</v>
      </c>
      <c r="DV103" s="69">
        <v>45377</v>
      </c>
      <c r="DW103" s="69">
        <v>45378</v>
      </c>
      <c r="DX103" s="69">
        <v>45379</v>
      </c>
      <c r="DY103" s="69">
        <v>45380</v>
      </c>
      <c r="DZ103" s="69">
        <v>45381</v>
      </c>
      <c r="EA103" s="69">
        <v>45382</v>
      </c>
      <c r="EB103" s="71" t="s">
        <v>67</v>
      </c>
      <c r="EC103" s="87"/>
      <c r="EI103" s="87"/>
      <c r="EJ103" s="70"/>
      <c r="EK103" s="69">
        <v>45383</v>
      </c>
      <c r="EL103" s="69">
        <v>45384</v>
      </c>
      <c r="EM103" s="69">
        <v>45385</v>
      </c>
      <c r="EN103" s="69">
        <v>45386</v>
      </c>
      <c r="EO103" s="69">
        <v>45387</v>
      </c>
      <c r="EP103" s="69">
        <v>45388</v>
      </c>
      <c r="EQ103" s="69">
        <v>45389</v>
      </c>
      <c r="ER103" s="71" t="s">
        <v>67</v>
      </c>
      <c r="ES103" s="90"/>
      <c r="EY103" s="93"/>
      <c r="EZ103" s="70"/>
      <c r="FA103" s="69">
        <v>45390</v>
      </c>
      <c r="FB103" s="69">
        <v>45391</v>
      </c>
      <c r="FC103" s="69">
        <v>45392</v>
      </c>
      <c r="FD103" s="69">
        <v>45393</v>
      </c>
      <c r="FE103" s="69">
        <v>45394</v>
      </c>
      <c r="FF103" s="69">
        <v>45395</v>
      </c>
      <c r="FG103" s="69">
        <v>45396</v>
      </c>
      <c r="FH103" s="71" t="s">
        <v>67</v>
      </c>
      <c r="FI103" s="93"/>
      <c r="FJ103" s="90"/>
      <c r="FK103" s="93"/>
      <c r="FL103" s="93"/>
      <c r="FM103" s="93"/>
      <c r="FN103" s="92"/>
      <c r="FO103" s="92"/>
      <c r="FP103" s="70"/>
      <c r="FQ103" s="69">
        <v>45397</v>
      </c>
      <c r="FR103" s="69">
        <v>45398</v>
      </c>
      <c r="FS103" s="69">
        <v>45399</v>
      </c>
      <c r="FT103" s="69">
        <v>45400</v>
      </c>
      <c r="FU103" s="69">
        <v>45401</v>
      </c>
      <c r="FV103" s="69">
        <v>45402</v>
      </c>
      <c r="FW103" s="69">
        <v>45403</v>
      </c>
      <c r="FX103" s="71" t="s">
        <v>67</v>
      </c>
      <c r="FY103" s="93"/>
      <c r="FZ103" s="93"/>
      <c r="GA103" s="93"/>
      <c r="GB103" s="93"/>
      <c r="GC103" s="93"/>
      <c r="GD103" s="93"/>
      <c r="GE103" s="93"/>
      <c r="GF103" s="70"/>
      <c r="GG103" s="69">
        <v>45404</v>
      </c>
      <c r="GH103" s="69">
        <v>45405</v>
      </c>
      <c r="GI103" s="69">
        <v>45406</v>
      </c>
      <c r="GJ103" s="69">
        <v>45407</v>
      </c>
      <c r="GK103" s="69">
        <v>45408</v>
      </c>
      <c r="GL103" s="69">
        <v>45409</v>
      </c>
      <c r="GM103" s="69">
        <v>45410</v>
      </c>
      <c r="GN103" s="71" t="s">
        <v>67</v>
      </c>
      <c r="GO103" s="93"/>
      <c r="GP103" s="93"/>
      <c r="GQ103" s="93"/>
      <c r="GR103" s="93"/>
      <c r="GS103" s="93"/>
      <c r="GT103" s="93"/>
      <c r="GU103" s="93"/>
      <c r="GV103" s="93"/>
      <c r="GW103" s="90"/>
      <c r="GX103" s="1" t="s">
        <v>104</v>
      </c>
      <c r="GY103" s="72" t="s">
        <v>73</v>
      </c>
      <c r="HC103" s="1"/>
      <c r="HD103" s="62" t="s">
        <v>46</v>
      </c>
      <c r="HE103" s="62" t="s">
        <v>47</v>
      </c>
      <c r="HF103" s="62" t="s">
        <v>48</v>
      </c>
      <c r="HG103" s="3" t="s">
        <v>54</v>
      </c>
      <c r="HH103" s="1" t="s">
        <v>105</v>
      </c>
      <c r="HK103" s="172"/>
      <c r="HL103" s="172"/>
      <c r="HM103" s="172"/>
      <c r="HV103" s="107"/>
      <c r="HX103" s="68"/>
      <c r="HY103" s="107"/>
      <c r="HZ103" s="68"/>
    </row>
    <row r="104" spans="3:234" x14ac:dyDescent="0.3">
      <c r="L104" s="1">
        <v>1</v>
      </c>
      <c r="M104" s="1"/>
      <c r="N104" s="1"/>
      <c r="O104" s="74">
        <f>O4*$AL$56/100</f>
        <v>10.327500000000001</v>
      </c>
      <c r="P104" s="74">
        <f>P4*$AL$56/100</f>
        <v>14.871600000000001</v>
      </c>
      <c r="Q104" s="74">
        <f>Q4*$AL$56/100</f>
        <v>16.524000000000001</v>
      </c>
      <c r="R104" s="74">
        <f>R4*$AL$56/100</f>
        <v>10.740599999999999</v>
      </c>
      <c r="S104" s="74">
        <f>S4*$AL$56/100</f>
        <v>18.589500000000001</v>
      </c>
      <c r="T104" s="74">
        <f t="shared" ref="T104:T135" si="32">SUM(M104:S104)</f>
        <v>71.053200000000004</v>
      </c>
      <c r="U104" s="233"/>
      <c r="AA104" s="87"/>
      <c r="AB104" s="1">
        <v>1</v>
      </c>
      <c r="AC104" s="74">
        <f>AC4*$AL$56/100</f>
        <v>19.415700000000001</v>
      </c>
      <c r="AD104" s="74">
        <f>AD4*$AL$56/100</f>
        <v>16.524000000000001</v>
      </c>
      <c r="AE104" s="74">
        <f>AE4*$AL$56/100</f>
        <v>18.176400000000001</v>
      </c>
      <c r="AF104" s="74">
        <f>AF4*$AL$56/100</f>
        <v>21.894300000000001</v>
      </c>
      <c r="AG104" s="1">
        <f>$BB$84*AG4/100</f>
        <v>52.697600000000001</v>
      </c>
      <c r="AH104" s="1">
        <f>$BB$84*AH4/100</f>
        <v>17.184000000000001</v>
      </c>
      <c r="AI104" s="1">
        <f>$BB$84*AI4/100</f>
        <v>41.241599999999998</v>
      </c>
      <c r="AJ104" s="74">
        <f t="shared" ref="AJ104:AJ135" si="33">SUM(AC104:AI104)</f>
        <v>187.1336</v>
      </c>
      <c r="AK104" s="233"/>
      <c r="AQ104" s="87"/>
      <c r="AR104" s="1">
        <v>1</v>
      </c>
      <c r="AS104" s="1">
        <f>$BB$84*AS4/100</f>
        <v>56.134400000000007</v>
      </c>
      <c r="AT104" s="1">
        <f>$BB$84*AT4/100</f>
        <v>66.444800000000001</v>
      </c>
      <c r="AU104" s="1">
        <f>$BB$84*AU4/100</f>
        <v>40.668800000000005</v>
      </c>
      <c r="AV104" s="1">
        <f>$BB$42*AV4/100</f>
        <v>51.2316</v>
      </c>
      <c r="AW104" s="1">
        <f>$BB$42*AW4/100</f>
        <v>39.0336</v>
      </c>
      <c r="AX104" s="1">
        <f>$BB$42*AX4/100</f>
        <v>51.841500000000003</v>
      </c>
      <c r="AY104" s="1">
        <f>$BB$42*AY4/100</f>
        <v>49.401900000000005</v>
      </c>
      <c r="AZ104" s="74">
        <f t="shared" ref="AZ104:AZ135" si="34">SUM(AS104:AY104)</f>
        <v>354.75660000000005</v>
      </c>
      <c r="BA104" s="233"/>
      <c r="BG104" s="87"/>
      <c r="BH104" s="1">
        <v>1</v>
      </c>
      <c r="BI104" s="1">
        <f>$BR$75*BI4/100</f>
        <v>39.872</v>
      </c>
      <c r="BJ104" s="1">
        <f>$BR$75*BJ4/100</f>
        <v>51.085999999999991</v>
      </c>
      <c r="BK104" s="1">
        <f>$BR$75*BK4/100</f>
        <v>50.463000000000001</v>
      </c>
      <c r="BL104" s="1">
        <f>$BR$51*BL4/100</f>
        <v>40.592500000000001</v>
      </c>
      <c r="BM104" s="1">
        <f>$BR$51*BM4/100</f>
        <v>47.461999999999996</v>
      </c>
      <c r="BN104" s="1">
        <f>$BR$51*BN4/100</f>
        <v>40.592500000000001</v>
      </c>
      <c r="BO104" s="1">
        <f>$BR$51*BO4/100</f>
        <v>41.841500000000003</v>
      </c>
      <c r="BP104" s="74">
        <f t="shared" ref="BP104:BP135" si="35">SUM(BI104:BO104)</f>
        <v>311.90949999999998</v>
      </c>
      <c r="BQ104" s="233"/>
      <c r="BW104" s="87"/>
      <c r="BX104" s="1">
        <v>1</v>
      </c>
      <c r="BY104" s="1">
        <f>$CH$68*BY4/100</f>
        <v>47.303999999999995</v>
      </c>
      <c r="BZ104" s="1">
        <f>$CH$68*BZ4/100</f>
        <v>33.047999999999995</v>
      </c>
      <c r="CA104" s="1">
        <f>$CH$40*CA4/100</f>
        <v>37.247599999999998</v>
      </c>
      <c r="CB104" s="1">
        <f>$CH$40*CB4/100</f>
        <v>34.0366</v>
      </c>
      <c r="CC104" s="1">
        <f>$CH$40*CC4/100</f>
        <v>35.320999999999998</v>
      </c>
      <c r="CD104" s="1">
        <f>$CH$40*CD4/100</f>
        <v>35.963200000000001</v>
      </c>
      <c r="CE104" s="1">
        <f>$DN$62*CE4/100</f>
        <v>38.484000000000002</v>
      </c>
      <c r="CF104" s="74">
        <f t="shared" ref="CF104:CF135" si="36">SUM(BY104:CE104)</f>
        <v>261.40439999999995</v>
      </c>
      <c r="CG104" s="233"/>
      <c r="CM104" s="87"/>
      <c r="CN104" s="1">
        <v>1</v>
      </c>
      <c r="CO104" s="1">
        <f t="shared" ref="CO104:CU104" si="37">$DN$62*CO4/100</f>
        <v>30.787200000000002</v>
      </c>
      <c r="CP104" s="1">
        <f t="shared" si="37"/>
        <v>41.691000000000003</v>
      </c>
      <c r="CQ104" s="1">
        <f t="shared" si="37"/>
        <v>23.7318</v>
      </c>
      <c r="CR104" s="1">
        <f t="shared" si="37"/>
        <v>21.807600000000001</v>
      </c>
      <c r="CS104" s="1">
        <f t="shared" si="37"/>
        <v>25.014600000000002</v>
      </c>
      <c r="CT104" s="1">
        <f t="shared" si="37"/>
        <v>33.994199999999999</v>
      </c>
      <c r="CU104" s="1">
        <f t="shared" si="37"/>
        <v>12.1866</v>
      </c>
      <c r="CV104" s="74">
        <f t="shared" ref="CV104:CV135" si="38">SUM(CO104:CU104)</f>
        <v>189.21300000000002</v>
      </c>
      <c r="CW104" s="87"/>
      <c r="DC104" s="87"/>
      <c r="DD104" s="1">
        <v>1</v>
      </c>
      <c r="DE104" s="1">
        <f>$DN$62*DE4/100</f>
        <v>19.883399999999998</v>
      </c>
      <c r="DF104" s="1">
        <f t="shared" ref="DF104:DK104" si="39">$ED$47*DF4/100</f>
        <v>8.64</v>
      </c>
      <c r="DG104" s="1">
        <f t="shared" si="39"/>
        <v>4.6080000000000005</v>
      </c>
      <c r="DH104" s="1">
        <f t="shared" si="39"/>
        <v>7.4880000000000004</v>
      </c>
      <c r="DI104" s="1">
        <f t="shared" si="39"/>
        <v>5.4720000000000004</v>
      </c>
      <c r="DJ104" s="1">
        <f t="shared" si="39"/>
        <v>8.0640000000000001</v>
      </c>
      <c r="DK104" s="1">
        <f t="shared" si="39"/>
        <v>4.6080000000000005</v>
      </c>
      <c r="DL104" s="74">
        <f t="shared" ref="DL104:DL135" si="40">SUM(DE104:DK104)</f>
        <v>58.763400000000004</v>
      </c>
      <c r="DM104" s="87"/>
      <c r="DS104" s="87"/>
      <c r="DT104" s="1">
        <v>1</v>
      </c>
      <c r="DU104" s="1">
        <f>$ED$47*DU4/100</f>
        <v>8.0640000000000001</v>
      </c>
      <c r="DV104" s="1">
        <f>$ED$47*DV4/100</f>
        <v>18.432000000000002</v>
      </c>
      <c r="DW104" s="1">
        <f>$ED$47*DW4/100</f>
        <v>6.3360000000000003</v>
      </c>
      <c r="DX104" s="1">
        <f>$FJ$43*DX4/100</f>
        <v>11.081399999999999</v>
      </c>
      <c r="DY104" s="1">
        <f>$FJ$43*DY4/100</f>
        <v>14.103599999999998</v>
      </c>
      <c r="DZ104" s="1">
        <f>$FJ$43*DZ4/100</f>
        <v>11.081399999999999</v>
      </c>
      <c r="EA104" s="1">
        <f>$FJ$43*EA4/100</f>
        <v>19.140599999999999</v>
      </c>
      <c r="EB104" s="74">
        <f t="shared" ref="EB104:EB135" si="41">SUM(DU104:EA104)</f>
        <v>88.239000000000004</v>
      </c>
      <c r="EC104" s="87"/>
      <c r="EI104" s="87"/>
      <c r="EJ104" s="1">
        <v>1</v>
      </c>
      <c r="EK104" s="1">
        <f>$FJ$43*EK4/100</f>
        <v>8.5628999999999991</v>
      </c>
      <c r="EL104" s="1">
        <f>$FJ$43*EL4/100</f>
        <v>9.5702999999999996</v>
      </c>
      <c r="EM104" s="1">
        <f>$FJ$43*EM4/100</f>
        <v>12.592499999999999</v>
      </c>
      <c r="EN104" s="85"/>
      <c r="EO104" s="1"/>
      <c r="EP104" s="1"/>
      <c r="EQ104" s="1"/>
      <c r="ER104" s="74">
        <f t="shared" ref="ER104:ER135" si="42">SUM(EK104:EQ104)</f>
        <v>30.725699999999996</v>
      </c>
      <c r="ES104" s="90"/>
      <c r="EY104" s="93"/>
      <c r="EZ104" s="1">
        <v>1</v>
      </c>
      <c r="FA104" s="1"/>
      <c r="FB104" s="1"/>
      <c r="FC104" s="1"/>
      <c r="FD104" s="1"/>
      <c r="FE104" s="1"/>
      <c r="FF104" s="1"/>
      <c r="FG104" s="1"/>
      <c r="FH104" s="74">
        <f t="shared" ref="FH104:FH135" si="43">SUM(FA104:FG104)</f>
        <v>0</v>
      </c>
      <c r="FI104" s="93"/>
      <c r="FJ104" s="90"/>
      <c r="FK104" s="93"/>
      <c r="FL104" s="93"/>
      <c r="FM104" s="93"/>
      <c r="FN104" s="92"/>
      <c r="FO104" s="92"/>
      <c r="FP104" s="1">
        <v>1</v>
      </c>
      <c r="FQ104" s="1"/>
      <c r="FR104" s="1"/>
      <c r="FS104" s="1"/>
      <c r="FT104" s="1"/>
      <c r="FU104" s="1"/>
      <c r="FV104" s="1"/>
      <c r="FW104" s="1"/>
      <c r="FX104" s="74">
        <f t="shared" ref="FX104:FX135" si="44">SUM(FQ104:FW104)</f>
        <v>0</v>
      </c>
      <c r="FY104" s="93"/>
      <c r="FZ104" s="93"/>
      <c r="GA104" s="93"/>
      <c r="GB104" s="93"/>
      <c r="GC104" s="93"/>
      <c r="GD104" s="93"/>
      <c r="GE104" s="93"/>
      <c r="GF104" s="1">
        <v>1</v>
      </c>
      <c r="GG104" s="1"/>
      <c r="GH104" s="1"/>
      <c r="GI104" s="1"/>
      <c r="GJ104" s="1"/>
      <c r="GK104" s="1"/>
      <c r="GL104" s="1"/>
      <c r="GM104" s="1"/>
      <c r="GN104" s="74">
        <f t="shared" ref="GN104:GN135" si="45">SUM(GG104:GM104)</f>
        <v>0</v>
      </c>
      <c r="GO104" s="93"/>
      <c r="GP104" s="93"/>
      <c r="GQ104" s="93"/>
      <c r="GR104" s="93"/>
      <c r="GS104" s="93"/>
      <c r="GT104" s="93"/>
      <c r="GU104" s="93"/>
      <c r="GV104" s="93"/>
      <c r="GW104" s="1">
        <v>1</v>
      </c>
      <c r="GX104" s="74">
        <f t="shared" ref="GX104:GX135" si="46">T104+AJ104+AZ104+BP104+CF104+CV104+DL104+EB104+ER104+FH104+FX104+GN104</f>
        <v>1553.1984</v>
      </c>
      <c r="GY104" s="75">
        <f>GX104*1/100</f>
        <v>15.531984</v>
      </c>
      <c r="HA104" s="43">
        <f>GX104-$GX$135</f>
        <v>1000.7234</v>
      </c>
      <c r="HC104" s="1">
        <v>1</v>
      </c>
      <c r="HD104" s="4">
        <v>4.4064600000000002E-2</v>
      </c>
      <c r="HE104" s="4">
        <v>27.802199999999999</v>
      </c>
      <c r="HF104" s="4">
        <v>0</v>
      </c>
      <c r="HG104" s="4">
        <v>72.153700000000001</v>
      </c>
      <c r="HH104" s="81">
        <f>HA104/HJ4</f>
        <v>23.385011465403803</v>
      </c>
      <c r="HJ104" s="162"/>
      <c r="HK104" s="172"/>
      <c r="HL104" s="172"/>
      <c r="HM104" s="172"/>
      <c r="HN104" s="172"/>
      <c r="HO104" s="172"/>
      <c r="HP104" s="172"/>
      <c r="HV104" s="107"/>
      <c r="HX104" s="68"/>
      <c r="HY104" s="107"/>
      <c r="HZ104" s="68"/>
    </row>
    <row r="105" spans="3:234" x14ac:dyDescent="0.3">
      <c r="L105" s="1">
        <v>2</v>
      </c>
      <c r="M105" s="1"/>
      <c r="N105" s="1"/>
      <c r="O105" s="1">
        <v>0</v>
      </c>
      <c r="P105" s="1">
        <v>0</v>
      </c>
      <c r="Q105" s="1">
        <v>0.435</v>
      </c>
      <c r="R105" s="114">
        <v>0.435</v>
      </c>
      <c r="S105" s="1">
        <v>2.1749999999999998</v>
      </c>
      <c r="T105" s="74">
        <f t="shared" si="32"/>
        <v>3.0449999999999999</v>
      </c>
      <c r="U105" s="233"/>
      <c r="AA105" s="87"/>
      <c r="AB105" s="1">
        <v>2</v>
      </c>
      <c r="AC105" s="113">
        <v>38.74</v>
      </c>
      <c r="AD105" s="1">
        <v>34.866000000000007</v>
      </c>
      <c r="AE105" s="1">
        <v>27.118000000000002</v>
      </c>
      <c r="AF105" s="1">
        <v>19.37</v>
      </c>
      <c r="AG105" s="1">
        <v>7.7480000000000011</v>
      </c>
      <c r="AH105" s="1">
        <v>19.37</v>
      </c>
      <c r="AI105" s="114">
        <v>11.622</v>
      </c>
      <c r="AJ105" s="74">
        <f t="shared" si="33"/>
        <v>158.834</v>
      </c>
      <c r="AK105" s="233"/>
      <c r="AQ105" s="87"/>
      <c r="AR105" s="1">
        <v>2</v>
      </c>
      <c r="AS105" s="113">
        <v>22.68</v>
      </c>
      <c r="AT105" s="1">
        <v>22.68</v>
      </c>
      <c r="AU105" s="1">
        <v>18.144000000000002</v>
      </c>
      <c r="AV105" s="1">
        <v>18.144000000000002</v>
      </c>
      <c r="AW105" s="1">
        <v>9.072000000000001</v>
      </c>
      <c r="AX105" s="1">
        <v>18.144000000000002</v>
      </c>
      <c r="AY105" s="114">
        <v>13.607999999999999</v>
      </c>
      <c r="AZ105" s="74">
        <f t="shared" si="34"/>
        <v>122.47200000000002</v>
      </c>
      <c r="BA105" s="233"/>
      <c r="BG105" s="87"/>
      <c r="BH105" s="1">
        <v>2</v>
      </c>
      <c r="BI105" s="113">
        <v>4.6680000000000001</v>
      </c>
      <c r="BJ105" s="1">
        <v>6.2240000000000002</v>
      </c>
      <c r="BK105" s="1">
        <v>14.004000000000001</v>
      </c>
      <c r="BL105" s="1">
        <v>98.028000000000006</v>
      </c>
      <c r="BM105" s="1">
        <v>31.12</v>
      </c>
      <c r="BN105" s="1">
        <v>6.3360000000000003</v>
      </c>
      <c r="BO105" s="114">
        <v>5.6320000000000006</v>
      </c>
      <c r="BP105" s="74">
        <f t="shared" si="35"/>
        <v>166.01200000000003</v>
      </c>
      <c r="BQ105" s="233"/>
      <c r="BW105" s="87"/>
      <c r="BX105" s="1">
        <v>2</v>
      </c>
      <c r="BY105" s="113">
        <v>7.04</v>
      </c>
      <c r="BZ105" s="1">
        <v>43.648000000000003</v>
      </c>
      <c r="CA105" s="1">
        <v>14.784000000000001</v>
      </c>
      <c r="CB105" s="1">
        <v>13.412000000000001</v>
      </c>
      <c r="CC105" s="1">
        <v>19.16</v>
      </c>
      <c r="CD105" s="1">
        <v>11.495999999999999</v>
      </c>
      <c r="CE105" s="114">
        <v>13.412000000000001</v>
      </c>
      <c r="CF105" s="74">
        <f t="shared" si="36"/>
        <v>122.95200000000001</v>
      </c>
      <c r="CG105" s="233"/>
      <c r="CM105" s="87"/>
      <c r="CN105" s="1">
        <v>2</v>
      </c>
      <c r="CO105" s="113">
        <v>13.412000000000001</v>
      </c>
      <c r="CP105" s="1">
        <v>13.412000000000001</v>
      </c>
      <c r="CQ105" s="1">
        <v>13.347000000000001</v>
      </c>
      <c r="CR105" s="1">
        <v>10.380999999999998</v>
      </c>
      <c r="CS105" s="1">
        <v>10.380999999999998</v>
      </c>
      <c r="CT105" s="1">
        <v>8.8979999999999997</v>
      </c>
      <c r="CU105" s="114">
        <v>11.864000000000001</v>
      </c>
      <c r="CV105" s="74">
        <f t="shared" si="38"/>
        <v>81.695000000000007</v>
      </c>
      <c r="CW105" s="87"/>
      <c r="DC105" s="87"/>
      <c r="DD105" s="1">
        <v>2</v>
      </c>
      <c r="DE105" s="113">
        <v>6.19</v>
      </c>
      <c r="DF105" s="1">
        <v>9.2850000000000001</v>
      </c>
      <c r="DG105" s="1">
        <v>3.0950000000000002</v>
      </c>
      <c r="DH105" s="1">
        <v>6.19</v>
      </c>
      <c r="DI105" s="1">
        <v>3.0950000000000002</v>
      </c>
      <c r="DJ105" s="85"/>
      <c r="DK105" s="114"/>
      <c r="DL105" s="74">
        <f t="shared" si="40"/>
        <v>27.855</v>
      </c>
      <c r="DM105" s="87"/>
      <c r="DS105" s="87"/>
      <c r="DT105" s="1">
        <v>2</v>
      </c>
      <c r="DU105" s="1"/>
      <c r="DV105" s="1"/>
      <c r="DW105" s="1"/>
      <c r="DX105" s="1"/>
      <c r="DY105" s="1"/>
      <c r="DZ105" s="1"/>
      <c r="EA105" s="1"/>
      <c r="EB105" s="74">
        <f t="shared" si="41"/>
        <v>0</v>
      </c>
      <c r="EC105" s="87"/>
      <c r="EI105" s="87"/>
      <c r="EJ105" s="1">
        <v>2</v>
      </c>
      <c r="EK105" s="1"/>
      <c r="EL105" s="1"/>
      <c r="EM105" s="1"/>
      <c r="EN105" s="1"/>
      <c r="EO105" s="1"/>
      <c r="EP105" s="1"/>
      <c r="EQ105" s="1"/>
      <c r="ER105" s="74">
        <f t="shared" si="42"/>
        <v>0</v>
      </c>
      <c r="ES105" s="90"/>
      <c r="EY105" s="93"/>
      <c r="EZ105" s="1">
        <v>2</v>
      </c>
      <c r="FA105" s="1"/>
      <c r="FB105" s="1"/>
      <c r="FC105" s="1"/>
      <c r="FD105" s="1"/>
      <c r="FE105" s="1"/>
      <c r="FF105" s="1"/>
      <c r="FG105" s="1"/>
      <c r="FH105" s="74">
        <f t="shared" si="43"/>
        <v>0</v>
      </c>
      <c r="FI105" s="93"/>
      <c r="FJ105" s="90"/>
      <c r="FK105" s="93"/>
      <c r="FL105" s="93"/>
      <c r="FM105" s="93"/>
      <c r="FN105" s="92"/>
      <c r="FO105" s="92"/>
      <c r="FP105" s="1">
        <v>2</v>
      </c>
      <c r="FQ105" s="1"/>
      <c r="FR105" s="1"/>
      <c r="FS105" s="1"/>
      <c r="FT105" s="1"/>
      <c r="FU105" s="1"/>
      <c r="FV105" s="1"/>
      <c r="FW105" s="1"/>
      <c r="FX105" s="74">
        <f t="shared" si="44"/>
        <v>0</v>
      </c>
      <c r="FY105" s="93"/>
      <c r="FZ105" s="93"/>
      <c r="GA105" s="93"/>
      <c r="GB105" s="93"/>
      <c r="GC105" s="93"/>
      <c r="GD105" s="93"/>
      <c r="GE105" s="93"/>
      <c r="GF105" s="1">
        <v>2</v>
      </c>
      <c r="GG105" s="1"/>
      <c r="GH105" s="1"/>
      <c r="GI105" s="1"/>
      <c r="GJ105" s="1"/>
      <c r="GK105" s="1"/>
      <c r="GL105" s="1"/>
      <c r="GM105" s="1"/>
      <c r="GN105" s="74">
        <f t="shared" si="45"/>
        <v>0</v>
      </c>
      <c r="GO105" s="93"/>
      <c r="GP105" s="93"/>
      <c r="GQ105" s="93"/>
      <c r="GR105" s="93"/>
      <c r="GS105" s="93"/>
      <c r="GT105" s="93"/>
      <c r="GU105" s="93"/>
      <c r="GV105" s="93"/>
      <c r="GW105" s="1">
        <v>2</v>
      </c>
      <c r="GX105" s="74">
        <f t="shared" si="46"/>
        <v>682.86500000000012</v>
      </c>
      <c r="GY105" s="75">
        <f t="shared" ref="GY105:GY135" si="47">GX105*1/100</f>
        <v>6.8286500000000014</v>
      </c>
      <c r="HA105" s="43">
        <f t="shared" ref="HA105:HA134" si="48">GX105-$GX$135</f>
        <v>130.3900000000001</v>
      </c>
      <c r="HC105" s="1">
        <v>2</v>
      </c>
      <c r="HD105" s="4">
        <v>0</v>
      </c>
      <c r="HE105" s="64">
        <v>100</v>
      </c>
      <c r="HF105" s="4">
        <v>0</v>
      </c>
      <c r="HG105" s="4">
        <v>0</v>
      </c>
      <c r="HH105" s="81">
        <f t="shared" ref="HH105:HH134" si="49">HA105/HJ5</f>
        <v>3.3071848180090955</v>
      </c>
      <c r="HJ105" s="162"/>
      <c r="HK105" s="172"/>
      <c r="HL105" s="172"/>
      <c r="HM105" s="172"/>
      <c r="HN105" s="172"/>
      <c r="HO105" s="172"/>
      <c r="HP105" s="172"/>
      <c r="HV105" s="107"/>
      <c r="HX105" s="68"/>
      <c r="HY105" s="107"/>
      <c r="HZ105" s="68"/>
    </row>
    <row r="106" spans="3:234" x14ac:dyDescent="0.3">
      <c r="L106" s="78">
        <v>3</v>
      </c>
      <c r="M106" s="1"/>
      <c r="N106" s="1"/>
      <c r="O106" s="74">
        <f>O6*$V$40/100</f>
        <v>53.234000000000009</v>
      </c>
      <c r="P106" s="74">
        <f>P6*$V$40/100</f>
        <v>68.709000000000003</v>
      </c>
      <c r="Q106" s="74">
        <f>Q6*$V$40/100</f>
        <v>126.895</v>
      </c>
      <c r="R106" s="74">
        <f>R6*$AL$68/100</f>
        <v>126.48</v>
      </c>
      <c r="S106" s="74">
        <f>S6*$AL$68/100</f>
        <v>77.5</v>
      </c>
      <c r="T106" s="74">
        <f t="shared" si="32"/>
        <v>452.81800000000004</v>
      </c>
      <c r="U106" s="233"/>
      <c r="AA106" s="87"/>
      <c r="AB106" s="78">
        <v>3</v>
      </c>
      <c r="AC106" s="1">
        <f>AC6*AL68/100</f>
        <v>81.22</v>
      </c>
      <c r="AD106" s="1">
        <f>AD6*AL65/100</f>
        <v>148.61000000000001</v>
      </c>
      <c r="AE106" s="1">
        <f>AE6*$AL$57/100</f>
        <v>103.23</v>
      </c>
      <c r="AF106" s="1">
        <f>AF6*$AL$57/100</f>
        <v>250.04600000000002</v>
      </c>
      <c r="AG106" s="1">
        <f>AG6*AL48/100</f>
        <v>154.51149999999998</v>
      </c>
      <c r="AH106" s="1">
        <f>$BB$66*AH6/100</f>
        <v>260.42899999999997</v>
      </c>
      <c r="AI106" s="1">
        <f>$BB$66*AI6/100</f>
        <v>244.88099999999997</v>
      </c>
      <c r="AJ106" s="74">
        <f t="shared" si="33"/>
        <v>1242.9274999999998</v>
      </c>
      <c r="AK106" s="233"/>
      <c r="AQ106" s="87"/>
      <c r="AR106" s="78">
        <v>3</v>
      </c>
      <c r="AS106" s="1">
        <f>$BB$66*AS6/100</f>
        <v>194.35</v>
      </c>
      <c r="AT106" s="1">
        <f>$BB$66*AT6/100</f>
        <v>116.61</v>
      </c>
      <c r="AU106" s="1">
        <f>$BB$66*AU6/100</f>
        <v>120.49699999999999</v>
      </c>
      <c r="AV106" s="1">
        <f>$BB$66*AV6/100</f>
        <v>147.70599999999999</v>
      </c>
      <c r="AW106" s="1">
        <f>$BB$66*AW6/100</f>
        <v>200.18049999999999</v>
      </c>
      <c r="AX106" s="1">
        <f>$BR$79*AX6/100</f>
        <v>288.32700000000006</v>
      </c>
      <c r="AY106" s="1">
        <f>$BR$79*AY6/100</f>
        <v>380.73950000000002</v>
      </c>
      <c r="AZ106" s="74">
        <f t="shared" si="34"/>
        <v>1448.4099999999999</v>
      </c>
      <c r="BA106" s="233"/>
      <c r="BG106" s="87"/>
      <c r="BH106" s="78">
        <v>3</v>
      </c>
      <c r="BI106" s="1">
        <f>$BR$79*BI6/100</f>
        <v>380.73950000000002</v>
      </c>
      <c r="BJ106" s="1">
        <f>$BR$79*BJ6/100</f>
        <v>384.43600000000004</v>
      </c>
      <c r="BK106" s="1">
        <f>$BR$44*BK6/100</f>
        <v>369.15</v>
      </c>
      <c r="BL106" s="1">
        <f>$BR$44*BL6/100</f>
        <v>295.32</v>
      </c>
      <c r="BM106" s="1">
        <f>$BR$44*BM6/100</f>
        <v>217.79849999999999</v>
      </c>
      <c r="BN106" s="1">
        <f>$BR$44*BN6/100</f>
        <v>332.23500000000001</v>
      </c>
      <c r="BO106" s="1">
        <f>$BR$44*BO6/100</f>
        <v>251.02200000000002</v>
      </c>
      <c r="BP106" s="74">
        <f t="shared" si="35"/>
        <v>2230.701</v>
      </c>
      <c r="BQ106" s="233"/>
      <c r="BW106" s="87"/>
      <c r="BX106" s="78">
        <v>3</v>
      </c>
      <c r="BY106" s="1">
        <f t="shared" ref="BY106:CE106" si="50">$CX$57*BY6/100</f>
        <v>209.24350000000001</v>
      </c>
      <c r="BZ106" s="1">
        <f t="shared" si="50"/>
        <v>159.59250000000003</v>
      </c>
      <c r="CA106" s="1">
        <f t="shared" si="50"/>
        <v>141.86000000000001</v>
      </c>
      <c r="CB106" s="1">
        <f t="shared" si="50"/>
        <v>141.86000000000001</v>
      </c>
      <c r="CC106" s="1">
        <f t="shared" si="50"/>
        <v>141.86000000000001</v>
      </c>
      <c r="CD106" s="1">
        <f t="shared" si="50"/>
        <v>129.09260000000003</v>
      </c>
      <c r="CE106" s="1">
        <f t="shared" si="50"/>
        <v>152.49950000000001</v>
      </c>
      <c r="CF106" s="74">
        <f t="shared" si="36"/>
        <v>1076.0081</v>
      </c>
      <c r="CG106" s="233"/>
      <c r="CM106" s="87"/>
      <c r="CN106" s="78">
        <v>3</v>
      </c>
      <c r="CO106" s="1">
        <f>CX57*CO6/100</f>
        <v>163.13900000000001</v>
      </c>
      <c r="CP106" s="1">
        <f>$CX$45*CP6/100</f>
        <v>140.952</v>
      </c>
      <c r="CQ106" s="1">
        <f>$CX$45*CQ6/100</f>
        <v>104.70720000000001</v>
      </c>
      <c r="CR106" s="1">
        <f>$CX$45*CR6/100</f>
        <v>224.852</v>
      </c>
      <c r="CS106" s="1">
        <f>$CX$45*CS6/100</f>
        <v>77.188000000000002</v>
      </c>
      <c r="CT106" s="1">
        <f>$DN$44*CT6/100</f>
        <v>246.94839999999999</v>
      </c>
      <c r="CU106" s="1">
        <f>$DN$44*CU6/100</f>
        <v>124.16400000000002</v>
      </c>
      <c r="CV106" s="74">
        <f t="shared" si="38"/>
        <v>1081.9506000000001</v>
      </c>
      <c r="CW106" s="87"/>
      <c r="DC106" s="87"/>
      <c r="DD106" s="78">
        <v>3</v>
      </c>
      <c r="DE106" s="1">
        <f t="shared" ref="DE106:DJ106" si="51">$DN$44*DE6/100</f>
        <v>175.20920000000001</v>
      </c>
      <c r="DF106" s="1">
        <f t="shared" si="51"/>
        <v>193.14400000000001</v>
      </c>
      <c r="DG106" s="1">
        <f t="shared" si="51"/>
        <v>94.502600000000001</v>
      </c>
      <c r="DH106" s="1">
        <f t="shared" si="51"/>
        <v>161.41320000000002</v>
      </c>
      <c r="DI106" s="1">
        <f t="shared" si="51"/>
        <v>139.33960000000002</v>
      </c>
      <c r="DJ106" s="1">
        <f t="shared" si="51"/>
        <v>151.756</v>
      </c>
      <c r="DK106" s="1">
        <f>$ED$65*DK6/100</f>
        <v>110.69850000000001</v>
      </c>
      <c r="DL106" s="74">
        <f t="shared" si="40"/>
        <v>1026.0631000000001</v>
      </c>
      <c r="DM106" s="87"/>
      <c r="DS106" s="87"/>
      <c r="DT106" s="78">
        <v>3</v>
      </c>
      <c r="DU106" s="1">
        <f t="shared" ref="DU106:EA106" si="52">$ED$65*DU6/100</f>
        <v>103.98950000000001</v>
      </c>
      <c r="DV106" s="1">
        <f t="shared" si="52"/>
        <v>134.18</v>
      </c>
      <c r="DW106" s="1">
        <f t="shared" si="52"/>
        <v>174.43400000000003</v>
      </c>
      <c r="DX106" s="1">
        <f t="shared" si="52"/>
        <v>134.18</v>
      </c>
      <c r="DY106" s="1">
        <f t="shared" si="52"/>
        <v>127.471</v>
      </c>
      <c r="DZ106" s="1">
        <f t="shared" si="52"/>
        <v>80.507999999999996</v>
      </c>
      <c r="EA106" s="1">
        <f t="shared" si="52"/>
        <v>110.69850000000001</v>
      </c>
      <c r="EB106" s="74">
        <f t="shared" si="41"/>
        <v>865.46100000000001</v>
      </c>
      <c r="EC106" s="87"/>
      <c r="EI106" s="87"/>
      <c r="EJ106" s="78">
        <v>3</v>
      </c>
      <c r="EK106" s="1">
        <f t="shared" ref="EK106:EM106" si="53">$ET$52*EK6/100</f>
        <v>46.112499999999997</v>
      </c>
      <c r="EL106" s="1">
        <f t="shared" si="53"/>
        <v>44.268000000000001</v>
      </c>
      <c r="EM106" s="1">
        <f t="shared" si="53"/>
        <v>55.335000000000001</v>
      </c>
      <c r="EN106" s="85"/>
      <c r="EO106" s="1"/>
      <c r="EP106" s="1"/>
      <c r="EQ106" s="1"/>
      <c r="ER106" s="74">
        <f t="shared" si="42"/>
        <v>145.71549999999999</v>
      </c>
      <c r="ES106" s="90"/>
      <c r="EY106" s="93"/>
      <c r="EZ106" s="78">
        <v>3</v>
      </c>
      <c r="FA106" s="1"/>
      <c r="FB106" s="1"/>
      <c r="FC106" s="1"/>
      <c r="FD106" s="1"/>
      <c r="FE106" s="1"/>
      <c r="FF106" s="1"/>
      <c r="FG106" s="1"/>
      <c r="FH106" s="74">
        <f t="shared" si="43"/>
        <v>0</v>
      </c>
      <c r="FI106" s="93"/>
      <c r="FJ106" s="90"/>
      <c r="FK106" s="93"/>
      <c r="FL106" s="93"/>
      <c r="FM106" s="93"/>
      <c r="FN106" s="92"/>
      <c r="FO106" s="92"/>
      <c r="FP106" s="78">
        <v>3</v>
      </c>
      <c r="FQ106" s="1"/>
      <c r="FR106" s="1"/>
      <c r="FS106" s="1"/>
      <c r="FT106" s="1"/>
      <c r="FU106" s="1"/>
      <c r="FV106" s="1"/>
      <c r="FW106" s="1"/>
      <c r="FX106" s="74">
        <f t="shared" si="44"/>
        <v>0</v>
      </c>
      <c r="FY106" s="93"/>
      <c r="FZ106" s="93"/>
      <c r="GA106" s="93"/>
      <c r="GB106" s="93"/>
      <c r="GC106" s="93"/>
      <c r="GD106" s="93"/>
      <c r="GE106" s="93"/>
      <c r="GF106" s="78">
        <v>3</v>
      </c>
      <c r="GG106" s="1"/>
      <c r="GH106" s="1"/>
      <c r="GI106" s="1"/>
      <c r="GJ106" s="1"/>
      <c r="GK106" s="1"/>
      <c r="GL106" s="1"/>
      <c r="GM106" s="1"/>
      <c r="GN106" s="74">
        <f t="shared" si="45"/>
        <v>0</v>
      </c>
      <c r="GO106" s="93"/>
      <c r="GP106" s="93"/>
      <c r="GQ106" s="93"/>
      <c r="GR106" s="93"/>
      <c r="GS106" s="93"/>
      <c r="GT106" s="93"/>
      <c r="GU106" s="93"/>
      <c r="GV106" s="93"/>
      <c r="GW106" s="78">
        <v>3</v>
      </c>
      <c r="GX106" s="74">
        <f t="shared" si="46"/>
        <v>9570.0547999999999</v>
      </c>
      <c r="GY106" s="75">
        <f t="shared" si="47"/>
        <v>95.700547999999998</v>
      </c>
      <c r="HA106" s="43">
        <f t="shared" si="48"/>
        <v>9017.5797999999995</v>
      </c>
      <c r="HC106" s="78">
        <v>3</v>
      </c>
      <c r="HD106" s="4">
        <v>33.091999999999999</v>
      </c>
      <c r="HE106" s="4">
        <v>33.281999999999996</v>
      </c>
      <c r="HF106" s="4">
        <v>1.8381700000000001</v>
      </c>
      <c r="HG106" s="4">
        <v>31.787800000000001</v>
      </c>
      <c r="HH106" s="81">
        <f t="shared" si="49"/>
        <v>208.3467694785229</v>
      </c>
      <c r="HJ106" s="162"/>
      <c r="HK106" s="172"/>
      <c r="HL106" s="172"/>
      <c r="HM106" s="172"/>
      <c r="HN106" s="172"/>
      <c r="HO106" s="172"/>
      <c r="HP106" s="172"/>
      <c r="HV106" s="107"/>
      <c r="HX106" s="68"/>
      <c r="HY106" s="107"/>
      <c r="HZ106" s="68"/>
    </row>
    <row r="107" spans="3:234" x14ac:dyDescent="0.3">
      <c r="L107" s="99">
        <v>4</v>
      </c>
      <c r="M107" s="1"/>
      <c r="N107" s="1"/>
      <c r="O107" s="3">
        <f>O7*$AL$64/100</f>
        <v>127.65600000000001</v>
      </c>
      <c r="P107" s="3">
        <f>P7*$AL$64/100</f>
        <v>62.055</v>
      </c>
      <c r="Q107" s="3">
        <f>Q7*$AL$64/100</f>
        <v>313.82100000000003</v>
      </c>
      <c r="R107" s="3">
        <f>R7*$AL$64/100</f>
        <v>92.195999999999998</v>
      </c>
      <c r="S107" s="3">
        <f>S7*$AL$64/100</f>
        <v>138.29399999999998</v>
      </c>
      <c r="T107" s="74">
        <f t="shared" si="32"/>
        <v>734.02200000000005</v>
      </c>
      <c r="U107" s="233"/>
      <c r="AA107" s="87"/>
      <c r="AB107" s="99">
        <v>4</v>
      </c>
      <c r="AC107" s="1">
        <f>AC7*$AL$64/100</f>
        <v>132.97499999999999</v>
      </c>
      <c r="AD107" s="1">
        <f>AD7*$AL$64/100</f>
        <v>234.03600000000003</v>
      </c>
      <c r="AE107" s="1">
        <f>$BB$83*AE7/100</f>
        <v>340.34</v>
      </c>
      <c r="AF107" s="1">
        <f>$BB$83*AF7/100</f>
        <v>488.63099999999997</v>
      </c>
      <c r="AG107" s="1">
        <f>$BB$83*AG7/100</f>
        <v>277.13399999999996</v>
      </c>
      <c r="AH107" s="1">
        <f>$BB$83*AH7/100</f>
        <v>595.59500000000003</v>
      </c>
      <c r="AI107" s="1">
        <f>$BB$83*AI7/100</f>
        <v>546.97500000000002</v>
      </c>
      <c r="AJ107" s="74">
        <f t="shared" si="33"/>
        <v>2615.6860000000001</v>
      </c>
      <c r="AK107" s="233"/>
      <c r="AQ107" s="87"/>
      <c r="AR107" s="99">
        <v>4</v>
      </c>
      <c r="AS107" s="1">
        <f>$BB$83*AS7/100</f>
        <v>576.14699999999993</v>
      </c>
      <c r="AT107" s="1">
        <f>$BB$83*AT7/100</f>
        <v>583.44000000000005</v>
      </c>
      <c r="AU107" s="1">
        <f>$BB$83*AU7/100</f>
        <v>573.71600000000001</v>
      </c>
      <c r="AV107" s="1">
        <f>$BB$58*AV7/100</f>
        <v>476.49599999999998</v>
      </c>
      <c r="AW107" s="1">
        <f>$BB$58*AW7/100</f>
        <v>317.66399999999999</v>
      </c>
      <c r="AX107" s="1">
        <f>$BB$41*AX7/100</f>
        <v>396.62699999999995</v>
      </c>
      <c r="AY107" s="1">
        <f>$BB$41*AY7/100</f>
        <v>401.77799999999996</v>
      </c>
      <c r="AZ107" s="74">
        <f t="shared" si="34"/>
        <v>3325.8679999999995</v>
      </c>
      <c r="BA107" s="233"/>
      <c r="BG107" s="87"/>
      <c r="BH107" s="99">
        <v>4</v>
      </c>
      <c r="BI107" s="1">
        <f>$BR$89*BI7/100</f>
        <v>508.16399999999993</v>
      </c>
      <c r="BJ107" s="1">
        <f>$BR$78*BJ7/100</f>
        <v>494.06399999999996</v>
      </c>
      <c r="BK107" s="1">
        <f>$BR$52*BK7/100</f>
        <v>476.649</v>
      </c>
      <c r="BL107" s="1">
        <f>$BR$52*BL7/100</f>
        <v>445.02300000000002</v>
      </c>
      <c r="BM107" s="1">
        <f>$BR$52*BM7/100</f>
        <v>456.31800000000004</v>
      </c>
      <c r="BN107" s="1">
        <f>$BR$52*BN7/100</f>
        <v>352.404</v>
      </c>
      <c r="BO107" s="1">
        <f>BR45*BO7/100</f>
        <v>406.21499999999997</v>
      </c>
      <c r="BP107" s="74">
        <f t="shared" si="35"/>
        <v>3138.8370000000004</v>
      </c>
      <c r="BQ107" s="233"/>
      <c r="BW107" s="87"/>
      <c r="BX107" s="99">
        <v>4</v>
      </c>
      <c r="BY107" s="1">
        <f>$CH$69*BY7/100</f>
        <v>379.99950000000007</v>
      </c>
      <c r="BZ107" s="1">
        <f>$CH$69*BZ7/100</f>
        <v>269.94499999999999</v>
      </c>
      <c r="CA107" s="1">
        <f>$CH$55*CA7/100</f>
        <v>290.77350000000001</v>
      </c>
      <c r="CB107" s="1">
        <f>$CH$55*CB7/100</f>
        <v>191.24700000000001</v>
      </c>
      <c r="CC107" s="1">
        <f>$ET$44*CC7/100</f>
        <v>63.085000000000001</v>
      </c>
      <c r="CD107" s="1">
        <f>$ET$44*CD7/100</f>
        <v>55.962499999999999</v>
      </c>
      <c r="CE107" s="1">
        <f>$ET$44*CE7/100</f>
        <v>52.91</v>
      </c>
      <c r="CF107" s="74">
        <f t="shared" si="36"/>
        <v>1303.9225000000004</v>
      </c>
      <c r="CG107" s="233"/>
      <c r="CM107" s="87"/>
      <c r="CN107" s="99">
        <v>4</v>
      </c>
      <c r="CO107" s="85"/>
      <c r="CP107" s="1"/>
      <c r="CQ107" s="1"/>
      <c r="CR107" s="1"/>
      <c r="CS107" s="1"/>
      <c r="CT107" s="1"/>
      <c r="CU107" s="1"/>
      <c r="CV107" s="74">
        <f t="shared" si="38"/>
        <v>0</v>
      </c>
      <c r="CW107" s="87"/>
      <c r="DC107" s="87"/>
      <c r="DD107" s="99">
        <v>4</v>
      </c>
      <c r="DE107" s="1"/>
      <c r="DF107" s="1"/>
      <c r="DG107" s="1"/>
      <c r="DH107" s="1"/>
      <c r="DI107" s="1"/>
      <c r="DJ107" s="1"/>
      <c r="DK107" s="1"/>
      <c r="DL107" s="74">
        <f t="shared" si="40"/>
        <v>0</v>
      </c>
      <c r="DM107" s="87"/>
      <c r="DS107" s="87"/>
      <c r="DT107" s="99">
        <v>4</v>
      </c>
      <c r="DU107" s="1"/>
      <c r="DV107" s="1"/>
      <c r="DW107" s="1"/>
      <c r="DX107" s="1"/>
      <c r="DY107" s="1"/>
      <c r="DZ107" s="1"/>
      <c r="EA107" s="1"/>
      <c r="EB107" s="74">
        <f t="shared" si="41"/>
        <v>0</v>
      </c>
      <c r="EC107" s="87"/>
      <c r="EI107" s="87"/>
      <c r="EJ107" s="99">
        <v>4</v>
      </c>
      <c r="EK107" s="1"/>
      <c r="EL107" s="1"/>
      <c r="EM107" s="1"/>
      <c r="EN107" s="1"/>
      <c r="EO107" s="1"/>
      <c r="EP107" s="1"/>
      <c r="EQ107" s="1"/>
      <c r="ER107" s="74">
        <f t="shared" si="42"/>
        <v>0</v>
      </c>
      <c r="ES107" s="90"/>
      <c r="EY107" s="93"/>
      <c r="EZ107" s="99">
        <v>4</v>
      </c>
      <c r="FA107" s="1"/>
      <c r="FB107" s="1"/>
      <c r="FC107" s="1"/>
      <c r="FD107" s="1"/>
      <c r="FE107" s="1"/>
      <c r="FF107" s="1"/>
      <c r="FG107" s="1"/>
      <c r="FH107" s="74">
        <f t="shared" si="43"/>
        <v>0</v>
      </c>
      <c r="FI107" s="93"/>
      <c r="FJ107" s="90"/>
      <c r="FK107" s="93"/>
      <c r="FL107" s="93"/>
      <c r="FM107" s="93"/>
      <c r="FN107" s="92"/>
      <c r="FO107" s="92"/>
      <c r="FP107" s="99">
        <v>4</v>
      </c>
      <c r="FQ107" s="1"/>
      <c r="FR107" s="1"/>
      <c r="FS107" s="1"/>
      <c r="FT107" s="1"/>
      <c r="FU107" s="1"/>
      <c r="FV107" s="1"/>
      <c r="FW107" s="1"/>
      <c r="FX107" s="74">
        <f t="shared" si="44"/>
        <v>0</v>
      </c>
      <c r="FY107" s="93"/>
      <c r="FZ107" s="93"/>
      <c r="GA107" s="93"/>
      <c r="GB107" s="93"/>
      <c r="GC107" s="93"/>
      <c r="GD107" s="93"/>
      <c r="GE107" s="93"/>
      <c r="GF107" s="99">
        <v>4</v>
      </c>
      <c r="GG107" s="1"/>
      <c r="GH107" s="1"/>
      <c r="GI107" s="1"/>
      <c r="GJ107" s="1"/>
      <c r="GK107" s="1"/>
      <c r="GL107" s="1"/>
      <c r="GM107" s="1"/>
      <c r="GN107" s="74">
        <f t="shared" si="45"/>
        <v>0</v>
      </c>
      <c r="GO107" s="93"/>
      <c r="GP107" s="93"/>
      <c r="GQ107" s="93"/>
      <c r="GR107" s="93"/>
      <c r="GS107" s="93"/>
      <c r="GT107" s="93"/>
      <c r="GU107" s="93"/>
      <c r="GV107" s="93"/>
      <c r="GW107" s="99">
        <v>4</v>
      </c>
      <c r="GX107" s="74">
        <f t="shared" si="46"/>
        <v>11118.335500000001</v>
      </c>
      <c r="GY107" s="75">
        <f t="shared" si="47"/>
        <v>111.18335500000001</v>
      </c>
      <c r="HA107" s="43">
        <f t="shared" si="48"/>
        <v>10565.860500000001</v>
      </c>
      <c r="HC107" s="99">
        <v>4</v>
      </c>
      <c r="HD107" s="4">
        <v>27.197399999999998</v>
      </c>
      <c r="HE107" s="4">
        <v>0</v>
      </c>
      <c r="HF107" s="4">
        <v>72.802599999999998</v>
      </c>
      <c r="HG107" s="4">
        <v>0</v>
      </c>
      <c r="HH107" s="81">
        <f t="shared" si="49"/>
        <v>259.44308171155603</v>
      </c>
      <c r="HJ107" s="162"/>
      <c r="HK107" s="172"/>
      <c r="HL107" s="172"/>
      <c r="HM107" s="172"/>
      <c r="HN107" s="172"/>
      <c r="HO107" s="172"/>
      <c r="HP107" s="172"/>
      <c r="HV107" s="107"/>
      <c r="HX107" s="68"/>
      <c r="HY107" s="107"/>
      <c r="HZ107" s="68"/>
    </row>
    <row r="108" spans="3:234" x14ac:dyDescent="0.3">
      <c r="G108" s="94">
        <f>S108*2.3</f>
        <v>72.446550000000002</v>
      </c>
      <c r="L108" s="85">
        <v>5</v>
      </c>
      <c r="M108" s="1"/>
      <c r="N108" s="1"/>
      <c r="O108" s="1">
        <f>$BB$79*O8/100</f>
        <v>43.824000000000005</v>
      </c>
      <c r="P108" s="1">
        <f>$BB$79*P8/100</f>
        <v>0</v>
      </c>
      <c r="Q108" s="1">
        <f>$BB$79*Q8/100</f>
        <v>0</v>
      </c>
      <c r="R108" s="1">
        <f>$BB$79*R8/100</f>
        <v>2.2825000000000002</v>
      </c>
      <c r="S108" s="1">
        <f>$BB$79*S8/100</f>
        <v>31.498500000000003</v>
      </c>
      <c r="T108" s="74">
        <f t="shared" si="32"/>
        <v>77.605000000000004</v>
      </c>
      <c r="U108" s="233"/>
      <c r="AA108" s="87"/>
      <c r="AB108" s="85">
        <v>5</v>
      </c>
      <c r="AC108" s="1">
        <f t="shared" ref="AC108:AI108" si="54">$BB$79*AC8/100</f>
        <v>19.173000000000002</v>
      </c>
      <c r="AD108" s="1">
        <f t="shared" si="54"/>
        <v>20.086000000000002</v>
      </c>
      <c r="AE108" s="1">
        <f t="shared" si="54"/>
        <v>20.086000000000002</v>
      </c>
      <c r="AF108" s="1">
        <f t="shared" si="54"/>
        <v>20.999000000000002</v>
      </c>
      <c r="AG108" s="1">
        <f t="shared" si="54"/>
        <v>41.998000000000005</v>
      </c>
      <c r="AH108" s="1">
        <f t="shared" si="54"/>
        <v>78.061500000000009</v>
      </c>
      <c r="AI108" s="1">
        <f t="shared" si="54"/>
        <v>33.781000000000006</v>
      </c>
      <c r="AJ108" s="74">
        <f t="shared" si="33"/>
        <v>234.18450000000001</v>
      </c>
      <c r="AK108" s="233"/>
      <c r="AQ108" s="87"/>
      <c r="AR108" s="85">
        <v>5</v>
      </c>
      <c r="AS108" s="1">
        <f>$BB$79*AS8/100</f>
        <v>52.041000000000004</v>
      </c>
      <c r="AT108" s="1">
        <f>$BB$79*AT8/100</f>
        <v>40.172000000000004</v>
      </c>
      <c r="AU108" s="1">
        <f>$BB$79*AU8/100</f>
        <v>45.1935</v>
      </c>
      <c r="AV108" s="1">
        <f>$BR$96*AV8/100</f>
        <v>67.364999999999995</v>
      </c>
      <c r="AW108" s="1">
        <f>$BR$96*AW8/100</f>
        <v>65.867999999999995</v>
      </c>
      <c r="AX108" s="1">
        <f>$BR$96*AX8/100</f>
        <v>71.856000000000009</v>
      </c>
      <c r="AY108" s="1">
        <f>$BR$96*AY8/100</f>
        <v>67.364999999999995</v>
      </c>
      <c r="AZ108" s="74">
        <f t="shared" si="34"/>
        <v>409.8605</v>
      </c>
      <c r="BA108" s="233"/>
      <c r="BG108" s="87"/>
      <c r="BH108" s="85">
        <v>5</v>
      </c>
      <c r="BI108" s="1">
        <f>$BR$96*BI8/100</f>
        <v>71.107500000000002</v>
      </c>
      <c r="BJ108" s="1">
        <f>$BR$63*BJ8/100</f>
        <v>68.76100000000001</v>
      </c>
      <c r="BK108" s="1">
        <f>$BR$63*BK8/100</f>
        <v>76.076000000000008</v>
      </c>
      <c r="BL108" s="1">
        <f>$BR$63*BL8/100</f>
        <v>59.251500000000007</v>
      </c>
      <c r="BM108" s="1">
        <f>$CH$41*BM8/100</f>
        <v>48.143999999999998</v>
      </c>
      <c r="BN108" s="1">
        <f>$CH$41*BN8/100</f>
        <v>33.983999999999995</v>
      </c>
      <c r="BO108" s="1">
        <f>$CH$41*BO8/100</f>
        <v>35.872</v>
      </c>
      <c r="BP108" s="74">
        <f t="shared" si="35"/>
        <v>393.19600000000003</v>
      </c>
      <c r="BQ108" s="233"/>
      <c r="BW108" s="87"/>
      <c r="BX108" s="85">
        <v>5</v>
      </c>
      <c r="BY108" s="1">
        <f t="shared" ref="BY108:CE108" si="55">$CH$41*BY8/100</f>
        <v>35.872</v>
      </c>
      <c r="BZ108" s="1">
        <f t="shared" si="55"/>
        <v>25.96</v>
      </c>
      <c r="CA108" s="1">
        <f t="shared" si="55"/>
        <v>25.96</v>
      </c>
      <c r="CB108" s="1">
        <f t="shared" si="55"/>
        <v>23.127999999999997</v>
      </c>
      <c r="CC108" s="1">
        <f t="shared" si="55"/>
        <v>21.712</v>
      </c>
      <c r="CD108" s="1">
        <f t="shared" si="55"/>
        <v>18.408000000000001</v>
      </c>
      <c r="CE108" s="1">
        <f t="shared" si="55"/>
        <v>16.52</v>
      </c>
      <c r="CF108" s="74">
        <f t="shared" si="36"/>
        <v>167.56000000000003</v>
      </c>
      <c r="CG108" s="233"/>
      <c r="CM108" s="87"/>
      <c r="CN108" s="85">
        <v>5</v>
      </c>
      <c r="CO108" s="1">
        <f t="shared" ref="CO108:CS108" si="56">$CH$41*CO8/100</f>
        <v>14.16</v>
      </c>
      <c r="CP108" s="1">
        <f t="shared" si="56"/>
        <v>13.215999999999999</v>
      </c>
      <c r="CQ108" s="1">
        <f t="shared" si="56"/>
        <v>8.968</v>
      </c>
      <c r="CR108" s="1">
        <f t="shared" si="56"/>
        <v>6.6079999999999997</v>
      </c>
      <c r="CS108" s="1">
        <f t="shared" si="56"/>
        <v>7.5519999999999996</v>
      </c>
      <c r="CT108" s="85"/>
      <c r="CU108" s="1"/>
      <c r="CV108" s="74">
        <f t="shared" si="38"/>
        <v>50.503999999999991</v>
      </c>
      <c r="CW108" s="87"/>
      <c r="DC108" s="87"/>
      <c r="DD108" s="85">
        <v>5</v>
      </c>
      <c r="DE108" s="1"/>
      <c r="DF108" s="1"/>
      <c r="DG108" s="1"/>
      <c r="DH108" s="1"/>
      <c r="DI108" s="1"/>
      <c r="DJ108" s="1"/>
      <c r="DK108" s="1"/>
      <c r="DL108" s="74">
        <f t="shared" si="40"/>
        <v>0</v>
      </c>
      <c r="DM108" s="87"/>
      <c r="DS108" s="87"/>
      <c r="DT108" s="85">
        <v>5</v>
      </c>
      <c r="DU108" s="1"/>
      <c r="DV108" s="1"/>
      <c r="DW108" s="1"/>
      <c r="DX108" s="1"/>
      <c r="DY108" s="1"/>
      <c r="DZ108" s="1"/>
      <c r="EA108" s="1"/>
      <c r="EB108" s="74">
        <f t="shared" si="41"/>
        <v>0</v>
      </c>
      <c r="EC108" s="87"/>
      <c r="EI108" s="87"/>
      <c r="EJ108" s="85">
        <v>5</v>
      </c>
      <c r="EK108" s="1"/>
      <c r="EL108" s="1"/>
      <c r="EM108" s="1"/>
      <c r="EN108" s="1"/>
      <c r="EO108" s="1"/>
      <c r="EP108" s="1"/>
      <c r="EQ108" s="1"/>
      <c r="ER108" s="74">
        <f t="shared" si="42"/>
        <v>0</v>
      </c>
      <c r="ES108" s="90"/>
      <c r="EY108" s="93"/>
      <c r="EZ108" s="85">
        <v>5</v>
      </c>
      <c r="FA108" s="1"/>
      <c r="FB108" s="1"/>
      <c r="FC108" s="1"/>
      <c r="FD108" s="1"/>
      <c r="FE108" s="1"/>
      <c r="FF108" s="1"/>
      <c r="FG108" s="1"/>
      <c r="FH108" s="74">
        <f t="shared" si="43"/>
        <v>0</v>
      </c>
      <c r="FI108" s="93"/>
      <c r="FJ108" s="90"/>
      <c r="FK108" s="93"/>
      <c r="FL108" s="93"/>
      <c r="FM108" s="93"/>
      <c r="FN108" s="92"/>
      <c r="FO108" s="92"/>
      <c r="FP108" s="85">
        <v>5</v>
      </c>
      <c r="FQ108" s="1"/>
      <c r="FR108" s="1"/>
      <c r="FS108" s="1"/>
      <c r="FT108" s="1"/>
      <c r="FU108" s="1"/>
      <c r="FV108" s="1"/>
      <c r="FW108" s="1"/>
      <c r="FX108" s="74">
        <f t="shared" si="44"/>
        <v>0</v>
      </c>
      <c r="FY108" s="93"/>
      <c r="FZ108" s="93"/>
      <c r="GA108" s="93"/>
      <c r="GB108" s="93"/>
      <c r="GC108" s="93"/>
      <c r="GD108" s="93"/>
      <c r="GE108" s="93"/>
      <c r="GF108" s="85">
        <v>5</v>
      </c>
      <c r="GG108" s="1"/>
      <c r="GH108" s="1"/>
      <c r="GI108" s="1"/>
      <c r="GJ108" s="1"/>
      <c r="GK108" s="1"/>
      <c r="GL108" s="1"/>
      <c r="GM108" s="1"/>
      <c r="GN108" s="74">
        <f t="shared" si="45"/>
        <v>0</v>
      </c>
      <c r="GO108" s="93"/>
      <c r="GP108" s="93"/>
      <c r="GQ108" s="93"/>
      <c r="GR108" s="93"/>
      <c r="GS108" s="93"/>
      <c r="GT108" s="93"/>
      <c r="GU108" s="93"/>
      <c r="GV108" s="93"/>
      <c r="GW108" s="85">
        <v>5</v>
      </c>
      <c r="GX108" s="74">
        <f t="shared" si="46"/>
        <v>1332.9099999999999</v>
      </c>
      <c r="GY108" s="75">
        <f t="shared" si="47"/>
        <v>13.329099999999999</v>
      </c>
      <c r="HA108" s="102">
        <f t="shared" si="48"/>
        <v>780.43499999999983</v>
      </c>
      <c r="HC108" s="85">
        <v>5</v>
      </c>
      <c r="HD108" s="4">
        <v>33.561</v>
      </c>
      <c r="HE108" s="4">
        <v>1.4806999999999999</v>
      </c>
      <c r="HF108" s="4">
        <v>32.657699999999998</v>
      </c>
      <c r="HG108" s="4">
        <v>32.300600000000003</v>
      </c>
      <c r="HH108" s="81">
        <f t="shared" si="49"/>
        <v>18.12534738216323</v>
      </c>
      <c r="HI108" s="45"/>
      <c r="HJ108" s="162"/>
      <c r="HK108" s="172"/>
      <c r="HL108" s="172"/>
      <c r="HM108" s="172"/>
      <c r="HN108" s="172"/>
      <c r="HO108" s="172"/>
      <c r="HP108" s="172"/>
      <c r="HV108" s="107"/>
      <c r="HX108" s="68"/>
      <c r="HY108" s="107"/>
      <c r="HZ108" s="68"/>
    </row>
    <row r="109" spans="3:234" x14ac:dyDescent="0.3">
      <c r="C109" s="68">
        <f>O108*2.3</f>
        <v>100.79520000000001</v>
      </c>
      <c r="D109" s="94">
        <f>P108*2.3</f>
        <v>0</v>
      </c>
      <c r="E109" s="94">
        <f>Q108*2.3</f>
        <v>0</v>
      </c>
      <c r="F109" s="94">
        <f>R108*2.3</f>
        <v>5.2497499999999997</v>
      </c>
      <c r="L109" s="1">
        <v>6</v>
      </c>
      <c r="M109" s="1"/>
      <c r="N109" s="1"/>
      <c r="O109" s="1">
        <f>$CH$57*O9/100</f>
        <v>41.94</v>
      </c>
      <c r="P109" s="1">
        <f>$CH$57*P9/100</f>
        <v>4.66</v>
      </c>
      <c r="Q109" s="1">
        <f>$CH$57*Q9/100</f>
        <v>9.32</v>
      </c>
      <c r="R109" s="1">
        <f>$CH$57*R9/100</f>
        <v>13.98</v>
      </c>
      <c r="S109" s="1">
        <f>$CH$57*S9/100</f>
        <v>18.64</v>
      </c>
      <c r="T109" s="74">
        <f t="shared" si="32"/>
        <v>88.539999999999992</v>
      </c>
      <c r="U109" s="233"/>
      <c r="AA109" s="87"/>
      <c r="AB109" s="1">
        <v>6</v>
      </c>
      <c r="AC109" s="1">
        <f t="shared" ref="AC109:AI109" si="57">$CH$57*AC9/100</f>
        <v>46.6</v>
      </c>
      <c r="AD109" s="1">
        <f t="shared" si="57"/>
        <v>97.86</v>
      </c>
      <c r="AE109" s="1">
        <f t="shared" si="57"/>
        <v>102.52</v>
      </c>
      <c r="AF109" s="1">
        <f t="shared" si="57"/>
        <v>69.900000000000006</v>
      </c>
      <c r="AG109" s="1">
        <f t="shared" si="57"/>
        <v>121.16</v>
      </c>
      <c r="AH109" s="1">
        <f t="shared" si="57"/>
        <v>69.900000000000006</v>
      </c>
      <c r="AI109" s="1">
        <f t="shared" si="57"/>
        <v>32.619999999999997</v>
      </c>
      <c r="AJ109" s="74">
        <f t="shared" si="33"/>
        <v>540.55999999999995</v>
      </c>
      <c r="AK109" s="233"/>
      <c r="AQ109" s="87"/>
      <c r="AR109" s="1">
        <v>6</v>
      </c>
      <c r="AS109" s="1">
        <f t="shared" ref="AS109:AY109" si="58">$CH$57*AS9/100</f>
        <v>46.6</v>
      </c>
      <c r="AT109" s="1">
        <f t="shared" si="58"/>
        <v>97.86</v>
      </c>
      <c r="AU109" s="1">
        <f t="shared" si="58"/>
        <v>102.52</v>
      </c>
      <c r="AV109" s="1">
        <f t="shared" si="58"/>
        <v>69.900000000000006</v>
      </c>
      <c r="AW109" s="1">
        <f t="shared" si="58"/>
        <v>121.16</v>
      </c>
      <c r="AX109" s="1">
        <f t="shared" si="58"/>
        <v>69.900000000000006</v>
      </c>
      <c r="AY109" s="1">
        <f t="shared" si="58"/>
        <v>32.619999999999997</v>
      </c>
      <c r="AZ109" s="74">
        <f t="shared" si="34"/>
        <v>540.55999999999995</v>
      </c>
      <c r="BA109" s="233"/>
      <c r="BG109" s="87"/>
      <c r="BH109" s="1">
        <v>6</v>
      </c>
      <c r="BI109" s="1">
        <f t="shared" ref="BI109:BO109" si="59">$CH$57*BI9/100</f>
        <v>46.6</v>
      </c>
      <c r="BJ109" s="1">
        <f t="shared" si="59"/>
        <v>97.86</v>
      </c>
      <c r="BK109" s="1">
        <f t="shared" si="59"/>
        <v>102.52</v>
      </c>
      <c r="BL109" s="1">
        <f t="shared" si="59"/>
        <v>69.900000000000006</v>
      </c>
      <c r="BM109" s="1">
        <f t="shared" si="59"/>
        <v>121.16</v>
      </c>
      <c r="BN109" s="1">
        <f t="shared" si="59"/>
        <v>69.900000000000006</v>
      </c>
      <c r="BO109" s="1">
        <f t="shared" si="59"/>
        <v>32.619999999999997</v>
      </c>
      <c r="BP109" s="74">
        <f t="shared" si="35"/>
        <v>540.55999999999995</v>
      </c>
      <c r="BQ109" s="233"/>
      <c r="BW109" s="87"/>
      <c r="BX109" s="1">
        <v>6</v>
      </c>
      <c r="BY109" s="1">
        <f>$CH$57*BY9/100</f>
        <v>46.6</v>
      </c>
      <c r="BZ109" s="1">
        <f>$CH$57*BZ9/100</f>
        <v>97.86</v>
      </c>
      <c r="CA109" s="1">
        <f>$CH$57*CA9/100</f>
        <v>102.52</v>
      </c>
      <c r="CB109" s="1">
        <f>$CH$57*CB9/100</f>
        <v>69.900000000000006</v>
      </c>
      <c r="CC109" s="1">
        <f>$CX$46*CC9/100</f>
        <v>148.928</v>
      </c>
      <c r="CD109" s="1">
        <f>$CX$46*CD9/100</f>
        <v>85.92</v>
      </c>
      <c r="CE109" s="1">
        <f>$CX$46*CE9/100</f>
        <v>40.095999999999997</v>
      </c>
      <c r="CF109" s="74">
        <f t="shared" si="36"/>
        <v>591.82399999999996</v>
      </c>
      <c r="CG109" s="233"/>
      <c r="CM109" s="87"/>
      <c r="CN109" s="1">
        <v>6</v>
      </c>
      <c r="CO109" s="1">
        <f>$CX$46*CO9/100</f>
        <v>57.28</v>
      </c>
      <c r="CP109" s="1">
        <f>$CX$46*CP9/100</f>
        <v>45.823999999999998</v>
      </c>
      <c r="CQ109" s="1">
        <f>$CX$46*CQ9/100</f>
        <v>85.92</v>
      </c>
      <c r="CR109" s="1">
        <f>$CX$46*CR9/100</f>
        <v>74.463999999999999</v>
      </c>
      <c r="CS109" s="1">
        <f>$CX$46*CS9/100</f>
        <v>65.872</v>
      </c>
      <c r="CT109" s="1">
        <f>$ED$48*CT9/100</f>
        <v>80.010000000000005</v>
      </c>
      <c r="CU109" s="1">
        <f>$ED$48*CU9/100</f>
        <v>32.003999999999998</v>
      </c>
      <c r="CV109" s="74">
        <f t="shared" si="38"/>
        <v>441.37400000000002</v>
      </c>
      <c r="CW109" s="87"/>
      <c r="DC109" s="87"/>
      <c r="DD109" s="1">
        <v>6</v>
      </c>
      <c r="DE109" s="1">
        <f t="shared" ref="DE109:DK109" si="60">$ED$48*DE9/100</f>
        <v>10.668000000000001</v>
      </c>
      <c r="DF109" s="1">
        <f t="shared" si="60"/>
        <v>42.672000000000004</v>
      </c>
      <c r="DG109" s="1">
        <f t="shared" si="60"/>
        <v>21.336000000000002</v>
      </c>
      <c r="DH109" s="1">
        <f t="shared" si="60"/>
        <v>32.003999999999998</v>
      </c>
      <c r="DI109" s="1">
        <f t="shared" si="60"/>
        <v>26.67</v>
      </c>
      <c r="DJ109" s="1">
        <f t="shared" si="60"/>
        <v>42.672000000000004</v>
      </c>
      <c r="DK109" s="1">
        <f t="shared" si="60"/>
        <v>16.001999999999999</v>
      </c>
      <c r="DL109" s="74">
        <f t="shared" si="40"/>
        <v>192.02400000000003</v>
      </c>
      <c r="DM109" s="87"/>
      <c r="DS109" s="87"/>
      <c r="DT109" s="1">
        <v>6</v>
      </c>
      <c r="DU109" s="1">
        <f>$ED$48*DU9/100</f>
        <v>42.672000000000004</v>
      </c>
      <c r="DV109" s="1">
        <f>$ED$48*DV9/100</f>
        <v>42.672000000000004</v>
      </c>
      <c r="DW109" s="1">
        <f>$ED$48*DW9/100</f>
        <v>10.668000000000001</v>
      </c>
      <c r="DX109" s="1">
        <f>$FZ$42*DX9/100</f>
        <v>0</v>
      </c>
      <c r="DY109" s="1">
        <f>$FZ$42*DY9/100</f>
        <v>0</v>
      </c>
      <c r="DZ109" s="1">
        <f>$FZ$42*DZ9/100</f>
        <v>34.208999999999996</v>
      </c>
      <c r="EA109" s="1">
        <f>$FZ$42*EA9/100</f>
        <v>0</v>
      </c>
      <c r="EB109" s="74">
        <f t="shared" si="41"/>
        <v>130.221</v>
      </c>
      <c r="EC109" s="87"/>
      <c r="EI109" s="87"/>
      <c r="EJ109" s="1">
        <v>6</v>
      </c>
      <c r="EK109" s="1">
        <f t="shared" ref="EK109:EP109" si="61">$FZ$42*EK9/100</f>
        <v>14.661</v>
      </c>
      <c r="EL109" s="1">
        <f t="shared" si="61"/>
        <v>4.8869999999999996</v>
      </c>
      <c r="EM109" s="1">
        <f t="shared" si="61"/>
        <v>39.095999999999997</v>
      </c>
      <c r="EN109" s="1">
        <f t="shared" si="61"/>
        <v>0</v>
      </c>
      <c r="EO109" s="1">
        <f t="shared" si="61"/>
        <v>0</v>
      </c>
      <c r="EP109" s="1">
        <f t="shared" si="61"/>
        <v>0</v>
      </c>
      <c r="EQ109" s="85"/>
      <c r="ER109" s="74">
        <f t="shared" si="42"/>
        <v>58.643999999999991</v>
      </c>
      <c r="ES109" s="90"/>
      <c r="EY109" s="93"/>
      <c r="EZ109" s="1">
        <v>6</v>
      </c>
      <c r="FA109" s="1"/>
      <c r="FB109" s="1"/>
      <c r="FC109" s="1"/>
      <c r="FD109" s="1"/>
      <c r="FE109" s="1"/>
      <c r="FF109" s="1"/>
      <c r="FG109" s="1"/>
      <c r="FH109" s="74">
        <f t="shared" si="43"/>
        <v>0</v>
      </c>
      <c r="FI109" s="93"/>
      <c r="FJ109" s="90"/>
      <c r="FK109" s="93"/>
      <c r="FL109" s="93"/>
      <c r="FM109" s="93"/>
      <c r="FN109" s="92"/>
      <c r="FO109" s="92"/>
      <c r="FP109" s="1">
        <v>6</v>
      </c>
      <c r="FQ109" s="1"/>
      <c r="FR109" s="1"/>
      <c r="FS109" s="1"/>
      <c r="FT109" s="1"/>
      <c r="FU109" s="1"/>
      <c r="FV109" s="1"/>
      <c r="FW109" s="1"/>
      <c r="FX109" s="74">
        <f t="shared" si="44"/>
        <v>0</v>
      </c>
      <c r="FY109" s="93"/>
      <c r="FZ109" s="93"/>
      <c r="GA109" s="93"/>
      <c r="GB109" s="93"/>
      <c r="GC109" s="93"/>
      <c r="GD109" s="93"/>
      <c r="GE109" s="93"/>
      <c r="GF109" s="1">
        <v>6</v>
      </c>
      <c r="GG109" s="1"/>
      <c r="GH109" s="1"/>
      <c r="GI109" s="1"/>
      <c r="GJ109" s="1"/>
      <c r="GK109" s="1"/>
      <c r="GL109" s="1"/>
      <c r="GM109" s="1"/>
      <c r="GN109" s="74">
        <f t="shared" si="45"/>
        <v>0</v>
      </c>
      <c r="GO109" s="93"/>
      <c r="GP109" s="93"/>
      <c r="GQ109" s="93"/>
      <c r="GR109" s="93"/>
      <c r="GS109" s="93"/>
      <c r="GT109" s="93"/>
      <c r="GU109" s="93"/>
      <c r="GV109" s="93"/>
      <c r="GW109" s="1">
        <v>6</v>
      </c>
      <c r="GX109" s="74">
        <f t="shared" si="46"/>
        <v>3124.3069999999993</v>
      </c>
      <c r="GY109" s="75">
        <f t="shared" si="47"/>
        <v>31.243069999999992</v>
      </c>
      <c r="HA109" s="43">
        <f>GX109-$GX$135</f>
        <v>2571.8319999999994</v>
      </c>
      <c r="HC109" s="1">
        <v>6</v>
      </c>
      <c r="HD109" s="4">
        <v>72.5886</v>
      </c>
      <c r="HE109" s="4">
        <v>27.4114</v>
      </c>
      <c r="HF109" s="4">
        <v>0</v>
      </c>
      <c r="HG109" s="4">
        <v>0</v>
      </c>
      <c r="HH109" s="81">
        <f t="shared" si="49"/>
        <v>57.575163628216991</v>
      </c>
      <c r="HJ109" s="162"/>
      <c r="HK109" s="172"/>
      <c r="HL109" s="172"/>
      <c r="HM109" s="172"/>
      <c r="HN109" s="172"/>
      <c r="HO109" s="172"/>
      <c r="HP109" s="172"/>
      <c r="HV109" s="107"/>
      <c r="HX109" s="68"/>
      <c r="HY109" s="107"/>
      <c r="HZ109" s="68"/>
    </row>
    <row r="110" spans="3:234" x14ac:dyDescent="0.3">
      <c r="L110" s="1">
        <v>7</v>
      </c>
      <c r="M110" s="1"/>
      <c r="N110" s="1"/>
      <c r="O110" s="1">
        <f>$BR$60*O10/100</f>
        <v>0</v>
      </c>
      <c r="P110" s="1">
        <f>$BR$60*P10/100</f>
        <v>0</v>
      </c>
      <c r="Q110" s="1">
        <f>$BR$60*Q10/100</f>
        <v>0</v>
      </c>
      <c r="R110" s="1">
        <f>$BR$60*R10/100</f>
        <v>26.65</v>
      </c>
      <c r="S110" s="1">
        <f>$BR$60*S10/100</f>
        <v>47.97</v>
      </c>
      <c r="T110" s="74">
        <f t="shared" si="32"/>
        <v>74.62</v>
      </c>
      <c r="U110" s="233"/>
      <c r="AA110" s="87"/>
      <c r="AB110" s="1">
        <v>7</v>
      </c>
      <c r="AC110" s="1">
        <f>$BR$60*AC10/100</f>
        <v>95.94</v>
      </c>
      <c r="AD110" s="1">
        <f t="shared" ref="AD110:AI110" si="62">$BR$60*AD10/100</f>
        <v>149.24</v>
      </c>
      <c r="AE110" s="1">
        <f t="shared" si="62"/>
        <v>335.79</v>
      </c>
      <c r="AF110" s="1">
        <f t="shared" si="62"/>
        <v>293.14999999999998</v>
      </c>
      <c r="AG110" s="1">
        <f t="shared" si="62"/>
        <v>245.18</v>
      </c>
      <c r="AH110" s="1">
        <f t="shared" si="62"/>
        <v>362.44</v>
      </c>
      <c r="AI110" s="1">
        <f t="shared" si="62"/>
        <v>325.13</v>
      </c>
      <c r="AJ110" s="74">
        <f t="shared" si="33"/>
        <v>1806.87</v>
      </c>
      <c r="AK110" s="233"/>
      <c r="AQ110" s="87"/>
      <c r="AR110" s="1">
        <v>7</v>
      </c>
      <c r="AS110" s="1">
        <f t="shared" ref="AS110:AY110" si="63">$BR$60*AS10/100</f>
        <v>271.83</v>
      </c>
      <c r="AT110" s="1">
        <f t="shared" si="63"/>
        <v>170.56</v>
      </c>
      <c r="AU110" s="1">
        <f t="shared" si="63"/>
        <v>122.59</v>
      </c>
      <c r="AV110" s="1">
        <f t="shared" si="63"/>
        <v>181.22</v>
      </c>
      <c r="AW110" s="1">
        <f t="shared" si="63"/>
        <v>133.25</v>
      </c>
      <c r="AX110" s="1">
        <f t="shared" si="63"/>
        <v>90.61</v>
      </c>
      <c r="AY110" s="1">
        <f t="shared" si="63"/>
        <v>79.95</v>
      </c>
      <c r="AZ110" s="74">
        <f t="shared" si="34"/>
        <v>1050.01</v>
      </c>
      <c r="BA110" s="233"/>
      <c r="BG110" s="87"/>
      <c r="BH110" s="1">
        <v>7</v>
      </c>
      <c r="BI110" s="1">
        <f>$BR$60*BI10/100</f>
        <v>69.290000000000006</v>
      </c>
      <c r="BJ110" s="1">
        <f t="shared" ref="BJ110:BO110" si="64">$BR$60*BJ10/100</f>
        <v>79.95</v>
      </c>
      <c r="BK110" s="1">
        <f t="shared" si="64"/>
        <v>69.290000000000006</v>
      </c>
      <c r="BL110" s="1">
        <f t="shared" si="64"/>
        <v>90.61</v>
      </c>
      <c r="BM110" s="1">
        <f t="shared" si="64"/>
        <v>101.27</v>
      </c>
      <c r="BN110" s="1">
        <f t="shared" si="64"/>
        <v>111.93</v>
      </c>
      <c r="BO110" s="1">
        <f t="shared" si="64"/>
        <v>79.95</v>
      </c>
      <c r="BP110" s="74">
        <f t="shared" si="35"/>
        <v>602.29000000000008</v>
      </c>
      <c r="BQ110" s="233"/>
      <c r="BW110" s="87"/>
      <c r="BX110" s="1">
        <v>7</v>
      </c>
      <c r="BY110" s="1">
        <f>$CH$60*BY10/100</f>
        <v>116.47799999999999</v>
      </c>
      <c r="BZ110" s="1">
        <f t="shared" ref="BZ110:CE110" si="65">$CH$60*BZ10/100</f>
        <v>129.41999999999999</v>
      </c>
      <c r="CA110" s="1">
        <f t="shared" si="65"/>
        <v>97.064999999999984</v>
      </c>
      <c r="CB110" s="1">
        <f t="shared" si="65"/>
        <v>122.949</v>
      </c>
      <c r="CC110" s="1">
        <f t="shared" si="65"/>
        <v>116.47799999999999</v>
      </c>
      <c r="CD110" s="1">
        <f t="shared" si="65"/>
        <v>110.00699999999999</v>
      </c>
      <c r="CE110" s="1">
        <f t="shared" si="65"/>
        <v>51.767999999999994</v>
      </c>
      <c r="CF110" s="74">
        <f t="shared" si="36"/>
        <v>744.16499999999996</v>
      </c>
      <c r="CG110" s="233"/>
      <c r="CM110" s="87"/>
      <c r="CN110" s="1">
        <v>7</v>
      </c>
      <c r="CO110" s="1">
        <f>$DN$60*CO10/100</f>
        <v>118.845</v>
      </c>
      <c r="CP110" s="1">
        <f t="shared" ref="CP110:CU110" si="66">$DN$60*CP10/100</f>
        <v>100.08</v>
      </c>
      <c r="CQ110" s="1">
        <f t="shared" si="66"/>
        <v>118.845</v>
      </c>
      <c r="CR110" s="1">
        <f t="shared" si="66"/>
        <v>118.845</v>
      </c>
      <c r="CS110" s="1">
        <f t="shared" si="66"/>
        <v>137.61000000000001</v>
      </c>
      <c r="CT110" s="1">
        <f t="shared" si="66"/>
        <v>118.845</v>
      </c>
      <c r="CU110" s="1">
        <f t="shared" si="66"/>
        <v>118.845</v>
      </c>
      <c r="CV110" s="74">
        <f t="shared" si="38"/>
        <v>831.91500000000008</v>
      </c>
      <c r="CW110" s="87"/>
      <c r="DC110" s="87"/>
      <c r="DD110" s="1">
        <v>7</v>
      </c>
      <c r="DE110" s="1">
        <f>$DN$60*DE10/100</f>
        <v>112.59</v>
      </c>
      <c r="DF110" s="1">
        <f t="shared" ref="DF110:DK110" si="67">$DN$60*DF10/100</f>
        <v>225.18</v>
      </c>
      <c r="DG110" s="1">
        <f t="shared" si="67"/>
        <v>175.14</v>
      </c>
      <c r="DH110" s="1">
        <f t="shared" si="67"/>
        <v>156.375</v>
      </c>
      <c r="DI110" s="1">
        <f t="shared" si="67"/>
        <v>93.825000000000003</v>
      </c>
      <c r="DJ110" s="1">
        <f t="shared" si="67"/>
        <v>62.55</v>
      </c>
      <c r="DK110" s="1">
        <f t="shared" si="67"/>
        <v>143.86500000000001</v>
      </c>
      <c r="DL110" s="74">
        <f t="shared" si="40"/>
        <v>969.52499999999998</v>
      </c>
      <c r="DM110" s="87"/>
      <c r="DS110" s="87"/>
      <c r="DT110" s="1">
        <v>7</v>
      </c>
      <c r="DU110" s="1">
        <f>$ED$53*DU10/100</f>
        <v>244.69200000000001</v>
      </c>
      <c r="DV110" s="1">
        <f t="shared" ref="DV110:EA110" si="68">$ED$53*DV10/100</f>
        <v>407.82</v>
      </c>
      <c r="DW110" s="1">
        <f t="shared" si="68"/>
        <v>297.12599999999998</v>
      </c>
      <c r="DX110" s="1">
        <f t="shared" si="68"/>
        <v>192.25799999999998</v>
      </c>
      <c r="DY110" s="1">
        <f t="shared" si="68"/>
        <v>110.694</v>
      </c>
      <c r="DZ110" s="1">
        <f t="shared" si="68"/>
        <v>96.128999999999991</v>
      </c>
      <c r="EA110" s="1">
        <f t="shared" si="68"/>
        <v>52.433999999999997</v>
      </c>
      <c r="EB110" s="74">
        <f t="shared" si="41"/>
        <v>1401.1529999999998</v>
      </c>
      <c r="EC110" s="87"/>
      <c r="EI110" s="87"/>
      <c r="EJ110" s="1">
        <v>7</v>
      </c>
      <c r="EK110" s="1">
        <f>$ET$49*EK10/100</f>
        <v>79.933500000000009</v>
      </c>
      <c r="EL110" s="1">
        <f t="shared" ref="EL110:EM110" si="69">$ET$49*EL10/100</f>
        <v>29.605</v>
      </c>
      <c r="EM110" s="1">
        <f t="shared" si="69"/>
        <v>29.605</v>
      </c>
      <c r="EN110" s="85"/>
      <c r="EO110" s="1"/>
      <c r="EP110" s="1"/>
      <c r="EQ110" s="1"/>
      <c r="ER110" s="74">
        <f t="shared" si="42"/>
        <v>139.14350000000002</v>
      </c>
      <c r="ES110" s="90"/>
      <c r="EY110" s="93"/>
      <c r="EZ110" s="1">
        <v>7</v>
      </c>
      <c r="FA110" s="1"/>
      <c r="FB110" s="1"/>
      <c r="FC110" s="85"/>
      <c r="FD110" s="1"/>
      <c r="FE110" s="1"/>
      <c r="FF110" s="1"/>
      <c r="FG110" s="1"/>
      <c r="FH110" s="74">
        <f t="shared" si="43"/>
        <v>0</v>
      </c>
      <c r="FI110" s="93"/>
      <c r="FJ110" s="90"/>
      <c r="FK110" s="93"/>
      <c r="FL110" s="93"/>
      <c r="FM110" s="93"/>
      <c r="FN110" s="92"/>
      <c r="FO110" s="92"/>
      <c r="FP110" s="1">
        <v>7</v>
      </c>
      <c r="FQ110" s="1"/>
      <c r="FR110" s="1"/>
      <c r="FS110" s="1"/>
      <c r="FT110" s="1"/>
      <c r="FU110" s="1"/>
      <c r="FV110" s="1"/>
      <c r="FW110" s="1"/>
      <c r="FX110" s="74">
        <f t="shared" si="44"/>
        <v>0</v>
      </c>
      <c r="FY110" s="93"/>
      <c r="FZ110" s="93"/>
      <c r="GA110" s="93"/>
      <c r="GB110" s="93"/>
      <c r="GC110" s="93"/>
      <c r="GD110" s="93"/>
      <c r="GE110" s="93"/>
      <c r="GF110" s="1">
        <v>7</v>
      </c>
      <c r="GG110" s="1"/>
      <c r="GH110" s="1"/>
      <c r="GI110" s="1"/>
      <c r="GJ110" s="1"/>
      <c r="GK110" s="1"/>
      <c r="GL110" s="1"/>
      <c r="GM110" s="1"/>
      <c r="GN110" s="74">
        <f t="shared" si="45"/>
        <v>0</v>
      </c>
      <c r="GO110" s="93"/>
      <c r="GP110" s="93"/>
      <c r="GQ110" s="93"/>
      <c r="GR110" s="93"/>
      <c r="GS110" s="93"/>
      <c r="GT110" s="93"/>
      <c r="GU110" s="93"/>
      <c r="GV110" s="93"/>
      <c r="GW110" s="1">
        <v>7</v>
      </c>
      <c r="GX110" s="74">
        <f t="shared" si="46"/>
        <v>7619.691499999999</v>
      </c>
      <c r="GY110" s="75">
        <f t="shared" si="47"/>
        <v>76.19691499999999</v>
      </c>
      <c r="HA110" s="43">
        <f t="shared" si="48"/>
        <v>7067.2164999999986</v>
      </c>
      <c r="HC110" s="1">
        <v>7</v>
      </c>
      <c r="HD110" s="4">
        <v>73.716099999999997</v>
      </c>
      <c r="HE110" s="4">
        <v>0</v>
      </c>
      <c r="HF110" s="4">
        <v>0</v>
      </c>
      <c r="HG110" s="4">
        <v>26.283899999999999</v>
      </c>
      <c r="HH110" s="81">
        <f t="shared" si="49"/>
        <v>153.7154950414338</v>
      </c>
      <c r="HJ110" s="162"/>
      <c r="HK110" s="172"/>
      <c r="HL110" s="172"/>
      <c r="HM110" s="172"/>
      <c r="HN110" s="172"/>
      <c r="HO110" s="172"/>
      <c r="HP110" s="172"/>
      <c r="HV110" s="107"/>
      <c r="HX110" s="68"/>
      <c r="HY110" s="107"/>
      <c r="HZ110" s="68"/>
    </row>
    <row r="111" spans="3:234" x14ac:dyDescent="0.3">
      <c r="L111" s="1">
        <v>8</v>
      </c>
      <c r="M111" s="1"/>
      <c r="N111" s="1"/>
      <c r="O111" s="1">
        <f>$BR$80*O11/100</f>
        <v>25.532000000000004</v>
      </c>
      <c r="P111" s="1">
        <f>$BR$80*P11/100</f>
        <v>21.603999999999999</v>
      </c>
      <c r="Q111" s="1">
        <f>$BR$80*Q11/100</f>
        <v>27.495999999999999</v>
      </c>
      <c r="R111" s="1">
        <f>$BR$80*R11/100</f>
        <v>26.513999999999999</v>
      </c>
      <c r="S111" s="1">
        <f>$BR$80*S11/100</f>
        <v>31.423999999999999</v>
      </c>
      <c r="T111" s="74">
        <f t="shared" si="32"/>
        <v>132.57</v>
      </c>
      <c r="U111" s="233"/>
      <c r="AA111" s="87"/>
      <c r="AB111" s="1">
        <v>8</v>
      </c>
      <c r="AC111" s="1">
        <f t="shared" ref="AC111:AI111" si="70">$BR$80*AC11/100</f>
        <v>35.352000000000004</v>
      </c>
      <c r="AD111" s="1">
        <f t="shared" si="70"/>
        <v>46.154000000000003</v>
      </c>
      <c r="AE111" s="1">
        <f t="shared" si="70"/>
        <v>45.171999999999997</v>
      </c>
      <c r="AF111" s="1">
        <f t="shared" si="70"/>
        <v>52.046000000000006</v>
      </c>
      <c r="AG111" s="1">
        <f t="shared" si="70"/>
        <v>53.027999999999999</v>
      </c>
      <c r="AH111" s="1">
        <f t="shared" si="70"/>
        <v>67.757999999999996</v>
      </c>
      <c r="AI111" s="1">
        <f t="shared" si="70"/>
        <v>65.794000000000011</v>
      </c>
      <c r="AJ111" s="74">
        <f t="shared" si="33"/>
        <v>365.30399999999997</v>
      </c>
      <c r="AK111" s="233"/>
      <c r="AQ111" s="87"/>
      <c r="AR111" s="1">
        <v>8</v>
      </c>
      <c r="AS111" s="1">
        <f t="shared" ref="AS111:AY111" si="71">$BR$80*AS11/100</f>
        <v>70.704000000000008</v>
      </c>
      <c r="AT111" s="1">
        <f t="shared" si="71"/>
        <v>72.668000000000006</v>
      </c>
      <c r="AU111" s="1">
        <f t="shared" si="71"/>
        <v>71.686000000000007</v>
      </c>
      <c r="AV111" s="1">
        <f t="shared" si="71"/>
        <v>65.794000000000011</v>
      </c>
      <c r="AW111" s="1">
        <f t="shared" si="71"/>
        <v>71.686000000000007</v>
      </c>
      <c r="AX111" s="1">
        <f t="shared" si="71"/>
        <v>65.794000000000011</v>
      </c>
      <c r="AY111" s="1">
        <f t="shared" si="71"/>
        <v>60.884000000000007</v>
      </c>
      <c r="AZ111" s="74">
        <f t="shared" si="34"/>
        <v>479.21600000000001</v>
      </c>
      <c r="BA111" s="233"/>
      <c r="BG111" s="87"/>
      <c r="BH111" s="1">
        <v>8</v>
      </c>
      <c r="BI111" s="1">
        <f>$BR$80*BH11/100</f>
        <v>1.5712000000000002</v>
      </c>
      <c r="BJ111" s="1">
        <f>$BR$80*BI11/100</f>
        <v>66.77600000000001</v>
      </c>
      <c r="BK111" s="1">
        <f>$BR$59*BK11/100</f>
        <v>162.91800000000001</v>
      </c>
      <c r="BL111" s="1">
        <f>$BR$59*BL11/100</f>
        <v>151.28100000000001</v>
      </c>
      <c r="BM111" s="1">
        <f>$BR$59*BM11/100</f>
        <v>162.91800000000001</v>
      </c>
      <c r="BN111" s="1">
        <f>$CH$73*BN11/100</f>
        <v>140.74199999999999</v>
      </c>
      <c r="BO111" s="1">
        <f>$CH$73*BO11/100</f>
        <v>137.39099999999999</v>
      </c>
      <c r="BP111" s="74">
        <f t="shared" si="35"/>
        <v>823.59719999999993</v>
      </c>
      <c r="BQ111" s="233"/>
      <c r="BW111" s="87"/>
      <c r="BX111" s="1">
        <v>8</v>
      </c>
      <c r="BY111" s="1">
        <f>$CH$73*BY11/100</f>
        <v>107.23199999999999</v>
      </c>
      <c r="BZ111" s="1">
        <f>$CH$73*BZ11/100</f>
        <v>123.98699999999999</v>
      </c>
      <c r="CA111" s="1">
        <f>$ED$66*CA11/100</f>
        <v>66.045000000000002</v>
      </c>
      <c r="CB111" s="1">
        <f>$ED$66*CB11/100</f>
        <v>69.819000000000003</v>
      </c>
      <c r="CC111" s="1">
        <f>$ED$66*CC11/100</f>
        <v>67.932000000000002</v>
      </c>
      <c r="CD111" s="1">
        <f>$ED$66*CD11/100</f>
        <v>69.819000000000003</v>
      </c>
      <c r="CE111" s="1">
        <f>$ED$66*CE11/100</f>
        <v>69.819000000000003</v>
      </c>
      <c r="CF111" s="74">
        <f t="shared" si="36"/>
        <v>574.65300000000002</v>
      </c>
      <c r="CG111" s="233"/>
      <c r="CM111" s="87"/>
      <c r="CN111" s="1">
        <v>8</v>
      </c>
      <c r="CO111" s="1">
        <f t="shared" ref="CO111:CU111" si="72">$ED$66*CO11/100</f>
        <v>67.932000000000002</v>
      </c>
      <c r="CP111" s="1">
        <f t="shared" si="72"/>
        <v>69.819000000000003</v>
      </c>
      <c r="CQ111" s="1">
        <f t="shared" si="72"/>
        <v>67.932000000000002</v>
      </c>
      <c r="CR111" s="1">
        <f t="shared" si="72"/>
        <v>68.875500000000002</v>
      </c>
      <c r="CS111" s="1">
        <f t="shared" si="72"/>
        <v>68.875500000000002</v>
      </c>
      <c r="CT111" s="1">
        <f t="shared" si="72"/>
        <v>69.819000000000003</v>
      </c>
      <c r="CU111" s="1">
        <f t="shared" si="72"/>
        <v>73.593000000000004</v>
      </c>
      <c r="CV111" s="74">
        <f t="shared" si="38"/>
        <v>486.846</v>
      </c>
      <c r="CW111" s="87"/>
      <c r="DC111" s="87"/>
      <c r="DD111" s="1">
        <v>8</v>
      </c>
      <c r="DE111" s="1">
        <f t="shared" ref="DE111:DK111" si="73">$ED$66*DE11/100</f>
        <v>66.045000000000002</v>
      </c>
      <c r="DF111" s="1">
        <f t="shared" si="73"/>
        <v>69.819000000000003</v>
      </c>
      <c r="DG111" s="1">
        <f t="shared" si="73"/>
        <v>66.045000000000002</v>
      </c>
      <c r="DH111" s="1">
        <f t="shared" si="73"/>
        <v>66.045000000000002</v>
      </c>
      <c r="DI111" s="1">
        <f t="shared" si="73"/>
        <v>67.932000000000002</v>
      </c>
      <c r="DJ111" s="1">
        <f t="shared" si="73"/>
        <v>69.819000000000003</v>
      </c>
      <c r="DK111" s="1">
        <f t="shared" si="73"/>
        <v>67.932000000000002</v>
      </c>
      <c r="DL111" s="74">
        <f t="shared" si="40"/>
        <v>473.63700000000006</v>
      </c>
      <c r="DM111" s="87"/>
      <c r="DS111" s="87"/>
      <c r="DT111" s="1">
        <v>8</v>
      </c>
      <c r="DU111" s="1">
        <f t="shared" ref="DU111:EA111" si="74">$ED$66*DU11/100</f>
        <v>67.932000000000002</v>
      </c>
      <c r="DV111" s="1">
        <f t="shared" si="74"/>
        <v>66.045000000000002</v>
      </c>
      <c r="DW111" s="1">
        <f t="shared" si="74"/>
        <v>69.819000000000003</v>
      </c>
      <c r="DX111" s="1">
        <f t="shared" si="74"/>
        <v>73.593000000000004</v>
      </c>
      <c r="DY111" s="1">
        <f t="shared" si="74"/>
        <v>66.045000000000002</v>
      </c>
      <c r="DZ111" s="1">
        <f t="shared" si="74"/>
        <v>71.706000000000003</v>
      </c>
      <c r="EA111" s="1">
        <f t="shared" si="74"/>
        <v>69.819000000000003</v>
      </c>
      <c r="EB111" s="74">
        <f t="shared" si="41"/>
        <v>484.95900000000006</v>
      </c>
      <c r="EC111" s="87"/>
      <c r="EI111" s="87"/>
      <c r="EJ111" s="1">
        <v>8</v>
      </c>
      <c r="EK111" s="1">
        <f t="shared" ref="EK111:EQ111" si="75">$ET$50*EK11/100</f>
        <v>120.54</v>
      </c>
      <c r="EL111" s="1">
        <f t="shared" si="75"/>
        <v>123.98399999999999</v>
      </c>
      <c r="EM111" s="1">
        <f t="shared" si="75"/>
        <v>120.54</v>
      </c>
      <c r="EN111" s="1">
        <f t="shared" si="75"/>
        <v>110.208</v>
      </c>
      <c r="EO111" s="1">
        <f t="shared" si="75"/>
        <v>127.428</v>
      </c>
      <c r="EP111" s="1">
        <f t="shared" si="75"/>
        <v>113.65199999999999</v>
      </c>
      <c r="EQ111" s="1">
        <f t="shared" si="75"/>
        <v>96.431999999999988</v>
      </c>
      <c r="ER111" s="74">
        <f t="shared" si="42"/>
        <v>812.78400000000011</v>
      </c>
      <c r="ES111" s="90"/>
      <c r="EY111" s="93"/>
      <c r="EZ111" s="1">
        <v>8</v>
      </c>
      <c r="FA111" s="1">
        <f t="shared" ref="FA111:FG111" si="76">$FZ$43*FA11/100</f>
        <v>117.96400000000001</v>
      </c>
      <c r="FB111" s="1">
        <f t="shared" si="76"/>
        <v>92.686000000000007</v>
      </c>
      <c r="FC111" s="1">
        <f t="shared" si="76"/>
        <v>75.834000000000003</v>
      </c>
      <c r="FD111" s="1">
        <f t="shared" si="76"/>
        <v>80.047000000000011</v>
      </c>
      <c r="FE111" s="1">
        <f t="shared" si="76"/>
        <v>88.473000000000013</v>
      </c>
      <c r="FF111" s="1">
        <f t="shared" si="76"/>
        <v>84.26</v>
      </c>
      <c r="FG111" s="1">
        <f t="shared" si="76"/>
        <v>63.195</v>
      </c>
      <c r="FH111" s="74">
        <f t="shared" si="43"/>
        <v>602.45900000000017</v>
      </c>
      <c r="FI111" s="93"/>
      <c r="FJ111" s="90"/>
      <c r="FK111" s="93"/>
      <c r="FL111" s="93"/>
      <c r="FM111" s="93"/>
      <c r="FN111" s="92"/>
      <c r="FO111" s="92"/>
      <c r="FP111" s="1">
        <v>8</v>
      </c>
      <c r="FQ111" s="1">
        <f>$FZ$43*FQ11/100</f>
        <v>71.621000000000009</v>
      </c>
      <c r="FR111" s="1">
        <f>$FZ$43*FR11/100</f>
        <v>80.047000000000011</v>
      </c>
      <c r="FS111" s="1">
        <f>$FZ$43*FS11/100</f>
        <v>67.408000000000001</v>
      </c>
      <c r="FT111" s="3">
        <f>$FZ$50*FT11/100</f>
        <v>9.58</v>
      </c>
      <c r="FU111" s="3">
        <f>$FZ$50*FU11/100</f>
        <v>8.6219999999999999</v>
      </c>
      <c r="FV111" s="1">
        <f>$FZ$55*FV11/100</f>
        <v>15.616</v>
      </c>
      <c r="FW111" s="85"/>
      <c r="FX111" s="74">
        <f t="shared" si="44"/>
        <v>252.89400000000001</v>
      </c>
      <c r="FY111" s="93"/>
      <c r="FZ111" s="93"/>
      <c r="GA111" s="93"/>
      <c r="GB111" s="93"/>
      <c r="GC111" s="93"/>
      <c r="GD111" s="93"/>
      <c r="GE111" s="93"/>
      <c r="GF111" s="1">
        <v>8</v>
      </c>
      <c r="GG111" s="1"/>
      <c r="GH111" s="1"/>
      <c r="GI111" s="1"/>
      <c r="GJ111" s="1"/>
      <c r="GK111" s="1"/>
      <c r="GL111" s="1"/>
      <c r="GM111" s="1"/>
      <c r="GN111" s="74">
        <f t="shared" si="45"/>
        <v>0</v>
      </c>
      <c r="GO111" s="93"/>
      <c r="GP111" s="93"/>
      <c r="GQ111" s="93"/>
      <c r="GR111" s="93"/>
      <c r="GS111" s="93"/>
      <c r="GT111" s="93"/>
      <c r="GU111" s="93"/>
      <c r="GV111" s="93"/>
      <c r="GW111" s="1">
        <v>8</v>
      </c>
      <c r="GX111" s="74">
        <f t="shared" si="46"/>
        <v>5488.9191999999994</v>
      </c>
      <c r="GY111" s="75">
        <f t="shared" si="47"/>
        <v>54.889191999999994</v>
      </c>
      <c r="HA111" s="43">
        <f t="shared" si="48"/>
        <v>4936.444199999999</v>
      </c>
      <c r="HC111" s="1">
        <v>8</v>
      </c>
      <c r="HD111" s="4">
        <v>46.627800000000001</v>
      </c>
      <c r="HE111" s="4">
        <v>47.356999999999999</v>
      </c>
      <c r="HF111" s="4">
        <v>6.0151300000000001</v>
      </c>
      <c r="HG111" s="4">
        <v>0</v>
      </c>
      <c r="HH111" s="81">
        <f t="shared" si="49"/>
        <v>115.50198013057113</v>
      </c>
      <c r="HJ111" s="162"/>
      <c r="HK111" s="172"/>
      <c r="HL111" s="172"/>
      <c r="HM111" s="172"/>
      <c r="HN111" s="172"/>
      <c r="HO111" s="172"/>
      <c r="HP111" s="172"/>
      <c r="HV111" s="107"/>
      <c r="HX111" s="68"/>
      <c r="HY111" s="107"/>
      <c r="HZ111" s="68"/>
    </row>
    <row r="112" spans="3:234" x14ac:dyDescent="0.3">
      <c r="L112" s="1">
        <v>9</v>
      </c>
      <c r="M112" s="1"/>
      <c r="N112" s="1"/>
      <c r="O112" s="1">
        <f>$BB$78*O12/100</f>
        <v>0</v>
      </c>
      <c r="P112" s="1">
        <f>$BB$78*P12/100</f>
        <v>0</v>
      </c>
      <c r="Q112" s="1">
        <f>$BB$78*Q12/100</f>
        <v>88.83</v>
      </c>
      <c r="R112" s="1">
        <f>$BB$78*R12/100</f>
        <v>184.005</v>
      </c>
      <c r="S112" s="1">
        <f>$BB$78*S12/100</f>
        <v>256.97250000000003</v>
      </c>
      <c r="T112" s="74">
        <f t="shared" si="32"/>
        <v>529.8075</v>
      </c>
      <c r="U112" s="233"/>
      <c r="AA112" s="87"/>
      <c r="AB112" s="1">
        <v>9</v>
      </c>
      <c r="AC112" s="1">
        <f t="shared" ref="AC112:AI112" si="77">$BB$78*AC12/100</f>
        <v>256.97250000000003</v>
      </c>
      <c r="AD112" s="1">
        <f t="shared" si="77"/>
        <v>212.5575</v>
      </c>
      <c r="AE112" s="1">
        <f t="shared" si="77"/>
        <v>190.35</v>
      </c>
      <c r="AF112" s="1">
        <f t="shared" si="77"/>
        <v>266.49</v>
      </c>
      <c r="AG112" s="1">
        <f t="shared" si="77"/>
        <v>539.32500000000005</v>
      </c>
      <c r="AH112" s="1">
        <f t="shared" si="77"/>
        <v>196.69499999999999</v>
      </c>
      <c r="AI112" s="1">
        <f t="shared" si="77"/>
        <v>472.70249999999999</v>
      </c>
      <c r="AJ112" s="74">
        <f t="shared" si="33"/>
        <v>2135.0925000000002</v>
      </c>
      <c r="AK112" s="233"/>
      <c r="AQ112" s="87"/>
      <c r="AR112" s="1">
        <v>9</v>
      </c>
      <c r="AS112" s="1">
        <f>$BB$78*AS12/100</f>
        <v>298.21499999999997</v>
      </c>
      <c r="AT112" s="1">
        <f>$BB$78*AT12/100</f>
        <v>555.1875</v>
      </c>
      <c r="AU112" s="1">
        <f>$BB$78*AU12/100</f>
        <v>345.80250000000001</v>
      </c>
      <c r="AV112" s="1">
        <f>$BB$67*AV12/100</f>
        <v>298.66200000000003</v>
      </c>
      <c r="AW112" s="1">
        <f>$BB$67*AW12/100</f>
        <v>347.892</v>
      </c>
      <c r="AX112" s="1">
        <f>$BR$90*AX12/100</f>
        <v>347.76800000000003</v>
      </c>
      <c r="AY112" s="1">
        <f>$BR$90*AY12/100</f>
        <v>209.86</v>
      </c>
      <c r="AZ112" s="74">
        <f t="shared" si="34"/>
        <v>2403.3870000000002</v>
      </c>
      <c r="BA112" s="233"/>
      <c r="BG112" s="87"/>
      <c r="BH112" s="1">
        <v>9</v>
      </c>
      <c r="BI112" s="1">
        <f>$BR$90*BI12/100</f>
        <v>179.88</v>
      </c>
      <c r="BJ112" s="1">
        <f>$BR$90*BJ12/100</f>
        <v>245.83599999999998</v>
      </c>
      <c r="BK112" s="1">
        <f>$BR$64*BK12/100</f>
        <v>193.285</v>
      </c>
      <c r="BL112" s="1">
        <f>$BR$64*BL12/100</f>
        <v>199.52</v>
      </c>
      <c r="BM112" s="1">
        <f>$BR$46*BM12/100</f>
        <v>208.99799999999999</v>
      </c>
      <c r="BN112" s="1">
        <f>$BR$46*BN12/100</f>
        <v>184.41</v>
      </c>
      <c r="BO112" s="1">
        <f>$BR$46*BO12/100</f>
        <v>221.292</v>
      </c>
      <c r="BP112" s="74">
        <f t="shared" si="35"/>
        <v>1433.221</v>
      </c>
      <c r="BQ112" s="233"/>
      <c r="BW112" s="87"/>
      <c r="BX112" s="1">
        <v>9</v>
      </c>
      <c r="BY112" s="1">
        <f>$CH$54*BY12/100</f>
        <v>211.76100000000002</v>
      </c>
      <c r="BZ112" s="1">
        <f>$CH$54*BZ12/100</f>
        <v>128.34</v>
      </c>
      <c r="CA112" s="1">
        <f>$CH$54*CA12/100</f>
        <v>89.838000000000008</v>
      </c>
      <c r="CB112" s="1">
        <f>$CH$54*CB12/100</f>
        <v>102.67200000000001</v>
      </c>
      <c r="CC112" s="1">
        <f>$CX$50*CC12/100</f>
        <v>163.072</v>
      </c>
      <c r="CD112" s="1">
        <f>$CX$50*CD12/100</f>
        <v>125.44</v>
      </c>
      <c r="CE112" s="1">
        <f>$CX$50*CE12/100</f>
        <v>62.72</v>
      </c>
      <c r="CF112" s="74">
        <f t="shared" si="36"/>
        <v>883.84300000000007</v>
      </c>
      <c r="CG112" s="233"/>
      <c r="CM112" s="87"/>
      <c r="CN112" s="1">
        <v>9</v>
      </c>
      <c r="CO112" s="1">
        <f t="shared" ref="CO112:CS112" si="78">$CX$50*CO12/100</f>
        <v>100.352</v>
      </c>
      <c r="CP112" s="1">
        <f t="shared" si="78"/>
        <v>106.624</v>
      </c>
      <c r="CQ112" s="1">
        <f t="shared" si="78"/>
        <v>31.36</v>
      </c>
      <c r="CR112" s="1">
        <f t="shared" si="78"/>
        <v>6.2720000000000002</v>
      </c>
      <c r="CS112" s="1">
        <f t="shared" si="78"/>
        <v>0</v>
      </c>
      <c r="CT112" s="85"/>
      <c r="CU112" s="1"/>
      <c r="CV112" s="74">
        <f t="shared" si="38"/>
        <v>244.608</v>
      </c>
      <c r="CW112" s="87"/>
      <c r="DC112" s="87"/>
      <c r="DD112" s="1">
        <v>9</v>
      </c>
      <c r="DE112" s="1"/>
      <c r="DF112" s="1"/>
      <c r="DG112" s="1"/>
      <c r="DH112" s="1"/>
      <c r="DI112" s="1"/>
      <c r="DJ112" s="1"/>
      <c r="DK112" s="1"/>
      <c r="DL112" s="74">
        <f t="shared" si="40"/>
        <v>0</v>
      </c>
      <c r="DM112" s="87"/>
      <c r="DS112" s="87"/>
      <c r="DT112" s="1">
        <v>9</v>
      </c>
      <c r="DU112" s="1"/>
      <c r="DV112" s="1"/>
      <c r="DW112" s="1"/>
      <c r="DX112" s="1"/>
      <c r="DY112" s="1"/>
      <c r="DZ112" s="1"/>
      <c r="EA112" s="1"/>
      <c r="EB112" s="74">
        <f t="shared" si="41"/>
        <v>0</v>
      </c>
      <c r="EC112" s="87"/>
      <c r="EI112" s="87"/>
      <c r="EJ112" s="1">
        <v>9</v>
      </c>
      <c r="EK112" s="1"/>
      <c r="EL112" s="1"/>
      <c r="EM112" s="1"/>
      <c r="EN112" s="1"/>
      <c r="EO112" s="1"/>
      <c r="EP112" s="1"/>
      <c r="EQ112" s="1"/>
      <c r="ER112" s="74">
        <f t="shared" si="42"/>
        <v>0</v>
      </c>
      <c r="ES112" s="90"/>
      <c r="EY112" s="93"/>
      <c r="EZ112" s="1">
        <v>9</v>
      </c>
      <c r="FA112" s="1"/>
      <c r="FB112" s="1"/>
      <c r="FC112" s="1"/>
      <c r="FD112" s="1"/>
      <c r="FE112" s="1"/>
      <c r="FF112" s="1"/>
      <c r="FG112" s="1"/>
      <c r="FH112" s="74">
        <f t="shared" si="43"/>
        <v>0</v>
      </c>
      <c r="FI112" s="93"/>
      <c r="FJ112" s="90"/>
      <c r="FK112" s="93"/>
      <c r="FL112" s="93"/>
      <c r="FM112" s="93"/>
      <c r="FN112" s="92"/>
      <c r="FO112" s="92"/>
      <c r="FP112" s="1">
        <v>9</v>
      </c>
      <c r="FQ112" s="1"/>
      <c r="FR112" s="1"/>
      <c r="FS112" s="1"/>
      <c r="FT112" s="1"/>
      <c r="FU112" s="1"/>
      <c r="FV112" s="1"/>
      <c r="FW112" s="1"/>
      <c r="FX112" s="74">
        <f t="shared" si="44"/>
        <v>0</v>
      </c>
      <c r="FY112" s="93"/>
      <c r="FZ112" s="93"/>
      <c r="GA112" s="93"/>
      <c r="GB112" s="93"/>
      <c r="GC112" s="93"/>
      <c r="GD112" s="93"/>
      <c r="GE112" s="93"/>
      <c r="GF112" s="1">
        <v>9</v>
      </c>
      <c r="GG112" s="1"/>
      <c r="GH112" s="1"/>
      <c r="GI112" s="1"/>
      <c r="GJ112" s="1"/>
      <c r="GK112" s="1"/>
      <c r="GL112" s="1"/>
      <c r="GM112" s="1"/>
      <c r="GN112" s="74">
        <f t="shared" si="45"/>
        <v>0</v>
      </c>
      <c r="GO112" s="93"/>
      <c r="GP112" s="93"/>
      <c r="GQ112" s="93"/>
      <c r="GR112" s="93"/>
      <c r="GS112" s="93"/>
      <c r="GT112" s="93"/>
      <c r="GU112" s="93"/>
      <c r="GV112" s="93"/>
      <c r="GW112" s="1">
        <v>9</v>
      </c>
      <c r="GX112" s="74">
        <f t="shared" si="46"/>
        <v>7629.9589999999998</v>
      </c>
      <c r="GY112" s="75">
        <f t="shared" si="47"/>
        <v>76.299589999999995</v>
      </c>
      <c r="HA112" s="43">
        <f t="shared" si="48"/>
        <v>7077.4839999999995</v>
      </c>
      <c r="HC112" s="1">
        <v>9</v>
      </c>
      <c r="HD112" s="4">
        <v>100</v>
      </c>
      <c r="HE112" s="4">
        <v>0</v>
      </c>
      <c r="HF112" s="4">
        <v>0</v>
      </c>
      <c r="HG112" s="4">
        <v>0</v>
      </c>
      <c r="HH112" s="81">
        <f t="shared" si="49"/>
        <v>151.71794150061586</v>
      </c>
      <c r="HJ112" s="162"/>
      <c r="HK112" s="172"/>
      <c r="HL112" s="172"/>
      <c r="HM112" s="172"/>
      <c r="HN112" s="172"/>
      <c r="HO112" s="172"/>
      <c r="HP112" s="172"/>
      <c r="HV112" s="107"/>
      <c r="HX112" s="68"/>
      <c r="HY112" s="107"/>
      <c r="HZ112" s="68"/>
    </row>
    <row r="113" spans="12:234" x14ac:dyDescent="0.3">
      <c r="L113" s="100">
        <v>10</v>
      </c>
      <c r="M113" s="1"/>
      <c r="N113" s="1"/>
      <c r="O113" s="1">
        <f>$BB$93*O13/100</f>
        <v>1.976</v>
      </c>
      <c r="P113" s="1">
        <f>$BB$93*P13/100</f>
        <v>0.20800000000000002</v>
      </c>
      <c r="Q113" s="1">
        <f>$BB$93*Q13/100</f>
        <v>0.20800000000000002</v>
      </c>
      <c r="R113" s="1">
        <f>$BB$93*R13/100</f>
        <v>0.20800000000000002</v>
      </c>
      <c r="S113" s="1">
        <f>$BB$93*S13/100</f>
        <v>0.93600000000000005</v>
      </c>
      <c r="T113" s="74">
        <f t="shared" si="32"/>
        <v>3.5360000000000005</v>
      </c>
      <c r="U113" s="233"/>
      <c r="AA113" s="87"/>
      <c r="AB113" s="100">
        <v>10</v>
      </c>
      <c r="AC113" s="1">
        <f t="shared" ref="AC113:AI113" si="79">$BB$93*AC13/100</f>
        <v>9.9840000000000018</v>
      </c>
      <c r="AD113" s="1">
        <f t="shared" si="79"/>
        <v>11.752000000000001</v>
      </c>
      <c r="AE113" s="1">
        <f t="shared" si="79"/>
        <v>7.6960000000000006</v>
      </c>
      <c r="AF113" s="1">
        <f t="shared" si="79"/>
        <v>6.5520000000000005</v>
      </c>
      <c r="AG113" s="1">
        <f t="shared" si="79"/>
        <v>12.064</v>
      </c>
      <c r="AH113" s="1">
        <f t="shared" si="79"/>
        <v>13.416000000000002</v>
      </c>
      <c r="AI113" s="1">
        <f t="shared" si="79"/>
        <v>14.144</v>
      </c>
      <c r="AJ113" s="74">
        <f t="shared" si="33"/>
        <v>75.608000000000018</v>
      </c>
      <c r="AK113" s="233"/>
      <c r="AQ113" s="87"/>
      <c r="AR113" s="100">
        <v>10</v>
      </c>
      <c r="AS113" s="1">
        <f>BB93*AS13/100</f>
        <v>14.352</v>
      </c>
      <c r="AT113" s="1">
        <f>$BB$77*AT13/100</f>
        <v>240.25799999999998</v>
      </c>
      <c r="AU113" s="1">
        <f>$BB$77*AU13/100</f>
        <v>322.08499999999998</v>
      </c>
      <c r="AV113" s="1">
        <f>$BB$60*AV13/100</f>
        <v>367.125</v>
      </c>
      <c r="AW113" s="1">
        <f>$BB$60*AW13/100</f>
        <v>325.51750000000004</v>
      </c>
      <c r="AX113" s="1">
        <f>$BR$95*AX13/100</f>
        <v>342.209</v>
      </c>
      <c r="AY113" s="1">
        <f>$BR$95*AY13/100</f>
        <v>334.49</v>
      </c>
      <c r="AZ113" s="74">
        <f t="shared" si="34"/>
        <v>1946.0365000000002</v>
      </c>
      <c r="BA113" s="233"/>
      <c r="BG113" s="87"/>
      <c r="BH113" s="100">
        <v>10</v>
      </c>
      <c r="BI113" s="1">
        <f>$BR$95*BI13/100</f>
        <v>293.322</v>
      </c>
      <c r="BJ113" s="1">
        <f>BR81*BJ13/100</f>
        <v>278.09100000000001</v>
      </c>
      <c r="BK113" s="1">
        <f>$CH$74*BK13/100</f>
        <v>127.58199999999999</v>
      </c>
      <c r="BL113" s="1">
        <f>$CH$74*BL13/100</f>
        <v>95.335999999999999</v>
      </c>
      <c r="BM113" s="1">
        <f>$CH$74*BM13/100</f>
        <v>63.09</v>
      </c>
      <c r="BN113" s="1">
        <f>$CH$74*BN13/100</f>
        <v>92.531999999999982</v>
      </c>
      <c r="BO113" s="1">
        <f>$CH$74*BO13/100</f>
        <v>58.883999999999993</v>
      </c>
      <c r="BP113" s="74">
        <f t="shared" si="35"/>
        <v>1008.837</v>
      </c>
      <c r="BQ113" s="233"/>
      <c r="BW113" s="87"/>
      <c r="BX113" s="100">
        <v>10</v>
      </c>
      <c r="BY113" s="1">
        <f>$CH$74*BY13/100</f>
        <v>49.07</v>
      </c>
      <c r="BZ113" s="1">
        <f>$CH$74*BZ13/100</f>
        <v>32.246000000000002</v>
      </c>
      <c r="CA113" s="1">
        <f>$CX$49*CA13/100</f>
        <v>49.024499999999996</v>
      </c>
      <c r="CB113" s="1">
        <f>$CX$49*CB13/100</f>
        <v>46.69</v>
      </c>
      <c r="CC113" s="1">
        <f>$CX$49*CC13/100</f>
        <v>49.024499999999996</v>
      </c>
      <c r="CD113" s="1">
        <f>$CX$49*CD13/100</f>
        <v>44.355499999999999</v>
      </c>
      <c r="CE113" s="1">
        <f>$CX$49*CE13/100</f>
        <v>46.69</v>
      </c>
      <c r="CF113" s="74">
        <f t="shared" si="36"/>
        <v>317.10049999999995</v>
      </c>
      <c r="CG113" s="233"/>
      <c r="CM113" s="87"/>
      <c r="CN113" s="100">
        <v>10</v>
      </c>
      <c r="CO113" s="1">
        <f>$CX$49*CO13/100</f>
        <v>49.024499999999996</v>
      </c>
      <c r="CP113" s="1">
        <f>$CX$49*CP13/100</f>
        <v>91.04549999999999</v>
      </c>
      <c r="CQ113" s="1">
        <f>$CX$49*CQ13/100</f>
        <v>53.693499999999993</v>
      </c>
      <c r="CR113" s="1">
        <f>$DN$55*CR13/100</f>
        <v>23.281999999999996</v>
      </c>
      <c r="CS113" s="1">
        <f>$DN$55*CS13/100</f>
        <v>24.113499999999998</v>
      </c>
      <c r="CT113" s="1">
        <f>$DN$55*CT13/100</f>
        <v>28.271000000000001</v>
      </c>
      <c r="CU113" s="1">
        <f>$DN$55*CU13/100</f>
        <v>18.292999999999999</v>
      </c>
      <c r="CV113" s="74">
        <f t="shared" si="38"/>
        <v>287.72300000000001</v>
      </c>
      <c r="CW113" s="87"/>
      <c r="DC113" s="87"/>
      <c r="DD113" s="100">
        <v>10</v>
      </c>
      <c r="DE113" s="1">
        <f>$DN$55*DE13/100</f>
        <v>27.439499999999999</v>
      </c>
      <c r="DF113" s="1">
        <f>$DN$55*DF13/100</f>
        <v>28.271000000000001</v>
      </c>
      <c r="DG113" s="1">
        <f>$DN$55*DG13/100</f>
        <v>18.292999999999999</v>
      </c>
      <c r="DH113" s="1">
        <f>$DN$55*DH13/100</f>
        <v>28.271000000000001</v>
      </c>
      <c r="DI113" s="1">
        <f>$ED$46*DI13/100</f>
        <v>69.795000000000002</v>
      </c>
      <c r="DJ113" s="1">
        <f>$ED$46*DJ13/100</f>
        <v>69.795000000000002</v>
      </c>
      <c r="DK113" s="1">
        <f>$ED$46*DK13/100</f>
        <v>62.8155</v>
      </c>
      <c r="DL113" s="74">
        <f t="shared" si="40"/>
        <v>304.68</v>
      </c>
      <c r="DM113" s="87"/>
      <c r="DS113" s="87"/>
      <c r="DT113" s="100">
        <v>10</v>
      </c>
      <c r="DU113" s="1">
        <f>$ED$46*DU13/100</f>
        <v>81.427499999999995</v>
      </c>
      <c r="DV113" s="1">
        <f>$ED$46*DV13/100</f>
        <v>97.713000000000008</v>
      </c>
      <c r="DW113" s="1">
        <f>$ED$46*DW13/100</f>
        <v>90.733500000000006</v>
      </c>
      <c r="DX113" s="1">
        <f>$ED$59*DX13/100</f>
        <v>48.778499999999994</v>
      </c>
      <c r="DY113" s="1">
        <f>$ED$59*DY13/100</f>
        <v>64.513499999999993</v>
      </c>
      <c r="DZ113" s="1">
        <f>$ED$59*DZ13/100</f>
        <v>44.058</v>
      </c>
      <c r="EA113" s="1">
        <f>$ED$59*EA13/100</f>
        <v>69.233999999999995</v>
      </c>
      <c r="EB113" s="74">
        <f t="shared" si="41"/>
        <v>496.45800000000003</v>
      </c>
      <c r="EC113" s="87"/>
      <c r="EI113" s="87"/>
      <c r="EJ113" s="100">
        <v>10</v>
      </c>
      <c r="EK113" s="1">
        <f t="shared" ref="EK113:EQ113" si="80">$FJ$50*EK13/100</f>
        <v>45.286500000000004</v>
      </c>
      <c r="EL113" s="1">
        <f t="shared" si="80"/>
        <v>45.286500000000004</v>
      </c>
      <c r="EM113" s="1">
        <f t="shared" si="80"/>
        <v>47.443000000000005</v>
      </c>
      <c r="EN113" s="1">
        <f t="shared" si="80"/>
        <v>49.599500000000006</v>
      </c>
      <c r="EO113" s="1">
        <f t="shared" si="80"/>
        <v>34.503999999999998</v>
      </c>
      <c r="EP113" s="1">
        <f t="shared" si="80"/>
        <v>36.660499999999999</v>
      </c>
      <c r="EQ113" s="1">
        <f t="shared" si="80"/>
        <v>43.13</v>
      </c>
      <c r="ER113" s="74">
        <f t="shared" si="42"/>
        <v>301.91000000000003</v>
      </c>
      <c r="ES113" s="90"/>
      <c r="EY113" s="93"/>
      <c r="EZ113" s="100">
        <v>10</v>
      </c>
      <c r="FA113" s="1">
        <f>$FJ$50*FA13/100</f>
        <v>28.034500000000001</v>
      </c>
      <c r="FB113" s="1">
        <f>$FJ$50*FB13/100</f>
        <v>23.721500000000002</v>
      </c>
      <c r="FC113" s="1">
        <f>$FJ$50*FC13/100</f>
        <v>25.878</v>
      </c>
      <c r="FD113" s="85"/>
      <c r="FE113" s="1"/>
      <c r="FF113" s="1"/>
      <c r="FG113" s="1"/>
      <c r="FH113" s="74">
        <f t="shared" si="43"/>
        <v>77.634</v>
      </c>
      <c r="FI113" s="93"/>
      <c r="FJ113" s="90"/>
      <c r="FK113" s="93"/>
      <c r="FL113" s="93"/>
      <c r="FM113" s="93"/>
      <c r="FN113" s="92"/>
      <c r="FO113" s="92"/>
      <c r="FP113" s="100">
        <v>10</v>
      </c>
      <c r="FQ113" s="1"/>
      <c r="FR113" s="1"/>
      <c r="FS113" s="1"/>
      <c r="FT113" s="1"/>
      <c r="FU113" s="1"/>
      <c r="FV113" s="1"/>
      <c r="FW113" s="1"/>
      <c r="FX113" s="74">
        <f t="shared" si="44"/>
        <v>0</v>
      </c>
      <c r="FY113" s="93"/>
      <c r="FZ113" s="93"/>
      <c r="GA113" s="93"/>
      <c r="GB113" s="93"/>
      <c r="GC113" s="93"/>
      <c r="GD113" s="93"/>
      <c r="GE113" s="93"/>
      <c r="GF113" s="100">
        <v>10</v>
      </c>
      <c r="GG113" s="1"/>
      <c r="GH113" s="1"/>
      <c r="GI113" s="1"/>
      <c r="GJ113" s="1"/>
      <c r="GK113" s="1"/>
      <c r="GL113" s="1"/>
      <c r="GM113" s="1"/>
      <c r="GN113" s="74">
        <f t="shared" si="45"/>
        <v>0</v>
      </c>
      <c r="GO113" s="93"/>
      <c r="GP113" s="93"/>
      <c r="GQ113" s="93"/>
      <c r="GR113" s="93"/>
      <c r="GS113" s="93"/>
      <c r="GT113" s="93"/>
      <c r="GV113" s="93"/>
      <c r="GW113" s="100">
        <v>10</v>
      </c>
      <c r="GX113" s="74">
        <f t="shared" si="46"/>
        <v>4819.5229999999992</v>
      </c>
      <c r="GY113" s="77">
        <f t="shared" si="47"/>
        <v>48.195229999999995</v>
      </c>
      <c r="HA113" s="43">
        <f t="shared" si="48"/>
        <v>4267.0479999999989</v>
      </c>
      <c r="HC113" s="100">
        <v>10</v>
      </c>
      <c r="HD113" s="4">
        <v>32.387099999999997</v>
      </c>
      <c r="HE113" s="4">
        <v>32.2241</v>
      </c>
      <c r="HF113" s="4">
        <v>33.130400000000002</v>
      </c>
      <c r="HG113" s="4">
        <v>2.2583199999999999</v>
      </c>
      <c r="HH113" s="81">
        <f t="shared" si="49"/>
        <v>102.65247910684761</v>
      </c>
      <c r="HJ113" s="162"/>
      <c r="HK113" s="172"/>
      <c r="HL113" s="172"/>
      <c r="HM113" s="172"/>
      <c r="HN113" s="172"/>
      <c r="HO113" s="172"/>
      <c r="HP113" s="172"/>
      <c r="HV113" s="107"/>
      <c r="HX113" s="68"/>
      <c r="HY113" s="107"/>
      <c r="HZ113" s="68"/>
    </row>
    <row r="114" spans="12:234" x14ac:dyDescent="0.3">
      <c r="L114" s="1">
        <v>11</v>
      </c>
      <c r="M114" s="1"/>
      <c r="N114" s="1"/>
      <c r="O114" s="1">
        <f>$BB$59*O14/100</f>
        <v>16.384499999999999</v>
      </c>
      <c r="P114" s="1">
        <f>$BB$59*P14/100</f>
        <v>84.901499999999999</v>
      </c>
      <c r="Q114" s="1">
        <f>$BB$59*Q14/100</f>
        <v>16.384499999999999</v>
      </c>
      <c r="R114" s="1">
        <f>$BB$59*R14/100</f>
        <v>17.873999999999999</v>
      </c>
      <c r="S114" s="1">
        <f>$BB$59*S14/100</f>
        <v>17.873999999999999</v>
      </c>
      <c r="T114" s="74">
        <f t="shared" si="32"/>
        <v>153.41849999999999</v>
      </c>
      <c r="U114" s="233"/>
      <c r="AA114" s="87"/>
      <c r="AB114" s="1">
        <v>11</v>
      </c>
      <c r="AC114" s="1">
        <f t="shared" ref="AC114:AI114" si="81">$BB$59*AC14/100</f>
        <v>104.265</v>
      </c>
      <c r="AD114" s="1">
        <f t="shared" si="81"/>
        <v>110.223</v>
      </c>
      <c r="AE114" s="1">
        <f t="shared" si="81"/>
        <v>99.796499999999995</v>
      </c>
      <c r="AF114" s="1">
        <f t="shared" si="81"/>
        <v>50.643000000000001</v>
      </c>
      <c r="AG114" s="1">
        <f t="shared" si="81"/>
        <v>89.37</v>
      </c>
      <c r="AH114" s="1">
        <f t="shared" si="81"/>
        <v>101.286</v>
      </c>
      <c r="AI114" s="1">
        <f t="shared" si="81"/>
        <v>177.25049999999999</v>
      </c>
      <c r="AJ114" s="74">
        <f t="shared" si="33"/>
        <v>732.83399999999995</v>
      </c>
      <c r="AK114" s="233"/>
      <c r="AQ114" s="87"/>
      <c r="AR114" s="1">
        <v>11</v>
      </c>
      <c r="AS114" s="1">
        <f>$BB$59*AS14/100</f>
        <v>184.69799999999998</v>
      </c>
      <c r="AT114" s="1">
        <f>$BB$59*AT14/100</f>
        <v>195.12450000000001</v>
      </c>
      <c r="AU114" s="1">
        <f>$BB$59*AU14/100</f>
        <v>205.55099999999999</v>
      </c>
      <c r="AV114" s="1">
        <f>$BB$59*AV14/100</f>
        <v>180.2295</v>
      </c>
      <c r="AW114" s="1">
        <f>$BB$59*AW14/100</f>
        <v>184.69799999999998</v>
      </c>
      <c r="AX114" s="1">
        <f>$CH$56*AX14/100</f>
        <v>178.86</v>
      </c>
      <c r="AY114" s="1">
        <f>$CH$56*AY14/100</f>
        <v>172.35600000000002</v>
      </c>
      <c r="AZ114" s="74">
        <f t="shared" si="34"/>
        <v>1301.5170000000001</v>
      </c>
      <c r="BA114" s="233"/>
      <c r="BG114" s="87"/>
      <c r="BH114" s="1">
        <v>11</v>
      </c>
      <c r="BI114" s="1">
        <f t="shared" ref="BI114:BO114" si="82">$CH$56*BI14/100</f>
        <v>152.84400000000002</v>
      </c>
      <c r="BJ114" s="1">
        <f t="shared" si="82"/>
        <v>144.71400000000003</v>
      </c>
      <c r="BK114" s="1">
        <f t="shared" si="82"/>
        <v>125.20200000000001</v>
      </c>
      <c r="BL114" s="1">
        <f t="shared" si="82"/>
        <v>91.055999999999997</v>
      </c>
      <c r="BM114" s="1">
        <f t="shared" si="82"/>
        <v>74.796000000000006</v>
      </c>
      <c r="BN114" s="1">
        <f t="shared" si="82"/>
        <v>76.422000000000011</v>
      </c>
      <c r="BO114" s="1">
        <f t="shared" si="82"/>
        <v>55.284000000000006</v>
      </c>
      <c r="BP114" s="74">
        <f t="shared" si="35"/>
        <v>720.3180000000001</v>
      </c>
      <c r="BQ114" s="233"/>
      <c r="BW114" s="87"/>
      <c r="BX114" s="1">
        <v>11</v>
      </c>
      <c r="BY114" s="1">
        <f>$CH$56*BY14/100</f>
        <v>95.934000000000012</v>
      </c>
      <c r="BZ114" s="1">
        <f>$CH$56*BZ14/100</f>
        <v>58.536000000000001</v>
      </c>
      <c r="CA114" s="1">
        <f>$CH$56*CA14/100</f>
        <v>56.910000000000011</v>
      </c>
      <c r="CB114" s="1">
        <f>$CH$56*CB14/100</f>
        <v>55.284000000000006</v>
      </c>
      <c r="CC114" s="1">
        <f>$ED$45*CC14/100</f>
        <v>52.111999999999995</v>
      </c>
      <c r="CD114" s="1">
        <f>$ED$45*CD14/100</f>
        <v>61.883000000000003</v>
      </c>
      <c r="CE114" s="1">
        <f>$ED$45*CE14/100</f>
        <v>63.511499999999998</v>
      </c>
      <c r="CF114" s="74">
        <f t="shared" si="36"/>
        <v>444.17050000000006</v>
      </c>
      <c r="CG114" s="233"/>
      <c r="CM114" s="87"/>
      <c r="CN114" s="1">
        <v>11</v>
      </c>
      <c r="CO114" s="1">
        <f t="shared" ref="CO114:CU114" si="83">$ED$45*CO14/100</f>
        <v>65.14</v>
      </c>
      <c r="CP114" s="1">
        <f t="shared" si="83"/>
        <v>63.511499999999998</v>
      </c>
      <c r="CQ114" s="1">
        <f t="shared" si="83"/>
        <v>68.396999999999991</v>
      </c>
      <c r="CR114" s="1">
        <f t="shared" si="83"/>
        <v>76.539500000000004</v>
      </c>
      <c r="CS114" s="1">
        <f t="shared" si="83"/>
        <v>84.682000000000002</v>
      </c>
      <c r="CT114" s="1">
        <f t="shared" si="83"/>
        <v>68.396999999999991</v>
      </c>
      <c r="CU114" s="1">
        <f t="shared" si="83"/>
        <v>66.768500000000003</v>
      </c>
      <c r="CV114" s="74">
        <f t="shared" si="38"/>
        <v>493.43549999999999</v>
      </c>
      <c r="CW114" s="87"/>
      <c r="DC114" s="87"/>
      <c r="DD114" s="1">
        <v>11</v>
      </c>
      <c r="DE114" s="1">
        <f t="shared" ref="DE114:DK114" si="84">$ED$45*DE14/100</f>
        <v>78.168000000000006</v>
      </c>
      <c r="DF114" s="1">
        <f t="shared" si="84"/>
        <v>71.653999999999996</v>
      </c>
      <c r="DG114" s="1">
        <f t="shared" si="84"/>
        <v>92.8245</v>
      </c>
      <c r="DH114" s="1">
        <f t="shared" si="84"/>
        <v>68.396999999999991</v>
      </c>
      <c r="DI114" s="1">
        <f t="shared" si="84"/>
        <v>83.0535</v>
      </c>
      <c r="DJ114" s="1">
        <f t="shared" si="84"/>
        <v>86.31049999999999</v>
      </c>
      <c r="DK114" s="1">
        <f t="shared" si="84"/>
        <v>70.025500000000008</v>
      </c>
      <c r="DL114" s="74">
        <f t="shared" si="40"/>
        <v>550.43299999999999</v>
      </c>
      <c r="DM114" s="87"/>
      <c r="DS114" s="87"/>
      <c r="DT114" s="1">
        <v>11</v>
      </c>
      <c r="DU114" s="1">
        <f>$ED$45*DU14/100</f>
        <v>78.168000000000006</v>
      </c>
      <c r="DV114" s="1">
        <f>$ED$45*DV14/100</f>
        <v>79.796499999999995</v>
      </c>
      <c r="DW114" s="1">
        <f>$ED$45*DW14/100</f>
        <v>81.424999999999997</v>
      </c>
      <c r="DX114" s="1">
        <f>$FJ$46*DX14/100</f>
        <v>52.2545</v>
      </c>
      <c r="DY114" s="1">
        <f>$FJ$46*DY14/100</f>
        <v>64.999499999999998</v>
      </c>
      <c r="DZ114" s="1">
        <f>$FJ$46*DZ14/100</f>
        <v>45.881999999999998</v>
      </c>
      <c r="EA114" s="1">
        <f>$FJ$46*EA14/100</f>
        <v>59.901499999999999</v>
      </c>
      <c r="EB114" s="74">
        <f t="shared" si="41"/>
        <v>462.42700000000002</v>
      </c>
      <c r="EC114" s="87"/>
      <c r="EI114" s="87"/>
      <c r="EJ114" s="1">
        <v>11</v>
      </c>
      <c r="EK114" s="1">
        <f t="shared" ref="EK114:EQ114" si="85">$FJ$46*EK14/100</f>
        <v>45.881999999999998</v>
      </c>
      <c r="EL114" s="1">
        <f t="shared" si="85"/>
        <v>57.352499999999999</v>
      </c>
      <c r="EM114" s="1">
        <f t="shared" si="85"/>
        <v>61.175999999999995</v>
      </c>
      <c r="EN114" s="1">
        <f t="shared" si="85"/>
        <v>59.901499999999999</v>
      </c>
      <c r="EO114" s="1">
        <f t="shared" si="85"/>
        <v>53.528999999999996</v>
      </c>
      <c r="EP114" s="1">
        <f t="shared" si="85"/>
        <v>66.274000000000001</v>
      </c>
      <c r="EQ114" s="1">
        <f t="shared" si="85"/>
        <v>71.372</v>
      </c>
      <c r="ER114" s="74">
        <f t="shared" si="42"/>
        <v>415.48700000000002</v>
      </c>
      <c r="ES114" s="90"/>
      <c r="EY114" s="93"/>
      <c r="EZ114" s="1">
        <v>11</v>
      </c>
      <c r="FA114" s="1">
        <f>$FJ$46*FA14/100</f>
        <v>49.705499999999994</v>
      </c>
      <c r="FB114" s="1">
        <f>$FJ$46*FB14/100</f>
        <v>43.332999999999998</v>
      </c>
      <c r="FC114" s="1">
        <f>$FJ$46*FC14/100</f>
        <v>42.058499999999995</v>
      </c>
      <c r="FD114" s="85"/>
      <c r="FE114" s="1"/>
      <c r="FF114" s="1"/>
      <c r="FG114" s="1"/>
      <c r="FH114" s="74">
        <f t="shared" si="43"/>
        <v>135.09699999999998</v>
      </c>
      <c r="FI114" s="93"/>
      <c r="FJ114" s="90"/>
      <c r="FK114" s="93"/>
      <c r="FL114" s="93"/>
      <c r="FM114" s="93"/>
      <c r="FN114" s="92"/>
      <c r="FO114" s="92"/>
      <c r="FP114" s="1">
        <v>11</v>
      </c>
      <c r="FQ114" s="1"/>
      <c r="FR114" s="1"/>
      <c r="FS114" s="1"/>
      <c r="FT114" s="1"/>
      <c r="FU114" s="1"/>
      <c r="FV114" s="1"/>
      <c r="FW114" s="1"/>
      <c r="FX114" s="74">
        <f t="shared" si="44"/>
        <v>0</v>
      </c>
      <c r="FY114" s="93"/>
      <c r="FZ114" s="93"/>
      <c r="GA114" s="93"/>
      <c r="GB114" s="93"/>
      <c r="GC114" s="93"/>
      <c r="GD114" s="93"/>
      <c r="GE114" s="93"/>
      <c r="GF114" s="1">
        <v>11</v>
      </c>
      <c r="GG114" s="1"/>
      <c r="GH114" s="1"/>
      <c r="GI114" s="1"/>
      <c r="GJ114" s="1"/>
      <c r="GK114" s="1"/>
      <c r="GL114" s="1"/>
      <c r="GM114" s="1"/>
      <c r="GN114" s="74">
        <f t="shared" si="45"/>
        <v>0</v>
      </c>
      <c r="GO114" s="93"/>
      <c r="GP114" s="93"/>
      <c r="GQ114" s="93"/>
      <c r="GR114" s="93"/>
      <c r="GS114" s="93"/>
      <c r="GT114" s="93"/>
      <c r="GV114" s="93"/>
      <c r="GW114" s="1">
        <v>11</v>
      </c>
      <c r="GX114" s="74">
        <f t="shared" si="46"/>
        <v>5409.1374999999998</v>
      </c>
      <c r="GY114" s="75">
        <f t="shared" si="47"/>
        <v>54.091374999999999</v>
      </c>
      <c r="HA114" s="43">
        <f t="shared" si="48"/>
        <v>4856.6624999999995</v>
      </c>
      <c r="HC114" s="1">
        <v>11</v>
      </c>
      <c r="HD114" s="4">
        <v>0</v>
      </c>
      <c r="HE114" s="4">
        <v>46.060200000000002</v>
      </c>
      <c r="HF114" s="4">
        <v>46.857700000000001</v>
      </c>
      <c r="HG114" s="4">
        <v>7.0820999999999996</v>
      </c>
      <c r="HH114" s="81">
        <f t="shared" si="49"/>
        <v>123.49082567246715</v>
      </c>
      <c r="HJ114" s="162"/>
      <c r="HK114" s="172"/>
      <c r="HL114" s="172"/>
      <c r="HM114" s="172"/>
      <c r="HN114" s="172"/>
      <c r="HO114" s="172"/>
      <c r="HP114" s="172"/>
      <c r="HV114" s="107"/>
      <c r="HX114" s="68"/>
      <c r="HY114" s="107"/>
      <c r="HZ114" s="68"/>
    </row>
    <row r="115" spans="12:234" x14ac:dyDescent="0.3">
      <c r="L115" s="99">
        <v>12</v>
      </c>
      <c r="M115" s="1"/>
      <c r="N115" s="1"/>
      <c r="O115" s="1">
        <f>O15*$AL$70/100</f>
        <v>128.73599999999999</v>
      </c>
      <c r="P115" s="1">
        <f>P15*$AL$70/100</f>
        <v>66.155999999999992</v>
      </c>
      <c r="Q115" s="1">
        <f>Q15*$AL$70/100</f>
        <v>80.459999999999994</v>
      </c>
      <c r="R115" s="1">
        <f>R15*$AL$70/100</f>
        <v>87.611999999999995</v>
      </c>
      <c r="S115" s="1">
        <f>S15*$AL$70/100</f>
        <v>155.55599999999998</v>
      </c>
      <c r="T115" s="74">
        <f t="shared" si="32"/>
        <v>518.52</v>
      </c>
      <c r="U115" s="233"/>
      <c r="AA115" s="87"/>
      <c r="AB115" s="99">
        <v>12</v>
      </c>
      <c r="AC115" s="1">
        <f>AC15*AL70/100</f>
        <v>141.25199999999998</v>
      </c>
      <c r="AD115" s="1">
        <f>AD15*$AL$54/100</f>
        <v>210.80699999999996</v>
      </c>
      <c r="AE115" s="1">
        <f>AE15*$AL$54/100</f>
        <v>160.78499999999997</v>
      </c>
      <c r="AF115" s="1">
        <f>AF15*$AL$54/100</f>
        <v>242.96399999999997</v>
      </c>
      <c r="AG115" s="1">
        <f>AG15*AL49/100</f>
        <v>245.74</v>
      </c>
      <c r="AH115" s="1">
        <f>AH15*AL42/100</f>
        <v>598.08000000000004</v>
      </c>
      <c r="AI115" s="1">
        <f>$BB$99*AI15/100</f>
        <v>592.91399999999999</v>
      </c>
      <c r="AJ115" s="74">
        <f t="shared" si="33"/>
        <v>2192.5419999999999</v>
      </c>
      <c r="AK115" s="233"/>
      <c r="AQ115" s="87"/>
      <c r="AR115" s="99">
        <v>12</v>
      </c>
      <c r="AS115" s="1">
        <f>$BB$94*AS15/100</f>
        <v>727.64250000000004</v>
      </c>
      <c r="AT115" s="1">
        <f>$BB$87*AT15/100</f>
        <v>781.13250000000005</v>
      </c>
      <c r="AU115" s="1">
        <f>$BB$87*AU15/100</f>
        <v>858.24</v>
      </c>
      <c r="AV115" s="1">
        <f>$BB$55*AV15/100</f>
        <v>700.5</v>
      </c>
      <c r="AW115" s="1">
        <f>$BB$55*AW15/100</f>
        <v>638.85599999999999</v>
      </c>
      <c r="AX115" s="1">
        <f>BB48*AX15/100</f>
        <v>522.10599999999999</v>
      </c>
      <c r="AY115" s="1">
        <f>$BR$88*AY15/100</f>
        <v>622.39800000000002</v>
      </c>
      <c r="AZ115" s="74">
        <f t="shared" si="34"/>
        <v>4850.875</v>
      </c>
      <c r="BA115" s="233"/>
      <c r="BG115" s="87"/>
      <c r="BH115" s="99">
        <v>12</v>
      </c>
      <c r="BI115" s="1">
        <f>$BR$88*BI15/100</f>
        <v>579.47400000000005</v>
      </c>
      <c r="BJ115" s="1">
        <f>$BR$88*BJ15/100</f>
        <v>529.39600000000007</v>
      </c>
      <c r="BK115" s="1">
        <f>+$BR$50*BK15/100</f>
        <v>394.83899999999994</v>
      </c>
      <c r="BL115" s="1">
        <f>+$BR$50*BL15/100</f>
        <v>270.15300000000002</v>
      </c>
      <c r="BM115" s="1">
        <f>+$BR$50*BM15/100</f>
        <v>235.518</v>
      </c>
      <c r="BN115" s="1">
        <f>+$BR$50*BN15/100</f>
        <v>187.02899999999997</v>
      </c>
      <c r="BO115" s="1">
        <f>BR40*BO15/100</f>
        <v>164.71199999999996</v>
      </c>
      <c r="BP115" s="74">
        <f t="shared" si="35"/>
        <v>2361.1210000000001</v>
      </c>
      <c r="BQ115" s="233"/>
      <c r="BW115" s="87"/>
      <c r="BX115" s="99">
        <v>12</v>
      </c>
      <c r="BY115" s="1">
        <f>$CH$52*BY15/100</f>
        <v>54.512</v>
      </c>
      <c r="BZ115" s="1">
        <f>$CH$52*BZ15/100</f>
        <v>61.326000000000001</v>
      </c>
      <c r="CA115" s="1">
        <f>$CH$52*CA15/100</f>
        <v>54.512</v>
      </c>
      <c r="CB115" s="1">
        <f>$CH$52*CB15/100</f>
        <v>54.512</v>
      </c>
      <c r="CC115" s="1">
        <f>$CX$43*CC15/100</f>
        <v>121.95</v>
      </c>
      <c r="CD115" s="1">
        <f>$CX$43*CD15/100</f>
        <v>74.525000000000006</v>
      </c>
      <c r="CE115" s="1">
        <f>$CX$43*CE15/100</f>
        <v>94.85</v>
      </c>
      <c r="CF115" s="74">
        <f t="shared" si="36"/>
        <v>516.18700000000001</v>
      </c>
      <c r="CG115" s="233"/>
      <c r="CM115" s="87"/>
      <c r="CN115" s="99">
        <v>12</v>
      </c>
      <c r="CO115" s="1">
        <f>$CX$43*CO15/100</f>
        <v>81.3</v>
      </c>
      <c r="CP115" s="1">
        <f>$CX$43*CP15/100</f>
        <v>108.4</v>
      </c>
      <c r="CQ115" s="1">
        <f>$CX$43*CQ15/100</f>
        <v>67.75</v>
      </c>
      <c r="CR115" s="1">
        <f>$CX$43*CR15/100</f>
        <v>67.75</v>
      </c>
      <c r="CS115" s="1">
        <f>$CX$43*CS15/100</f>
        <v>81.3</v>
      </c>
      <c r="CT115" s="1">
        <f>$DN$43*CT15/100</f>
        <v>91.034999999999997</v>
      </c>
      <c r="CU115" s="1">
        <f>$DN$43*CU15/100</f>
        <v>54.620999999999995</v>
      </c>
      <c r="CV115" s="74">
        <f t="shared" si="38"/>
        <v>552.15599999999995</v>
      </c>
      <c r="CW115" s="87"/>
      <c r="DC115" s="87"/>
      <c r="DD115" s="99">
        <v>12</v>
      </c>
      <c r="DE115" s="1">
        <f t="shared" ref="DE115:DG115" si="86">$DN$43*DE15/100</f>
        <v>60.69</v>
      </c>
      <c r="DF115" s="1">
        <f t="shared" si="86"/>
        <v>78.896999999999991</v>
      </c>
      <c r="DG115" s="1">
        <f t="shared" si="86"/>
        <v>30.344999999999999</v>
      </c>
      <c r="DH115" s="85"/>
      <c r="DI115" s="1"/>
      <c r="DJ115" s="1"/>
      <c r="DK115" s="1"/>
      <c r="DL115" s="74">
        <f t="shared" si="40"/>
        <v>169.93199999999999</v>
      </c>
      <c r="DM115" s="87"/>
      <c r="DS115" s="87"/>
      <c r="DT115" s="99">
        <v>12</v>
      </c>
      <c r="DU115" s="1"/>
      <c r="DV115" s="1"/>
      <c r="DW115" s="1"/>
      <c r="DX115" s="1"/>
      <c r="DY115" s="1"/>
      <c r="DZ115" s="1"/>
      <c r="EA115" s="1"/>
      <c r="EB115" s="74">
        <f t="shared" si="41"/>
        <v>0</v>
      </c>
      <c r="EC115" s="87"/>
      <c r="EI115" s="87"/>
      <c r="EJ115" s="99">
        <v>12</v>
      </c>
      <c r="EK115" s="1"/>
      <c r="EL115" s="1"/>
      <c r="EM115" s="1"/>
      <c r="EN115" s="1"/>
      <c r="EO115" s="1"/>
      <c r="EP115" s="1"/>
      <c r="EQ115" s="1"/>
      <c r="ER115" s="74">
        <f t="shared" si="42"/>
        <v>0</v>
      </c>
      <c r="ES115" s="90"/>
      <c r="EY115" s="93"/>
      <c r="EZ115" s="99">
        <v>12</v>
      </c>
      <c r="FA115" s="1"/>
      <c r="FB115" s="1"/>
      <c r="FC115" s="1"/>
      <c r="FD115" s="1"/>
      <c r="FE115" s="1"/>
      <c r="FF115" s="1"/>
      <c r="FG115" s="1"/>
      <c r="FH115" s="74">
        <f t="shared" si="43"/>
        <v>0</v>
      </c>
      <c r="FI115" s="93"/>
      <c r="FJ115" s="90"/>
      <c r="FK115" s="93"/>
      <c r="FL115" s="93"/>
      <c r="FM115" s="93"/>
      <c r="FN115" s="92"/>
      <c r="FO115" s="92"/>
      <c r="FP115" s="99">
        <v>12</v>
      </c>
      <c r="FQ115" s="1"/>
      <c r="FR115" s="1"/>
      <c r="FS115" s="1"/>
      <c r="FT115" s="1"/>
      <c r="FU115" s="1"/>
      <c r="FV115" s="1"/>
      <c r="FW115" s="1"/>
      <c r="FX115" s="74">
        <f t="shared" si="44"/>
        <v>0</v>
      </c>
      <c r="FY115" s="93"/>
      <c r="FZ115" s="93"/>
      <c r="GA115" s="93"/>
      <c r="GB115" s="93"/>
      <c r="GC115" s="93"/>
      <c r="GD115" s="93"/>
      <c r="GE115" s="93"/>
      <c r="GF115" s="99">
        <v>12</v>
      </c>
      <c r="GG115" s="1"/>
      <c r="GH115" s="1"/>
      <c r="GI115" s="1"/>
      <c r="GJ115" s="1"/>
      <c r="GK115" s="1"/>
      <c r="GL115" s="1"/>
      <c r="GM115" s="1"/>
      <c r="GN115" s="74">
        <f t="shared" si="45"/>
        <v>0</v>
      </c>
      <c r="GO115" s="93"/>
      <c r="GP115" s="93"/>
      <c r="GQ115" s="93"/>
      <c r="GR115" s="93"/>
      <c r="GS115" s="93"/>
      <c r="GT115" s="93"/>
      <c r="GU115" s="93"/>
      <c r="GV115" s="93"/>
      <c r="GW115" s="99">
        <v>12</v>
      </c>
      <c r="GX115" s="74">
        <f t="shared" si="46"/>
        <v>11161.333000000002</v>
      </c>
      <c r="GY115" s="75">
        <f t="shared" si="47"/>
        <v>111.61333000000002</v>
      </c>
      <c r="HA115" s="43">
        <f t="shared" si="48"/>
        <v>10608.858000000002</v>
      </c>
      <c r="HC115" s="99">
        <v>12</v>
      </c>
      <c r="HD115" s="4">
        <v>71.935299999999998</v>
      </c>
      <c r="HE115" s="4">
        <v>0</v>
      </c>
      <c r="HF115" s="4">
        <v>28.064699999999998</v>
      </c>
      <c r="HG115" s="4">
        <v>0</v>
      </c>
      <c r="HH115" s="81">
        <f t="shared" si="49"/>
        <v>239.12463801751286</v>
      </c>
      <c r="HJ115" s="162"/>
      <c r="HK115" s="172"/>
      <c r="HL115" s="172"/>
      <c r="HM115" s="172"/>
      <c r="HN115" s="172"/>
      <c r="HO115" s="172"/>
      <c r="HP115" s="172"/>
      <c r="HV115" s="107"/>
      <c r="HX115" s="68"/>
      <c r="HY115" s="107"/>
      <c r="HZ115" s="68"/>
    </row>
    <row r="116" spans="12:234" x14ac:dyDescent="0.3">
      <c r="L116" s="1">
        <v>13</v>
      </c>
      <c r="M116" s="1"/>
      <c r="N116" s="1"/>
      <c r="O116" s="1">
        <v>56.07</v>
      </c>
      <c r="P116" s="1">
        <v>41.118000000000002</v>
      </c>
      <c r="Q116" s="1">
        <v>37.380000000000003</v>
      </c>
      <c r="R116" s="1">
        <v>52.332000000000008</v>
      </c>
      <c r="S116" s="114">
        <v>44.856000000000002</v>
      </c>
      <c r="T116" s="74">
        <f t="shared" si="32"/>
        <v>231.75600000000003</v>
      </c>
      <c r="U116" s="233"/>
      <c r="AA116" s="87"/>
      <c r="AB116" s="1">
        <v>13</v>
      </c>
      <c r="AC116" s="113">
        <v>26.244</v>
      </c>
      <c r="AD116" s="1">
        <v>89.316000000000003</v>
      </c>
      <c r="AE116" s="1">
        <v>52.92799999999999</v>
      </c>
      <c r="AF116" s="1">
        <v>46.311999999999998</v>
      </c>
      <c r="AG116" s="1">
        <v>36.387999999999998</v>
      </c>
      <c r="AH116" s="1">
        <v>39.695999999999998</v>
      </c>
      <c r="AI116" s="114">
        <v>29.771999999999998</v>
      </c>
      <c r="AJ116" s="74">
        <f t="shared" si="33"/>
        <v>320.65600000000001</v>
      </c>
      <c r="AK116" s="233"/>
      <c r="AQ116" s="87"/>
      <c r="AR116" s="1">
        <v>13</v>
      </c>
      <c r="AS116" s="113">
        <v>23.155999999999999</v>
      </c>
      <c r="AT116" s="1">
        <v>45.161999999999999</v>
      </c>
      <c r="AU116" s="1">
        <v>40.143999999999998</v>
      </c>
      <c r="AV116" s="1">
        <v>40.143999999999998</v>
      </c>
      <c r="AW116" s="1">
        <v>25.09</v>
      </c>
      <c r="AX116" s="1">
        <v>22.581</v>
      </c>
      <c r="AY116" s="114">
        <v>20.071999999999999</v>
      </c>
      <c r="AZ116" s="74">
        <f t="shared" si="34"/>
        <v>216.34899999999999</v>
      </c>
      <c r="BA116" s="233"/>
      <c r="BG116" s="87"/>
      <c r="BH116" s="1">
        <v>13</v>
      </c>
      <c r="BI116" s="113">
        <v>21.05</v>
      </c>
      <c r="BJ116" s="1">
        <v>26.862000000000002</v>
      </c>
      <c r="BK116" s="1">
        <v>24.42</v>
      </c>
      <c r="BL116" s="1">
        <v>14.652000000000001</v>
      </c>
      <c r="BM116" s="1">
        <v>19.536000000000001</v>
      </c>
      <c r="BN116" s="1">
        <v>12.21</v>
      </c>
      <c r="BO116" s="114">
        <v>14.652000000000001</v>
      </c>
      <c r="BP116" s="74">
        <f t="shared" si="35"/>
        <v>133.38200000000001</v>
      </c>
      <c r="BQ116" s="233"/>
      <c r="BW116" s="87"/>
      <c r="BX116" s="1">
        <v>13</v>
      </c>
      <c r="BY116" s="113">
        <v>17.622</v>
      </c>
      <c r="BZ116" s="1">
        <v>15.663999999999998</v>
      </c>
      <c r="CA116" s="1">
        <v>11.747999999999999</v>
      </c>
      <c r="CB116" s="1">
        <v>8.41</v>
      </c>
      <c r="CC116" s="1">
        <v>26.911999999999999</v>
      </c>
      <c r="CD116" s="1">
        <v>18.501999999999999</v>
      </c>
      <c r="CE116" s="114">
        <v>18.501999999999999</v>
      </c>
      <c r="CF116" s="74">
        <f t="shared" si="36"/>
        <v>117.35999999999999</v>
      </c>
      <c r="CG116" s="233"/>
      <c r="CM116" s="87"/>
      <c r="CN116" s="1">
        <v>13</v>
      </c>
      <c r="CO116" s="113">
        <v>16.82</v>
      </c>
      <c r="CP116" s="1">
        <v>15.138</v>
      </c>
      <c r="CQ116" s="1">
        <v>13.455</v>
      </c>
      <c r="CR116" s="1">
        <v>8.9700000000000006</v>
      </c>
      <c r="CS116" s="1">
        <v>8.9700000000000006</v>
      </c>
      <c r="CT116" s="1">
        <v>8.0730000000000004</v>
      </c>
      <c r="CU116" s="121"/>
      <c r="CV116" s="74">
        <f t="shared" si="38"/>
        <v>71.425999999999988</v>
      </c>
      <c r="CW116" s="87"/>
      <c r="DC116" s="87"/>
      <c r="DD116" s="1">
        <v>13</v>
      </c>
      <c r="DE116" s="113"/>
      <c r="DF116" s="1"/>
      <c r="DG116" s="1"/>
      <c r="DH116" s="1"/>
      <c r="DI116" s="1"/>
      <c r="DJ116" s="1"/>
      <c r="DK116" s="1"/>
      <c r="DL116" s="74">
        <f t="shared" si="40"/>
        <v>0</v>
      </c>
      <c r="DM116" s="87"/>
      <c r="DS116" s="87"/>
      <c r="DT116" s="1">
        <v>13</v>
      </c>
      <c r="DU116" s="1"/>
      <c r="DV116" s="1"/>
      <c r="DW116" s="1"/>
      <c r="DX116" s="1"/>
      <c r="DY116" s="1"/>
      <c r="DZ116" s="1"/>
      <c r="EA116" s="1"/>
      <c r="EB116" s="74">
        <f t="shared" si="41"/>
        <v>0</v>
      </c>
      <c r="EC116" s="87"/>
      <c r="EI116" s="87"/>
      <c r="EJ116" s="1">
        <v>13</v>
      </c>
      <c r="EK116" s="1"/>
      <c r="EL116" s="1"/>
      <c r="EM116" s="1"/>
      <c r="EN116" s="1"/>
      <c r="EO116" s="1"/>
      <c r="EP116" s="1"/>
      <c r="EQ116" s="1"/>
      <c r="ER116" s="74">
        <f t="shared" si="42"/>
        <v>0</v>
      </c>
      <c r="ES116" s="90"/>
      <c r="EY116" s="93"/>
      <c r="EZ116" s="1">
        <v>13</v>
      </c>
      <c r="FA116" s="1"/>
      <c r="FB116" s="1"/>
      <c r="FC116" s="1"/>
      <c r="FD116" s="1"/>
      <c r="FE116" s="1"/>
      <c r="FF116" s="1"/>
      <c r="FG116" s="1"/>
      <c r="FH116" s="74">
        <f t="shared" si="43"/>
        <v>0</v>
      </c>
      <c r="FI116" s="93"/>
      <c r="FJ116" s="90"/>
      <c r="FK116" s="93"/>
      <c r="FL116" s="93"/>
      <c r="FM116" s="93"/>
      <c r="FN116" s="92"/>
      <c r="FO116" s="92"/>
      <c r="FP116" s="1">
        <v>13</v>
      </c>
      <c r="FQ116" s="1"/>
      <c r="FR116" s="1"/>
      <c r="FS116" s="1"/>
      <c r="FT116" s="1"/>
      <c r="FU116" s="1"/>
      <c r="FV116" s="1"/>
      <c r="FW116" s="1"/>
      <c r="FX116" s="74">
        <f t="shared" si="44"/>
        <v>0</v>
      </c>
      <c r="FY116" s="93"/>
      <c r="FZ116" s="93"/>
      <c r="GA116" s="93"/>
      <c r="GB116" s="93"/>
      <c r="GC116" s="93"/>
      <c r="GD116" s="93"/>
      <c r="GE116" s="93"/>
      <c r="GF116" s="1">
        <v>13</v>
      </c>
      <c r="GG116" s="1"/>
      <c r="GH116" s="1"/>
      <c r="GI116" s="1"/>
      <c r="GJ116" s="1"/>
      <c r="GK116" s="1"/>
      <c r="GL116" s="1"/>
      <c r="GM116" s="1"/>
      <c r="GN116" s="74">
        <f t="shared" si="45"/>
        <v>0</v>
      </c>
      <c r="GO116" s="93"/>
      <c r="GP116" s="93"/>
      <c r="GQ116" s="93"/>
      <c r="GR116" s="93"/>
      <c r="GS116" s="93"/>
      <c r="GT116" s="93"/>
      <c r="GU116" s="93"/>
      <c r="GV116" s="93"/>
      <c r="GW116" s="1">
        <v>13</v>
      </c>
      <c r="GX116" s="74">
        <f t="shared" si="46"/>
        <v>1090.9290000000001</v>
      </c>
      <c r="GY116" s="75">
        <f t="shared" si="47"/>
        <v>10.90929</v>
      </c>
      <c r="HA116" s="43">
        <f t="shared" si="48"/>
        <v>538.45400000000006</v>
      </c>
      <c r="HC116" s="1">
        <v>13</v>
      </c>
      <c r="HD116" s="4">
        <v>0</v>
      </c>
      <c r="HE116" s="4">
        <v>0</v>
      </c>
      <c r="HF116" s="4">
        <v>0</v>
      </c>
      <c r="HG116" s="4">
        <v>100</v>
      </c>
      <c r="HH116" s="81">
        <f t="shared" si="49"/>
        <v>12.213043512623504</v>
      </c>
      <c r="HJ116" s="162"/>
      <c r="HK116" s="172"/>
      <c r="HL116" s="172"/>
      <c r="HM116" s="172"/>
      <c r="HN116" s="172"/>
      <c r="HO116" s="172"/>
      <c r="HP116" s="172"/>
      <c r="HV116" s="107"/>
      <c r="HX116" s="68"/>
      <c r="HY116" s="107"/>
      <c r="HZ116" s="68"/>
    </row>
    <row r="117" spans="12:234" x14ac:dyDescent="0.3">
      <c r="L117" s="1">
        <v>14</v>
      </c>
      <c r="M117" s="1"/>
      <c r="N117" s="1"/>
      <c r="O117" s="3">
        <f>O17*$AL$69/100</f>
        <v>1.1200000000000001</v>
      </c>
      <c r="P117" s="3">
        <f>P17*$AL$69/100</f>
        <v>2.72</v>
      </c>
      <c r="Q117" s="3">
        <f>Q17*$AL$69/100</f>
        <v>3.52</v>
      </c>
      <c r="R117" s="3">
        <f>R17*$AL$69/100</f>
        <v>7.84</v>
      </c>
      <c r="S117" s="3">
        <f>S17*$AL$69/100</f>
        <v>5.16</v>
      </c>
      <c r="T117" s="74">
        <f t="shared" si="32"/>
        <v>20.36</v>
      </c>
      <c r="U117" s="233"/>
      <c r="AA117" s="87"/>
      <c r="AB117" s="1">
        <v>14</v>
      </c>
      <c r="AC117" s="1">
        <f>AC17*AL69/100</f>
        <v>4.4000000000000004</v>
      </c>
      <c r="AD117" s="1">
        <f>AD17*$AL$53/100</f>
        <v>54.136500000000005</v>
      </c>
      <c r="AE117" s="1">
        <f>AE17*$AL$53/100</f>
        <v>35.029500000000006</v>
      </c>
      <c r="AF117" s="1">
        <f>AF17*$AL$53/100</f>
        <v>55.198</v>
      </c>
      <c r="AG117" s="1">
        <f>$BB$97*AG17/100</f>
        <v>126.786</v>
      </c>
      <c r="AH117" s="1">
        <f>$BB$97*AH17/100</f>
        <v>193.90799999999999</v>
      </c>
      <c r="AI117" s="1">
        <f>$BB$97*AI17/100</f>
        <v>182.72099999999998</v>
      </c>
      <c r="AJ117" s="74">
        <f t="shared" si="33"/>
        <v>652.17899999999997</v>
      </c>
      <c r="AK117" s="233"/>
      <c r="AQ117" s="87"/>
      <c r="AR117" s="1">
        <v>14</v>
      </c>
      <c r="AS117" s="1">
        <f>BB97*AS17/100</f>
        <v>173.39849999999998</v>
      </c>
      <c r="AT117" s="1">
        <f>$BB$85*AT17/100</f>
        <v>217.25</v>
      </c>
      <c r="AU117" s="1">
        <f>$BB$85*AU17/100</f>
        <v>206.25</v>
      </c>
      <c r="AV117" s="1">
        <f>$BB$56*AV17/100</f>
        <v>213.732</v>
      </c>
      <c r="AW117" s="1">
        <f>$BB$56*AW17/100</f>
        <v>201.858</v>
      </c>
      <c r="AX117" s="1">
        <f>$BR$74*AX17/100</f>
        <v>237.52800000000002</v>
      </c>
      <c r="AY117" s="1">
        <f>$BR$74*AY17/100</f>
        <v>227.63100000000003</v>
      </c>
      <c r="AZ117" s="74">
        <f t="shared" si="34"/>
        <v>1477.6475</v>
      </c>
      <c r="BA117" s="233"/>
      <c r="BG117" s="87"/>
      <c r="BH117" s="1">
        <v>14</v>
      </c>
      <c r="BI117" s="1">
        <f>$BR$74*BI17/100</f>
        <v>214.435</v>
      </c>
      <c r="BJ117" s="1">
        <f>$BR$74*BJ17/100</f>
        <v>194.64100000000002</v>
      </c>
      <c r="BK117" s="1">
        <f>$BR$74*BK17/100</f>
        <v>217.73400000000001</v>
      </c>
      <c r="BL117" s="1">
        <f>+$BR$43*BL17/100</f>
        <v>189.80500000000001</v>
      </c>
      <c r="BM117" s="1">
        <f>+$BR$43*BM17/100</f>
        <v>141.49099999999999</v>
      </c>
      <c r="BN117" s="1">
        <f>+$BR$43*BN17/100</f>
        <v>55.215999999999994</v>
      </c>
      <c r="BO117" s="1">
        <f>+$BR$43*BO17/100</f>
        <v>193.25599999999997</v>
      </c>
      <c r="BP117" s="74">
        <f t="shared" si="35"/>
        <v>1206.578</v>
      </c>
      <c r="BQ117" s="233"/>
      <c r="BW117" s="87"/>
      <c r="BX117" s="1">
        <v>14</v>
      </c>
      <c r="BY117" s="1">
        <f t="shared" ref="BY117:CE117" si="87">$CX$58*BY17/100</f>
        <v>166.012</v>
      </c>
      <c r="BZ117" s="1">
        <f t="shared" si="87"/>
        <v>128.74400000000003</v>
      </c>
      <c r="CA117" s="1">
        <f t="shared" si="87"/>
        <v>125.35600000000001</v>
      </c>
      <c r="CB117" s="1">
        <f t="shared" si="87"/>
        <v>118.58</v>
      </c>
      <c r="CC117" s="1">
        <f t="shared" si="87"/>
        <v>101.64</v>
      </c>
      <c r="CD117" s="1">
        <f t="shared" si="87"/>
        <v>94.864000000000019</v>
      </c>
      <c r="CE117" s="1">
        <f t="shared" si="87"/>
        <v>91.475999999999999</v>
      </c>
      <c r="CF117" s="74">
        <f t="shared" si="36"/>
        <v>826.67200000000003</v>
      </c>
      <c r="CG117" s="233"/>
      <c r="CM117" s="87"/>
      <c r="CN117" s="1">
        <v>14</v>
      </c>
      <c r="CO117" s="1">
        <f>CX58*CO17/100</f>
        <v>71.147999999999996</v>
      </c>
      <c r="CP117" s="1">
        <f t="shared" ref="CP117:CU117" si="88">$DN$47*CP17/100</f>
        <v>87.9</v>
      </c>
      <c r="CQ117" s="1">
        <f t="shared" si="88"/>
        <v>61.53</v>
      </c>
      <c r="CR117" s="1">
        <f t="shared" si="88"/>
        <v>61.53</v>
      </c>
      <c r="CS117" s="1">
        <f t="shared" si="88"/>
        <v>64.459999999999994</v>
      </c>
      <c r="CT117" s="1">
        <f t="shared" si="88"/>
        <v>105.48</v>
      </c>
      <c r="CU117" s="1">
        <f t="shared" si="88"/>
        <v>35.159999999999997</v>
      </c>
      <c r="CV117" s="74">
        <f t="shared" si="38"/>
        <v>487.20799999999997</v>
      </c>
      <c r="CW117" s="87"/>
      <c r="DC117" s="87"/>
      <c r="DD117" s="1">
        <v>14</v>
      </c>
      <c r="DE117" s="1">
        <f>$DN$47*DE17/100</f>
        <v>61.53</v>
      </c>
      <c r="DF117" s="1">
        <f>$DN$47*DF17/100</f>
        <v>61.53</v>
      </c>
      <c r="DG117" s="1">
        <f>$DN$47*DG17/100</f>
        <v>32.229999999999997</v>
      </c>
      <c r="DH117" s="1">
        <f>$DN$47*DH17/100</f>
        <v>52.74</v>
      </c>
      <c r="DI117" s="1">
        <f>$DN$47*DI17/100</f>
        <v>43.95</v>
      </c>
      <c r="DJ117" s="1">
        <f>$ET$40*DJ17/100</f>
        <v>44.847000000000001</v>
      </c>
      <c r="DK117" s="1">
        <f>$ET$40*DK17/100</f>
        <v>27.406500000000001</v>
      </c>
      <c r="DL117" s="74">
        <f t="shared" si="40"/>
        <v>324.23349999999999</v>
      </c>
      <c r="DM117" s="87"/>
      <c r="DS117" s="87"/>
      <c r="DT117" s="1">
        <v>14</v>
      </c>
      <c r="DU117" s="85"/>
      <c r="DV117" s="1"/>
      <c r="DW117" s="1"/>
      <c r="DX117" s="1"/>
      <c r="DY117" s="1"/>
      <c r="DZ117" s="1"/>
      <c r="EA117" s="1"/>
      <c r="EB117" s="74">
        <f t="shared" si="41"/>
        <v>0</v>
      </c>
      <c r="EC117" s="87"/>
      <c r="EI117" s="87"/>
      <c r="EJ117" s="1">
        <v>14</v>
      </c>
      <c r="EK117" s="1"/>
      <c r="EL117" s="1"/>
      <c r="EM117" s="1"/>
      <c r="EN117" s="1"/>
      <c r="EO117" s="1"/>
      <c r="EP117" s="1"/>
      <c r="EQ117" s="1"/>
      <c r="ER117" s="74">
        <f t="shared" si="42"/>
        <v>0</v>
      </c>
      <c r="ES117" s="90"/>
      <c r="EY117" s="93"/>
      <c r="EZ117" s="1">
        <v>14</v>
      </c>
      <c r="FA117" s="1"/>
      <c r="FB117" s="1"/>
      <c r="FC117" s="1"/>
      <c r="FD117" s="1"/>
      <c r="FE117" s="1"/>
      <c r="FF117" s="1"/>
      <c r="FG117" s="1"/>
      <c r="FH117" s="74">
        <f t="shared" si="43"/>
        <v>0</v>
      </c>
      <c r="FI117" s="93"/>
      <c r="FJ117" s="90"/>
      <c r="FK117" s="93"/>
      <c r="FL117" s="93"/>
      <c r="FM117" s="93"/>
      <c r="FN117" s="92"/>
      <c r="FO117" s="92"/>
      <c r="FP117" s="1">
        <v>14</v>
      </c>
      <c r="FQ117" s="1"/>
      <c r="FR117" s="1"/>
      <c r="FS117" s="1"/>
      <c r="FT117" s="1"/>
      <c r="FU117" s="1"/>
      <c r="FV117" s="1"/>
      <c r="FW117" s="1"/>
      <c r="FX117" s="74">
        <f t="shared" si="44"/>
        <v>0</v>
      </c>
      <c r="FY117" s="93"/>
      <c r="FZ117" s="93"/>
      <c r="GA117" s="93"/>
      <c r="GB117" s="93"/>
      <c r="GC117" s="93"/>
      <c r="GD117" s="93"/>
      <c r="GE117" s="93"/>
      <c r="GF117" s="1">
        <v>14</v>
      </c>
      <c r="GG117" s="1"/>
      <c r="GH117" s="1"/>
      <c r="GI117" s="1"/>
      <c r="GJ117" s="1"/>
      <c r="GK117" s="1"/>
      <c r="GL117" s="1"/>
      <c r="GM117" s="1"/>
      <c r="GN117" s="74">
        <f t="shared" si="45"/>
        <v>0</v>
      </c>
      <c r="GO117" s="93"/>
      <c r="GP117" s="93"/>
      <c r="GQ117" s="93"/>
      <c r="GR117" s="93"/>
      <c r="GS117" s="93"/>
      <c r="GT117" s="93"/>
      <c r="GU117" s="93"/>
      <c r="GV117" s="93"/>
      <c r="GW117" s="1">
        <v>14</v>
      </c>
      <c r="GX117" s="74">
        <f t="shared" si="46"/>
        <v>4994.8779999999997</v>
      </c>
      <c r="GY117" s="75">
        <f t="shared" si="47"/>
        <v>49.948779999999999</v>
      </c>
      <c r="HA117" s="43">
        <f t="shared" si="48"/>
        <v>4442.4029999999993</v>
      </c>
      <c r="HC117" s="1">
        <v>14</v>
      </c>
      <c r="HD117" s="4">
        <v>6.4521899999999999</v>
      </c>
      <c r="HE117" s="4">
        <v>47.085299999999997</v>
      </c>
      <c r="HF117" s="4">
        <v>0</v>
      </c>
      <c r="HG117" s="4">
        <v>46.462499999999999</v>
      </c>
      <c r="HH117" s="81">
        <f t="shared" si="49"/>
        <v>102.63954789418094</v>
      </c>
      <c r="HJ117" s="162"/>
      <c r="HK117" s="172"/>
      <c r="HL117" s="172"/>
      <c r="HM117" s="172"/>
      <c r="HN117" s="172"/>
      <c r="HO117" s="172"/>
      <c r="HP117" s="172"/>
      <c r="HV117" s="107"/>
      <c r="HX117" s="68"/>
      <c r="HY117" s="107"/>
      <c r="HZ117" s="68"/>
    </row>
    <row r="118" spans="12:234" x14ac:dyDescent="0.3">
      <c r="L118" s="1">
        <v>15</v>
      </c>
      <c r="M118" s="1"/>
      <c r="N118" s="1"/>
      <c r="O118" s="1">
        <f>$BB$49*O18/100</f>
        <v>22.725000000000001</v>
      </c>
      <c r="P118" s="1">
        <f>$BB$49*P18/100</f>
        <v>9.09</v>
      </c>
      <c r="Q118" s="1">
        <f>$BB$49*Q18/100</f>
        <v>6.06</v>
      </c>
      <c r="R118" s="1">
        <f>$BB$49*R18/100</f>
        <v>5.3025000000000002</v>
      </c>
      <c r="S118" s="1">
        <f>$BB$49*S18/100</f>
        <v>5.3025000000000002</v>
      </c>
      <c r="T118" s="74">
        <f t="shared" si="32"/>
        <v>48.480000000000004</v>
      </c>
      <c r="U118" s="233"/>
      <c r="AA118" s="87"/>
      <c r="AB118" s="1">
        <v>15</v>
      </c>
      <c r="AC118" s="1">
        <f t="shared" ref="AC118:AI118" si="89">$BB$49*AC18/100</f>
        <v>4.5449999999999999</v>
      </c>
      <c r="AD118" s="1">
        <f t="shared" si="89"/>
        <v>6.06</v>
      </c>
      <c r="AE118" s="1">
        <f t="shared" si="89"/>
        <v>4.5449999999999999</v>
      </c>
      <c r="AF118" s="1">
        <f t="shared" si="89"/>
        <v>4.5449999999999999</v>
      </c>
      <c r="AG118" s="1">
        <f t="shared" si="89"/>
        <v>6.06</v>
      </c>
      <c r="AH118" s="1">
        <f t="shared" si="89"/>
        <v>6.06</v>
      </c>
      <c r="AI118" s="1">
        <f t="shared" si="89"/>
        <v>1.5149999999999999</v>
      </c>
      <c r="AJ118" s="74">
        <f t="shared" si="33"/>
        <v>33.33</v>
      </c>
      <c r="AK118" s="233"/>
      <c r="AO118" s="112"/>
      <c r="AQ118" s="87"/>
      <c r="AR118" s="1">
        <v>15</v>
      </c>
      <c r="AS118" s="1">
        <f t="shared" ref="AS118:AX118" si="90">$BB$49*AS18/100</f>
        <v>3.03</v>
      </c>
      <c r="AT118" s="1">
        <f t="shared" si="90"/>
        <v>3.03</v>
      </c>
      <c r="AU118" s="1">
        <f t="shared" si="90"/>
        <v>0</v>
      </c>
      <c r="AV118" s="1">
        <f t="shared" si="90"/>
        <v>1.5149999999999999</v>
      </c>
      <c r="AW118" s="1">
        <f t="shared" si="90"/>
        <v>3.03</v>
      </c>
      <c r="AX118" s="1">
        <f t="shared" si="90"/>
        <v>31.815000000000001</v>
      </c>
      <c r="AY118" s="1">
        <f>$CH$66*AY18/100</f>
        <v>13.626000000000001</v>
      </c>
      <c r="AZ118" s="74">
        <f t="shared" si="34"/>
        <v>56.046000000000006</v>
      </c>
      <c r="BA118" s="233"/>
      <c r="BG118" s="87"/>
      <c r="BH118" s="1">
        <v>15</v>
      </c>
      <c r="BI118" s="1">
        <f t="shared" ref="BI118:BO118" si="91">$CH$66*BI18/100</f>
        <v>43.149000000000008</v>
      </c>
      <c r="BJ118" s="1">
        <f t="shared" si="91"/>
        <v>52.233000000000004</v>
      </c>
      <c r="BK118" s="1">
        <f t="shared" si="91"/>
        <v>2.2710000000000004</v>
      </c>
      <c r="BL118" s="1">
        <f t="shared" si="91"/>
        <v>2.2710000000000004</v>
      </c>
      <c r="BM118" s="1">
        <f t="shared" si="91"/>
        <v>6.8130000000000006</v>
      </c>
      <c r="BN118" s="1">
        <f t="shared" si="91"/>
        <v>2.2710000000000004</v>
      </c>
      <c r="BO118" s="1">
        <f t="shared" si="91"/>
        <v>4.5420000000000007</v>
      </c>
      <c r="BP118" s="74">
        <f t="shared" si="35"/>
        <v>113.55000000000001</v>
      </c>
      <c r="BQ118" s="233"/>
      <c r="BW118" s="87"/>
      <c r="BX118" s="1">
        <v>15</v>
      </c>
      <c r="BY118" s="1">
        <f>$CH$66*BY18/100</f>
        <v>49.961999999999996</v>
      </c>
      <c r="BZ118" s="1">
        <f>$CH$66*BZ18/100</f>
        <v>38.606999999999999</v>
      </c>
      <c r="CA118" s="1">
        <f>$DN$61*CA18/100</f>
        <v>70.521999999999991</v>
      </c>
      <c r="CB118" s="1">
        <f>$DN$61*CB18/100</f>
        <v>68.616</v>
      </c>
      <c r="CC118" s="1">
        <f>$DN$61*CC18/100</f>
        <v>68.616</v>
      </c>
      <c r="CD118" s="1">
        <f>$DN$61*CD18/100</f>
        <v>60.991999999999997</v>
      </c>
      <c r="CE118" s="1">
        <f>$DN$61*CE18/100</f>
        <v>57.18</v>
      </c>
      <c r="CF118" s="74">
        <f t="shared" si="36"/>
        <v>414.495</v>
      </c>
      <c r="CG118" s="233"/>
      <c r="CM118" s="87"/>
      <c r="CN118" s="1">
        <v>15</v>
      </c>
      <c r="CO118" s="1">
        <f t="shared" ref="CO118:CU118" si="92">$DN$61*CO18/100</f>
        <v>57.18</v>
      </c>
      <c r="CP118" s="1">
        <f t="shared" si="92"/>
        <v>68.616</v>
      </c>
      <c r="CQ118" s="1">
        <f t="shared" si="92"/>
        <v>38.119999999999997</v>
      </c>
      <c r="CR118" s="1">
        <f t="shared" si="92"/>
        <v>34.308</v>
      </c>
      <c r="CS118" s="1">
        <f t="shared" si="92"/>
        <v>34.308</v>
      </c>
      <c r="CT118" s="1">
        <f t="shared" si="92"/>
        <v>45.744</v>
      </c>
      <c r="CU118" s="1">
        <f t="shared" si="92"/>
        <v>15.247999999999999</v>
      </c>
      <c r="CV118" s="74">
        <f t="shared" si="38"/>
        <v>293.52399999999994</v>
      </c>
      <c r="CW118" s="87"/>
      <c r="DC118" s="87"/>
      <c r="DD118" s="1">
        <v>15</v>
      </c>
      <c r="DE118" s="1">
        <f>$DN$61*DE18/100</f>
        <v>26.683999999999997</v>
      </c>
      <c r="DF118" s="1">
        <f t="shared" ref="DF118:DK118" si="93">$FJ$53*DF18/100</f>
        <v>16.523999999999997</v>
      </c>
      <c r="DG118" s="1">
        <f t="shared" si="93"/>
        <v>9.18</v>
      </c>
      <c r="DH118" s="1">
        <f t="shared" si="93"/>
        <v>14.687999999999999</v>
      </c>
      <c r="DI118" s="1">
        <f t="shared" si="93"/>
        <v>12.852</v>
      </c>
      <c r="DJ118" s="1">
        <f t="shared" si="93"/>
        <v>12.852</v>
      </c>
      <c r="DK118" s="1">
        <f t="shared" si="93"/>
        <v>9.18</v>
      </c>
      <c r="DL118" s="74">
        <f t="shared" si="40"/>
        <v>101.96000000000001</v>
      </c>
      <c r="DM118" s="87"/>
      <c r="DS118" s="87"/>
      <c r="DT118" s="1">
        <v>15</v>
      </c>
      <c r="DU118" s="1">
        <f t="shared" ref="DU118:EA118" si="94">$FJ$53*DU18/100</f>
        <v>12.852</v>
      </c>
      <c r="DV118" s="1">
        <f t="shared" si="94"/>
        <v>11.015999999999998</v>
      </c>
      <c r="DW118" s="1">
        <f t="shared" si="94"/>
        <v>12.852</v>
      </c>
      <c r="DX118" s="1">
        <f t="shared" si="94"/>
        <v>12.852</v>
      </c>
      <c r="DY118" s="1">
        <f t="shared" si="94"/>
        <v>14.687999999999999</v>
      </c>
      <c r="DZ118" s="1">
        <f t="shared" si="94"/>
        <v>14.687999999999999</v>
      </c>
      <c r="EA118" s="1">
        <f t="shared" si="94"/>
        <v>16.523999999999997</v>
      </c>
      <c r="EB118" s="74">
        <f t="shared" si="41"/>
        <v>95.472000000000008</v>
      </c>
      <c r="EC118" s="87"/>
      <c r="EI118" s="87"/>
      <c r="EJ118" s="1">
        <v>15</v>
      </c>
      <c r="EK118" s="1">
        <f t="shared" ref="EK118:EP118" si="95">$FJ$53*EK18/100</f>
        <v>9.18</v>
      </c>
      <c r="EL118" s="1">
        <f t="shared" si="95"/>
        <v>9.18</v>
      </c>
      <c r="EM118" s="1">
        <f t="shared" si="95"/>
        <v>13.77</v>
      </c>
      <c r="EN118" s="1">
        <f t="shared" si="95"/>
        <v>10.097999999999999</v>
      </c>
      <c r="EO118" s="1">
        <f t="shared" si="95"/>
        <v>7.3439999999999994</v>
      </c>
      <c r="EP118" s="1">
        <f t="shared" si="95"/>
        <v>1.8359999999999999</v>
      </c>
      <c r="EQ118" s="85"/>
      <c r="ER118" s="74">
        <f t="shared" si="42"/>
        <v>51.407999999999994</v>
      </c>
      <c r="ES118" s="90"/>
      <c r="EY118" s="93"/>
      <c r="EZ118" s="1">
        <v>15</v>
      </c>
      <c r="FA118" s="1"/>
      <c r="FB118" s="1"/>
      <c r="FC118" s="1"/>
      <c r="FD118" s="1"/>
      <c r="FE118" s="1"/>
      <c r="FF118" s="1"/>
      <c r="FG118" s="1"/>
      <c r="FH118" s="74">
        <f t="shared" si="43"/>
        <v>0</v>
      </c>
      <c r="FI118" s="93"/>
      <c r="FJ118" s="90"/>
      <c r="FK118" s="93"/>
      <c r="FL118" s="93"/>
      <c r="FM118" s="93"/>
      <c r="FN118" s="92"/>
      <c r="FO118" s="92"/>
      <c r="FP118" s="1">
        <v>15</v>
      </c>
      <c r="FQ118" s="1"/>
      <c r="FR118" s="1"/>
      <c r="FS118" s="1"/>
      <c r="FT118" s="1"/>
      <c r="FU118" s="1"/>
      <c r="FV118" s="1"/>
      <c r="FW118" s="1"/>
      <c r="FX118" s="74">
        <f t="shared" si="44"/>
        <v>0</v>
      </c>
      <c r="FY118" s="93"/>
      <c r="FZ118" s="93"/>
      <c r="GA118" s="93"/>
      <c r="GB118" s="93"/>
      <c r="GC118" s="93"/>
      <c r="GD118" s="93"/>
      <c r="GE118" s="93"/>
      <c r="GF118" s="1">
        <v>15</v>
      </c>
      <c r="GG118" s="1"/>
      <c r="GH118" s="1"/>
      <c r="GI118" s="1"/>
      <c r="GJ118" s="1"/>
      <c r="GK118" s="1"/>
      <c r="GL118" s="1"/>
      <c r="GM118" s="1"/>
      <c r="GN118" s="74">
        <f t="shared" si="45"/>
        <v>0</v>
      </c>
      <c r="GO118" s="93"/>
      <c r="GP118" s="93"/>
      <c r="GQ118" s="93"/>
      <c r="GR118" s="93"/>
      <c r="GS118" s="93"/>
      <c r="GT118" s="93"/>
      <c r="GU118" s="93"/>
      <c r="GV118" s="93"/>
      <c r="GW118" s="1">
        <v>15</v>
      </c>
      <c r="GX118" s="74">
        <f t="shared" si="46"/>
        <v>1208.2649999999999</v>
      </c>
      <c r="GY118" s="75">
        <f t="shared" si="47"/>
        <v>12.082649999999999</v>
      </c>
      <c r="HA118" s="43">
        <f t="shared" si="48"/>
        <v>655.78999999999985</v>
      </c>
      <c r="HC118" s="1">
        <v>15</v>
      </c>
      <c r="HD118" s="4">
        <v>0</v>
      </c>
      <c r="HE118" s="4">
        <v>72.6785</v>
      </c>
      <c r="HF118" s="4">
        <v>0</v>
      </c>
      <c r="HG118" s="4">
        <v>27.3215</v>
      </c>
      <c r="HH118" s="81">
        <f t="shared" si="49"/>
        <v>15.592347343261423</v>
      </c>
      <c r="HJ118" s="162"/>
      <c r="HK118" s="172"/>
      <c r="HL118" s="172"/>
      <c r="HM118" s="172"/>
      <c r="HN118" s="172"/>
      <c r="HO118" s="172"/>
      <c r="HP118" s="172"/>
      <c r="HV118" s="107"/>
      <c r="HX118" s="68"/>
      <c r="HY118" s="107"/>
      <c r="HZ118" s="68"/>
    </row>
    <row r="119" spans="12:234" x14ac:dyDescent="0.3">
      <c r="L119" s="1">
        <v>16</v>
      </c>
      <c r="M119" s="1"/>
      <c r="N119" s="1"/>
      <c r="O119" s="1">
        <f>$BB$96*O19/100</f>
        <v>88.341000000000008</v>
      </c>
      <c r="P119" s="1">
        <f>$BB$96*P19/100</f>
        <v>56.216999999999999</v>
      </c>
      <c r="Q119" s="1">
        <f>$BB$96*Q19/100</f>
        <v>40.155000000000001</v>
      </c>
      <c r="R119" s="1">
        <f>$BB$96*R19/100</f>
        <v>40.155000000000001</v>
      </c>
      <c r="S119" s="1">
        <f>$BB$96*S19/100</f>
        <v>74.955999999999989</v>
      </c>
      <c r="T119" s="74">
        <f t="shared" si="32"/>
        <v>299.82399999999996</v>
      </c>
      <c r="U119" s="233"/>
      <c r="AA119" s="87"/>
      <c r="AB119" s="1">
        <v>16</v>
      </c>
      <c r="AC119" s="1">
        <f t="shared" ref="AC119:AI119" si="96">$BB$96*AC19/100</f>
        <v>125.819</v>
      </c>
      <c r="AD119" s="1">
        <f t="shared" si="96"/>
        <v>147.23500000000001</v>
      </c>
      <c r="AE119" s="1">
        <f t="shared" si="96"/>
        <v>34.801000000000002</v>
      </c>
      <c r="AF119" s="1">
        <f t="shared" si="96"/>
        <v>160.62</v>
      </c>
      <c r="AG119" s="1">
        <f t="shared" si="96"/>
        <v>74.955999999999989</v>
      </c>
      <c r="AH119" s="1">
        <f t="shared" si="96"/>
        <v>144.55799999999999</v>
      </c>
      <c r="AI119" s="1">
        <f t="shared" si="96"/>
        <v>125.819</v>
      </c>
      <c r="AJ119" s="74">
        <f t="shared" si="33"/>
        <v>813.80799999999999</v>
      </c>
      <c r="AK119" s="233"/>
      <c r="AQ119" s="87"/>
      <c r="AR119" s="1">
        <v>16</v>
      </c>
      <c r="AS119" s="1">
        <f>$BB$96*AS19/100</f>
        <v>200.77500000000001</v>
      </c>
      <c r="AT119" s="1">
        <f>$BB$86*AT19/100</f>
        <v>186.31</v>
      </c>
      <c r="AU119" s="1">
        <f>$BB$86*AU19/100</f>
        <v>177.29499999999999</v>
      </c>
      <c r="AV119" s="1">
        <f>$BB$47*AV19/100</f>
        <v>180.0975</v>
      </c>
      <c r="AW119" s="1">
        <f>$BB$47*AW19/100</f>
        <v>170.27399999999997</v>
      </c>
      <c r="AX119" s="1">
        <f>$BB$47*AX19/100</f>
        <v>196.47</v>
      </c>
      <c r="AY119" s="1">
        <f>$BR$65*AY19/100</f>
        <v>197.91549999999998</v>
      </c>
      <c r="AZ119" s="74">
        <f t="shared" si="34"/>
        <v>1309.1369999999999</v>
      </c>
      <c r="BA119" s="233"/>
      <c r="BG119" s="87"/>
      <c r="BH119" s="1">
        <v>16</v>
      </c>
      <c r="BI119" s="1">
        <f>$BR$65*BI19/100</f>
        <v>194.56100000000004</v>
      </c>
      <c r="BJ119" s="1">
        <f>$BR$65*BJ19/100</f>
        <v>241.524</v>
      </c>
      <c r="BK119" s="1">
        <f>$BR$65*BK19/100</f>
        <v>204.62450000000001</v>
      </c>
      <c r="BL119" s="1">
        <f>$BR$65*BL19/100</f>
        <v>184.4975</v>
      </c>
      <c r="BM119" s="1">
        <f>$BR$42*BM19/100</f>
        <v>206.80099999999999</v>
      </c>
      <c r="BN119" s="1">
        <f>$BR$42*BN19/100</f>
        <v>163.43949999999998</v>
      </c>
      <c r="BO119" s="1">
        <f>$BR$42*BO19/100</f>
        <v>260.16899999999998</v>
      </c>
      <c r="BP119" s="74">
        <f t="shared" si="35"/>
        <v>1455.6165000000001</v>
      </c>
      <c r="BQ119" s="233"/>
      <c r="BW119" s="87"/>
      <c r="BX119" s="1">
        <v>16</v>
      </c>
      <c r="BY119" s="1">
        <f>$CH$53*BY19/100</f>
        <v>183.1225</v>
      </c>
      <c r="BZ119" s="1">
        <f>$CH$53*BZ19/100</f>
        <v>163.1455</v>
      </c>
      <c r="CA119" s="1">
        <f>$CH$53*CA19/100</f>
        <v>143.16849999999999</v>
      </c>
      <c r="CB119" s="1">
        <f>$CH$53*CB19/100</f>
        <v>159.816</v>
      </c>
      <c r="CC119" s="90">
        <f>$DN$64*CC19/100</f>
        <v>131.95599999999999</v>
      </c>
      <c r="CD119" s="90">
        <f>$DN$64*CD19/100</f>
        <v>140.953</v>
      </c>
      <c r="CE119" s="87">
        <f>$DN$64*CE19/100</f>
        <v>137.95400000000001</v>
      </c>
      <c r="CF119" s="74">
        <f t="shared" si="36"/>
        <v>1060.1155000000001</v>
      </c>
      <c r="CG119" s="233"/>
      <c r="CM119" s="87"/>
      <c r="CN119" s="1">
        <v>16</v>
      </c>
      <c r="CO119" s="1">
        <f t="shared" ref="CO119:CU119" si="97">$DN$64*CO19/100</f>
        <v>122.959</v>
      </c>
      <c r="CP119" s="1">
        <f t="shared" si="97"/>
        <v>167.94399999999999</v>
      </c>
      <c r="CQ119" s="1">
        <f t="shared" si="97"/>
        <v>107.964</v>
      </c>
      <c r="CR119" s="1">
        <f t="shared" si="97"/>
        <v>98.966999999999985</v>
      </c>
      <c r="CS119" s="1">
        <f t="shared" si="97"/>
        <v>107.964</v>
      </c>
      <c r="CT119" s="1">
        <f t="shared" si="97"/>
        <v>140.953</v>
      </c>
      <c r="CU119" s="1">
        <f t="shared" si="97"/>
        <v>59.98</v>
      </c>
      <c r="CV119" s="74">
        <f t="shared" si="38"/>
        <v>806.73099999999999</v>
      </c>
      <c r="CW119" s="87"/>
      <c r="DC119" s="87"/>
      <c r="DD119" s="1">
        <v>16</v>
      </c>
      <c r="DE119" s="1">
        <f>$DN$64*DE19/100</f>
        <v>92.968999999999994</v>
      </c>
      <c r="DF119" s="1">
        <f t="shared" ref="DF119:DK119" si="98">$ED$54*DF19/100</f>
        <v>89.116500000000002</v>
      </c>
      <c r="DG119" s="1">
        <f t="shared" si="98"/>
        <v>45.908499999999997</v>
      </c>
      <c r="DH119" s="1">
        <f t="shared" si="98"/>
        <v>75.61399999999999</v>
      </c>
      <c r="DI119" s="1">
        <f t="shared" si="98"/>
        <v>56.710500000000003</v>
      </c>
      <c r="DJ119" s="1">
        <f t="shared" si="98"/>
        <v>70.213000000000008</v>
      </c>
      <c r="DK119" s="1">
        <f t="shared" si="98"/>
        <v>45.908499999999997</v>
      </c>
      <c r="DL119" s="74">
        <f t="shared" si="40"/>
        <v>476.44000000000005</v>
      </c>
      <c r="DM119" s="87"/>
      <c r="DS119" s="87"/>
      <c r="DT119" s="1">
        <v>16</v>
      </c>
      <c r="DU119" s="1">
        <f>$ED$54*DU19/100</f>
        <v>59.410999999999994</v>
      </c>
      <c r="DV119" s="1">
        <f t="shared" ref="DV119" si="99">$FJ$54*DV19/100</f>
        <v>26.400499999999997</v>
      </c>
      <c r="DW119" s="85"/>
      <c r="DX119" s="1"/>
      <c r="DY119" s="1"/>
      <c r="DZ119" s="1"/>
      <c r="EA119" s="1"/>
      <c r="EB119" s="74">
        <f t="shared" si="41"/>
        <v>85.811499999999995</v>
      </c>
      <c r="EC119" s="87"/>
      <c r="EI119" s="87"/>
      <c r="EJ119" s="1">
        <v>16</v>
      </c>
      <c r="EK119" s="1"/>
      <c r="EL119" s="1"/>
      <c r="EM119" s="1"/>
      <c r="EN119" s="1"/>
      <c r="EO119" s="1"/>
      <c r="EP119" s="1"/>
      <c r="EQ119" s="1"/>
      <c r="ER119" s="74">
        <f t="shared" si="42"/>
        <v>0</v>
      </c>
      <c r="ES119" s="90"/>
      <c r="EY119" s="93"/>
      <c r="EZ119" s="1">
        <v>16</v>
      </c>
      <c r="FA119" s="1"/>
      <c r="FB119" s="1"/>
      <c r="FC119" s="1"/>
      <c r="FD119" s="1"/>
      <c r="FE119" s="1"/>
      <c r="FF119" s="1"/>
      <c r="FG119" s="1"/>
      <c r="FH119" s="74">
        <f t="shared" si="43"/>
        <v>0</v>
      </c>
      <c r="FI119" s="93"/>
      <c r="FJ119" s="90"/>
      <c r="FK119" s="93"/>
      <c r="FL119" s="93"/>
      <c r="FM119" s="93"/>
      <c r="FN119" s="92"/>
      <c r="FO119" s="92"/>
      <c r="FP119" s="1">
        <v>16</v>
      </c>
      <c r="FQ119" s="1"/>
      <c r="FR119" s="1"/>
      <c r="FS119" s="1"/>
      <c r="FT119" s="1"/>
      <c r="FU119" s="1"/>
      <c r="FV119" s="1"/>
      <c r="FW119" s="1"/>
      <c r="FX119" s="74">
        <f t="shared" si="44"/>
        <v>0</v>
      </c>
      <c r="FY119" s="93"/>
      <c r="FZ119" s="93"/>
      <c r="GA119" s="93"/>
      <c r="GB119" s="93"/>
      <c r="GC119" s="93"/>
      <c r="GD119" s="93"/>
      <c r="GE119" s="93"/>
      <c r="GF119" s="1">
        <v>16</v>
      </c>
      <c r="GG119" s="1"/>
      <c r="GH119" s="1"/>
      <c r="GI119" s="1"/>
      <c r="GJ119" s="1"/>
      <c r="GK119" s="1"/>
      <c r="GL119" s="1"/>
      <c r="GM119" s="1"/>
      <c r="GN119" s="74">
        <f t="shared" si="45"/>
        <v>0</v>
      </c>
      <c r="GO119" s="93"/>
      <c r="GP119" s="93"/>
      <c r="GQ119" s="93"/>
      <c r="GR119" s="93"/>
      <c r="GS119" s="93"/>
      <c r="GT119" s="93"/>
      <c r="GU119" s="93"/>
      <c r="GV119" s="93"/>
      <c r="GW119" s="1">
        <v>16</v>
      </c>
      <c r="GX119" s="74">
        <f t="shared" si="46"/>
        <v>6307.4835000000003</v>
      </c>
      <c r="GY119" s="75">
        <f t="shared" si="47"/>
        <v>63.074835</v>
      </c>
      <c r="HA119" s="43">
        <f t="shared" si="48"/>
        <v>5755.0084999999999</v>
      </c>
      <c r="HC119" s="1">
        <v>16</v>
      </c>
      <c r="HD119" s="4">
        <v>47.869199999999999</v>
      </c>
      <c r="HE119" s="4">
        <v>4.8092300000000003</v>
      </c>
      <c r="HF119" s="4">
        <v>0</v>
      </c>
      <c r="HG119" s="4">
        <v>47.321599999999997</v>
      </c>
      <c r="HH119" s="81">
        <f t="shared" si="49"/>
        <v>141.40051815257547</v>
      </c>
      <c r="HJ119" s="162"/>
      <c r="HK119" s="172"/>
      <c r="HL119" s="172"/>
      <c r="HM119" s="172"/>
      <c r="HN119" s="172"/>
      <c r="HO119" s="172"/>
      <c r="HP119" s="172"/>
      <c r="HV119" s="107"/>
      <c r="HX119" s="68"/>
      <c r="HY119" s="107"/>
      <c r="HZ119" s="68"/>
    </row>
    <row r="120" spans="12:234" x14ac:dyDescent="0.3">
      <c r="L120" s="101">
        <v>17</v>
      </c>
      <c r="M120" s="1"/>
      <c r="N120" s="1"/>
      <c r="O120" s="1">
        <f>O20*$AL$52/100</f>
        <v>64.2</v>
      </c>
      <c r="P120" s="1">
        <f>P20*$AL$52/100</f>
        <v>48.15</v>
      </c>
      <c r="Q120" s="1">
        <f>Q20*$AL$52/100</f>
        <v>42.8</v>
      </c>
      <c r="R120" s="1">
        <f>R20*$AL$52/100</f>
        <v>41.462499999999999</v>
      </c>
      <c r="S120" s="1">
        <f>S20*$AL$52/100</f>
        <v>62.862499999999997</v>
      </c>
      <c r="T120" s="74">
        <f t="shared" si="32"/>
        <v>259.47499999999997</v>
      </c>
      <c r="U120" s="233"/>
      <c r="AA120" s="87"/>
      <c r="AB120" s="101">
        <v>17</v>
      </c>
      <c r="AC120" s="1">
        <f>AC20*$AL$52/100</f>
        <v>127.0625</v>
      </c>
      <c r="AD120" s="1">
        <f>AD20*$AL$52/100</f>
        <v>153.8125</v>
      </c>
      <c r="AE120" s="1">
        <f>AE20*$AL$52/100</f>
        <v>136.42500000000001</v>
      </c>
      <c r="AF120" s="1">
        <f>AF20*$AL$52/100</f>
        <v>173.875</v>
      </c>
      <c r="AG120" s="1">
        <f>AG20*AL45/100</f>
        <v>128.07900000000001</v>
      </c>
      <c r="AH120" s="1">
        <f>$BB$82*AH20/100</f>
        <v>547.39049999999997</v>
      </c>
      <c r="AI120" s="1">
        <f>$BB$82*AI20/100</f>
        <v>542.39150000000006</v>
      </c>
      <c r="AJ120" s="74">
        <f t="shared" si="33"/>
        <v>1809.0360000000001</v>
      </c>
      <c r="AK120" s="233"/>
      <c r="AQ120" s="87"/>
      <c r="AR120" s="101">
        <v>17</v>
      </c>
      <c r="AS120" s="1">
        <f>$BB$82*AS20/100</f>
        <v>329.93400000000003</v>
      </c>
      <c r="AT120" s="1">
        <f>$BB$82*AT20/100</f>
        <v>274.94499999999999</v>
      </c>
      <c r="AU120" s="1">
        <f>$BB$82*AU20/100</f>
        <v>194.96100000000001</v>
      </c>
      <c r="AV120" s="1">
        <f>$BB$57*AV20/100</f>
        <v>222.21200000000002</v>
      </c>
      <c r="AW120" s="1">
        <f>$BB$57*AW20/100</f>
        <v>182.64</v>
      </c>
      <c r="AX120" s="1">
        <f>$CH$72*AX20/100</f>
        <v>173.13499999999999</v>
      </c>
      <c r="AY120" s="1">
        <f>$CH$72*AY20/100</f>
        <v>148.0025</v>
      </c>
      <c r="AZ120" s="74">
        <f t="shared" si="34"/>
        <v>1525.8295000000001</v>
      </c>
      <c r="BA120" s="233"/>
      <c r="BG120" s="87"/>
      <c r="BH120" s="101">
        <v>17</v>
      </c>
      <c r="BI120" s="1">
        <f t="shared" ref="BI120:BO120" si="100">$CH$72*BI20/100</f>
        <v>125.66249999999999</v>
      </c>
      <c r="BJ120" s="1">
        <f t="shared" si="100"/>
        <v>125.66249999999999</v>
      </c>
      <c r="BK120" s="1">
        <f t="shared" si="100"/>
        <v>108.9075</v>
      </c>
      <c r="BL120" s="1">
        <f t="shared" si="100"/>
        <v>55.85</v>
      </c>
      <c r="BM120" s="1">
        <f t="shared" si="100"/>
        <v>114.49250000000001</v>
      </c>
      <c r="BN120" s="1">
        <f t="shared" si="100"/>
        <v>69.8125</v>
      </c>
      <c r="BO120" s="1">
        <f t="shared" si="100"/>
        <v>72.605000000000004</v>
      </c>
      <c r="BP120" s="74">
        <f t="shared" si="35"/>
        <v>672.99250000000006</v>
      </c>
      <c r="BQ120" s="233"/>
      <c r="BW120" s="87"/>
      <c r="BX120" s="101">
        <v>17</v>
      </c>
      <c r="BY120" s="1">
        <f>$CH$72*BY20/100</f>
        <v>178.72</v>
      </c>
      <c r="BZ120" s="1">
        <f>$CH$72*BZ20/100</f>
        <v>69.8125</v>
      </c>
      <c r="CA120" s="1">
        <f>$DN$48*CA20/100</f>
        <v>21.870500000000003</v>
      </c>
      <c r="CB120" s="1">
        <f>$DN$48*CB20/100</f>
        <v>19.297499999999999</v>
      </c>
      <c r="CC120" s="1">
        <f>$DN$48*CC20/100</f>
        <v>19.297499999999999</v>
      </c>
      <c r="CD120" s="85"/>
      <c r="CE120" s="1"/>
      <c r="CF120" s="74">
        <f t="shared" si="36"/>
        <v>308.99800000000005</v>
      </c>
      <c r="CG120" s="233"/>
      <c r="CM120" s="87"/>
      <c r="CN120" s="101">
        <v>17</v>
      </c>
      <c r="CO120" s="1"/>
      <c r="CP120" s="1"/>
      <c r="CQ120" s="1"/>
      <c r="CR120" s="1"/>
      <c r="CS120" s="1"/>
      <c r="CT120" s="1"/>
      <c r="CU120" s="1"/>
      <c r="CV120" s="74">
        <f t="shared" si="38"/>
        <v>0</v>
      </c>
      <c r="CW120" s="87"/>
      <c r="DC120" s="87"/>
      <c r="DD120" s="101">
        <v>17</v>
      </c>
      <c r="DE120" s="1"/>
      <c r="DF120" s="1"/>
      <c r="DG120" s="1"/>
      <c r="DH120" s="1"/>
      <c r="DI120" s="1"/>
      <c r="DJ120" s="1"/>
      <c r="DK120" s="1"/>
      <c r="DL120" s="74">
        <f t="shared" si="40"/>
        <v>0</v>
      </c>
      <c r="DM120" s="87"/>
      <c r="DS120" s="87"/>
      <c r="DT120" s="101">
        <v>17</v>
      </c>
      <c r="DU120" s="1"/>
      <c r="DV120" s="1"/>
      <c r="DW120" s="1"/>
      <c r="DX120" s="1"/>
      <c r="DY120" s="1"/>
      <c r="DZ120" s="1"/>
      <c r="EA120" s="1"/>
      <c r="EB120" s="74">
        <f t="shared" si="41"/>
        <v>0</v>
      </c>
      <c r="EC120" s="87"/>
      <c r="EI120" s="87"/>
      <c r="EJ120" s="101">
        <v>17</v>
      </c>
      <c r="EK120" s="1"/>
      <c r="EL120" s="1"/>
      <c r="EM120" s="1"/>
      <c r="EN120" s="1"/>
      <c r="EO120" s="1"/>
      <c r="EP120" s="1"/>
      <c r="EQ120" s="1"/>
      <c r="ER120" s="74">
        <f t="shared" si="42"/>
        <v>0</v>
      </c>
      <c r="ES120" s="90"/>
      <c r="EY120" s="93"/>
      <c r="EZ120" s="101">
        <v>17</v>
      </c>
      <c r="FA120" s="1"/>
      <c r="FB120" s="1"/>
      <c r="FC120" s="1"/>
      <c r="FD120" s="1"/>
      <c r="FE120" s="1"/>
      <c r="FF120" s="1"/>
      <c r="FG120" s="1"/>
      <c r="FH120" s="74">
        <f t="shared" si="43"/>
        <v>0</v>
      </c>
      <c r="FI120" s="93"/>
      <c r="FJ120" s="90"/>
      <c r="FK120" s="93"/>
      <c r="FL120" s="93"/>
      <c r="FM120" s="93"/>
      <c r="FN120" s="92"/>
      <c r="FO120" s="92"/>
      <c r="FP120" s="101">
        <v>17</v>
      </c>
      <c r="FQ120" s="1"/>
      <c r="FR120" s="1"/>
      <c r="FS120" s="1"/>
      <c r="FT120" s="1"/>
      <c r="FU120" s="1"/>
      <c r="FV120" s="1"/>
      <c r="FW120" s="1"/>
      <c r="FX120" s="74">
        <f t="shared" si="44"/>
        <v>0</v>
      </c>
      <c r="FY120" s="93"/>
      <c r="FZ120" s="93"/>
      <c r="GA120" s="93"/>
      <c r="GB120" s="93"/>
      <c r="GC120" s="93"/>
      <c r="GD120" s="93"/>
      <c r="GE120" s="93"/>
      <c r="GF120" s="101">
        <v>17</v>
      </c>
      <c r="GG120" s="1"/>
      <c r="GH120" s="1"/>
      <c r="GI120" s="1"/>
      <c r="GJ120" s="1"/>
      <c r="GK120" s="1"/>
      <c r="GL120" s="1"/>
      <c r="GM120" s="1"/>
      <c r="GN120" s="74">
        <f t="shared" si="45"/>
        <v>0</v>
      </c>
      <c r="GO120" s="93"/>
      <c r="GP120" s="93"/>
      <c r="GQ120" s="93"/>
      <c r="GR120" s="93"/>
      <c r="GS120" s="93"/>
      <c r="GT120" s="93"/>
      <c r="GU120" s="93"/>
      <c r="GV120" s="93"/>
      <c r="GW120" s="101">
        <v>17</v>
      </c>
      <c r="GX120" s="74">
        <f t="shared" si="46"/>
        <v>4576.3310000000001</v>
      </c>
      <c r="GY120" s="75">
        <f t="shared" si="47"/>
        <v>45.763310000000004</v>
      </c>
      <c r="HA120" s="43">
        <f t="shared" si="48"/>
        <v>4023.8560000000002</v>
      </c>
      <c r="HC120" s="101">
        <v>17</v>
      </c>
      <c r="HD120" s="4">
        <v>2.0130699999999999</v>
      </c>
      <c r="HE120" s="4">
        <v>31.355499999999999</v>
      </c>
      <c r="HF120" s="4">
        <v>33.126300000000001</v>
      </c>
      <c r="HG120" s="4">
        <v>33.505099999999999</v>
      </c>
      <c r="HH120" s="81">
        <f t="shared" si="49"/>
        <v>89.240664312361105</v>
      </c>
      <c r="HJ120" s="162"/>
      <c r="HK120" s="172"/>
      <c r="HL120" s="172"/>
      <c r="HM120" s="172"/>
      <c r="HN120" s="172"/>
      <c r="HO120" s="172"/>
      <c r="HP120" s="172"/>
      <c r="HV120" s="107"/>
      <c r="HX120" s="68"/>
      <c r="HY120" s="107"/>
      <c r="HZ120" s="68"/>
    </row>
    <row r="121" spans="12:234" x14ac:dyDescent="0.3">
      <c r="L121" s="100">
        <v>18</v>
      </c>
      <c r="M121" s="1"/>
      <c r="N121" s="1"/>
      <c r="O121" s="1">
        <f>$BB$65*O21/100</f>
        <v>0</v>
      </c>
      <c r="P121" s="1">
        <f>$BB$65*P21/100</f>
        <v>143.57599999999999</v>
      </c>
      <c r="Q121" s="1">
        <f>$BB$65*Q21/100</f>
        <v>153.44000000000003</v>
      </c>
      <c r="R121" s="1">
        <f>$BB$65*R21/100</f>
        <v>173.16800000000003</v>
      </c>
      <c r="S121" s="1">
        <f>$BB$65*S21/100</f>
        <v>173.16800000000003</v>
      </c>
      <c r="T121" s="74">
        <f t="shared" si="32"/>
        <v>643.35200000000009</v>
      </c>
      <c r="U121" s="233"/>
      <c r="AA121" s="87"/>
      <c r="AB121" s="100">
        <v>18</v>
      </c>
      <c r="AC121" s="1">
        <f t="shared" ref="AC121:AI121" si="101">$BB$65*AC21/100</f>
        <v>217.00800000000004</v>
      </c>
      <c r="AD121" s="1">
        <f t="shared" si="101"/>
        <v>202.76</v>
      </c>
      <c r="AE121" s="1">
        <f t="shared" si="101"/>
        <v>212.62400000000002</v>
      </c>
      <c r="AF121" s="1">
        <f t="shared" si="101"/>
        <v>246.60000000000002</v>
      </c>
      <c r="AG121" s="1">
        <f t="shared" si="101"/>
        <v>274.00000000000006</v>
      </c>
      <c r="AH121" s="1">
        <f t="shared" si="101"/>
        <v>322.22399999999999</v>
      </c>
      <c r="AI121" s="1">
        <f t="shared" si="101"/>
        <v>234.54400000000001</v>
      </c>
      <c r="AJ121" s="74">
        <f t="shared" si="33"/>
        <v>1709.7600000000002</v>
      </c>
      <c r="AK121" s="233"/>
      <c r="AQ121" s="87"/>
      <c r="AR121" s="100">
        <v>18</v>
      </c>
      <c r="AS121" s="1">
        <f>$BB$65*AS21/100</f>
        <v>219.2</v>
      </c>
      <c r="AT121" s="1">
        <f>$BB$65*AT21/100</f>
        <v>275.096</v>
      </c>
      <c r="AU121" s="1">
        <f>$BB$65*AU21/100</f>
        <v>293.72800000000001</v>
      </c>
      <c r="AV121" s="1">
        <f>$BB$65*AV21/100</f>
        <v>360.584</v>
      </c>
      <c r="AW121" s="1">
        <f>$BB$65*AW21/100</f>
        <v>321.12800000000004</v>
      </c>
      <c r="AX121" s="1">
        <f>$CH$78*AX21/100</f>
        <v>2.6759999999999997</v>
      </c>
      <c r="AY121" s="1">
        <f>$CH$78*AY21/100</f>
        <v>3.3719999999999999</v>
      </c>
      <c r="AZ121" s="74">
        <f t="shared" si="34"/>
        <v>1475.7839999999999</v>
      </c>
      <c r="BA121" s="233"/>
      <c r="BG121" s="87"/>
      <c r="BH121" s="100">
        <v>18</v>
      </c>
      <c r="BI121" s="1">
        <f t="shared" ref="BI121" si="102">$CH$78*BI21/100</f>
        <v>2.8680000000000003</v>
      </c>
      <c r="BJ121" s="85"/>
      <c r="BK121" s="1"/>
      <c r="BL121" s="1"/>
      <c r="BM121" s="1"/>
      <c r="BN121" s="1"/>
      <c r="BO121" s="1"/>
      <c r="BP121" s="74">
        <f t="shared" si="35"/>
        <v>2.8680000000000003</v>
      </c>
      <c r="BQ121" s="233"/>
      <c r="BW121" s="87"/>
      <c r="BX121" s="100">
        <v>18</v>
      </c>
      <c r="BY121" s="1"/>
      <c r="BZ121" s="1"/>
      <c r="CA121" s="1"/>
      <c r="CB121" s="1"/>
      <c r="CC121" s="1"/>
      <c r="CD121" s="1"/>
      <c r="CE121" s="1"/>
      <c r="CF121" s="74">
        <f t="shared" si="36"/>
        <v>0</v>
      </c>
      <c r="CG121" s="233"/>
      <c r="CM121" s="87"/>
      <c r="CN121" s="100">
        <v>18</v>
      </c>
      <c r="CO121" s="1"/>
      <c r="CP121" s="1"/>
      <c r="CQ121" s="1"/>
      <c r="CR121" s="1"/>
      <c r="CS121" s="1"/>
      <c r="CT121" s="1"/>
      <c r="CU121" s="1"/>
      <c r="CV121" s="74">
        <f t="shared" si="38"/>
        <v>0</v>
      </c>
      <c r="CW121" s="87"/>
      <c r="DC121" s="87"/>
      <c r="DD121" s="100">
        <v>18</v>
      </c>
      <c r="DE121" s="1"/>
      <c r="DF121" s="1"/>
      <c r="DG121" s="1"/>
      <c r="DH121" s="1"/>
      <c r="DI121" s="1"/>
      <c r="DJ121" s="1"/>
      <c r="DK121" s="1"/>
      <c r="DL121" s="74">
        <f t="shared" si="40"/>
        <v>0</v>
      </c>
      <c r="DM121" s="87"/>
      <c r="DS121" s="87"/>
      <c r="DT121" s="100">
        <v>18</v>
      </c>
      <c r="DU121" s="1"/>
      <c r="DV121" s="85"/>
      <c r="DW121" s="1"/>
      <c r="DX121" s="1"/>
      <c r="DY121" s="1"/>
      <c r="DZ121" s="1"/>
      <c r="EA121" s="1"/>
      <c r="EB121" s="74">
        <f t="shared" si="41"/>
        <v>0</v>
      </c>
      <c r="EC121" s="87"/>
      <c r="EI121" s="87"/>
      <c r="EJ121" s="100">
        <v>18</v>
      </c>
      <c r="EK121" s="1"/>
      <c r="EL121" s="1"/>
      <c r="EM121" s="1"/>
      <c r="EN121" s="1"/>
      <c r="EO121" s="1"/>
      <c r="EP121" s="1"/>
      <c r="EQ121" s="1"/>
      <c r="ER121" s="74">
        <f t="shared" si="42"/>
        <v>0</v>
      </c>
      <c r="ES121" s="90"/>
      <c r="EY121" s="93"/>
      <c r="EZ121" s="100">
        <v>18</v>
      </c>
      <c r="FA121" s="1"/>
      <c r="FB121" s="1"/>
      <c r="FC121" s="1"/>
      <c r="FD121" s="1"/>
      <c r="FE121" s="1"/>
      <c r="FF121" s="1"/>
      <c r="FG121" s="1"/>
      <c r="FH121" s="74">
        <f t="shared" si="43"/>
        <v>0</v>
      </c>
      <c r="FI121" s="93"/>
      <c r="FJ121" s="90"/>
      <c r="FK121" s="93"/>
      <c r="FL121" s="93"/>
      <c r="FM121" s="93"/>
      <c r="FN121" s="92"/>
      <c r="FO121" s="92"/>
      <c r="FP121" s="100">
        <v>18</v>
      </c>
      <c r="FQ121" s="1"/>
      <c r="FR121" s="1"/>
      <c r="FS121" s="1"/>
      <c r="FT121" s="1"/>
      <c r="FU121" s="1"/>
      <c r="FV121" s="1"/>
      <c r="FW121" s="1"/>
      <c r="FX121" s="74">
        <f t="shared" si="44"/>
        <v>0</v>
      </c>
      <c r="FY121" s="93"/>
      <c r="FZ121" s="93"/>
      <c r="GA121" s="93"/>
      <c r="GB121" s="93"/>
      <c r="GC121" s="93"/>
      <c r="GD121" s="93"/>
      <c r="GE121" s="93"/>
      <c r="GF121" s="100">
        <v>18</v>
      </c>
      <c r="GG121" s="1"/>
      <c r="GH121" s="1"/>
      <c r="GI121" s="1"/>
      <c r="GJ121" s="1"/>
      <c r="GK121" s="1"/>
      <c r="GL121" s="1"/>
      <c r="GM121" s="1"/>
      <c r="GN121" s="74">
        <f t="shared" si="45"/>
        <v>0</v>
      </c>
      <c r="GO121" s="93"/>
      <c r="GP121" s="93"/>
      <c r="GQ121" s="93"/>
      <c r="GR121" s="93"/>
      <c r="GS121" s="93"/>
      <c r="GT121" s="93"/>
      <c r="GU121" s="93"/>
      <c r="GV121" s="93"/>
      <c r="GW121" s="100">
        <v>18</v>
      </c>
      <c r="GX121" s="74">
        <f t="shared" si="46"/>
        <v>3831.7639999999997</v>
      </c>
      <c r="GY121" s="75">
        <f t="shared" si="47"/>
        <v>38.317639999999997</v>
      </c>
      <c r="HA121" s="43">
        <f t="shared" si="48"/>
        <v>3279.2889999999998</v>
      </c>
      <c r="HC121" s="100">
        <v>18</v>
      </c>
      <c r="HD121" s="4">
        <v>32.387099999999997</v>
      </c>
      <c r="HE121" s="4">
        <v>32.2241</v>
      </c>
      <c r="HF121" s="64">
        <v>33.130400000000002</v>
      </c>
      <c r="HG121" s="4">
        <v>2.2583199999999999</v>
      </c>
      <c r="HH121" s="81">
        <f t="shared" si="49"/>
        <v>80.313879547738466</v>
      </c>
      <c r="HI121" s="45"/>
      <c r="HJ121" s="162"/>
      <c r="HK121" s="172"/>
      <c r="HL121" s="172"/>
      <c r="HM121" s="172"/>
      <c r="HN121" s="172"/>
      <c r="HO121" s="172"/>
      <c r="HP121" s="172"/>
      <c r="HV121" s="107"/>
      <c r="HX121" s="68"/>
      <c r="HY121" s="107"/>
      <c r="HZ121" s="68"/>
    </row>
    <row r="122" spans="12:234" x14ac:dyDescent="0.3">
      <c r="L122" s="1">
        <v>19</v>
      </c>
      <c r="M122" s="1"/>
      <c r="N122" s="1"/>
      <c r="O122" s="1">
        <f>$BB$74*O22/100</f>
        <v>0</v>
      </c>
      <c r="P122" s="1">
        <f>$BB$74*P22/100</f>
        <v>0</v>
      </c>
      <c r="Q122" s="1">
        <f>$BB$74*Q22/100</f>
        <v>0</v>
      </c>
      <c r="R122" s="1">
        <f>$BB$74*R22/100</f>
        <v>0</v>
      </c>
      <c r="S122" s="1">
        <f>$BB$74*S22/100</f>
        <v>37.661000000000001</v>
      </c>
      <c r="T122" s="74">
        <f t="shared" si="32"/>
        <v>37.661000000000001</v>
      </c>
      <c r="U122" s="235"/>
      <c r="AA122" s="87"/>
      <c r="AB122" s="1">
        <v>19</v>
      </c>
      <c r="AC122" s="1">
        <f t="shared" ref="AC122:AI122" si="103">$BB$74*AC22/100</f>
        <v>362.125</v>
      </c>
      <c r="AD122" s="1">
        <f t="shared" si="103"/>
        <v>307.08199999999999</v>
      </c>
      <c r="AE122" s="1">
        <f t="shared" si="103"/>
        <v>272.31799999999998</v>
      </c>
      <c r="AF122" s="1">
        <f t="shared" si="103"/>
        <v>312.87599999999998</v>
      </c>
      <c r="AG122" s="1">
        <f t="shared" si="103"/>
        <v>391.09500000000003</v>
      </c>
      <c r="AH122" s="1">
        <f t="shared" si="103"/>
        <v>202.79</v>
      </c>
      <c r="AI122" s="1">
        <f t="shared" si="103"/>
        <v>338.94900000000001</v>
      </c>
      <c r="AJ122" s="74">
        <f t="shared" si="33"/>
        <v>2187.2349999999997</v>
      </c>
      <c r="AK122" s="234"/>
      <c r="AQ122" s="87"/>
      <c r="AR122" s="1">
        <v>19</v>
      </c>
      <c r="AS122" s="1">
        <f>$BB$74*AS22/100</f>
        <v>0</v>
      </c>
      <c r="AT122" s="1">
        <f>$BB$74*AT22/100</f>
        <v>249.142</v>
      </c>
      <c r="AU122" s="1">
        <f>$BB$74*AU22/100</f>
        <v>338.94900000000001</v>
      </c>
      <c r="AV122" s="1">
        <f>$BB$64*AV22/100</f>
        <v>261.83999999999997</v>
      </c>
      <c r="AW122" s="1">
        <f>$BB$64*AW22/100</f>
        <v>235.65599999999998</v>
      </c>
      <c r="AX122" s="1">
        <f>$BR$67*AX22/100</f>
        <v>253.64</v>
      </c>
      <c r="AY122" s="1">
        <f>$BR$67*AY22/100</f>
        <v>212.42349999999999</v>
      </c>
      <c r="AZ122" s="74">
        <f t="shared" si="34"/>
        <v>1551.6504999999997</v>
      </c>
      <c r="BA122" s="234"/>
      <c r="BG122" s="87"/>
      <c r="BH122" s="1">
        <v>19</v>
      </c>
      <c r="BI122" s="1">
        <f>$BR$67*BI22/100</f>
        <v>158.52500000000001</v>
      </c>
      <c r="BJ122" s="1">
        <f>$BR$67*BJ22/100</f>
        <v>180.71849999999998</v>
      </c>
      <c r="BK122" s="1">
        <f>$BR$67*BK22/100</f>
        <v>199.74149999999997</v>
      </c>
      <c r="BL122" s="1">
        <f>$BR$67*BL22/100</f>
        <v>155.3545</v>
      </c>
      <c r="BM122" s="1">
        <f>$CX$51*BM22/100</f>
        <v>190.14400000000001</v>
      </c>
      <c r="BN122" s="1">
        <f>$CX$51*BN22/100</f>
        <v>139.637</v>
      </c>
      <c r="BO122" s="1">
        <f>$CX$51*BO22/100</f>
        <v>130.72399999999999</v>
      </c>
      <c r="BP122" s="74">
        <f t="shared" si="35"/>
        <v>1154.8444999999999</v>
      </c>
      <c r="BQ122" s="234"/>
      <c r="BW122" s="87"/>
      <c r="BX122" s="1">
        <v>19</v>
      </c>
      <c r="BY122" s="1">
        <f t="shared" ref="BY122:CE122" si="104">$CX$51*BY22/100</f>
        <v>145.57900000000001</v>
      </c>
      <c r="BZ122" s="1">
        <f t="shared" si="104"/>
        <v>112.89800000000001</v>
      </c>
      <c r="CA122" s="1">
        <f t="shared" si="104"/>
        <v>95.072000000000003</v>
      </c>
      <c r="CB122" s="1">
        <f t="shared" si="104"/>
        <v>101.014</v>
      </c>
      <c r="CC122" s="1">
        <f t="shared" si="104"/>
        <v>68.332999999999998</v>
      </c>
      <c r="CD122" s="1">
        <f t="shared" si="104"/>
        <v>89.13</v>
      </c>
      <c r="CE122" s="1">
        <f t="shared" si="104"/>
        <v>68.332999999999998</v>
      </c>
      <c r="CF122" s="74">
        <f t="shared" si="36"/>
        <v>680.35900000000004</v>
      </c>
      <c r="CG122" s="234"/>
      <c r="CM122" s="87"/>
      <c r="CN122" s="1">
        <v>19</v>
      </c>
      <c r="CO122" s="1">
        <f>$CX$51*CO22/100</f>
        <v>62.391000000000005</v>
      </c>
      <c r="CP122" s="1">
        <f>$CX$51*CP22/100</f>
        <v>83.188000000000017</v>
      </c>
      <c r="CQ122" s="1">
        <f>$CX$51*CQ22/100</f>
        <v>50.506999999999998</v>
      </c>
      <c r="CR122" s="1">
        <f>$DN$51*CR22/100</f>
        <v>47.110500000000002</v>
      </c>
      <c r="CS122" s="1">
        <f>$DN$51*CS22/100</f>
        <v>52.069500000000005</v>
      </c>
      <c r="CT122" s="3">
        <f>$DN$51*CT22/100</f>
        <v>66.9465</v>
      </c>
      <c r="CU122" s="1">
        <f>$DN$51*CU22/100</f>
        <v>42.151500000000006</v>
      </c>
      <c r="CV122" s="74">
        <f t="shared" si="38"/>
        <v>404.36400000000003</v>
      </c>
      <c r="CW122" s="87"/>
      <c r="DC122" s="87"/>
      <c r="DD122" s="1">
        <v>19</v>
      </c>
      <c r="DE122" s="1">
        <f>$DN$51*DE22/100</f>
        <v>52.069500000000005</v>
      </c>
      <c r="DF122" s="1">
        <f>$DN$51*DF22/100</f>
        <v>59.508000000000003</v>
      </c>
      <c r="DG122" s="85"/>
      <c r="DH122" s="1"/>
      <c r="DI122" s="1"/>
      <c r="DJ122" s="1"/>
      <c r="DK122" s="1"/>
      <c r="DL122" s="74">
        <f t="shared" si="40"/>
        <v>111.57750000000001</v>
      </c>
      <c r="DM122" s="87"/>
      <c r="DS122" s="87"/>
      <c r="DT122" s="1">
        <v>19</v>
      </c>
      <c r="DU122" s="1"/>
      <c r="DV122" s="1"/>
      <c r="DW122" s="1"/>
      <c r="DX122" s="1"/>
      <c r="DY122" s="1"/>
      <c r="DZ122" s="1"/>
      <c r="EA122" s="1"/>
      <c r="EB122" s="74">
        <f t="shared" si="41"/>
        <v>0</v>
      </c>
      <c r="EC122" s="87"/>
      <c r="EI122" s="87"/>
      <c r="EJ122" s="1">
        <v>19</v>
      </c>
      <c r="EK122" s="1"/>
      <c r="EL122" s="1"/>
      <c r="EM122" s="1"/>
      <c r="EN122" s="1"/>
      <c r="EO122" s="1"/>
      <c r="EP122" s="1"/>
      <c r="EQ122" s="1"/>
      <c r="ER122" s="74">
        <f t="shared" si="42"/>
        <v>0</v>
      </c>
      <c r="ES122" s="90"/>
      <c r="EY122" s="93"/>
      <c r="EZ122" s="1">
        <v>19</v>
      </c>
      <c r="FA122" s="1"/>
      <c r="FB122" s="1"/>
      <c r="FC122" s="1"/>
      <c r="FD122" s="1"/>
      <c r="FE122" s="1"/>
      <c r="FF122" s="1"/>
      <c r="FG122" s="1"/>
      <c r="FH122" s="74">
        <f t="shared" si="43"/>
        <v>0</v>
      </c>
      <c r="FI122" s="93"/>
      <c r="FJ122" s="90"/>
      <c r="FK122" s="93"/>
      <c r="FL122" s="93"/>
      <c r="FM122" s="93"/>
      <c r="FN122" s="92"/>
      <c r="FO122" s="92"/>
      <c r="FP122" s="1">
        <v>19</v>
      </c>
      <c r="FQ122" s="1"/>
      <c r="FR122" s="1"/>
      <c r="FS122" s="1"/>
      <c r="FT122" s="1"/>
      <c r="FU122" s="1"/>
      <c r="FV122" s="1"/>
      <c r="FW122" s="1"/>
      <c r="FX122" s="74">
        <f t="shared" si="44"/>
        <v>0</v>
      </c>
      <c r="FY122" s="93"/>
      <c r="FZ122" s="93"/>
      <c r="GA122" s="93"/>
      <c r="GB122" s="93"/>
      <c r="GC122" s="93"/>
      <c r="GD122" s="93"/>
      <c r="GE122" s="93"/>
      <c r="GF122" s="1">
        <v>19</v>
      </c>
      <c r="GG122" s="1"/>
      <c r="GH122" s="1"/>
      <c r="GI122" s="1"/>
      <c r="GJ122" s="1"/>
      <c r="GK122" s="1"/>
      <c r="GL122" s="1"/>
      <c r="GM122" s="1"/>
      <c r="GN122" s="74">
        <f t="shared" si="45"/>
        <v>0</v>
      </c>
      <c r="GO122" s="93"/>
      <c r="GP122" s="93"/>
      <c r="GQ122" s="93"/>
      <c r="GR122" s="93"/>
      <c r="GS122" s="93"/>
      <c r="GT122" s="93"/>
      <c r="GU122" s="93"/>
      <c r="GV122" s="93"/>
      <c r="GW122" s="1">
        <v>19</v>
      </c>
      <c r="GX122" s="74">
        <f t="shared" si="46"/>
        <v>6127.6914999999999</v>
      </c>
      <c r="GY122" s="75">
        <f t="shared" si="47"/>
        <v>61.276915000000002</v>
      </c>
      <c r="HA122" s="43">
        <f t="shared" si="48"/>
        <v>5575.2164999999995</v>
      </c>
      <c r="HC122" s="1">
        <v>19</v>
      </c>
      <c r="HD122" s="4">
        <v>0</v>
      </c>
      <c r="HE122" s="4">
        <v>0</v>
      </c>
      <c r="HF122" s="4">
        <v>27.988800000000001</v>
      </c>
      <c r="HG122" s="4">
        <v>72.011200000000002</v>
      </c>
      <c r="HH122" s="81">
        <f t="shared" si="49"/>
        <v>134.12312101537228</v>
      </c>
      <c r="HJ122" s="162"/>
      <c r="HK122" s="172"/>
      <c r="HL122" s="172"/>
      <c r="HM122" s="172"/>
      <c r="HN122" s="172"/>
      <c r="HO122" s="172"/>
      <c r="HP122" s="172"/>
      <c r="HV122" s="107"/>
      <c r="HX122" s="68"/>
      <c r="HY122" s="107"/>
      <c r="HZ122" s="68"/>
    </row>
    <row r="123" spans="12:234" x14ac:dyDescent="0.3">
      <c r="L123" s="98">
        <v>20</v>
      </c>
      <c r="M123" s="1"/>
      <c r="N123" s="1"/>
      <c r="O123" s="1">
        <f>O23*$AL$60/100</f>
        <v>87.93</v>
      </c>
      <c r="P123" s="1">
        <f>P23*$AL$60/100</f>
        <v>21.494</v>
      </c>
      <c r="Q123" s="1">
        <f>Q23*$AL$60/100</f>
        <v>1.9539999999999997</v>
      </c>
      <c r="R123" s="1">
        <f>R23*$AL$60/100</f>
        <v>0</v>
      </c>
      <c r="S123" s="1">
        <f>S23*$AL$60/100</f>
        <v>0</v>
      </c>
      <c r="T123" s="74">
        <f t="shared" si="32"/>
        <v>111.378</v>
      </c>
      <c r="U123" s="87"/>
      <c r="AA123" s="87"/>
      <c r="AB123" s="98">
        <v>20</v>
      </c>
      <c r="AC123" s="3">
        <f>AC23*$AL$60/100</f>
        <v>5.8619999999999992</v>
      </c>
      <c r="AD123" s="3">
        <f>AD23*$AL$60/100</f>
        <v>102.58499999999999</v>
      </c>
      <c r="AE123" s="3">
        <f>AE23*$AL$60/100</f>
        <v>81.090999999999994</v>
      </c>
      <c r="AF123" s="3">
        <f>$BB$76*AF23/100</f>
        <v>150.744</v>
      </c>
      <c r="AG123" s="3">
        <f>$BB$76*AG23/100</f>
        <v>318.61799999999999</v>
      </c>
      <c r="AH123" s="3">
        <f>$BB$76*AH23/100</f>
        <v>229.54199999999997</v>
      </c>
      <c r="AI123" s="3">
        <f>$BB$76*AI23/100</f>
        <v>208.98599999999999</v>
      </c>
      <c r="AJ123" s="74">
        <f t="shared" si="33"/>
        <v>1097.4279999999999</v>
      </c>
      <c r="AK123" s="87"/>
      <c r="AQ123" s="87"/>
      <c r="AR123" s="98">
        <v>20</v>
      </c>
      <c r="AS123" s="3">
        <f>$BB$76*AS23/100</f>
        <v>0</v>
      </c>
      <c r="AT123" s="3">
        <f>$BB$76*AT23/100</f>
        <v>185.00399999999999</v>
      </c>
      <c r="AU123" s="3">
        <f>$BB$76*AU23/100</f>
        <v>459.08399999999995</v>
      </c>
      <c r="AV123" s="3">
        <f>$BB$62*AV23/100</f>
        <v>283.85750000000002</v>
      </c>
      <c r="AW123" s="3">
        <f>$BB$62*AW23/100</f>
        <v>460.85100000000006</v>
      </c>
      <c r="AX123" s="3">
        <f>$BR$93*AX23/100</f>
        <v>271.94500000000005</v>
      </c>
      <c r="AY123" s="3">
        <f>$BR$93*AY23/100</f>
        <v>0</v>
      </c>
      <c r="AZ123" s="74">
        <f t="shared" si="34"/>
        <v>1660.7415000000001</v>
      </c>
      <c r="BA123" s="87"/>
      <c r="BG123" s="87"/>
      <c r="BH123" s="98">
        <v>20</v>
      </c>
      <c r="BI123" s="3">
        <f>BR93*BI23/100</f>
        <v>313.63000000000005</v>
      </c>
      <c r="BJ123" s="3">
        <f>BR86*BJ23/100</f>
        <v>574.36500000000012</v>
      </c>
      <c r="BK123" s="3">
        <f>$BR$68*BK23/100</f>
        <v>524.91999999999996</v>
      </c>
      <c r="BL123" s="3">
        <f>$BR$68*BL23/100</f>
        <v>363.86500000000001</v>
      </c>
      <c r="BM123" s="3">
        <f>$CH$77*BM23/100</f>
        <v>241.6035</v>
      </c>
      <c r="BN123" s="3">
        <f>$CH$77*BN23/100</f>
        <v>179.98650000000001</v>
      </c>
      <c r="BO123" s="3">
        <f>$CH$77*BO23/100</f>
        <v>165.393</v>
      </c>
      <c r="BP123" s="74">
        <f t="shared" si="35"/>
        <v>2363.7629999999999</v>
      </c>
      <c r="BQ123" s="87"/>
      <c r="BW123" s="87"/>
      <c r="BX123" s="98">
        <v>20</v>
      </c>
      <c r="BY123" s="3">
        <f>$CH$77*BY23/100</f>
        <v>175.12200000000001</v>
      </c>
      <c r="BZ123" s="3">
        <f>$CH$42*BZ23/100</f>
        <v>216.38400000000001</v>
      </c>
      <c r="CA123" s="3">
        <f>$CH$42*CA23/100</f>
        <v>84.525000000000006</v>
      </c>
      <c r="CB123" s="3">
        <f>$CH$42*CB23/100</f>
        <v>138.62100000000001</v>
      </c>
      <c r="CC123" s="3">
        <f>$CH$42*CC23/100</f>
        <v>121.71600000000001</v>
      </c>
      <c r="CD123" s="3">
        <f>$CH$42*CD23/100</f>
        <v>74.382000000000005</v>
      </c>
      <c r="CE123" s="3">
        <f>$ED$40*CE23/100</f>
        <v>30.85</v>
      </c>
      <c r="CF123" s="74">
        <f t="shared" si="36"/>
        <v>841.6</v>
      </c>
      <c r="CG123" s="87"/>
      <c r="CM123" s="87"/>
      <c r="CN123" s="98">
        <v>20</v>
      </c>
      <c r="CO123" s="1">
        <f t="shared" ref="CO123:CP123" si="105">$ED$40*CO23/100</f>
        <v>30.85</v>
      </c>
      <c r="CP123" s="1">
        <f t="shared" si="105"/>
        <v>33.935000000000002</v>
      </c>
      <c r="CQ123" s="85"/>
      <c r="CR123" s="1"/>
      <c r="CS123" s="1"/>
      <c r="CT123" s="1"/>
      <c r="CU123" s="1"/>
      <c r="CV123" s="74">
        <f t="shared" si="38"/>
        <v>64.784999999999997</v>
      </c>
      <c r="CW123" s="87"/>
      <c r="DC123" s="87"/>
      <c r="DD123" s="98">
        <v>20</v>
      </c>
      <c r="DE123" s="1"/>
      <c r="DF123" s="1"/>
      <c r="DG123" s="1"/>
      <c r="DH123" s="1"/>
      <c r="DI123" s="1"/>
      <c r="DJ123" s="1"/>
      <c r="DK123" s="1"/>
      <c r="DL123" s="74">
        <f t="shared" si="40"/>
        <v>0</v>
      </c>
      <c r="DM123" s="87"/>
      <c r="DS123" s="87"/>
      <c r="DT123" s="98">
        <v>20</v>
      </c>
      <c r="DU123" s="1"/>
      <c r="DV123" s="1"/>
      <c r="DW123" s="1"/>
      <c r="DX123" s="1"/>
      <c r="DY123" s="1"/>
      <c r="DZ123" s="1"/>
      <c r="EA123" s="1"/>
      <c r="EB123" s="74">
        <f t="shared" si="41"/>
        <v>0</v>
      </c>
      <c r="EC123" s="87"/>
      <c r="EI123" s="87"/>
      <c r="EJ123" s="98">
        <v>20</v>
      </c>
      <c r="EK123" s="1"/>
      <c r="EL123" s="1"/>
      <c r="EM123" s="1"/>
      <c r="EN123" s="1"/>
      <c r="EO123" s="1"/>
      <c r="EP123" s="1"/>
      <c r="EQ123" s="1"/>
      <c r="ER123" s="74">
        <f t="shared" si="42"/>
        <v>0</v>
      </c>
      <c r="ES123" s="90"/>
      <c r="EY123" s="93"/>
      <c r="EZ123" s="98">
        <v>20</v>
      </c>
      <c r="FA123" s="1"/>
      <c r="FB123" s="1"/>
      <c r="FC123" s="1"/>
      <c r="FD123" s="1"/>
      <c r="FE123" s="1"/>
      <c r="FF123" s="1"/>
      <c r="FG123" s="1"/>
      <c r="FH123" s="74">
        <f t="shared" si="43"/>
        <v>0</v>
      </c>
      <c r="FI123" s="93"/>
      <c r="FJ123" s="90"/>
      <c r="FK123" s="93"/>
      <c r="FL123" s="93"/>
      <c r="FM123" s="93"/>
      <c r="FN123" s="92"/>
      <c r="FO123" s="92"/>
      <c r="FP123" s="98">
        <v>20</v>
      </c>
      <c r="FQ123" s="1"/>
      <c r="FR123" s="1"/>
      <c r="FS123" s="1"/>
      <c r="FT123" s="1"/>
      <c r="FU123" s="1"/>
      <c r="FV123" s="1"/>
      <c r="FW123" s="1"/>
      <c r="FX123" s="74">
        <f t="shared" si="44"/>
        <v>0</v>
      </c>
      <c r="FY123" s="93"/>
      <c r="FZ123" s="93"/>
      <c r="GA123" s="93"/>
      <c r="GB123" s="93"/>
      <c r="GC123" s="93"/>
      <c r="GD123" s="93"/>
      <c r="GE123" s="93"/>
      <c r="GF123" s="98">
        <v>20</v>
      </c>
      <c r="GG123" s="1"/>
      <c r="GH123" s="1"/>
      <c r="GI123" s="1"/>
      <c r="GJ123" s="1"/>
      <c r="GK123" s="1"/>
      <c r="GL123" s="1"/>
      <c r="GM123" s="1"/>
      <c r="GN123" s="74">
        <f t="shared" si="45"/>
        <v>0</v>
      </c>
      <c r="GO123" s="93"/>
      <c r="GP123" s="93"/>
      <c r="GQ123" s="93"/>
      <c r="GR123" s="93"/>
      <c r="GS123" s="93"/>
      <c r="GT123" s="93"/>
      <c r="GU123" s="93"/>
      <c r="GV123" s="93"/>
      <c r="GW123" s="98">
        <v>20</v>
      </c>
      <c r="GX123" s="74">
        <f t="shared" si="46"/>
        <v>6139.6954999999998</v>
      </c>
      <c r="GY123" s="75">
        <f t="shared" si="47"/>
        <v>61.396954999999998</v>
      </c>
      <c r="HA123" s="43">
        <f t="shared" si="48"/>
        <v>5587.2204999999994</v>
      </c>
      <c r="HC123" s="98">
        <v>20</v>
      </c>
      <c r="HD123" s="4">
        <v>27.197399999999998</v>
      </c>
      <c r="HE123" s="4">
        <v>0</v>
      </c>
      <c r="HF123" s="4">
        <v>72.802599999999998</v>
      </c>
      <c r="HG123" s="4">
        <v>0</v>
      </c>
      <c r="HH123" s="81">
        <f t="shared" si="49"/>
        <v>131.37837120712155</v>
      </c>
      <c r="HJ123" s="162"/>
      <c r="HK123" s="172"/>
      <c r="HL123" s="172"/>
      <c r="HM123" s="172"/>
      <c r="HN123" s="172"/>
      <c r="HO123" s="172"/>
      <c r="HP123" s="172"/>
      <c r="HV123" s="107"/>
      <c r="HX123" s="68"/>
      <c r="HY123" s="107"/>
      <c r="HZ123" s="68"/>
    </row>
    <row r="124" spans="12:234" x14ac:dyDescent="0.3">
      <c r="L124" s="1">
        <v>21</v>
      </c>
      <c r="M124" s="1"/>
      <c r="N124" s="1"/>
      <c r="O124" s="1">
        <f>$BB$70*O24/100</f>
        <v>89.628999999999991</v>
      </c>
      <c r="P124" s="1">
        <f>$BB$70*P24/100</f>
        <v>72.466000000000008</v>
      </c>
      <c r="Q124" s="1">
        <f>$BB$70*Q24/100</f>
        <v>72.466000000000008</v>
      </c>
      <c r="R124" s="1">
        <f>$BB$70*R24/100</f>
        <v>70.559000000000012</v>
      </c>
      <c r="S124" s="1">
        <f>$BB$70*S24/100</f>
        <v>59.116999999999997</v>
      </c>
      <c r="T124" s="74">
        <f t="shared" si="32"/>
        <v>364.23700000000002</v>
      </c>
      <c r="U124" s="87"/>
      <c r="AA124" s="87"/>
      <c r="AB124" s="1">
        <v>21</v>
      </c>
      <c r="AC124" s="1">
        <f t="shared" ref="AC124:AI124" si="106">$BB$70*AC24/100</f>
        <v>61.023999999999994</v>
      </c>
      <c r="AD124" s="1">
        <f t="shared" si="106"/>
        <v>78.186999999999998</v>
      </c>
      <c r="AE124" s="1">
        <f t="shared" si="106"/>
        <v>112.51299999999999</v>
      </c>
      <c r="AF124" s="1">
        <f t="shared" si="106"/>
        <v>148.74600000000001</v>
      </c>
      <c r="AG124" s="1">
        <f t="shared" si="106"/>
        <v>177.351</v>
      </c>
      <c r="AH124" s="1">
        <f t="shared" si="106"/>
        <v>188.79300000000001</v>
      </c>
      <c r="AI124" s="1">
        <f t="shared" si="106"/>
        <v>143.02500000000001</v>
      </c>
      <c r="AJ124" s="74">
        <f t="shared" si="33"/>
        <v>909.63900000000001</v>
      </c>
      <c r="AK124" s="87"/>
      <c r="AQ124" s="87"/>
      <c r="AR124" s="1">
        <v>21</v>
      </c>
      <c r="AS124" s="1">
        <f>$BB$70*AS24/100</f>
        <v>160.18800000000002</v>
      </c>
      <c r="AT124" s="1">
        <f>$BB$70*AT24/100</f>
        <v>194.51400000000001</v>
      </c>
      <c r="AU124" s="1">
        <f>$BB$70*AU24/100</f>
        <v>221.21200000000002</v>
      </c>
      <c r="AV124" s="1">
        <f>$BB$40*AV24/100</f>
        <v>231.6335</v>
      </c>
      <c r="AW124" s="1">
        <f>$BB$40*AW24/100</f>
        <v>225.79400000000001</v>
      </c>
      <c r="AX124" s="1">
        <f>$BB$40*AX24/100</f>
        <v>241.36599999999999</v>
      </c>
      <c r="AY124" s="1">
        <f>$BB$40*AY24/100</f>
        <v>229.68700000000001</v>
      </c>
      <c r="AZ124" s="74">
        <f t="shared" si="34"/>
        <v>1504.3944999999999</v>
      </c>
      <c r="BA124" s="87"/>
      <c r="BG124" s="87"/>
      <c r="BH124" s="1">
        <v>21</v>
      </c>
      <c r="BI124" s="1">
        <f>$BR$85*BI24/100</f>
        <v>142.744</v>
      </c>
      <c r="BJ124" s="1">
        <f>$BR$85*BJ24/100</f>
        <v>140.19499999999999</v>
      </c>
      <c r="BK124" s="1">
        <f>BK24*$CX$55/100</f>
        <v>194.32</v>
      </c>
      <c r="BL124" s="1">
        <f>BL24*$CX$55/100</f>
        <v>215.14</v>
      </c>
      <c r="BM124" s="1">
        <f>BM24*$CX$55/100</f>
        <v>187.38</v>
      </c>
      <c r="BN124" s="1">
        <f>BN24*$CX$55/100</f>
        <v>178.70500000000001</v>
      </c>
      <c r="BO124" s="1">
        <f>BO24*$CX$55/100</f>
        <v>176.97</v>
      </c>
      <c r="BP124" s="74">
        <f t="shared" si="35"/>
        <v>1235.454</v>
      </c>
      <c r="BQ124" s="87"/>
      <c r="BW124" s="87"/>
      <c r="BX124" s="1">
        <v>21</v>
      </c>
      <c r="BY124" s="1">
        <f t="shared" ref="BY124:CE124" si="107">BY24*$CX$55/100</f>
        <v>180.44</v>
      </c>
      <c r="BZ124" s="1">
        <f t="shared" si="107"/>
        <v>145.74</v>
      </c>
      <c r="CA124" s="1">
        <f t="shared" si="107"/>
        <v>131.86000000000001</v>
      </c>
      <c r="CB124" s="1">
        <f t="shared" si="107"/>
        <v>131.86000000000001</v>
      </c>
      <c r="CC124" s="1">
        <f t="shared" si="107"/>
        <v>133.59500000000003</v>
      </c>
      <c r="CD124" s="1">
        <f t="shared" si="107"/>
        <v>145.74</v>
      </c>
      <c r="CE124" s="1">
        <f t="shared" si="107"/>
        <v>126.65500000000002</v>
      </c>
      <c r="CF124" s="74">
        <f t="shared" si="36"/>
        <v>995.8900000000001</v>
      </c>
      <c r="CG124" s="87"/>
      <c r="CM124" s="87"/>
      <c r="CN124" s="1">
        <v>21</v>
      </c>
      <c r="CO124" s="1">
        <f t="shared" ref="CO124:CU124" si="108">CO24*$CX$55/100</f>
        <v>123.18500000000002</v>
      </c>
      <c r="CP124" s="1">
        <f t="shared" si="108"/>
        <v>93.69</v>
      </c>
      <c r="CQ124" s="1">
        <f t="shared" si="108"/>
        <v>86.75</v>
      </c>
      <c r="CR124" s="1">
        <f t="shared" si="108"/>
        <v>83.28</v>
      </c>
      <c r="CS124" s="1">
        <f t="shared" si="108"/>
        <v>78.075000000000003</v>
      </c>
      <c r="CT124" s="1">
        <f t="shared" si="108"/>
        <v>81.545000000000016</v>
      </c>
      <c r="CU124" s="1">
        <f t="shared" si="108"/>
        <v>72.87</v>
      </c>
      <c r="CV124" s="74">
        <f t="shared" si="38"/>
        <v>619.39499999999998</v>
      </c>
      <c r="CW124" s="87"/>
      <c r="DC124" s="87"/>
      <c r="DD124" s="1">
        <v>21</v>
      </c>
      <c r="DE124" s="1">
        <f t="shared" ref="DE124:DJ124" si="109">DE24*$CX$55/100</f>
        <v>83.28</v>
      </c>
      <c r="DF124" s="1">
        <f t="shared" si="109"/>
        <v>81.545000000000016</v>
      </c>
      <c r="DG124" s="1">
        <f t="shared" si="109"/>
        <v>69.400000000000006</v>
      </c>
      <c r="DH124" s="1">
        <f t="shared" si="109"/>
        <v>41.64</v>
      </c>
      <c r="DI124" s="1">
        <f t="shared" si="109"/>
        <v>46.844999999999999</v>
      </c>
      <c r="DJ124" s="1">
        <f t="shared" si="109"/>
        <v>43.375</v>
      </c>
      <c r="DK124" s="85"/>
      <c r="DL124" s="74">
        <f t="shared" si="40"/>
        <v>366.08500000000004</v>
      </c>
      <c r="DM124" s="87"/>
      <c r="DS124" s="87"/>
      <c r="DT124" s="1">
        <v>21</v>
      </c>
      <c r="DU124" s="1"/>
      <c r="DV124" s="1"/>
      <c r="DW124" s="1"/>
      <c r="DX124" s="1"/>
      <c r="DY124" s="1"/>
      <c r="DZ124" s="1"/>
      <c r="EA124" s="1"/>
      <c r="EB124" s="74">
        <f t="shared" si="41"/>
        <v>0</v>
      </c>
      <c r="EC124" s="87"/>
      <c r="EI124" s="87"/>
      <c r="EJ124" s="1">
        <v>21</v>
      </c>
      <c r="EK124" s="1"/>
      <c r="EL124" s="1"/>
      <c r="EM124" s="1"/>
      <c r="EN124" s="1"/>
      <c r="EO124" s="1"/>
      <c r="EP124" s="1"/>
      <c r="EQ124" s="1"/>
      <c r="ER124" s="74">
        <f t="shared" si="42"/>
        <v>0</v>
      </c>
      <c r="ES124" s="90"/>
      <c r="EY124" s="93"/>
      <c r="EZ124" s="1">
        <v>21</v>
      </c>
      <c r="FA124" s="1"/>
      <c r="FB124" s="1"/>
      <c r="FC124" s="1"/>
      <c r="FD124" s="1"/>
      <c r="FE124" s="1"/>
      <c r="FF124" s="1"/>
      <c r="FG124" s="1"/>
      <c r="FH124" s="74">
        <f t="shared" si="43"/>
        <v>0</v>
      </c>
      <c r="FI124" s="93"/>
      <c r="FJ124" s="90"/>
      <c r="FK124" s="93"/>
      <c r="FL124" s="93"/>
      <c r="FM124" s="93"/>
      <c r="FN124" s="92"/>
      <c r="FO124" s="92"/>
      <c r="FP124" s="1">
        <v>21</v>
      </c>
      <c r="FQ124" s="1"/>
      <c r="FR124" s="1"/>
      <c r="FS124" s="1"/>
      <c r="FT124" s="1"/>
      <c r="FU124" s="1"/>
      <c r="FV124" s="1"/>
      <c r="FW124" s="1"/>
      <c r="FX124" s="74">
        <f t="shared" si="44"/>
        <v>0</v>
      </c>
      <c r="FY124" s="93"/>
      <c r="FZ124" s="93"/>
      <c r="GA124" s="93"/>
      <c r="GB124" s="93"/>
      <c r="GC124" s="93"/>
      <c r="GD124" s="93"/>
      <c r="GE124" s="93"/>
      <c r="GF124" s="1">
        <v>21</v>
      </c>
      <c r="GG124" s="1"/>
      <c r="GH124" s="1"/>
      <c r="GI124" s="1"/>
      <c r="GJ124" s="1"/>
      <c r="GK124" s="1"/>
      <c r="GL124" s="1"/>
      <c r="GM124" s="1"/>
      <c r="GN124" s="74">
        <f t="shared" si="45"/>
        <v>0</v>
      </c>
      <c r="GO124" s="93"/>
      <c r="GP124" s="93"/>
      <c r="GQ124" s="93"/>
      <c r="GR124" s="93"/>
      <c r="GS124" s="93"/>
      <c r="GT124" s="93"/>
      <c r="GU124" s="93"/>
      <c r="GV124" s="93"/>
      <c r="GW124" s="1">
        <v>21</v>
      </c>
      <c r="GX124" s="74">
        <f t="shared" si="46"/>
        <v>5995.0945000000002</v>
      </c>
      <c r="GY124" s="75">
        <f t="shared" si="47"/>
        <v>59.950945000000004</v>
      </c>
      <c r="HA124" s="43">
        <f t="shared" si="48"/>
        <v>5442.6194999999998</v>
      </c>
      <c r="HC124" s="1">
        <v>21</v>
      </c>
      <c r="HD124" s="4">
        <v>5.5069600000000003</v>
      </c>
      <c r="HE124" s="4">
        <v>2.4822700000000002</v>
      </c>
      <c r="HF124" s="4">
        <v>47.348799999999997</v>
      </c>
      <c r="HG124" s="4">
        <v>44.661900000000003</v>
      </c>
      <c r="HH124" s="81">
        <f t="shared" si="49"/>
        <v>133.64268586201834</v>
      </c>
      <c r="HJ124" s="162"/>
      <c r="HK124" s="172"/>
      <c r="HL124" s="172"/>
      <c r="HM124" s="172"/>
      <c r="HN124" s="172"/>
      <c r="HO124" s="172"/>
      <c r="HP124" s="172"/>
      <c r="HV124" s="107"/>
      <c r="HX124" s="68"/>
      <c r="HY124" s="107"/>
      <c r="HZ124" s="68"/>
    </row>
    <row r="125" spans="12:234" x14ac:dyDescent="0.3">
      <c r="L125" s="78">
        <v>22</v>
      </c>
      <c r="M125" s="1"/>
      <c r="N125" s="1"/>
      <c r="O125" s="1">
        <f>O25*$AL$46/100</f>
        <v>173.13400000000001</v>
      </c>
      <c r="P125" s="1">
        <f>P25*$AL$46/100</f>
        <v>189.78150000000002</v>
      </c>
      <c r="Q125" s="1">
        <f>Q25*$AL$46/100</f>
        <v>352.92700000000002</v>
      </c>
      <c r="R125" s="1">
        <f>R25*$AL$46/100</f>
        <v>436.16450000000003</v>
      </c>
      <c r="S125" s="1">
        <f>S25*$AL$46/100</f>
        <v>459.47100000000006</v>
      </c>
      <c r="T125" s="74">
        <f t="shared" si="32"/>
        <v>1611.4780000000001</v>
      </c>
      <c r="U125" s="87"/>
      <c r="AA125" s="87"/>
      <c r="AB125" s="78">
        <v>22</v>
      </c>
      <c r="AC125" s="1">
        <f>AC25*$AL$46/100</f>
        <v>459.47100000000006</v>
      </c>
      <c r="AD125" s="1">
        <f>AD25*$AL$46/100</f>
        <v>552.697</v>
      </c>
      <c r="AE125" s="1">
        <f>AE25*$AL$46/100</f>
        <v>266.36</v>
      </c>
      <c r="AF125" s="1">
        <f>AF25*$AL$46/100</f>
        <v>392.88099999999997</v>
      </c>
      <c r="AG125" s="1">
        <f>AG25*$AL$46/100</f>
        <v>459.47100000000006</v>
      </c>
      <c r="AH125" s="1">
        <f>$BB$81*AH25/100</f>
        <v>373.49099999999999</v>
      </c>
      <c r="AI125" s="1">
        <f>$BB$81*AI25/100</f>
        <v>0</v>
      </c>
      <c r="AJ125" s="74">
        <f t="shared" si="33"/>
        <v>2504.3710000000001</v>
      </c>
      <c r="AK125" s="87"/>
      <c r="AQ125" s="87"/>
      <c r="AR125" s="78">
        <v>22</v>
      </c>
      <c r="AS125" s="1">
        <f>$BB$81*AS25/100</f>
        <v>0</v>
      </c>
      <c r="AT125" s="1">
        <f>$BB$81*AT25/100</f>
        <v>479.19599999999997</v>
      </c>
      <c r="AU125" s="1">
        <f>$BB$81*AU25/100</f>
        <v>412.24949999999995</v>
      </c>
      <c r="AV125" s="1">
        <f>$BB$63*AV25/100</f>
        <v>290.16699999999997</v>
      </c>
      <c r="AW125" s="1">
        <f>$BB$63*AW25/100</f>
        <v>246.09099999999998</v>
      </c>
      <c r="AX125" s="1">
        <f>$BR$56*AX25/100</f>
        <v>313.4375</v>
      </c>
      <c r="AY125" s="1">
        <f>$BR$56*AY25/100</f>
        <v>250.75</v>
      </c>
      <c r="AZ125" s="74">
        <f t="shared" si="34"/>
        <v>1991.8909999999998</v>
      </c>
      <c r="BA125" s="87"/>
      <c r="BG125" s="87"/>
      <c r="BH125" s="78">
        <v>22</v>
      </c>
      <c r="BI125" s="1">
        <f t="shared" ref="BI125:BN125" si="110">$BR$56*BI25/100</f>
        <v>191.75</v>
      </c>
      <c r="BJ125" s="1">
        <f t="shared" si="110"/>
        <v>191.75</v>
      </c>
      <c r="BK125" s="1">
        <f t="shared" si="110"/>
        <v>162.25</v>
      </c>
      <c r="BL125" s="1">
        <f t="shared" si="110"/>
        <v>114.3125</v>
      </c>
      <c r="BM125" s="1">
        <f t="shared" si="110"/>
        <v>129.0625</v>
      </c>
      <c r="BN125" s="1">
        <f t="shared" si="110"/>
        <v>88.5</v>
      </c>
      <c r="BO125" s="1">
        <f>$CH$45*BO25/100</f>
        <v>76.4405</v>
      </c>
      <c r="BP125" s="74">
        <f t="shared" si="35"/>
        <v>954.06550000000004</v>
      </c>
      <c r="BQ125" s="87"/>
      <c r="BW125" s="87"/>
      <c r="BX125" s="78">
        <v>22</v>
      </c>
      <c r="BY125" s="1">
        <f t="shared" ref="BY125:CD125" si="111">$CH$45*BY25/100</f>
        <v>83.087500000000006</v>
      </c>
      <c r="BZ125" s="1">
        <f t="shared" si="111"/>
        <v>66.47</v>
      </c>
      <c r="CA125" s="1">
        <f t="shared" si="111"/>
        <v>56.499499999999998</v>
      </c>
      <c r="CB125" s="1">
        <f t="shared" si="111"/>
        <v>63.146499999999996</v>
      </c>
      <c r="CC125" s="1">
        <f t="shared" si="111"/>
        <v>83.087500000000006</v>
      </c>
      <c r="CD125" s="1">
        <f t="shared" si="111"/>
        <v>86.411000000000001</v>
      </c>
      <c r="CE125" s="1">
        <f>$DN$65*CE25/100</f>
        <v>62.234999999999999</v>
      </c>
      <c r="CF125" s="74">
        <f t="shared" si="36"/>
        <v>500.93700000000007</v>
      </c>
      <c r="CG125" s="87"/>
      <c r="CM125" s="87"/>
      <c r="CN125" s="78">
        <v>22</v>
      </c>
      <c r="CO125" s="1">
        <f t="shared" ref="CO125:CU125" si="112">$DN$65*CO25/100</f>
        <v>58.086000000000006</v>
      </c>
      <c r="CP125" s="1">
        <f t="shared" si="112"/>
        <v>91.278000000000006</v>
      </c>
      <c r="CQ125" s="1">
        <f t="shared" si="112"/>
        <v>56.011500000000005</v>
      </c>
      <c r="CR125" s="1">
        <f t="shared" si="112"/>
        <v>64.309500000000014</v>
      </c>
      <c r="CS125" s="1">
        <f t="shared" si="112"/>
        <v>76.756500000000003</v>
      </c>
      <c r="CT125" s="1">
        <f t="shared" si="112"/>
        <v>43.564499999999995</v>
      </c>
      <c r="CU125" s="1">
        <f t="shared" si="112"/>
        <v>217.82249999999999</v>
      </c>
      <c r="CV125" s="74">
        <f t="shared" si="38"/>
        <v>607.82850000000008</v>
      </c>
      <c r="CW125" s="87"/>
      <c r="DC125" s="87"/>
      <c r="DD125" s="78">
        <v>22</v>
      </c>
      <c r="DE125" s="1">
        <f>$DN$65*DE25/100</f>
        <v>230.26949999999999</v>
      </c>
      <c r="DF125" s="1">
        <f>$DN$56*DF25/100</f>
        <v>30.352499999999999</v>
      </c>
      <c r="DG125" s="1">
        <f>$DN$56*DG25/100</f>
        <v>16.862500000000001</v>
      </c>
      <c r="DH125" s="1">
        <f>$DN$56*DH25/100</f>
        <v>24.956500000000002</v>
      </c>
      <c r="DI125" s="1">
        <f>$DN$40*DI25/100</f>
        <v>110.80800000000001</v>
      </c>
      <c r="DJ125" s="1">
        <f>$DN$40*DJ25/100</f>
        <v>129.27600000000001</v>
      </c>
      <c r="DK125" s="1">
        <f>$DN$40*DK25/100</f>
        <v>95.418000000000006</v>
      </c>
      <c r="DL125" s="74">
        <f t="shared" si="40"/>
        <v>637.9430000000001</v>
      </c>
      <c r="DM125" s="87"/>
      <c r="DS125" s="87"/>
      <c r="DT125" s="78">
        <v>22</v>
      </c>
      <c r="DU125" s="1">
        <f t="shared" ref="DU125:EA125" si="113">$ED$67*DU25/100</f>
        <v>126.35</v>
      </c>
      <c r="DV125" s="1">
        <f t="shared" si="113"/>
        <v>119.7</v>
      </c>
      <c r="DW125" s="1">
        <f t="shared" si="113"/>
        <v>156.27500000000001</v>
      </c>
      <c r="DX125" s="1">
        <f t="shared" si="113"/>
        <v>86.45</v>
      </c>
      <c r="DY125" s="1">
        <f t="shared" si="113"/>
        <v>113.05</v>
      </c>
      <c r="DZ125" s="1">
        <f t="shared" si="113"/>
        <v>63.174999999999997</v>
      </c>
      <c r="EA125" s="1">
        <f t="shared" si="113"/>
        <v>129.67500000000001</v>
      </c>
      <c r="EB125" s="74">
        <f t="shared" si="41"/>
        <v>794.67499999999995</v>
      </c>
      <c r="EC125" s="87"/>
      <c r="EI125" s="87"/>
      <c r="EJ125" s="78">
        <v>22</v>
      </c>
      <c r="EK125" s="1">
        <f t="shared" ref="EK125:EM125" si="114">$ET$48*EK25/100</f>
        <v>77.510000000000005</v>
      </c>
      <c r="EL125" s="1">
        <f t="shared" si="114"/>
        <v>64.030000000000015</v>
      </c>
      <c r="EM125" s="1">
        <f t="shared" si="114"/>
        <v>84.25</v>
      </c>
      <c r="EN125" s="85"/>
      <c r="EO125" s="1"/>
      <c r="EP125" s="1"/>
      <c r="EQ125" s="1"/>
      <c r="ER125" s="74">
        <f t="shared" si="42"/>
        <v>225.79000000000002</v>
      </c>
      <c r="ES125" s="90"/>
      <c r="EY125" s="93"/>
      <c r="EZ125" s="78">
        <v>22</v>
      </c>
      <c r="FA125" s="1"/>
      <c r="FB125" s="1"/>
      <c r="FC125" s="1"/>
      <c r="FD125" s="1"/>
      <c r="FE125" s="1"/>
      <c r="FF125" s="1"/>
      <c r="FG125" s="1"/>
      <c r="FH125" s="74">
        <f t="shared" si="43"/>
        <v>0</v>
      </c>
      <c r="FI125" s="93"/>
      <c r="FJ125" s="90"/>
      <c r="FK125" s="93"/>
      <c r="FL125" s="93"/>
      <c r="FM125" s="93"/>
      <c r="FN125" s="92"/>
      <c r="FO125" s="92"/>
      <c r="FP125" s="78">
        <v>22</v>
      </c>
      <c r="FQ125" s="1"/>
      <c r="FR125" s="1"/>
      <c r="FS125" s="1"/>
      <c r="FT125" s="1"/>
      <c r="FU125" s="1"/>
      <c r="FV125" s="1"/>
      <c r="FW125" s="1"/>
      <c r="FX125" s="74">
        <f t="shared" si="44"/>
        <v>0</v>
      </c>
      <c r="FY125" s="93"/>
      <c r="FZ125" s="93"/>
      <c r="GA125" s="93"/>
      <c r="GB125" s="93"/>
      <c r="GC125" s="93"/>
      <c r="GD125" s="93"/>
      <c r="GE125" s="93"/>
      <c r="GF125" s="78">
        <v>22</v>
      </c>
      <c r="GG125" s="1"/>
      <c r="GH125" s="1"/>
      <c r="GI125" s="1"/>
      <c r="GJ125" s="1"/>
      <c r="GK125" s="1"/>
      <c r="GL125" s="1"/>
      <c r="GM125" s="1"/>
      <c r="GN125" s="74">
        <f t="shared" si="45"/>
        <v>0</v>
      </c>
      <c r="GO125" s="93"/>
      <c r="GP125" s="93"/>
      <c r="GQ125" s="93"/>
      <c r="GR125" s="93"/>
      <c r="GS125" s="93"/>
      <c r="GT125" s="93"/>
      <c r="GU125" s="93"/>
      <c r="GV125" s="93"/>
      <c r="GW125" s="78">
        <v>22</v>
      </c>
      <c r="GX125" s="74">
        <f t="shared" si="46"/>
        <v>9828.9789999999994</v>
      </c>
      <c r="GY125" s="75">
        <f t="shared" si="47"/>
        <v>98.289789999999996</v>
      </c>
      <c r="HA125" s="43">
        <f t="shared" si="48"/>
        <v>9276.503999999999</v>
      </c>
      <c r="HC125" s="78">
        <v>22</v>
      </c>
      <c r="HD125" s="4">
        <v>33.091999999999999</v>
      </c>
      <c r="HE125" s="4">
        <v>33.281999999999996</v>
      </c>
      <c r="HF125" s="4">
        <v>1.8381700000000001</v>
      </c>
      <c r="HG125" s="4">
        <v>31.787800000000001</v>
      </c>
      <c r="HH125" s="81">
        <f>HA125/HJ25</f>
        <v>217.63625824685536</v>
      </c>
      <c r="HJ125" s="162"/>
      <c r="HK125" s="172"/>
      <c r="HL125" s="172"/>
      <c r="HM125" s="172"/>
      <c r="HN125" s="172"/>
      <c r="HO125" s="172"/>
      <c r="HP125" s="172"/>
      <c r="HV125" s="107"/>
      <c r="HX125" s="68"/>
      <c r="HY125" s="107"/>
      <c r="HZ125" s="68"/>
    </row>
    <row r="126" spans="12:234" x14ac:dyDescent="0.3">
      <c r="L126" s="98">
        <v>23</v>
      </c>
      <c r="M126" s="1"/>
      <c r="N126" s="1"/>
      <c r="O126" s="1">
        <f>$BB$98*O26/100</f>
        <v>19.057499999999997</v>
      </c>
      <c r="P126" s="1">
        <f>$BB$98*P26/100</f>
        <v>42.157499999999999</v>
      </c>
      <c r="Q126" s="1">
        <f>$BB$98*Q26/100</f>
        <v>109.72499999999998</v>
      </c>
      <c r="R126" s="1">
        <f>$BB$98*R26/100</f>
        <v>125.31749999999998</v>
      </c>
      <c r="S126" s="1">
        <f>$BB$98*S26/100</f>
        <v>57.172499999999992</v>
      </c>
      <c r="T126" s="74">
        <f t="shared" si="32"/>
        <v>353.42999999999995</v>
      </c>
      <c r="U126" s="87"/>
      <c r="AA126" s="87"/>
      <c r="AB126" s="98">
        <v>23</v>
      </c>
      <c r="AC126" s="1">
        <f t="shared" ref="AC126:AI126" si="115">$BB$98*AC26/100</f>
        <v>65.834999999999994</v>
      </c>
      <c r="AD126" s="1">
        <f t="shared" si="115"/>
        <v>36.959999999999994</v>
      </c>
      <c r="AE126" s="1">
        <f t="shared" si="115"/>
        <v>45.045000000000002</v>
      </c>
      <c r="AF126" s="1">
        <f t="shared" si="115"/>
        <v>18.479999999999997</v>
      </c>
      <c r="AG126" s="1">
        <f t="shared" si="115"/>
        <v>33.494999999999997</v>
      </c>
      <c r="AH126" s="1">
        <f t="shared" si="115"/>
        <v>28.874999999999996</v>
      </c>
      <c r="AI126" s="1">
        <f t="shared" si="115"/>
        <v>43.89</v>
      </c>
      <c r="AJ126" s="74">
        <f t="shared" si="33"/>
        <v>272.58</v>
      </c>
      <c r="AK126" s="87"/>
      <c r="AQ126" s="87"/>
      <c r="AR126" s="98">
        <v>23</v>
      </c>
      <c r="AS126" s="1">
        <f>$BB$98*AS26/100</f>
        <v>18.479999999999997</v>
      </c>
      <c r="AT126" s="1">
        <f t="shared" ref="AT126:AY126" si="116">$CH$70*AT26/100</f>
        <v>53.006</v>
      </c>
      <c r="AU126" s="1">
        <f t="shared" si="116"/>
        <v>109.13</v>
      </c>
      <c r="AV126" s="1">
        <f t="shared" si="116"/>
        <v>174.608</v>
      </c>
      <c r="AW126" s="1">
        <f t="shared" si="116"/>
        <v>59.241999999999997</v>
      </c>
      <c r="AX126" s="1">
        <f t="shared" si="116"/>
        <v>174.608</v>
      </c>
      <c r="AY126" s="1">
        <f t="shared" si="116"/>
        <v>93.54</v>
      </c>
      <c r="AZ126" s="74">
        <f t="shared" si="34"/>
        <v>682.61400000000003</v>
      </c>
      <c r="BA126" s="87"/>
      <c r="BG126" s="87"/>
      <c r="BH126" s="98">
        <v>23</v>
      </c>
      <c r="BI126" s="1">
        <f t="shared" ref="BI126:BO126" si="117">$CH$70*BI26/100</f>
        <v>62.36</v>
      </c>
      <c r="BJ126" s="1">
        <f t="shared" si="117"/>
        <v>32.739000000000004</v>
      </c>
      <c r="BK126" s="1">
        <f t="shared" si="117"/>
        <v>24.944000000000003</v>
      </c>
      <c r="BL126" s="1">
        <f t="shared" si="117"/>
        <v>31.18</v>
      </c>
      <c r="BM126" s="1">
        <f t="shared" si="117"/>
        <v>37.415999999999997</v>
      </c>
      <c r="BN126" s="1">
        <f t="shared" si="117"/>
        <v>28.061999999999998</v>
      </c>
      <c r="BO126" s="1">
        <f t="shared" si="117"/>
        <v>45.211000000000006</v>
      </c>
      <c r="BP126" s="74">
        <f t="shared" si="35"/>
        <v>261.91200000000003</v>
      </c>
      <c r="BQ126" s="87"/>
      <c r="BW126" s="87"/>
      <c r="BX126" s="98">
        <v>23</v>
      </c>
      <c r="BY126" s="1">
        <f>$CH$70*BY26/100</f>
        <v>35.856999999999999</v>
      </c>
      <c r="BZ126" s="1">
        <f>$CH$70*BZ26/100</f>
        <v>28.061999999999998</v>
      </c>
      <c r="CA126" s="1">
        <f>$CX$42*CA26/100</f>
        <v>79.001999999999995</v>
      </c>
      <c r="CB126" s="1">
        <f>$CX$42*CB26/100</f>
        <v>67.031999999999982</v>
      </c>
      <c r="CC126" s="1">
        <f>$CX$42*CC26/100</f>
        <v>93.365999999999985</v>
      </c>
      <c r="CD126" s="1">
        <f>$CX$42*CD26/100</f>
        <v>69.425999999999988</v>
      </c>
      <c r="CE126" s="1">
        <f>$CX$42*CE26/100</f>
        <v>79.001999999999995</v>
      </c>
      <c r="CF126" s="74">
        <f t="shared" si="36"/>
        <v>451.74699999999996</v>
      </c>
      <c r="CG126" s="87"/>
      <c r="CM126" s="87"/>
      <c r="CN126" s="98">
        <v>23</v>
      </c>
      <c r="CO126" s="1">
        <f>$CX$42*CO26/100</f>
        <v>57.455999999999996</v>
      </c>
      <c r="CP126" s="1">
        <f>$CX$42*CP26/100</f>
        <v>131.66999999999999</v>
      </c>
      <c r="CQ126" s="1">
        <f>$CX$42*CQ26/100</f>
        <v>100.54799999999999</v>
      </c>
      <c r="CR126" s="1">
        <f>$CX$42*CR26/100</f>
        <v>86.183999999999997</v>
      </c>
      <c r="CS126" s="1">
        <f>$CX$42*CS26/100</f>
        <v>117.30599999999998</v>
      </c>
      <c r="CT126" s="1">
        <f>$ED$52*CT26/100</f>
        <v>131.07</v>
      </c>
      <c r="CU126" s="1">
        <f>$ED$52*CU26/100</f>
        <v>55.897500000000001</v>
      </c>
      <c r="CV126" s="74">
        <f t="shared" si="38"/>
        <v>680.13149999999996</v>
      </c>
      <c r="CW126" s="87"/>
      <c r="DC126" s="87"/>
      <c r="DD126" s="98">
        <v>23</v>
      </c>
      <c r="DE126" s="1">
        <f t="shared" ref="DE126:DK126" si="118">$ED$52*DE26/100</f>
        <v>104.08499999999999</v>
      </c>
      <c r="DF126" s="1">
        <f t="shared" si="118"/>
        <v>125.28749999999998</v>
      </c>
      <c r="DG126" s="1">
        <f t="shared" si="118"/>
        <v>50.115000000000002</v>
      </c>
      <c r="DH126" s="1">
        <f t="shared" si="118"/>
        <v>96.375</v>
      </c>
      <c r="DI126" s="1">
        <f t="shared" si="118"/>
        <v>84.81</v>
      </c>
      <c r="DJ126" s="1">
        <f t="shared" si="118"/>
        <v>106.0125</v>
      </c>
      <c r="DK126" s="1">
        <f t="shared" si="118"/>
        <v>55.897500000000001</v>
      </c>
      <c r="DL126" s="74">
        <f t="shared" si="40"/>
        <v>622.58249999999998</v>
      </c>
      <c r="DM126" s="87"/>
      <c r="DS126" s="87"/>
      <c r="DT126" s="98">
        <v>23</v>
      </c>
      <c r="DU126" s="1">
        <f>$ED$52*DU26/100</f>
        <v>84.81</v>
      </c>
      <c r="DV126" s="1">
        <f t="shared" ref="DV126:EA126" si="119">$ET$51*DV26/100</f>
        <v>85.25</v>
      </c>
      <c r="DW126" s="1">
        <f t="shared" si="119"/>
        <v>120.125</v>
      </c>
      <c r="DX126" s="1">
        <f t="shared" si="119"/>
        <v>75.5625</v>
      </c>
      <c r="DY126" s="1">
        <f t="shared" si="119"/>
        <v>127.875</v>
      </c>
      <c r="DZ126" s="1">
        <f t="shared" si="119"/>
        <v>94.9375</v>
      </c>
      <c r="EA126" s="1">
        <f t="shared" si="119"/>
        <v>143.375</v>
      </c>
      <c r="EB126" s="74">
        <f t="shared" si="41"/>
        <v>731.93499999999995</v>
      </c>
      <c r="EC126" s="87"/>
      <c r="EI126" s="87"/>
      <c r="EJ126" s="98">
        <v>23</v>
      </c>
      <c r="EK126" s="1">
        <f t="shared" ref="EK126:EQ126" si="120">$ET$51*EK26/100</f>
        <v>100.75</v>
      </c>
      <c r="EL126" s="1">
        <f t="shared" si="120"/>
        <v>50.375</v>
      </c>
      <c r="EM126" s="1">
        <f t="shared" si="120"/>
        <v>89.125</v>
      </c>
      <c r="EN126" s="1">
        <f t="shared" si="120"/>
        <v>110.4375</v>
      </c>
      <c r="EO126" s="1">
        <f t="shared" si="120"/>
        <v>139.5</v>
      </c>
      <c r="EP126" s="1">
        <f t="shared" si="120"/>
        <v>112.375</v>
      </c>
      <c r="EQ126" s="1">
        <f t="shared" si="120"/>
        <v>135.625</v>
      </c>
      <c r="ER126" s="74">
        <f t="shared" si="42"/>
        <v>738.1875</v>
      </c>
      <c r="ES126" s="90"/>
      <c r="EY126" s="93"/>
      <c r="EZ126" s="98">
        <v>23</v>
      </c>
      <c r="FA126" s="1">
        <f t="shared" ref="FA126:FF126" si="121">$FJ$47*FA26/100</f>
        <v>123.20099999999998</v>
      </c>
      <c r="FB126" s="1">
        <f t="shared" si="121"/>
        <v>102.66749999999998</v>
      </c>
      <c r="FC126" s="1">
        <f t="shared" si="121"/>
        <v>78.974999999999994</v>
      </c>
      <c r="FD126" s="1">
        <f t="shared" si="121"/>
        <v>66.338999999999999</v>
      </c>
      <c r="FE126" s="1">
        <f t="shared" si="121"/>
        <v>61.60049999999999</v>
      </c>
      <c r="FF126" s="1">
        <f t="shared" si="121"/>
        <v>39.487499999999997</v>
      </c>
      <c r="FG126" s="1">
        <f>$FZ$45*FG26/100</f>
        <v>32.889999999999993</v>
      </c>
      <c r="FH126" s="74">
        <f t="shared" si="43"/>
        <v>505.16049999999996</v>
      </c>
      <c r="FI126" s="93"/>
      <c r="FJ126" s="90"/>
      <c r="FK126" s="93"/>
      <c r="FL126" s="93"/>
      <c r="FM126" s="93"/>
      <c r="FN126" s="92"/>
      <c r="FO126" s="92"/>
      <c r="FP126" s="98">
        <v>23</v>
      </c>
      <c r="FQ126" s="1">
        <f>$FZ$45*FQ26/100</f>
        <v>21.45</v>
      </c>
      <c r="FR126" s="85"/>
      <c r="FS126" s="1"/>
      <c r="FT126" s="3"/>
      <c r="FU126" s="1"/>
      <c r="FV126" s="1"/>
      <c r="FW126" s="1"/>
      <c r="FX126" s="74">
        <f t="shared" si="44"/>
        <v>21.45</v>
      </c>
      <c r="FY126" s="93"/>
      <c r="FZ126" s="93"/>
      <c r="GA126" s="93"/>
      <c r="GB126" s="93"/>
      <c r="GC126" s="93"/>
      <c r="GD126" s="93"/>
      <c r="GE126" s="93"/>
      <c r="GF126" s="98">
        <v>23</v>
      </c>
      <c r="GG126" s="1"/>
      <c r="GH126" s="1"/>
      <c r="GI126" s="1"/>
      <c r="GJ126" s="1"/>
      <c r="GK126" s="1"/>
      <c r="GL126" s="1"/>
      <c r="GM126" s="1"/>
      <c r="GN126" s="74">
        <f t="shared" si="45"/>
        <v>0</v>
      </c>
      <c r="GO126" s="93"/>
      <c r="GP126" s="93"/>
      <c r="GQ126" s="93"/>
      <c r="GR126" s="93"/>
      <c r="GS126" s="93"/>
      <c r="GT126" s="93"/>
      <c r="GU126" s="93"/>
      <c r="GV126" s="93"/>
      <c r="GW126" s="98">
        <v>23</v>
      </c>
      <c r="GX126" s="74">
        <f t="shared" si="46"/>
        <v>5321.73</v>
      </c>
      <c r="GY126" s="75">
        <f t="shared" si="47"/>
        <v>53.217299999999994</v>
      </c>
      <c r="HA126" s="43">
        <f t="shared" si="48"/>
        <v>4769.2549999999992</v>
      </c>
      <c r="HC126" s="98">
        <v>23</v>
      </c>
      <c r="HD126" s="4">
        <v>71.935299999999998</v>
      </c>
      <c r="HE126" s="4">
        <v>0</v>
      </c>
      <c r="HF126" s="4">
        <v>28.064699999999998</v>
      </c>
      <c r="HG126" s="4">
        <v>0</v>
      </c>
      <c r="HH126" s="81">
        <f t="shared" si="49"/>
        <v>111.07905713489014</v>
      </c>
      <c r="HI126" s="45"/>
      <c r="HJ126" s="162"/>
      <c r="HK126" s="172"/>
      <c r="HL126" s="172"/>
      <c r="HM126" s="172"/>
      <c r="HN126" s="172"/>
      <c r="HO126" s="172"/>
      <c r="HP126" s="172"/>
      <c r="HV126" s="107"/>
      <c r="HX126" s="68"/>
      <c r="HY126" s="107"/>
      <c r="HZ126" s="68"/>
    </row>
    <row r="127" spans="12:234" x14ac:dyDescent="0.3">
      <c r="L127" s="85">
        <v>24</v>
      </c>
      <c r="M127" s="1"/>
      <c r="N127" s="1"/>
      <c r="O127" s="1">
        <f>O27*$AL$40/100</f>
        <v>0</v>
      </c>
      <c r="P127" s="1">
        <f>P27*$AL$40/100</f>
        <v>0</v>
      </c>
      <c r="Q127" s="1">
        <f>Q27*$AL$40/100</f>
        <v>19.385999999999999</v>
      </c>
      <c r="R127" s="1">
        <f>R27*$AL$40/100</f>
        <v>18.8475</v>
      </c>
      <c r="S127" s="1">
        <f>S27*$AL$40/100</f>
        <v>0</v>
      </c>
      <c r="T127" s="74">
        <f t="shared" si="32"/>
        <v>38.233499999999999</v>
      </c>
      <c r="U127" s="87"/>
      <c r="AA127" s="87"/>
      <c r="AB127" s="85">
        <v>24</v>
      </c>
      <c r="AC127" s="1">
        <f t="shared" ref="AC127:AH127" si="122">AC27*$AL$40/100</f>
        <v>0</v>
      </c>
      <c r="AD127" s="1">
        <f t="shared" si="122"/>
        <v>0</v>
      </c>
      <c r="AE127" s="1">
        <f t="shared" si="122"/>
        <v>0</v>
      </c>
      <c r="AF127" s="1">
        <f t="shared" si="122"/>
        <v>0</v>
      </c>
      <c r="AG127" s="1">
        <f t="shared" si="122"/>
        <v>3.2309999999999999</v>
      </c>
      <c r="AH127" s="1">
        <f t="shared" si="122"/>
        <v>35.540999999999997</v>
      </c>
      <c r="AI127" s="1">
        <f>$BB$50*AI27/100</f>
        <v>0</v>
      </c>
      <c r="AJ127" s="74">
        <f t="shared" si="33"/>
        <v>38.771999999999998</v>
      </c>
      <c r="AK127" s="87"/>
      <c r="AQ127" s="87"/>
      <c r="AR127" s="85">
        <v>24</v>
      </c>
      <c r="AS127" s="1">
        <f t="shared" ref="AS127:AX127" si="123">$BB$50*AS27/100</f>
        <v>101.48</v>
      </c>
      <c r="AT127" s="1">
        <f t="shared" si="123"/>
        <v>23.6</v>
      </c>
      <c r="AU127" s="1">
        <f t="shared" si="123"/>
        <v>120.36</v>
      </c>
      <c r="AV127" s="1">
        <f t="shared" si="123"/>
        <v>57.82</v>
      </c>
      <c r="AW127" s="1">
        <f t="shared" si="123"/>
        <v>55.46</v>
      </c>
      <c r="AX127" s="1">
        <f t="shared" si="123"/>
        <v>61.36</v>
      </c>
      <c r="AY127" s="1">
        <f>$BR$72*AY27/100</f>
        <v>95.375</v>
      </c>
      <c r="AZ127" s="74">
        <f t="shared" si="34"/>
        <v>515.45499999999993</v>
      </c>
      <c r="BA127" s="87"/>
      <c r="BG127" s="87"/>
      <c r="BH127" s="85">
        <v>24</v>
      </c>
      <c r="BI127" s="1">
        <f>$BR$72*BI27/100</f>
        <v>93.467500000000001</v>
      </c>
      <c r="BJ127" s="1">
        <f>$BR$72*BJ27/100</f>
        <v>101.0975</v>
      </c>
      <c r="BK127" s="1">
        <f>$BR$72*BK27/100</f>
        <v>97.282499999999999</v>
      </c>
      <c r="BL127" s="1">
        <f>$CH$71*BL27/100</f>
        <v>75.603999999999999</v>
      </c>
      <c r="BM127" s="1">
        <f>$CH$71*BM27/100</f>
        <v>101.42</v>
      </c>
      <c r="BN127" s="1">
        <f>$CH$71*BN27/100</f>
        <v>73.760000000000005</v>
      </c>
      <c r="BO127" s="1">
        <f>$CH$71*BO27/100</f>
        <v>79.292000000000002</v>
      </c>
      <c r="BP127" s="74">
        <f t="shared" si="35"/>
        <v>621.92349999999999</v>
      </c>
      <c r="BQ127" s="87"/>
      <c r="BW127" s="87"/>
      <c r="BX127" s="85">
        <v>24</v>
      </c>
      <c r="BY127" s="1">
        <f>$CH$71*BY27/100</f>
        <v>81.13600000000001</v>
      </c>
      <c r="BZ127" s="1">
        <f>$CH$71*BZ27/100</f>
        <v>38.724000000000004</v>
      </c>
      <c r="CA127" s="1">
        <f>$CX$41*CA27/100</f>
        <v>17.197500000000002</v>
      </c>
      <c r="CB127" s="1">
        <f>$CX$41*CB27/100</f>
        <v>17.197500000000002</v>
      </c>
      <c r="CC127" s="1">
        <f>$CX$41*CC27/100</f>
        <v>29.809000000000001</v>
      </c>
      <c r="CD127" s="1">
        <f>$CX$41*CD27/100</f>
        <v>26.369499999999999</v>
      </c>
      <c r="CE127" s="1">
        <f>$CX$41*CE27/100</f>
        <v>22.93</v>
      </c>
      <c r="CF127" s="74">
        <f t="shared" si="36"/>
        <v>233.36349999999999</v>
      </c>
      <c r="CG127" s="87"/>
      <c r="CM127" s="87"/>
      <c r="CN127" s="85">
        <v>24</v>
      </c>
      <c r="CO127" s="1">
        <f>$CX$41*CO27/100</f>
        <v>16.050999999999998</v>
      </c>
      <c r="CP127" s="1">
        <f>$CX$41*CP27/100</f>
        <v>19.490500000000001</v>
      </c>
      <c r="CQ127" s="1">
        <f>$CX$41*CQ27/100</f>
        <v>18.344000000000001</v>
      </c>
      <c r="CR127" s="1">
        <f>$CX$41*CR27/100</f>
        <v>3.4394999999999998</v>
      </c>
      <c r="CS127" s="1">
        <f>$CX$41*CS27/100</f>
        <v>4.5860000000000003</v>
      </c>
      <c r="CT127" s="1">
        <f>CT27*$CH$71/100</f>
        <v>11.064</v>
      </c>
      <c r="CU127" s="1">
        <f>CU27*$CH$71/100</f>
        <v>5.532</v>
      </c>
      <c r="CV127" s="74">
        <f t="shared" si="38"/>
        <v>78.506999999999991</v>
      </c>
      <c r="CW127" s="87"/>
      <c r="DC127" s="87"/>
      <c r="DD127" s="85">
        <v>24</v>
      </c>
      <c r="DE127" s="85"/>
      <c r="DF127" s="1"/>
      <c r="DG127" s="1"/>
      <c r="DH127" s="1"/>
      <c r="DI127" s="1"/>
      <c r="DJ127" s="1"/>
      <c r="DK127" s="1"/>
      <c r="DL127" s="74">
        <f t="shared" si="40"/>
        <v>0</v>
      </c>
      <c r="DM127" s="87"/>
      <c r="DS127" s="87"/>
      <c r="DT127" s="85">
        <v>24</v>
      </c>
      <c r="DU127" s="1"/>
      <c r="DV127" s="1"/>
      <c r="DW127" s="1"/>
      <c r="DX127" s="1"/>
      <c r="DY127" s="1"/>
      <c r="DZ127" s="1"/>
      <c r="EA127" s="1"/>
      <c r="EB127" s="74">
        <f t="shared" si="41"/>
        <v>0</v>
      </c>
      <c r="EC127" s="87"/>
      <c r="EI127" s="87"/>
      <c r="EJ127" s="85">
        <v>24</v>
      </c>
      <c r="EK127" s="1"/>
      <c r="EL127" s="1"/>
      <c r="EM127" s="1"/>
      <c r="EN127" s="1"/>
      <c r="EO127" s="1"/>
      <c r="EP127" s="1"/>
      <c r="EQ127" s="1"/>
      <c r="ER127" s="74">
        <f t="shared" si="42"/>
        <v>0</v>
      </c>
      <c r="ES127" s="90"/>
      <c r="EY127" s="93"/>
      <c r="EZ127" s="85">
        <v>24</v>
      </c>
      <c r="FA127" s="1"/>
      <c r="FB127" s="1"/>
      <c r="FC127" s="1"/>
      <c r="FD127" s="1"/>
      <c r="FE127" s="1"/>
      <c r="FF127" s="1"/>
      <c r="FG127" s="1"/>
      <c r="FH127" s="74">
        <f t="shared" si="43"/>
        <v>0</v>
      </c>
      <c r="FI127" s="93"/>
      <c r="FJ127" s="90"/>
      <c r="FK127" s="93"/>
      <c r="FL127" s="93"/>
      <c r="FM127" s="93"/>
      <c r="FN127" s="92"/>
      <c r="FO127" s="92"/>
      <c r="FP127" s="85">
        <v>24</v>
      </c>
      <c r="FQ127" s="1"/>
      <c r="FR127" s="1"/>
      <c r="FS127" s="1"/>
      <c r="FT127" s="1"/>
      <c r="FU127" s="1"/>
      <c r="FV127" s="1"/>
      <c r="FW127" s="1"/>
      <c r="FX127" s="74">
        <f t="shared" si="44"/>
        <v>0</v>
      </c>
      <c r="FY127" s="93"/>
      <c r="FZ127" s="93"/>
      <c r="GA127" s="93"/>
      <c r="GB127" s="93"/>
      <c r="GC127" s="93"/>
      <c r="GD127" s="93"/>
      <c r="GE127" s="93"/>
      <c r="GF127" s="85">
        <v>24</v>
      </c>
      <c r="GG127" s="1"/>
      <c r="GH127" s="1"/>
      <c r="GI127" s="1"/>
      <c r="GJ127" s="1"/>
      <c r="GK127" s="1"/>
      <c r="GL127" s="1"/>
      <c r="GM127" s="1"/>
      <c r="GN127" s="74">
        <f t="shared" si="45"/>
        <v>0</v>
      </c>
      <c r="GO127" s="93"/>
      <c r="GP127" s="93"/>
      <c r="GQ127" s="93"/>
      <c r="GR127" s="93"/>
      <c r="GS127" s="93"/>
      <c r="GT127" s="93"/>
      <c r="GU127" s="93"/>
      <c r="GV127" s="93"/>
      <c r="GW127" s="85">
        <v>24</v>
      </c>
      <c r="GX127" s="74">
        <f t="shared" si="46"/>
        <v>1526.2545</v>
      </c>
      <c r="GY127" s="75">
        <f t="shared" si="47"/>
        <v>15.262544999999999</v>
      </c>
      <c r="HA127" s="43">
        <f t="shared" si="48"/>
        <v>973.77949999999998</v>
      </c>
      <c r="HC127" s="85">
        <v>24</v>
      </c>
      <c r="HD127" s="4">
        <v>33.561</v>
      </c>
      <c r="HE127" s="4">
        <v>1.4806999999999999</v>
      </c>
      <c r="HF127" s="4">
        <v>32.657699999999998</v>
      </c>
      <c r="HG127" s="4">
        <v>32.300600000000003</v>
      </c>
      <c r="HH127" s="81">
        <f t="shared" si="49"/>
        <v>22.971571524912434</v>
      </c>
      <c r="HJ127" s="162"/>
      <c r="HK127" s="172"/>
      <c r="HL127" s="172"/>
      <c r="HM127" s="172"/>
      <c r="HN127" s="172"/>
      <c r="HO127" s="172"/>
      <c r="HP127" s="172"/>
      <c r="HV127" s="107"/>
      <c r="HX127" s="68"/>
      <c r="HY127" s="107"/>
      <c r="HZ127" s="68"/>
    </row>
    <row r="128" spans="12:234" x14ac:dyDescent="0.3">
      <c r="L128" s="101">
        <v>25</v>
      </c>
      <c r="M128" s="1"/>
      <c r="N128" s="1"/>
      <c r="O128" s="1">
        <f>O28*$AL$41/100</f>
        <v>81.545000000000016</v>
      </c>
      <c r="P128" s="1">
        <f>P28*$AL$41/100</f>
        <v>32.965000000000003</v>
      </c>
      <c r="Q128" s="1">
        <f>Q28*$AL$41/100</f>
        <v>38.17</v>
      </c>
      <c r="R128" s="1">
        <f>R28*$AL$41/100</f>
        <v>86.75</v>
      </c>
      <c r="S128" s="1">
        <f>S28*$AL$41/100</f>
        <v>135.33000000000001</v>
      </c>
      <c r="T128" s="74">
        <f t="shared" si="32"/>
        <v>374.76</v>
      </c>
      <c r="U128" s="87"/>
      <c r="AA128" s="87"/>
      <c r="AB128" s="101">
        <v>25</v>
      </c>
      <c r="AC128" s="1">
        <f t="shared" ref="AC128:AH128" si="124">AC28*$AL$41/100</f>
        <v>199.52500000000001</v>
      </c>
      <c r="AD128" s="1">
        <f t="shared" si="124"/>
        <v>201.26</v>
      </c>
      <c r="AE128" s="1">
        <f t="shared" si="124"/>
        <v>182.17500000000001</v>
      </c>
      <c r="AF128" s="1">
        <f t="shared" si="124"/>
        <v>218.61</v>
      </c>
      <c r="AG128" s="1">
        <f t="shared" si="124"/>
        <v>286.27500000000003</v>
      </c>
      <c r="AH128" s="1">
        <f t="shared" si="124"/>
        <v>237.69500000000005</v>
      </c>
      <c r="AI128" s="1">
        <f>$BR$73*AI28/100</f>
        <v>244.72499999999999</v>
      </c>
      <c r="AJ128" s="74">
        <f t="shared" si="33"/>
        <v>1570.2649999999999</v>
      </c>
      <c r="AK128" s="87"/>
      <c r="AQ128" s="87"/>
      <c r="AR128" s="101">
        <v>25</v>
      </c>
      <c r="AS128" s="1">
        <f t="shared" ref="AS128:AY128" si="125">$BR$73*AS28/100</f>
        <v>152.48249999999999</v>
      </c>
      <c r="AT128" s="1">
        <f t="shared" si="125"/>
        <v>144.95249999999999</v>
      </c>
      <c r="AU128" s="1">
        <f t="shared" si="125"/>
        <v>128.01</v>
      </c>
      <c r="AV128" s="1">
        <f t="shared" si="125"/>
        <v>118.5975</v>
      </c>
      <c r="AW128" s="1">
        <f t="shared" si="125"/>
        <v>105.42</v>
      </c>
      <c r="AX128" s="1">
        <f t="shared" si="125"/>
        <v>116.715</v>
      </c>
      <c r="AY128" s="1">
        <f t="shared" si="125"/>
        <v>88.477500000000006</v>
      </c>
      <c r="AZ128" s="74">
        <f t="shared" si="34"/>
        <v>854.65499999999986</v>
      </c>
      <c r="BA128" s="87"/>
      <c r="BG128" s="87"/>
      <c r="BH128" s="101">
        <v>25</v>
      </c>
      <c r="BI128" s="1">
        <f>$BR$73*BI28/100</f>
        <v>56.475000000000001</v>
      </c>
      <c r="BJ128" s="1">
        <f>$BR$73*BJ28/100</f>
        <v>58.357500000000002</v>
      </c>
      <c r="BK128" s="1">
        <f>$BR$73*BK28/100</f>
        <v>107.30249999999999</v>
      </c>
      <c r="BL128" s="1">
        <f>$CX$40*BL28/100</f>
        <v>93.167999999999992</v>
      </c>
      <c r="BM128" s="1">
        <f>$CX$40*BM28/100</f>
        <v>54.347999999999999</v>
      </c>
      <c r="BN128" s="1">
        <f>$CX$40*BN28/100</f>
        <v>38.82</v>
      </c>
      <c r="BO128" s="1">
        <f>$CX$40*BO28/100</f>
        <v>38.82</v>
      </c>
      <c r="BP128" s="74">
        <f t="shared" si="35"/>
        <v>447.291</v>
      </c>
      <c r="BQ128" s="87"/>
      <c r="BW128" s="87"/>
      <c r="BX128" s="101">
        <v>25</v>
      </c>
      <c r="BY128" s="1">
        <f t="shared" ref="BY128:CB128" si="126">$CX$40*BY28/100</f>
        <v>40.760999999999996</v>
      </c>
      <c r="BZ128" s="1">
        <f t="shared" si="126"/>
        <v>32.997</v>
      </c>
      <c r="CA128" s="1">
        <f t="shared" si="126"/>
        <v>31.055999999999997</v>
      </c>
      <c r="CB128" s="1">
        <f t="shared" si="126"/>
        <v>29.114999999999998</v>
      </c>
      <c r="CC128" s="85"/>
      <c r="CD128" s="1"/>
      <c r="CE128" s="1"/>
      <c r="CF128" s="74">
        <f t="shared" si="36"/>
        <v>133.929</v>
      </c>
      <c r="CG128" s="87"/>
      <c r="CM128" s="87"/>
      <c r="CN128" s="101">
        <v>25</v>
      </c>
      <c r="CO128" s="1"/>
      <c r="CP128" s="1"/>
      <c r="CQ128" s="1"/>
      <c r="CR128" s="1"/>
      <c r="CS128" s="1"/>
      <c r="CT128" s="1"/>
      <c r="CU128" s="1"/>
      <c r="CV128" s="74">
        <f t="shared" si="38"/>
        <v>0</v>
      </c>
      <c r="CW128" s="87"/>
      <c r="DC128" s="87"/>
      <c r="DD128" s="101">
        <v>25</v>
      </c>
      <c r="DE128" s="1"/>
      <c r="DF128" s="1"/>
      <c r="DG128" s="1"/>
      <c r="DH128" s="1"/>
      <c r="DI128" s="1"/>
      <c r="DJ128" s="1"/>
      <c r="DK128" s="1"/>
      <c r="DL128" s="74">
        <f t="shared" si="40"/>
        <v>0</v>
      </c>
      <c r="DM128" s="87"/>
      <c r="DS128" s="87"/>
      <c r="DT128" s="101">
        <v>25</v>
      </c>
      <c r="DU128" s="1"/>
      <c r="DV128" s="1"/>
      <c r="DW128" s="1"/>
      <c r="DX128" s="1"/>
      <c r="DY128" s="1"/>
      <c r="DZ128" s="1"/>
      <c r="EA128" s="1"/>
      <c r="EB128" s="74">
        <f t="shared" si="41"/>
        <v>0</v>
      </c>
      <c r="EC128" s="87"/>
      <c r="EI128" s="87"/>
      <c r="EJ128" s="101">
        <v>25</v>
      </c>
      <c r="EK128" s="1"/>
      <c r="EL128" s="1"/>
      <c r="EM128" s="1"/>
      <c r="EN128" s="1"/>
      <c r="EO128" s="1"/>
      <c r="EP128" s="1"/>
      <c r="EQ128" s="1"/>
      <c r="ER128" s="74">
        <f t="shared" si="42"/>
        <v>0</v>
      </c>
      <c r="ES128" s="90"/>
      <c r="EY128" s="93"/>
      <c r="EZ128" s="101">
        <v>25</v>
      </c>
      <c r="FA128" s="1"/>
      <c r="FB128" s="1"/>
      <c r="FC128" s="1"/>
      <c r="FD128" s="1"/>
      <c r="FE128" s="1"/>
      <c r="FF128" s="1"/>
      <c r="FG128" s="1"/>
      <c r="FH128" s="74">
        <f t="shared" si="43"/>
        <v>0</v>
      </c>
      <c r="FI128" s="93"/>
      <c r="FJ128" s="90"/>
      <c r="FK128" s="93"/>
      <c r="FL128" s="93"/>
      <c r="FM128" s="93"/>
      <c r="FN128" s="92"/>
      <c r="FO128" s="92"/>
      <c r="FP128" s="101">
        <v>25</v>
      </c>
      <c r="FQ128" s="1"/>
      <c r="FR128" s="1"/>
      <c r="FS128" s="1"/>
      <c r="FT128" s="1"/>
      <c r="FU128" s="1"/>
      <c r="FV128" s="1"/>
      <c r="FW128" s="1"/>
      <c r="FX128" s="74">
        <f t="shared" si="44"/>
        <v>0</v>
      </c>
      <c r="FY128" s="93"/>
      <c r="FZ128" s="93"/>
      <c r="GA128" s="93"/>
      <c r="GB128" s="93"/>
      <c r="GC128" s="93"/>
      <c r="GD128" s="93"/>
      <c r="GE128" s="93"/>
      <c r="GF128" s="101">
        <v>25</v>
      </c>
      <c r="GG128" s="1"/>
      <c r="GH128" s="1"/>
      <c r="GI128" s="1"/>
      <c r="GJ128" s="1"/>
      <c r="GK128" s="1"/>
      <c r="GL128" s="1"/>
      <c r="GM128" s="1"/>
      <c r="GN128" s="74">
        <f t="shared" si="45"/>
        <v>0</v>
      </c>
      <c r="GO128" s="93"/>
      <c r="GP128" s="93"/>
      <c r="GQ128" s="93"/>
      <c r="GR128" s="93"/>
      <c r="GS128" s="93"/>
      <c r="GT128" s="93"/>
      <c r="GU128" s="93"/>
      <c r="GV128" s="93"/>
      <c r="GW128" s="101">
        <v>25</v>
      </c>
      <c r="GX128" s="74">
        <f t="shared" si="46"/>
        <v>3380.9</v>
      </c>
      <c r="GY128" s="75">
        <f t="shared" si="47"/>
        <v>33.808999999999997</v>
      </c>
      <c r="HA128" s="43">
        <f t="shared" si="48"/>
        <v>2828.4250000000002</v>
      </c>
      <c r="HC128" s="101">
        <v>25</v>
      </c>
      <c r="HD128" s="4">
        <v>2.0130699999999999</v>
      </c>
      <c r="HE128" s="4">
        <v>31.355499999999999</v>
      </c>
      <c r="HF128" s="4">
        <v>33.126300000000001</v>
      </c>
      <c r="HG128" s="4">
        <v>33.505099999999999</v>
      </c>
      <c r="HH128" s="81">
        <f t="shared" si="49"/>
        <v>69.339602491992096</v>
      </c>
      <c r="HI128" s="45"/>
      <c r="HJ128" s="162"/>
      <c r="HK128" s="172"/>
      <c r="HL128" s="172"/>
      <c r="HM128" s="172"/>
      <c r="HN128" s="172"/>
      <c r="HO128" s="172"/>
      <c r="HP128" s="172"/>
      <c r="HV128" s="107"/>
      <c r="HX128" s="68"/>
      <c r="HY128" s="107"/>
      <c r="HZ128" s="68"/>
    </row>
    <row r="129" spans="12:234" x14ac:dyDescent="0.3">
      <c r="L129" s="1">
        <v>26</v>
      </c>
      <c r="M129" s="1"/>
      <c r="N129" s="1"/>
      <c r="O129" s="1">
        <f>$BB$73*O29/100</f>
        <v>0</v>
      </c>
      <c r="P129" s="1">
        <f>$BB$73*P29/100</f>
        <v>0</v>
      </c>
      <c r="Q129" s="1">
        <f>$BB$73*Q29/100</f>
        <v>0</v>
      </c>
      <c r="R129" s="1">
        <f>$BB$73*R29/100</f>
        <v>0</v>
      </c>
      <c r="S129" s="1">
        <f>$BB$73*S29/100</f>
        <v>0</v>
      </c>
      <c r="T129" s="74">
        <f t="shared" si="32"/>
        <v>0</v>
      </c>
      <c r="U129" s="87"/>
      <c r="AA129" s="87"/>
      <c r="AB129" s="1">
        <v>26</v>
      </c>
      <c r="AC129" s="1">
        <f t="shared" ref="AC129:AI129" si="127">$BB$73*AC29/100</f>
        <v>0.96400000000000008</v>
      </c>
      <c r="AD129" s="1">
        <f t="shared" si="127"/>
        <v>14.701000000000001</v>
      </c>
      <c r="AE129" s="1">
        <f t="shared" si="127"/>
        <v>7.4710000000000001</v>
      </c>
      <c r="AF129" s="1">
        <f t="shared" si="127"/>
        <v>5.4225000000000003</v>
      </c>
      <c r="AG129" s="1">
        <f t="shared" si="127"/>
        <v>16.629000000000001</v>
      </c>
      <c r="AH129" s="1">
        <f t="shared" si="127"/>
        <v>3.9765000000000001</v>
      </c>
      <c r="AI129" s="1">
        <f t="shared" si="127"/>
        <v>9.1580000000000013</v>
      </c>
      <c r="AJ129" s="74">
        <f t="shared" si="33"/>
        <v>58.322000000000003</v>
      </c>
      <c r="AK129" s="87"/>
      <c r="AQ129" s="87"/>
      <c r="AR129" s="1">
        <v>26</v>
      </c>
      <c r="AS129" s="1">
        <f>$BB$73*AS29/100</f>
        <v>15.664999999999999</v>
      </c>
      <c r="AT129" s="1">
        <f>$BB$73*AT29/100</f>
        <v>11.809000000000001</v>
      </c>
      <c r="AU129" s="1">
        <f>$BB$73*AU29/100</f>
        <v>9.2785000000000011</v>
      </c>
      <c r="AV129" s="1">
        <f>$BB$51*AV29/100</f>
        <v>162.2115</v>
      </c>
      <c r="AW129" s="1">
        <f>$BB$51*AW29/100</f>
        <v>180.85649999999998</v>
      </c>
      <c r="AX129" s="1">
        <f>$BB$51*AX29/100</f>
        <v>188.31450000000001</v>
      </c>
      <c r="AY129" s="1">
        <f>$CH$51*AY29/100</f>
        <v>185.77500000000001</v>
      </c>
      <c r="AZ129" s="74">
        <f t="shared" si="34"/>
        <v>753.91</v>
      </c>
      <c r="BA129" s="87"/>
      <c r="BG129" s="87"/>
      <c r="BH129" s="1">
        <v>26</v>
      </c>
      <c r="BI129" s="1">
        <f t="shared" ref="BI129:BO129" si="128">$CH$51*BI29/100</f>
        <v>170.91299999999998</v>
      </c>
      <c r="BJ129" s="1">
        <f t="shared" si="128"/>
        <v>151.09699999999998</v>
      </c>
      <c r="BK129" s="1">
        <f t="shared" si="128"/>
        <v>141.18899999999999</v>
      </c>
      <c r="BL129" s="1">
        <f t="shared" si="128"/>
        <v>118.896</v>
      </c>
      <c r="BM129" s="1">
        <f t="shared" si="128"/>
        <v>108.988</v>
      </c>
      <c r="BN129" s="1">
        <f t="shared" si="128"/>
        <v>180.821</v>
      </c>
      <c r="BO129" s="1">
        <f t="shared" si="128"/>
        <v>128.804</v>
      </c>
      <c r="BP129" s="74">
        <f t="shared" si="35"/>
        <v>1000.7079999999999</v>
      </c>
      <c r="BQ129" s="87"/>
      <c r="BW129" s="87"/>
      <c r="BX129" s="1">
        <v>26</v>
      </c>
      <c r="BY129" s="1">
        <f>$CH$51*BY29/100</f>
        <v>141.18899999999999</v>
      </c>
      <c r="BZ129" s="1">
        <f>$CH$51*BZ29/100</f>
        <v>54.494</v>
      </c>
      <c r="CA129" s="1">
        <f>$CH$51*CA29/100</f>
        <v>66.878999999999991</v>
      </c>
      <c r="CB129" s="1">
        <f>$CH$51*CB29/100</f>
        <v>74.31</v>
      </c>
      <c r="CC129" s="1">
        <f>$CX$56*CC29/100</f>
        <v>110.4525</v>
      </c>
      <c r="CD129" s="1">
        <f>$CX$56*CD29/100</f>
        <v>107.998</v>
      </c>
      <c r="CE129" s="1">
        <f>$CX$56*CE29/100</f>
        <v>144.81550000000001</v>
      </c>
      <c r="CF129" s="74">
        <f t="shared" si="36"/>
        <v>700.13800000000003</v>
      </c>
      <c r="CG129" s="87"/>
      <c r="CM129" s="87"/>
      <c r="CN129" s="1">
        <v>26</v>
      </c>
      <c r="CO129" s="1">
        <f>CX56*CO29/100</f>
        <v>98.18</v>
      </c>
      <c r="CP129" s="1">
        <f t="shared" ref="CP129:CU129" si="129">$DN$50*CP29/100</f>
        <v>183.13749999999999</v>
      </c>
      <c r="CQ129" s="1">
        <f t="shared" si="129"/>
        <v>118.33499999999999</v>
      </c>
      <c r="CR129" s="1">
        <f t="shared" si="129"/>
        <v>107.065</v>
      </c>
      <c r="CS129" s="1">
        <f t="shared" si="129"/>
        <v>146.51</v>
      </c>
      <c r="CT129" s="1">
        <f t="shared" si="129"/>
        <v>163.41499999999999</v>
      </c>
      <c r="CU129" s="1">
        <f t="shared" si="129"/>
        <v>70.4375</v>
      </c>
      <c r="CV129" s="74">
        <f t="shared" si="38"/>
        <v>887.07999999999993</v>
      </c>
      <c r="CW129" s="87"/>
      <c r="DC129" s="87"/>
      <c r="DD129" s="1">
        <v>26</v>
      </c>
      <c r="DE129" s="1">
        <f>$DN$50*DE29/100</f>
        <v>126.78749999999999</v>
      </c>
      <c r="DF129" s="1">
        <f>$DN$50*DF29/100</f>
        <v>112.7</v>
      </c>
      <c r="DG129" s="1">
        <f>$DN$50*DG29/100</f>
        <v>64.802499999999995</v>
      </c>
      <c r="DH129" s="1">
        <f>$DN$50*DH29/100</f>
        <v>109.88249999999999</v>
      </c>
      <c r="DI129" s="1">
        <f>$DN$50*DI29/100</f>
        <v>87.342500000000001</v>
      </c>
      <c r="DJ129" s="1">
        <f>$ED$44*DJ29/100</f>
        <v>119.11200000000001</v>
      </c>
      <c r="DK129" s="1">
        <f>$ED$44*DK29/100</f>
        <v>67.000500000000002</v>
      </c>
      <c r="DL129" s="74">
        <f t="shared" si="40"/>
        <v>687.62749999999994</v>
      </c>
      <c r="DM129" s="87"/>
      <c r="DS129" s="87"/>
      <c r="DT129" s="1">
        <v>26</v>
      </c>
      <c r="DU129" s="1">
        <f>$ED$44*DU29/100</f>
        <v>81.889500000000012</v>
      </c>
      <c r="DV129" s="1">
        <f>$ED$44*DV29/100</f>
        <v>183.63100000000003</v>
      </c>
      <c r="DW129" s="1">
        <f>$ED$44*DW29/100</f>
        <v>111.6675</v>
      </c>
      <c r="DX129" s="1">
        <f>$ED$58*DX29/100</f>
        <v>87.307500000000005</v>
      </c>
      <c r="DY129" s="1">
        <f>$ED$58*DY29/100</f>
        <v>122.23049999999999</v>
      </c>
      <c r="DZ129" s="1">
        <f>$ED$58*DZ29/100</f>
        <v>119.736</v>
      </c>
      <c r="EA129" s="1">
        <f>$ED$58*EA29/100</f>
        <v>179.60400000000001</v>
      </c>
      <c r="EB129" s="74">
        <f t="shared" si="41"/>
        <v>886.06600000000003</v>
      </c>
      <c r="EC129" s="87"/>
      <c r="EI129" s="87"/>
      <c r="EJ129" s="1">
        <v>26</v>
      </c>
      <c r="EK129" s="1">
        <f t="shared" ref="EK129:EQ129" si="130">$FJ$40*EK29/100</f>
        <v>96.683999999999997</v>
      </c>
      <c r="EL129" s="1">
        <f t="shared" si="130"/>
        <v>52.945999999999998</v>
      </c>
      <c r="EM129" s="1">
        <f t="shared" si="130"/>
        <v>89.777999999999992</v>
      </c>
      <c r="EN129" s="1">
        <f t="shared" si="130"/>
        <v>78.268000000000001</v>
      </c>
      <c r="EO129" s="1">
        <f t="shared" si="130"/>
        <v>117.40199999999999</v>
      </c>
      <c r="EP129" s="1">
        <f t="shared" si="130"/>
        <v>55.248000000000005</v>
      </c>
      <c r="EQ129" s="1">
        <f t="shared" si="130"/>
        <v>71.361999999999995</v>
      </c>
      <c r="ER129" s="74">
        <f t="shared" si="42"/>
        <v>561.68799999999999</v>
      </c>
      <c r="ES129" s="90"/>
      <c r="EY129" s="93"/>
      <c r="EZ129" s="1">
        <v>26</v>
      </c>
      <c r="FA129" s="1">
        <f t="shared" ref="FA129:FF129" si="131">$FJ$40*FA29/100</f>
        <v>92.08</v>
      </c>
      <c r="FB129" s="1">
        <f t="shared" si="131"/>
        <v>36.832000000000001</v>
      </c>
      <c r="FC129" s="1">
        <f t="shared" si="131"/>
        <v>36.832000000000001</v>
      </c>
      <c r="FD129" s="1">
        <f t="shared" si="131"/>
        <v>48.341999999999999</v>
      </c>
      <c r="FE129" s="1">
        <f t="shared" si="131"/>
        <v>36.832000000000001</v>
      </c>
      <c r="FF129" s="1">
        <f t="shared" si="131"/>
        <v>50.643999999999998</v>
      </c>
      <c r="FG129" s="1">
        <f>$FZ$46*FG29/100</f>
        <v>56.385999999999996</v>
      </c>
      <c r="FH129" s="74">
        <f t="shared" si="43"/>
        <v>357.94799999999998</v>
      </c>
      <c r="FI129" s="93"/>
      <c r="FJ129" s="90"/>
      <c r="FK129" s="93"/>
      <c r="FL129" s="93"/>
      <c r="FM129" s="93"/>
      <c r="FN129" s="92"/>
      <c r="FO129" s="92"/>
      <c r="FP129" s="1">
        <v>26</v>
      </c>
      <c r="FQ129" s="1">
        <f>$FZ$46*FQ29/100</f>
        <v>64.075000000000003</v>
      </c>
      <c r="FR129" s="1">
        <f>$FZ$46*FR29/100</f>
        <v>56.385999999999996</v>
      </c>
      <c r="FS129" s="1">
        <f>$FZ$46*FS29/100</f>
        <v>53.823</v>
      </c>
      <c r="FT129" s="3">
        <f>$FZ$52*FT29/100</f>
        <v>3.3109999999999995</v>
      </c>
      <c r="FU129" s="85"/>
      <c r="FV129" s="1"/>
      <c r="FW129" s="1"/>
      <c r="FX129" s="74">
        <f t="shared" si="44"/>
        <v>177.595</v>
      </c>
      <c r="FY129" s="93"/>
      <c r="FZ129" s="93"/>
      <c r="GA129" s="93"/>
      <c r="GB129" s="93"/>
      <c r="GC129" s="93"/>
      <c r="GD129" s="93"/>
      <c r="GE129" s="93"/>
      <c r="GF129" s="1">
        <v>26</v>
      </c>
      <c r="GG129" s="1"/>
      <c r="GH129" s="1"/>
      <c r="GI129" s="1"/>
      <c r="GJ129" s="1"/>
      <c r="GK129" s="1"/>
      <c r="GL129" s="1"/>
      <c r="GM129" s="1"/>
      <c r="GN129" s="74">
        <f t="shared" si="45"/>
        <v>0</v>
      </c>
      <c r="GO129" s="93"/>
      <c r="GP129" s="93"/>
      <c r="GQ129" s="93"/>
      <c r="GR129" s="93"/>
      <c r="GS129" s="93"/>
      <c r="GT129" s="93"/>
      <c r="GU129" s="93"/>
      <c r="GV129" s="93"/>
      <c r="GW129" s="1">
        <v>26</v>
      </c>
      <c r="GX129" s="74">
        <f t="shared" si="46"/>
        <v>6071.0825000000004</v>
      </c>
      <c r="GY129" s="75">
        <f t="shared" si="47"/>
        <v>60.710825000000007</v>
      </c>
      <c r="HA129" s="43">
        <f t="shared" si="48"/>
        <v>5518.6075000000001</v>
      </c>
      <c r="HC129" s="1">
        <v>26</v>
      </c>
      <c r="HD129" s="4">
        <v>26.569099999999999</v>
      </c>
      <c r="HE129" s="4">
        <v>0</v>
      </c>
      <c r="HF129" s="4">
        <v>0</v>
      </c>
      <c r="HG129" s="4">
        <v>73.430899999999994</v>
      </c>
      <c r="HH129" s="81">
        <f t="shared" si="49"/>
        <v>123.26920368843527</v>
      </c>
      <c r="HJ129" s="162"/>
      <c r="HK129" s="172"/>
      <c r="HL129" s="172"/>
      <c r="HM129" s="172"/>
      <c r="HN129" s="172"/>
      <c r="HO129" s="172"/>
      <c r="HP129" s="172"/>
      <c r="HV129" s="107"/>
      <c r="HX129" s="68"/>
      <c r="HY129" s="107"/>
      <c r="HZ129" s="68"/>
    </row>
    <row r="130" spans="12:234" x14ac:dyDescent="0.3">
      <c r="L130" s="1">
        <v>27</v>
      </c>
      <c r="M130" s="1"/>
      <c r="N130" s="1"/>
      <c r="O130" s="1">
        <f>$BB$80*O30/100</f>
        <v>0</v>
      </c>
      <c r="P130" s="1">
        <f>$BB$80*P30/100</f>
        <v>0</v>
      </c>
      <c r="Q130" s="1">
        <f>$BB$80*Q30/100</f>
        <v>34.898499999999999</v>
      </c>
      <c r="R130" s="1">
        <f>$BB$80*R30/100</f>
        <v>10.738</v>
      </c>
      <c r="S130" s="1">
        <f>$BB$80*S30/100</f>
        <v>13.422499999999999</v>
      </c>
      <c r="T130" s="74">
        <f t="shared" si="32"/>
        <v>59.058999999999997</v>
      </c>
      <c r="U130" s="87"/>
      <c r="AA130" s="87"/>
      <c r="AB130" s="1">
        <v>27</v>
      </c>
      <c r="AC130" s="1">
        <f t="shared" ref="AC130:AI130" si="132">$BB$80*AC30/100</f>
        <v>118.11799999999999</v>
      </c>
      <c r="AD130" s="1">
        <f t="shared" si="132"/>
        <v>91.272999999999996</v>
      </c>
      <c r="AE130" s="1">
        <f t="shared" si="132"/>
        <v>158.38549999999998</v>
      </c>
      <c r="AF130" s="1">
        <f t="shared" si="132"/>
        <v>5.3689999999999998</v>
      </c>
      <c r="AG130" s="1">
        <f t="shared" si="132"/>
        <v>8.0534999999999997</v>
      </c>
      <c r="AH130" s="1">
        <f t="shared" si="132"/>
        <v>18.791499999999999</v>
      </c>
      <c r="AI130" s="1">
        <f t="shared" si="132"/>
        <v>276.50349999999997</v>
      </c>
      <c r="AJ130" s="74">
        <f t="shared" si="33"/>
        <v>676.49399999999991</v>
      </c>
      <c r="AK130" s="87"/>
      <c r="AQ130" s="87"/>
      <c r="AR130" s="1">
        <v>27</v>
      </c>
      <c r="AS130" s="1">
        <f>$BB$80*AS30/100</f>
        <v>292.6105</v>
      </c>
      <c r="AT130" s="1">
        <f>$BB$80*AT30/100</f>
        <v>332.87799999999993</v>
      </c>
      <c r="AU130" s="1">
        <f>$BB$80*AU30/100</f>
        <v>236.23599999999999</v>
      </c>
      <c r="AV130" s="1">
        <f>$BB$52*AV30/100</f>
        <v>311.23599999999999</v>
      </c>
      <c r="AW130" s="1">
        <f>$BB$52*AW30/100</f>
        <v>253.72499999999999</v>
      </c>
      <c r="AX130" s="1">
        <f>$BB$52*AX30/100</f>
        <v>290.93799999999999</v>
      </c>
      <c r="AY130" s="1">
        <f>$BR$53*AY30/100</f>
        <v>288.84500000000003</v>
      </c>
      <c r="AZ130" s="74">
        <f t="shared" si="34"/>
        <v>2006.4684999999997</v>
      </c>
      <c r="BA130" s="87"/>
      <c r="BG130" s="87"/>
      <c r="BH130" s="1">
        <v>27</v>
      </c>
      <c r="BI130" s="1">
        <f t="shared" ref="BI130:BN130" si="133">$BR$53*BI30/100</f>
        <v>257.14249999999998</v>
      </c>
      <c r="BJ130" s="1">
        <f t="shared" si="133"/>
        <v>250.0975</v>
      </c>
      <c r="BK130" s="1">
        <f t="shared" si="133"/>
        <v>218.39500000000001</v>
      </c>
      <c r="BL130" s="1">
        <f t="shared" si="133"/>
        <v>151.4675</v>
      </c>
      <c r="BM130" s="1">
        <f t="shared" si="133"/>
        <v>162.035</v>
      </c>
      <c r="BN130" s="1">
        <f t="shared" si="133"/>
        <v>95.107500000000002</v>
      </c>
      <c r="BO130" s="1">
        <f>$CH$65*BO30/100</f>
        <v>81.762500000000003</v>
      </c>
      <c r="BP130" s="74">
        <f t="shared" si="35"/>
        <v>1216.0075000000002</v>
      </c>
      <c r="BQ130" s="87"/>
      <c r="BW130" s="87"/>
      <c r="BX130" s="1">
        <v>27</v>
      </c>
      <c r="BY130" s="1">
        <f>$CH$65*BY30/100</f>
        <v>81.762500000000003</v>
      </c>
      <c r="BZ130" s="1">
        <f>$CH$65*BZ30/100</f>
        <v>22.8935</v>
      </c>
      <c r="CA130" s="1">
        <f>$DN$49*CA30/100</f>
        <v>20.868000000000002</v>
      </c>
      <c r="CB130" s="1">
        <f>$DN$49*CB30/100</f>
        <v>18.259499999999999</v>
      </c>
      <c r="CC130" s="1">
        <f>$DN$49*CC30/100</f>
        <v>5.2170000000000005</v>
      </c>
      <c r="CD130" s="1">
        <f>$DN$49*CD30/100</f>
        <v>41.736000000000004</v>
      </c>
      <c r="CE130" s="1">
        <f>$DN$49*CE30/100</f>
        <v>46.953000000000003</v>
      </c>
      <c r="CF130" s="74">
        <f t="shared" si="36"/>
        <v>237.68950000000004</v>
      </c>
      <c r="CG130" s="87"/>
      <c r="CM130" s="87"/>
      <c r="CN130" s="1">
        <v>27</v>
      </c>
      <c r="CO130" s="1">
        <f t="shared" ref="CO130:CU130" si="134">$DN$49*CO30/100</f>
        <v>54.778500000000001</v>
      </c>
      <c r="CP130" s="1">
        <f t="shared" si="134"/>
        <v>99.123000000000005</v>
      </c>
      <c r="CQ130" s="1">
        <f t="shared" si="134"/>
        <v>54.778500000000001</v>
      </c>
      <c r="CR130" s="1">
        <f t="shared" si="134"/>
        <v>65.212500000000006</v>
      </c>
      <c r="CS130" s="1">
        <f t="shared" si="134"/>
        <v>93.906000000000006</v>
      </c>
      <c r="CT130" s="1">
        <f t="shared" si="134"/>
        <v>130.42500000000001</v>
      </c>
      <c r="CU130" s="1">
        <f t="shared" si="134"/>
        <v>49.561500000000002</v>
      </c>
      <c r="CV130" s="74">
        <f t="shared" si="38"/>
        <v>547.78500000000008</v>
      </c>
      <c r="CW130" s="87"/>
      <c r="DC130" s="87"/>
      <c r="DD130" s="1">
        <v>27</v>
      </c>
      <c r="DE130" s="1">
        <f t="shared" ref="DE130:DK130" si="135">$DN$49*DE30/100</f>
        <v>57.387</v>
      </c>
      <c r="DF130" s="1">
        <f t="shared" si="135"/>
        <v>36.518999999999998</v>
      </c>
      <c r="DG130" s="1">
        <f t="shared" si="135"/>
        <v>28.6935</v>
      </c>
      <c r="DH130" s="1">
        <f t="shared" si="135"/>
        <v>133.0335</v>
      </c>
      <c r="DI130" s="1">
        <f t="shared" si="135"/>
        <v>83.472000000000008</v>
      </c>
      <c r="DJ130" s="1">
        <f t="shared" si="135"/>
        <v>93.906000000000006</v>
      </c>
      <c r="DK130" s="1">
        <f t="shared" si="135"/>
        <v>52.17</v>
      </c>
      <c r="DL130" s="74">
        <f t="shared" si="40"/>
        <v>485.18100000000004</v>
      </c>
      <c r="DM130" s="87"/>
      <c r="DS130" s="87"/>
      <c r="DT130" s="1">
        <v>27</v>
      </c>
      <c r="DU130" s="1">
        <f t="shared" ref="DU130:EA130" si="136">DU30*$DN$49/100</f>
        <v>57.387</v>
      </c>
      <c r="DV130" s="1">
        <f t="shared" si="136"/>
        <v>41.736000000000004</v>
      </c>
      <c r="DW130" s="1">
        <f t="shared" si="136"/>
        <v>57.387</v>
      </c>
      <c r="DX130" s="1">
        <f t="shared" si="136"/>
        <v>26.085000000000001</v>
      </c>
      <c r="DY130" s="1">
        <f t="shared" si="136"/>
        <v>54.778500000000001</v>
      </c>
      <c r="DZ130" s="1">
        <f t="shared" si="136"/>
        <v>10.434000000000001</v>
      </c>
      <c r="EA130" s="1">
        <f t="shared" si="136"/>
        <v>26.085000000000001</v>
      </c>
      <c r="EB130" s="74">
        <f t="shared" si="41"/>
        <v>273.89249999999998</v>
      </c>
      <c r="EC130" s="87"/>
      <c r="EI130" s="87"/>
      <c r="EJ130" s="1">
        <v>27</v>
      </c>
      <c r="EK130" s="1">
        <f>EK30*$DN$49/100</f>
        <v>26.085000000000001</v>
      </c>
      <c r="EL130" s="85"/>
      <c r="EM130" s="1"/>
      <c r="EN130" s="1"/>
      <c r="EO130" s="1"/>
      <c r="EP130" s="1"/>
      <c r="EQ130" s="1"/>
      <c r="ER130" s="74">
        <f t="shared" si="42"/>
        <v>26.085000000000001</v>
      </c>
      <c r="ES130" s="90"/>
      <c r="EY130" s="93"/>
      <c r="EZ130" s="1">
        <v>27</v>
      </c>
      <c r="FA130" s="1"/>
      <c r="FB130" s="1"/>
      <c r="FC130" s="1"/>
      <c r="FD130" s="1"/>
      <c r="FE130" s="1"/>
      <c r="FF130" s="1"/>
      <c r="FG130" s="1"/>
      <c r="FH130" s="74">
        <f t="shared" si="43"/>
        <v>0</v>
      </c>
      <c r="FI130" s="93"/>
      <c r="FJ130" s="90"/>
      <c r="FK130" s="93"/>
      <c r="FL130" s="93"/>
      <c r="FM130" s="93"/>
      <c r="FN130" s="92"/>
      <c r="FO130" s="92"/>
      <c r="FP130" s="1">
        <v>27</v>
      </c>
      <c r="FQ130" s="1"/>
      <c r="FR130" s="1"/>
      <c r="FS130" s="1"/>
      <c r="FT130" s="1"/>
      <c r="FU130" s="1"/>
      <c r="FV130" s="1"/>
      <c r="FW130" s="1"/>
      <c r="FX130" s="74">
        <f t="shared" si="44"/>
        <v>0</v>
      </c>
      <c r="FY130" s="93"/>
      <c r="FZ130" s="93"/>
      <c r="GA130" s="93"/>
      <c r="GB130" s="93"/>
      <c r="GC130" s="93"/>
      <c r="GD130" s="93"/>
      <c r="GE130" s="93"/>
      <c r="GF130" s="1">
        <v>27</v>
      </c>
      <c r="GG130" s="1"/>
      <c r="GH130" s="1"/>
      <c r="GI130" s="1"/>
      <c r="GJ130" s="1"/>
      <c r="GK130" s="1"/>
      <c r="GL130" s="1"/>
      <c r="GM130" s="1"/>
      <c r="GN130" s="74">
        <f t="shared" si="45"/>
        <v>0</v>
      </c>
      <c r="GO130" s="93"/>
      <c r="GP130" s="93"/>
      <c r="GQ130" s="93"/>
      <c r="GR130" s="93"/>
      <c r="GS130" s="93"/>
      <c r="GT130" s="93"/>
      <c r="GU130" s="93"/>
      <c r="GV130" s="93"/>
      <c r="GW130" s="1">
        <v>27</v>
      </c>
      <c r="GX130" s="74">
        <f t="shared" si="46"/>
        <v>5528.6619999999994</v>
      </c>
      <c r="GY130" s="75">
        <f t="shared" si="47"/>
        <v>55.286619999999992</v>
      </c>
      <c r="HA130" s="43">
        <f t="shared" si="48"/>
        <v>4976.186999999999</v>
      </c>
      <c r="HC130" s="1">
        <v>27</v>
      </c>
      <c r="HD130" s="4">
        <v>26.6587</v>
      </c>
      <c r="HE130" s="4">
        <v>73.341300000000004</v>
      </c>
      <c r="HF130" s="4">
        <v>0</v>
      </c>
      <c r="HG130" s="4">
        <v>0</v>
      </c>
      <c r="HH130" s="81">
        <f t="shared" si="49"/>
        <v>121.89989565929676</v>
      </c>
      <c r="HJ130" s="162"/>
      <c r="HK130" s="172"/>
      <c r="HL130" s="172"/>
      <c r="HM130" s="172"/>
      <c r="HN130" s="172"/>
      <c r="HO130" s="172"/>
      <c r="HP130" s="172"/>
      <c r="HV130" s="107"/>
      <c r="HX130" s="68"/>
      <c r="HY130" s="107"/>
      <c r="HZ130" s="68"/>
    </row>
    <row r="131" spans="12:234" x14ac:dyDescent="0.3">
      <c r="L131" s="1">
        <v>28</v>
      </c>
      <c r="M131" s="1"/>
      <c r="N131" s="1"/>
      <c r="O131" s="1">
        <f>$BB$71*O31/100</f>
        <v>19.012</v>
      </c>
      <c r="P131" s="1">
        <f>$BB$71*P31/100</f>
        <v>90.307000000000002</v>
      </c>
      <c r="Q131" s="1">
        <f>$BB$71*Q31/100</f>
        <v>47.53</v>
      </c>
      <c r="R131" s="1">
        <f>$BB$71*R31/100</f>
        <v>149.71950000000001</v>
      </c>
      <c r="S131" s="1">
        <f>$BB$71*S31/100</f>
        <v>154.4725</v>
      </c>
      <c r="T131" s="74">
        <f t="shared" si="32"/>
        <v>461.04099999999994</v>
      </c>
      <c r="U131" s="87"/>
      <c r="AA131" s="87"/>
      <c r="AB131" s="1">
        <v>28</v>
      </c>
      <c r="AC131" s="1">
        <f t="shared" ref="AC131:AI131" si="137">$BB$71*AC31/100</f>
        <v>178.23750000000001</v>
      </c>
      <c r="AD131" s="1">
        <f t="shared" si="137"/>
        <v>152.096</v>
      </c>
      <c r="AE131" s="1">
        <f t="shared" si="137"/>
        <v>140.21350000000001</v>
      </c>
      <c r="AF131" s="1">
        <f t="shared" si="137"/>
        <v>128.33100000000002</v>
      </c>
      <c r="AG131" s="1">
        <f t="shared" si="137"/>
        <v>137.83700000000002</v>
      </c>
      <c r="AH131" s="1">
        <f t="shared" si="137"/>
        <v>175.86100000000002</v>
      </c>
      <c r="AI131" s="1">
        <f t="shared" si="137"/>
        <v>244.77950000000001</v>
      </c>
      <c r="AJ131" s="74">
        <f t="shared" si="33"/>
        <v>1157.3555000000001</v>
      </c>
      <c r="AK131" s="87"/>
      <c r="AQ131" s="87"/>
      <c r="AR131" s="1">
        <v>28</v>
      </c>
      <c r="AS131" s="1">
        <f>$BB$71*AS31/100</f>
        <v>0</v>
      </c>
      <c r="AT131" s="1">
        <f>$BB$71*AT31/100</f>
        <v>251.90900000000002</v>
      </c>
      <c r="AU131" s="1">
        <f>$BB$71*AU31/100</f>
        <v>223.39100000000002</v>
      </c>
      <c r="AV131" s="1">
        <f>$BB$61*AV31/100</f>
        <v>238.172</v>
      </c>
      <c r="AW131" s="1">
        <f>$BB$61*AW31/100</f>
        <v>175.92250000000001</v>
      </c>
      <c r="AX131" s="1">
        <f>$BR$55*AX31/100</f>
        <v>250.0455</v>
      </c>
      <c r="AY131" s="1">
        <f>$BR$55*AY31/100</f>
        <v>196.66499999999999</v>
      </c>
      <c r="AZ131" s="74">
        <f t="shared" si="34"/>
        <v>1336.105</v>
      </c>
      <c r="BA131" s="87"/>
      <c r="BG131" s="87"/>
      <c r="BH131" s="1">
        <v>28</v>
      </c>
      <c r="BI131" s="1">
        <f t="shared" ref="BI131:BN131" si="138">$BR$55*BI31/100</f>
        <v>92.71350000000001</v>
      </c>
      <c r="BJ131" s="1">
        <f t="shared" si="138"/>
        <v>143.28449999999998</v>
      </c>
      <c r="BK131" s="1">
        <f t="shared" si="138"/>
        <v>36.523499999999999</v>
      </c>
      <c r="BL131" s="1">
        <f t="shared" si="138"/>
        <v>39.332999999999998</v>
      </c>
      <c r="BM131" s="1">
        <f t="shared" si="138"/>
        <v>19.666499999999999</v>
      </c>
      <c r="BN131" s="1">
        <f t="shared" si="138"/>
        <v>22.475999999999999</v>
      </c>
      <c r="BO131" s="1">
        <f>$DN$63*BO31/100</f>
        <v>81.757000000000005</v>
      </c>
      <c r="BP131" s="74">
        <f t="shared" si="35"/>
        <v>435.75400000000002</v>
      </c>
      <c r="BQ131" s="87"/>
      <c r="BW131" s="87"/>
      <c r="BX131" s="1">
        <v>28</v>
      </c>
      <c r="BY131" s="1">
        <f t="shared" ref="BY131:CE131" si="139">$DN$63*BY31/100</f>
        <v>23.666499999999999</v>
      </c>
      <c r="BZ131" s="1">
        <f t="shared" si="139"/>
        <v>90.363000000000014</v>
      </c>
      <c r="CA131" s="1">
        <f t="shared" si="139"/>
        <v>43.03</v>
      </c>
      <c r="CB131" s="1">
        <f t="shared" si="139"/>
        <v>49.484499999999997</v>
      </c>
      <c r="CC131" s="1">
        <f t="shared" si="139"/>
        <v>55.939000000000007</v>
      </c>
      <c r="CD131" s="1">
        <f t="shared" si="139"/>
        <v>45.181500000000007</v>
      </c>
      <c r="CE131" s="1">
        <f t="shared" si="139"/>
        <v>43.03</v>
      </c>
      <c r="CF131" s="74">
        <f t="shared" si="36"/>
        <v>350.69450000000006</v>
      </c>
      <c r="CG131" s="87"/>
      <c r="CM131" s="87"/>
      <c r="CN131" s="1">
        <v>28</v>
      </c>
      <c r="CO131" s="1">
        <f t="shared" ref="CO131:CR131" si="140">$DN$63*CO31/100</f>
        <v>38.727000000000004</v>
      </c>
      <c r="CP131" s="1">
        <f t="shared" si="140"/>
        <v>25.818000000000001</v>
      </c>
      <c r="CQ131" s="1">
        <f t="shared" si="140"/>
        <v>27.969500000000004</v>
      </c>
      <c r="CR131" s="1">
        <f t="shared" si="140"/>
        <v>25.818000000000001</v>
      </c>
      <c r="CS131" s="85"/>
      <c r="CT131" s="1"/>
      <c r="CU131" s="1"/>
      <c r="CV131" s="74">
        <f t="shared" si="38"/>
        <v>118.3325</v>
      </c>
      <c r="CW131" s="87"/>
      <c r="DC131" s="87"/>
      <c r="DD131" s="1">
        <v>28</v>
      </c>
      <c r="DE131" s="1"/>
      <c r="DF131" s="1"/>
      <c r="DG131" s="1"/>
      <c r="DH131" s="1"/>
      <c r="DI131" s="1"/>
      <c r="DJ131" s="1"/>
      <c r="DK131" s="1"/>
      <c r="DL131" s="74">
        <f t="shared" si="40"/>
        <v>0</v>
      </c>
      <c r="DM131" s="87"/>
      <c r="DS131" s="87"/>
      <c r="DT131" s="1">
        <v>28</v>
      </c>
      <c r="DU131" s="1"/>
      <c r="DV131" s="3"/>
      <c r="DW131" s="1"/>
      <c r="DX131" s="1"/>
      <c r="DY131" s="1"/>
      <c r="DZ131" s="1"/>
      <c r="EA131" s="1"/>
      <c r="EB131" s="74">
        <f t="shared" si="41"/>
        <v>0</v>
      </c>
      <c r="EC131" s="87"/>
      <c r="EI131" s="87"/>
      <c r="EJ131" s="1">
        <v>28</v>
      </c>
      <c r="EK131" s="1"/>
      <c r="EL131" s="1"/>
      <c r="EM131" s="1"/>
      <c r="EN131" s="1"/>
      <c r="EO131" s="1"/>
      <c r="EP131" s="1"/>
      <c r="EQ131" s="1"/>
      <c r="ER131" s="74">
        <f t="shared" si="42"/>
        <v>0</v>
      </c>
      <c r="ES131" s="90"/>
      <c r="EY131" s="93"/>
      <c r="EZ131" s="1">
        <v>28</v>
      </c>
      <c r="FA131" s="1"/>
      <c r="FB131" s="1"/>
      <c r="FC131" s="1"/>
      <c r="FD131" s="1"/>
      <c r="FE131" s="1"/>
      <c r="FF131" s="1"/>
      <c r="FG131" s="1"/>
      <c r="FH131" s="74">
        <f t="shared" si="43"/>
        <v>0</v>
      </c>
      <c r="FI131" s="93"/>
      <c r="FJ131" s="90"/>
      <c r="FK131" s="93"/>
      <c r="FL131" s="93"/>
      <c r="FM131" s="93"/>
      <c r="FN131" s="92"/>
      <c r="FO131" s="92"/>
      <c r="FP131" s="1">
        <v>28</v>
      </c>
      <c r="FQ131" s="1"/>
      <c r="FR131" s="1"/>
      <c r="FS131" s="1"/>
      <c r="FT131" s="1"/>
      <c r="FU131" s="1"/>
      <c r="FV131" s="1"/>
      <c r="FW131" s="1"/>
      <c r="FX131" s="74">
        <f t="shared" si="44"/>
        <v>0</v>
      </c>
      <c r="FY131" s="93"/>
      <c r="FZ131" s="93"/>
      <c r="GA131" s="93"/>
      <c r="GB131" s="93"/>
      <c r="GC131" s="93"/>
      <c r="GD131" s="93"/>
      <c r="GE131" s="93"/>
      <c r="GF131" s="1">
        <v>28</v>
      </c>
      <c r="GG131" s="1"/>
      <c r="GH131" s="1"/>
      <c r="GI131" s="1"/>
      <c r="GJ131" s="1"/>
      <c r="GK131" s="1"/>
      <c r="GL131" s="1"/>
      <c r="GM131" s="1"/>
      <c r="GN131" s="74">
        <f t="shared" si="45"/>
        <v>0</v>
      </c>
      <c r="GO131" s="93"/>
      <c r="GP131" s="93"/>
      <c r="GQ131" s="93"/>
      <c r="GR131" s="93"/>
      <c r="GS131" s="93"/>
      <c r="GT131" s="93"/>
      <c r="GU131" s="93"/>
      <c r="GV131" s="93"/>
      <c r="GW131" s="1">
        <v>28</v>
      </c>
      <c r="GX131" s="74">
        <f t="shared" si="46"/>
        <v>3859.2825000000003</v>
      </c>
      <c r="GY131" s="75">
        <f t="shared" si="47"/>
        <v>38.592825000000005</v>
      </c>
      <c r="HA131" s="43">
        <f t="shared" si="48"/>
        <v>3306.8075000000003</v>
      </c>
      <c r="HC131" s="1">
        <v>28</v>
      </c>
      <c r="HD131" s="4">
        <v>0</v>
      </c>
      <c r="HE131" s="4">
        <v>72.453699999999998</v>
      </c>
      <c r="HF131" s="4">
        <v>27.3537</v>
      </c>
      <c r="HG131" s="4">
        <v>0.19259899999999999</v>
      </c>
      <c r="HH131" s="81">
        <f t="shared" si="49"/>
        <v>84.38916414122383</v>
      </c>
      <c r="HJ131" s="162"/>
      <c r="HK131" s="172"/>
      <c r="HL131" s="172"/>
      <c r="HM131" s="172"/>
      <c r="HN131" s="172"/>
      <c r="HO131" s="172"/>
      <c r="HP131" s="172"/>
      <c r="HV131" s="107"/>
      <c r="HX131" s="68"/>
      <c r="HY131" s="107"/>
      <c r="HZ131" s="68"/>
    </row>
    <row r="132" spans="12:234" x14ac:dyDescent="0.3">
      <c r="L132" s="1">
        <v>29</v>
      </c>
      <c r="M132" s="1"/>
      <c r="N132" s="1"/>
      <c r="O132" s="1">
        <f>$BB$95*O32/100</f>
        <v>235.227</v>
      </c>
      <c r="P132" s="1">
        <f>$BB$95*P32/100</f>
        <v>105.72</v>
      </c>
      <c r="Q132" s="1">
        <f>$BB$95*Q32/100</f>
        <v>237.87</v>
      </c>
      <c r="R132" s="1">
        <f>$BB$95*R32/100</f>
        <v>124.221</v>
      </c>
      <c r="S132" s="1">
        <f>$BB$95*S32/100</f>
        <v>203.511</v>
      </c>
      <c r="T132" s="74">
        <f t="shared" si="32"/>
        <v>906.54899999999998</v>
      </c>
      <c r="U132" s="87"/>
      <c r="AA132" s="87"/>
      <c r="AB132" s="1">
        <v>29</v>
      </c>
      <c r="AC132" s="1">
        <f t="shared" ref="AC132:AI132" si="141">$BB$95*AC32/100</f>
        <v>214.083</v>
      </c>
      <c r="AD132" s="1">
        <f t="shared" si="141"/>
        <v>190.29599999999999</v>
      </c>
      <c r="AE132" s="1">
        <f t="shared" si="141"/>
        <v>174.43799999999999</v>
      </c>
      <c r="AF132" s="1">
        <f t="shared" si="141"/>
        <v>182.36700000000002</v>
      </c>
      <c r="AG132" s="1">
        <f t="shared" si="141"/>
        <v>348.87599999999998</v>
      </c>
      <c r="AH132" s="1">
        <f t="shared" si="141"/>
        <v>187.65299999999999</v>
      </c>
      <c r="AI132" s="1">
        <f t="shared" si="141"/>
        <v>338.30400000000003</v>
      </c>
      <c r="AJ132" s="74">
        <f t="shared" si="33"/>
        <v>1636.0170000000001</v>
      </c>
      <c r="AK132" s="87"/>
      <c r="AQ132" s="87"/>
      <c r="AR132" s="1">
        <v>29</v>
      </c>
      <c r="AS132" s="1">
        <f>$BB$95*AS32/100</f>
        <v>237.87</v>
      </c>
      <c r="AT132" s="1">
        <f>$BB$89*AT32/100</f>
        <v>448.36200000000002</v>
      </c>
      <c r="AU132" s="1">
        <f>$BB$89*AU32/100</f>
        <v>591.31799999999998</v>
      </c>
      <c r="AV132" s="1">
        <f>$BR$94*AV32/100</f>
        <v>520.0625</v>
      </c>
      <c r="AW132" s="1">
        <f>$BR$94*AW32/100</f>
        <v>437.25</v>
      </c>
      <c r="AX132" s="1">
        <f>$BR$94*AX32/100</f>
        <v>424</v>
      </c>
      <c r="AY132" s="1">
        <f>$BR$94*AY32/100</f>
        <v>433.9375</v>
      </c>
      <c r="AZ132" s="74">
        <f t="shared" si="34"/>
        <v>3092.8</v>
      </c>
      <c r="BA132" s="87"/>
      <c r="BG132" s="87"/>
      <c r="BH132" s="1">
        <v>29</v>
      </c>
      <c r="BI132" s="1">
        <f>BR94*BI32/100</f>
        <v>543.25</v>
      </c>
      <c r="BJ132" s="1">
        <f>BR84*BJ32/100</f>
        <v>538.96</v>
      </c>
      <c r="BK132" s="1">
        <f>$BR$54*BK32/100</f>
        <v>570.48300000000006</v>
      </c>
      <c r="BL132" s="1">
        <f>$BR$54*BL32/100</f>
        <v>464.83800000000002</v>
      </c>
      <c r="BM132" s="1">
        <f>$BR$54*BM32/100</f>
        <v>478.92400000000004</v>
      </c>
      <c r="BN132" s="1">
        <f>$BR$54*BN32/100</f>
        <v>288.76300000000003</v>
      </c>
      <c r="BO132" s="1">
        <f>$ED$51*BO32/100</f>
        <v>150.88</v>
      </c>
      <c r="BP132" s="74">
        <f t="shared" si="35"/>
        <v>3036.0980000000004</v>
      </c>
      <c r="BQ132" s="87"/>
      <c r="BW132" s="87"/>
      <c r="BX132" s="1">
        <v>29</v>
      </c>
      <c r="BY132" s="1">
        <f t="shared" ref="BY132:CE132" si="142">$ED$51*BY32/100</f>
        <v>154.65199999999999</v>
      </c>
      <c r="BZ132" s="1">
        <f t="shared" si="142"/>
        <v>115.04600000000001</v>
      </c>
      <c r="CA132" s="1">
        <f t="shared" si="142"/>
        <v>96.186000000000007</v>
      </c>
      <c r="CB132" s="1">
        <f t="shared" si="142"/>
        <v>92.414000000000001</v>
      </c>
      <c r="CC132" s="1">
        <f t="shared" si="142"/>
        <v>62.238</v>
      </c>
      <c r="CD132" s="1">
        <f t="shared" si="142"/>
        <v>96.186000000000007</v>
      </c>
      <c r="CE132" s="1">
        <f t="shared" si="142"/>
        <v>64.123999999999995</v>
      </c>
      <c r="CF132" s="74">
        <f t="shared" si="36"/>
        <v>680.84600000000012</v>
      </c>
      <c r="CG132" s="87"/>
      <c r="CM132" s="87"/>
      <c r="CN132" s="1">
        <v>29</v>
      </c>
      <c r="CO132" s="1">
        <f t="shared" ref="CO132:CP132" si="143">$ED$51*CO32/100</f>
        <v>54.693999999999996</v>
      </c>
      <c r="CP132" s="1">
        <f t="shared" si="143"/>
        <v>73.554000000000002</v>
      </c>
      <c r="CQ132" s="1">
        <v>43.378</v>
      </c>
      <c r="CR132" s="85"/>
      <c r="CS132" s="1"/>
      <c r="CT132" s="3"/>
      <c r="CU132" s="1"/>
      <c r="CV132" s="74">
        <f t="shared" si="38"/>
        <v>171.62599999999998</v>
      </c>
      <c r="CW132" s="87"/>
      <c r="DC132" s="87"/>
      <c r="DD132" s="1">
        <v>29</v>
      </c>
      <c r="DE132" s="1"/>
      <c r="DF132" s="1"/>
      <c r="DG132" s="1"/>
      <c r="DH132" s="1"/>
      <c r="DI132" s="1"/>
      <c r="DJ132" s="1"/>
      <c r="DK132" s="1"/>
      <c r="DL132" s="74">
        <f t="shared" si="40"/>
        <v>0</v>
      </c>
      <c r="DM132" s="87"/>
      <c r="DS132" s="87"/>
      <c r="DT132" s="1">
        <v>29</v>
      </c>
      <c r="DU132" s="1"/>
      <c r="DV132" s="3"/>
      <c r="DW132" s="1"/>
      <c r="DX132" s="1"/>
      <c r="DY132" s="1"/>
      <c r="DZ132" s="1"/>
      <c r="EA132" s="1"/>
      <c r="EB132" s="74">
        <f t="shared" si="41"/>
        <v>0</v>
      </c>
      <c r="EC132" s="87"/>
      <c r="EI132" s="87"/>
      <c r="EJ132" s="1">
        <v>29</v>
      </c>
      <c r="EK132" s="1"/>
      <c r="EL132" s="1"/>
      <c r="EM132" s="1"/>
      <c r="EN132" s="1"/>
      <c r="EO132" s="1"/>
      <c r="EP132" s="1"/>
      <c r="EQ132" s="1"/>
      <c r="ER132" s="74">
        <f t="shared" si="42"/>
        <v>0</v>
      </c>
      <c r="ES132" s="90"/>
      <c r="EY132" s="93"/>
      <c r="EZ132" s="1">
        <v>29</v>
      </c>
      <c r="FA132" s="1"/>
      <c r="FB132" s="1"/>
      <c r="FC132" s="1"/>
      <c r="FD132" s="1"/>
      <c r="FE132" s="1"/>
      <c r="FF132" s="1"/>
      <c r="FG132" s="1"/>
      <c r="FH132" s="74">
        <f t="shared" si="43"/>
        <v>0</v>
      </c>
      <c r="FI132" s="93"/>
      <c r="FJ132" s="90"/>
      <c r="FK132" s="93"/>
      <c r="FL132" s="93"/>
      <c r="FM132" s="93"/>
      <c r="FN132" s="92"/>
      <c r="FO132" s="92"/>
      <c r="FP132" s="1">
        <v>29</v>
      </c>
      <c r="FQ132" s="1"/>
      <c r="FR132" s="1"/>
      <c r="FS132" s="1"/>
      <c r="FT132" s="1"/>
      <c r="FU132" s="1"/>
      <c r="FV132" s="1"/>
      <c r="FW132" s="1"/>
      <c r="FX132" s="74">
        <f t="shared" si="44"/>
        <v>0</v>
      </c>
      <c r="FY132" s="93"/>
      <c r="FZ132" s="93"/>
      <c r="GA132" s="93"/>
      <c r="GB132" s="93"/>
      <c r="GC132" s="93"/>
      <c r="GD132" s="93"/>
      <c r="GE132" s="93"/>
      <c r="GF132" s="1">
        <v>29</v>
      </c>
      <c r="GG132" s="1"/>
      <c r="GH132" s="1"/>
      <c r="GI132" s="1"/>
      <c r="GJ132" s="1"/>
      <c r="GK132" s="1"/>
      <c r="GL132" s="1"/>
      <c r="GM132" s="1"/>
      <c r="GN132" s="74">
        <f t="shared" si="45"/>
        <v>0</v>
      </c>
      <c r="GO132" s="93"/>
      <c r="GP132" s="93"/>
      <c r="GQ132" s="93"/>
      <c r="GR132" s="93"/>
      <c r="GS132" s="93"/>
      <c r="GT132" s="93"/>
      <c r="GU132" s="93"/>
      <c r="GV132" s="93"/>
      <c r="GW132" s="1">
        <v>29</v>
      </c>
      <c r="GX132" s="74">
        <f t="shared" si="46"/>
        <v>9523.9359999999997</v>
      </c>
      <c r="GY132" s="75">
        <f t="shared" si="47"/>
        <v>95.239359999999991</v>
      </c>
      <c r="HA132" s="43">
        <f t="shared" si="48"/>
        <v>8971.4609999999993</v>
      </c>
      <c r="HC132" s="1">
        <v>29</v>
      </c>
      <c r="HD132" s="4">
        <v>0</v>
      </c>
      <c r="HE132" s="4">
        <v>0</v>
      </c>
      <c r="HF132" s="4">
        <v>100</v>
      </c>
      <c r="HG132" s="4">
        <v>0</v>
      </c>
      <c r="HH132" s="81">
        <f t="shared" si="49"/>
        <v>232.95138214939865</v>
      </c>
      <c r="HJ132" s="162"/>
      <c r="HK132" s="172"/>
      <c r="HL132" s="172"/>
      <c r="HM132" s="172"/>
      <c r="HN132" s="172"/>
      <c r="HO132" s="172"/>
      <c r="HP132" s="172"/>
      <c r="HV132" s="107"/>
      <c r="HX132" s="68"/>
      <c r="HY132" s="107"/>
      <c r="HZ132" s="68"/>
    </row>
    <row r="133" spans="12:234" x14ac:dyDescent="0.3">
      <c r="L133" s="1">
        <v>30</v>
      </c>
      <c r="M133" s="1"/>
      <c r="N133" s="1"/>
      <c r="O133" s="1">
        <f>$BR$82*O33/100</f>
        <v>116.715</v>
      </c>
      <c r="P133" s="1">
        <f>$BR$82*P33/100</f>
        <v>54.592500000000001</v>
      </c>
      <c r="Q133" s="1">
        <f>$BR$82*Q33/100</f>
        <v>116.715</v>
      </c>
      <c r="R133" s="1">
        <f>$BR$82*R33/100</f>
        <v>105.42</v>
      </c>
      <c r="S133" s="1">
        <f>$BR$82*S33/100</f>
        <v>116.715</v>
      </c>
      <c r="T133" s="74">
        <f t="shared" si="32"/>
        <v>510.15750000000003</v>
      </c>
      <c r="U133" s="87"/>
      <c r="AA133" s="87"/>
      <c r="AB133" s="1">
        <v>30</v>
      </c>
      <c r="AC133" s="1">
        <f t="shared" ref="AC133:AI133" si="144">$BR$82*AC33/100</f>
        <v>124.245</v>
      </c>
      <c r="AD133" s="1">
        <f t="shared" si="144"/>
        <v>82.83</v>
      </c>
      <c r="AE133" s="1">
        <f t="shared" si="144"/>
        <v>79.064999999999998</v>
      </c>
      <c r="AF133" s="1">
        <f t="shared" si="144"/>
        <v>79.064999999999998</v>
      </c>
      <c r="AG133" s="1">
        <f t="shared" si="144"/>
        <v>231.54750000000001</v>
      </c>
      <c r="AH133" s="1">
        <f t="shared" si="144"/>
        <v>77.182500000000005</v>
      </c>
      <c r="AI133" s="1">
        <f t="shared" si="144"/>
        <v>146.83500000000001</v>
      </c>
      <c r="AJ133" s="74">
        <f t="shared" si="33"/>
        <v>820.7700000000001</v>
      </c>
      <c r="AK133" s="87"/>
      <c r="AQ133" s="87"/>
      <c r="AR133" s="1">
        <v>30</v>
      </c>
      <c r="AS133" s="1">
        <f t="shared" ref="AS133:AY133" si="145">$BR$82*AS33/100</f>
        <v>188.25</v>
      </c>
      <c r="AT133" s="1">
        <f t="shared" si="145"/>
        <v>348.26249999999999</v>
      </c>
      <c r="AU133" s="1">
        <f t="shared" si="145"/>
        <v>146.83500000000001</v>
      </c>
      <c r="AV133" s="1">
        <f t="shared" si="145"/>
        <v>161.89500000000001</v>
      </c>
      <c r="AW133" s="1">
        <f t="shared" si="145"/>
        <v>154.36500000000001</v>
      </c>
      <c r="AX133" s="1">
        <f t="shared" si="145"/>
        <v>193.89750000000001</v>
      </c>
      <c r="AY133" s="1">
        <f t="shared" si="145"/>
        <v>154.36500000000001</v>
      </c>
      <c r="AZ133" s="74">
        <f t="shared" si="34"/>
        <v>1347.8700000000001</v>
      </c>
      <c r="BA133" s="87"/>
      <c r="BG133" s="87"/>
      <c r="BH133" s="1">
        <v>30</v>
      </c>
      <c r="BI133" s="1">
        <f>$BR$82*BI33/100</f>
        <v>199.54499999999999</v>
      </c>
      <c r="BJ133" s="1">
        <f>$BR$82*BJ33/100</f>
        <v>259.78500000000003</v>
      </c>
      <c r="BK133" s="1">
        <f>$CH$63*BK33/100</f>
        <v>336.26</v>
      </c>
      <c r="BL133" s="1">
        <f>$CH$63*BL33/100</f>
        <v>365.93</v>
      </c>
      <c r="BM133" s="1">
        <f>$CH$63*BM33/100</f>
        <v>494.5</v>
      </c>
      <c r="BN133" s="1">
        <f>$CH$63*BN33/100</f>
        <v>343.67750000000001</v>
      </c>
      <c r="BO133" s="1">
        <f>$CH$63*BO33/100</f>
        <v>385.71</v>
      </c>
      <c r="BP133" s="74">
        <f t="shared" si="35"/>
        <v>2385.4074999999998</v>
      </c>
      <c r="BQ133" s="87"/>
      <c r="BW133" s="87"/>
      <c r="BX133" s="1">
        <v>30</v>
      </c>
      <c r="BY133" s="1">
        <f>$CH$63*BY33/100</f>
        <v>435.16</v>
      </c>
      <c r="BZ133" s="1">
        <f>$CH$63*BZ33/100</f>
        <v>405.49</v>
      </c>
      <c r="CA133" s="1">
        <f>$CH$44*CA33/100</f>
        <v>363.55800000000005</v>
      </c>
      <c r="CB133" s="1">
        <f>$CH$44*CB33/100</f>
        <v>391.524</v>
      </c>
      <c r="CC133" s="1">
        <f>$CH$44*CC33/100</f>
        <v>410.16800000000001</v>
      </c>
      <c r="CD133" s="1">
        <f>$CH$44*CD33/100</f>
        <v>391.524</v>
      </c>
      <c r="CE133" s="1">
        <f>$ED$64*CE33/100</f>
        <v>284.54000000000002</v>
      </c>
      <c r="CF133" s="74">
        <f t="shared" si="36"/>
        <v>2681.9639999999999</v>
      </c>
      <c r="CG133" s="87"/>
      <c r="CM133" s="87"/>
      <c r="CN133" s="1">
        <v>30</v>
      </c>
      <c r="CO133" s="1">
        <f t="shared" ref="CO133:CU133" si="146">$ED$64*CO33/100</f>
        <v>256.78000000000003</v>
      </c>
      <c r="CP133" s="1">
        <f t="shared" si="146"/>
        <v>426.81</v>
      </c>
      <c r="CQ133" s="1">
        <f>$ED$64*CQ33/100</f>
        <v>163.09000000000003</v>
      </c>
      <c r="CR133" s="1">
        <f t="shared" si="146"/>
        <v>163.09000000000003</v>
      </c>
      <c r="CS133" s="1">
        <f t="shared" si="146"/>
        <v>170.72400000000002</v>
      </c>
      <c r="CT133" s="1">
        <f t="shared" si="146"/>
        <v>142.27000000000001</v>
      </c>
      <c r="CU133" s="1">
        <f t="shared" si="146"/>
        <v>71.135000000000005</v>
      </c>
      <c r="CV133" s="74">
        <f t="shared" si="38"/>
        <v>1393.8990000000001</v>
      </c>
      <c r="CW133" s="87"/>
      <c r="DC133" s="87"/>
      <c r="DD133" s="1">
        <v>30</v>
      </c>
      <c r="DE133" s="1">
        <f t="shared" ref="DE133:DF133" si="147">$ED$64*DE33/100</f>
        <v>50.314999999999998</v>
      </c>
      <c r="DF133" s="1">
        <f t="shared" si="147"/>
        <v>27.76</v>
      </c>
      <c r="DG133" s="85"/>
      <c r="DH133" s="1"/>
      <c r="DI133" s="1"/>
      <c r="DJ133" s="1"/>
      <c r="DK133" s="1"/>
      <c r="DL133" s="74">
        <f t="shared" si="40"/>
        <v>78.075000000000003</v>
      </c>
      <c r="DM133" s="87"/>
      <c r="DS133" s="87"/>
      <c r="DT133" s="1">
        <v>30</v>
      </c>
      <c r="DU133" s="1"/>
      <c r="DV133" s="1"/>
      <c r="DW133" s="1"/>
      <c r="DX133" s="1"/>
      <c r="DY133" s="1"/>
      <c r="DZ133" s="1"/>
      <c r="EA133" s="1"/>
      <c r="EB133" s="74">
        <f t="shared" si="41"/>
        <v>0</v>
      </c>
      <c r="EC133" s="87"/>
      <c r="EI133" s="87"/>
      <c r="EJ133" s="1">
        <v>30</v>
      </c>
      <c r="EK133" s="1"/>
      <c r="EL133" s="1"/>
      <c r="EM133" s="1"/>
      <c r="EN133" s="1"/>
      <c r="EO133" s="1"/>
      <c r="EP133" s="1"/>
      <c r="EQ133" s="1"/>
      <c r="ER133" s="74">
        <f t="shared" si="42"/>
        <v>0</v>
      </c>
      <c r="ES133" s="90"/>
      <c r="EY133" s="93"/>
      <c r="EZ133" s="1">
        <v>30</v>
      </c>
      <c r="FA133" s="1"/>
      <c r="FB133" s="1"/>
      <c r="FC133" s="1"/>
      <c r="FD133" s="1"/>
      <c r="FE133" s="1"/>
      <c r="FF133" s="1"/>
      <c r="FG133" s="1"/>
      <c r="FH133" s="74">
        <f t="shared" si="43"/>
        <v>0</v>
      </c>
      <c r="FI133" s="93"/>
      <c r="FJ133" s="90"/>
      <c r="FK133" s="93"/>
      <c r="FL133" s="93"/>
      <c r="FM133" s="93"/>
      <c r="FN133" s="92"/>
      <c r="FO133" s="92"/>
      <c r="FP133" s="1">
        <v>30</v>
      </c>
      <c r="FQ133" s="1"/>
      <c r="FR133" s="1"/>
      <c r="FS133" s="1"/>
      <c r="FT133" s="1"/>
      <c r="FU133" s="1"/>
      <c r="FV133" s="1"/>
      <c r="FW133" s="1"/>
      <c r="FX133" s="74">
        <f t="shared" si="44"/>
        <v>0</v>
      </c>
      <c r="FY133" s="93"/>
      <c r="FZ133" s="93"/>
      <c r="GA133" s="93"/>
      <c r="GB133" s="93"/>
      <c r="GC133" s="93"/>
      <c r="GD133" s="93"/>
      <c r="GE133" s="93"/>
      <c r="GF133" s="1">
        <v>30</v>
      </c>
      <c r="GG133" s="1"/>
      <c r="GH133" s="1"/>
      <c r="GI133" s="1"/>
      <c r="GJ133" s="1"/>
      <c r="GK133" s="1"/>
      <c r="GL133" s="1"/>
      <c r="GM133" s="1"/>
      <c r="GN133" s="74">
        <f t="shared" si="45"/>
        <v>0</v>
      </c>
      <c r="GO133" s="93"/>
      <c r="GP133" s="93"/>
      <c r="GQ133" s="93"/>
      <c r="GR133" s="93"/>
      <c r="GS133" s="93"/>
      <c r="GT133" s="93"/>
      <c r="GU133" s="93"/>
      <c r="GV133" s="93"/>
      <c r="GW133" s="1">
        <v>30</v>
      </c>
      <c r="GX133" s="74">
        <f t="shared" si="46"/>
        <v>9218.143</v>
      </c>
      <c r="GY133" s="75">
        <f t="shared" si="47"/>
        <v>92.181430000000006</v>
      </c>
      <c r="HA133" s="43">
        <f t="shared" si="48"/>
        <v>8665.6679999999997</v>
      </c>
      <c r="HC133" s="1">
        <v>30</v>
      </c>
      <c r="HD133" s="4">
        <v>0</v>
      </c>
      <c r="HE133" s="4">
        <v>0</v>
      </c>
      <c r="HF133" s="4">
        <v>74.203400000000002</v>
      </c>
      <c r="HG133" s="4">
        <v>25.796600000000002</v>
      </c>
      <c r="HH133" s="81">
        <f t="shared" si="49"/>
        <v>216.90931079369687</v>
      </c>
      <c r="HJ133" s="162"/>
      <c r="HK133" s="172"/>
      <c r="HL133" s="172"/>
      <c r="HM133" s="172"/>
      <c r="HN133" s="172"/>
      <c r="HO133" s="172"/>
      <c r="HP133" s="172"/>
      <c r="HV133" s="107"/>
      <c r="HX133" s="68"/>
      <c r="HY133" s="107"/>
      <c r="HZ133" s="68"/>
    </row>
    <row r="134" spans="12:234" x14ac:dyDescent="0.3">
      <c r="L134" s="1">
        <v>31</v>
      </c>
      <c r="M134" s="1"/>
      <c r="N134" s="1"/>
      <c r="O134" s="1">
        <f>$BR$83*O34/100</f>
        <v>133.41150000000002</v>
      </c>
      <c r="P134" s="1">
        <f>$BR$83*P34/100</f>
        <v>73.472999999999999</v>
      </c>
      <c r="Q134" s="1">
        <f>$BR$83*Q34/100</f>
        <v>61.872000000000007</v>
      </c>
      <c r="R134" s="1">
        <f>$BR$83*R34/100</f>
        <v>69.606000000000009</v>
      </c>
      <c r="S134" s="1">
        <f>$BR$83*S34/100</f>
        <v>87.007499999999993</v>
      </c>
      <c r="T134" s="74">
        <f t="shared" si="32"/>
        <v>425.37</v>
      </c>
      <c r="U134" s="87"/>
      <c r="AA134" s="87"/>
      <c r="AB134" s="1">
        <v>31</v>
      </c>
      <c r="AC134" s="1">
        <f t="shared" ref="AC134:AI134" si="148">$BR$83*AC34/100</f>
        <v>104.40899999999999</v>
      </c>
      <c r="AD134" s="1">
        <f t="shared" si="148"/>
        <v>131.47800000000001</v>
      </c>
      <c r="AE134" s="1">
        <f t="shared" si="148"/>
        <v>104.40899999999999</v>
      </c>
      <c r="AF134" s="1">
        <f t="shared" si="148"/>
        <v>139.21200000000002</v>
      </c>
      <c r="AG134" s="1">
        <f t="shared" si="148"/>
        <v>189.483</v>
      </c>
      <c r="AH134" s="1">
        <f t="shared" si="148"/>
        <v>34.803000000000004</v>
      </c>
      <c r="AI134" s="1">
        <f t="shared" si="148"/>
        <v>42.536999999999999</v>
      </c>
      <c r="AJ134" s="74">
        <f t="shared" si="33"/>
        <v>746.33100000000002</v>
      </c>
      <c r="AK134" s="87"/>
      <c r="AQ134" s="87"/>
      <c r="AR134" s="1">
        <v>31</v>
      </c>
      <c r="AS134" s="1">
        <f t="shared" ref="AS134:AY134" si="149">$BR$83*AS34/100</f>
        <v>58.005000000000003</v>
      </c>
      <c r="AT134" s="1">
        <f>$BR$83*AT34/100</f>
        <v>243.62100000000001</v>
      </c>
      <c r="AU134" s="1">
        <f t="shared" si="149"/>
        <v>96.674999999999997</v>
      </c>
      <c r="AV134" s="1">
        <f t="shared" si="149"/>
        <v>181.74900000000002</v>
      </c>
      <c r="AW134" s="1">
        <f t="shared" si="149"/>
        <v>154.68</v>
      </c>
      <c r="AX134" s="1">
        <f t="shared" si="149"/>
        <v>189.483</v>
      </c>
      <c r="AY134" s="1">
        <f t="shared" si="149"/>
        <v>104.40899999999999</v>
      </c>
      <c r="AZ134" s="74">
        <f t="shared" si="34"/>
        <v>1028.6219999999998</v>
      </c>
      <c r="BA134" s="87"/>
      <c r="BG134" s="87"/>
      <c r="BH134" s="1">
        <v>31</v>
      </c>
      <c r="BI134" s="1">
        <f>$BR$83*BI34/100</f>
        <v>154.68</v>
      </c>
      <c r="BJ134" s="1">
        <f>$BR$83*BJ34/100</f>
        <v>224.28600000000003</v>
      </c>
      <c r="BK134" s="1">
        <f>$CH$64*BK34/100</f>
        <v>227.99</v>
      </c>
      <c r="BL134" s="1">
        <f>$CH$64*BL34/100</f>
        <v>224.733</v>
      </c>
      <c r="BM134" s="1">
        <f>$CH$64*BM34/100</f>
        <v>351.75599999999997</v>
      </c>
      <c r="BN134" s="1">
        <f>$CH$64*BN34/100</f>
        <v>257.303</v>
      </c>
      <c r="BO134" s="1">
        <f>$CH$64*BO34/100</f>
        <v>439.69499999999999</v>
      </c>
      <c r="BP134" s="74">
        <f t="shared" si="35"/>
        <v>1880.443</v>
      </c>
      <c r="BQ134" s="87"/>
      <c r="BW134" s="87"/>
      <c r="BX134" s="1">
        <v>31</v>
      </c>
      <c r="BY134" s="1">
        <f>$CH$64*BY34/100</f>
        <v>403.86800000000005</v>
      </c>
      <c r="BZ134" s="1">
        <f>$CH$64*BZ34/100</f>
        <v>312.67200000000003</v>
      </c>
      <c r="CA134" s="1">
        <f>$CH$43*CA34/100</f>
        <v>447.39</v>
      </c>
      <c r="CB134" s="1">
        <f>$CH$43*CB34/100</f>
        <v>536.86800000000005</v>
      </c>
      <c r="CC134" s="1">
        <f>$CH$43*CC34/100</f>
        <v>521.95500000000004</v>
      </c>
      <c r="CD134" s="1">
        <f>$CH$43*CD34/100</f>
        <v>581.60700000000008</v>
      </c>
      <c r="CE134" s="1">
        <f>$DN$52*CE34/100</f>
        <v>306.83699999999999</v>
      </c>
      <c r="CF134" s="74">
        <f t="shared" si="36"/>
        <v>3111.1970000000001</v>
      </c>
      <c r="CG134" s="87"/>
      <c r="CM134" s="87"/>
      <c r="CN134" s="1">
        <v>31</v>
      </c>
      <c r="CO134" s="1">
        <f t="shared" ref="CO134:CU134" si="150">$DN$52*CO34/100</f>
        <v>339.60599999999999</v>
      </c>
      <c r="CP134" s="1">
        <f t="shared" si="150"/>
        <v>408.12299999999993</v>
      </c>
      <c r="CQ134" s="1">
        <f t="shared" si="150"/>
        <v>268.11</v>
      </c>
      <c r="CR134" s="1">
        <f t="shared" si="150"/>
        <v>199.59299999999999</v>
      </c>
      <c r="CS134" s="1">
        <f t="shared" si="150"/>
        <v>208.53</v>
      </c>
      <c r="CT134" s="1">
        <f t="shared" si="150"/>
        <v>262.15199999999999</v>
      </c>
      <c r="CU134" s="1">
        <f t="shared" si="150"/>
        <v>145.971</v>
      </c>
      <c r="CV134" s="74">
        <f t="shared" si="38"/>
        <v>1832.085</v>
      </c>
      <c r="CW134" s="87"/>
      <c r="DC134" s="87"/>
      <c r="DD134" s="1">
        <v>31</v>
      </c>
      <c r="DE134" s="1">
        <f>$DN$52*DE34/100</f>
        <v>134.05500000000001</v>
      </c>
      <c r="DF134" s="1">
        <f>$DN$52*DF34/100</f>
        <v>101.286</v>
      </c>
      <c r="DG134" s="1">
        <f>$DN$52*DG34/100</f>
        <v>65.537999999999997</v>
      </c>
      <c r="DH134" s="1">
        <f>$DN$52*DH34/100</f>
        <v>128.09699999999998</v>
      </c>
      <c r="DI134" s="1">
        <f>$DN$52*DI34/100</f>
        <v>86.391000000000005</v>
      </c>
      <c r="DJ134" s="1">
        <f>$FZ$47*DJ34/100</f>
        <v>56.174999999999997</v>
      </c>
      <c r="DK134" s="1">
        <f>$FZ$47*DK34/100</f>
        <v>7.49</v>
      </c>
      <c r="DL134" s="74">
        <f t="shared" si="40"/>
        <v>579.03199999999993</v>
      </c>
      <c r="DM134" s="87"/>
      <c r="DS134" s="87"/>
      <c r="DT134" s="1">
        <v>31</v>
      </c>
      <c r="DU134" s="85"/>
      <c r="DV134" s="1"/>
      <c r="DW134" s="1"/>
      <c r="DX134" s="1"/>
      <c r="DY134" s="1"/>
      <c r="DZ134" s="1"/>
      <c r="EA134" s="1"/>
      <c r="EB134" s="74">
        <f t="shared" si="41"/>
        <v>0</v>
      </c>
      <c r="EC134" s="87"/>
      <c r="EI134" s="87"/>
      <c r="EJ134" s="1">
        <v>31</v>
      </c>
      <c r="EK134" s="1"/>
      <c r="EL134" s="1"/>
      <c r="EM134" s="1"/>
      <c r="EN134" s="1"/>
      <c r="EO134" s="1"/>
      <c r="EP134" s="1"/>
      <c r="EQ134" s="1"/>
      <c r="ER134" s="74">
        <f t="shared" si="42"/>
        <v>0</v>
      </c>
      <c r="ES134" s="90"/>
      <c r="EY134" s="93"/>
      <c r="EZ134" s="1">
        <v>31</v>
      </c>
      <c r="FA134" s="1"/>
      <c r="FB134" s="1"/>
      <c r="FC134" s="1"/>
      <c r="FD134" s="1"/>
      <c r="FE134" s="1"/>
      <c r="FF134" s="1"/>
      <c r="FG134" s="1"/>
      <c r="FH134" s="74">
        <f t="shared" si="43"/>
        <v>0</v>
      </c>
      <c r="FI134" s="93"/>
      <c r="FJ134" s="90"/>
      <c r="FK134" s="93"/>
      <c r="FL134" s="93"/>
      <c r="FM134" s="93"/>
      <c r="FN134" s="92"/>
      <c r="FO134" s="92"/>
      <c r="FP134" s="1">
        <v>31</v>
      </c>
      <c r="FQ134" s="1"/>
      <c r="FR134" s="1"/>
      <c r="FS134" s="1"/>
      <c r="FT134" s="1"/>
      <c r="FU134" s="1"/>
      <c r="FV134" s="1"/>
      <c r="FW134" s="1"/>
      <c r="FX134" s="74">
        <f t="shared" si="44"/>
        <v>0</v>
      </c>
      <c r="FY134" s="93"/>
      <c r="FZ134" s="93"/>
      <c r="GA134" s="93"/>
      <c r="GB134" s="93"/>
      <c r="GC134" s="93"/>
      <c r="GD134" s="93"/>
      <c r="GE134" s="93"/>
      <c r="GF134" s="1">
        <v>31</v>
      </c>
      <c r="GG134" s="1"/>
      <c r="GH134" s="1"/>
      <c r="GI134" s="1"/>
      <c r="GJ134" s="1"/>
      <c r="GK134" s="1"/>
      <c r="GL134" s="1"/>
      <c r="GM134" s="1"/>
      <c r="GN134" s="74">
        <f t="shared" si="45"/>
        <v>0</v>
      </c>
      <c r="GO134" s="93"/>
      <c r="GP134" s="93"/>
      <c r="GQ134" s="93"/>
      <c r="GR134" s="93"/>
      <c r="GS134" s="93"/>
      <c r="GT134" s="93"/>
      <c r="GU134" s="93"/>
      <c r="GV134" s="93"/>
      <c r="GW134" s="1">
        <v>31</v>
      </c>
      <c r="GX134" s="74">
        <f t="shared" si="46"/>
        <v>9603.0799999999981</v>
      </c>
      <c r="GY134" s="75">
        <f t="shared" si="47"/>
        <v>96.030799999999985</v>
      </c>
      <c r="HA134" s="43">
        <f t="shared" si="48"/>
        <v>9050.6049999999977</v>
      </c>
      <c r="HC134" s="1">
        <v>31</v>
      </c>
      <c r="HD134" s="4">
        <v>0</v>
      </c>
      <c r="HE134" s="4">
        <v>26.537199999999999</v>
      </c>
      <c r="HF134" s="64">
        <v>73.462800000000001</v>
      </c>
      <c r="HG134" s="4">
        <v>0</v>
      </c>
      <c r="HH134" s="81">
        <f t="shared" si="49"/>
        <v>233.53541771988282</v>
      </c>
      <c r="HJ134" s="162"/>
      <c r="HK134" s="172"/>
      <c r="HL134" s="172"/>
      <c r="HM134" s="172"/>
      <c r="HN134" s="172"/>
      <c r="HO134" s="172"/>
      <c r="HP134" s="172"/>
      <c r="HV134" s="107"/>
      <c r="HX134" s="68"/>
      <c r="HY134" s="107"/>
      <c r="HZ134" s="68"/>
    </row>
    <row r="135" spans="12:234" x14ac:dyDescent="0.3">
      <c r="L135" s="1" t="s">
        <v>77</v>
      </c>
      <c r="M135" s="1"/>
      <c r="N135" s="1"/>
      <c r="O135" s="1">
        <f>$BR$87*O35/100</f>
        <v>25.602499999999999</v>
      </c>
      <c r="P135" s="1">
        <f>$BR$87*P35/100</f>
        <v>41.772500000000001</v>
      </c>
      <c r="Q135" s="1">
        <f>$BR$87*Q35/100</f>
        <v>52.552500000000002</v>
      </c>
      <c r="R135" s="1">
        <f>$BR$87*R35/100</f>
        <v>97.02</v>
      </c>
      <c r="S135" s="1">
        <f>$BR$87*S35/100</f>
        <v>33.6875</v>
      </c>
      <c r="T135" s="74">
        <f t="shared" si="32"/>
        <v>250.63499999999999</v>
      </c>
      <c r="U135" s="87"/>
      <c r="AA135" s="87"/>
      <c r="AB135" s="1" t="s">
        <v>77</v>
      </c>
      <c r="AC135" s="1">
        <f t="shared" ref="AC135:AI135" si="151">$BR$87*AC35/100</f>
        <v>88.935000000000002</v>
      </c>
      <c r="AD135" s="1">
        <f t="shared" si="151"/>
        <v>30.9925</v>
      </c>
      <c r="AE135" s="1">
        <f t="shared" si="151"/>
        <v>5.39</v>
      </c>
      <c r="AF135" s="1">
        <f t="shared" si="151"/>
        <v>4.0425000000000004</v>
      </c>
      <c r="AG135" s="1">
        <f t="shared" si="151"/>
        <v>16.170000000000002</v>
      </c>
      <c r="AH135" s="1">
        <f t="shared" si="151"/>
        <v>8.0850000000000009</v>
      </c>
      <c r="AI135" s="1">
        <f t="shared" si="151"/>
        <v>10.78</v>
      </c>
      <c r="AJ135" s="74">
        <f t="shared" si="33"/>
        <v>164.39500000000004</v>
      </c>
      <c r="AK135" s="87"/>
      <c r="AQ135" s="87"/>
      <c r="AR135" s="1" t="s">
        <v>77</v>
      </c>
      <c r="AS135" s="1">
        <f t="shared" ref="AS135:AY135" si="152">$BR$87*AS35/100</f>
        <v>28.297499999999999</v>
      </c>
      <c r="AT135" s="1">
        <f t="shared" si="152"/>
        <v>5.39</v>
      </c>
      <c r="AU135" s="1">
        <f t="shared" si="152"/>
        <v>12.1275</v>
      </c>
      <c r="AV135" s="1">
        <f t="shared" si="152"/>
        <v>9.4324999999999992</v>
      </c>
      <c r="AW135" s="1">
        <f t="shared" si="152"/>
        <v>0</v>
      </c>
      <c r="AX135" s="1">
        <f t="shared" si="152"/>
        <v>13.475</v>
      </c>
      <c r="AY135" s="1">
        <f t="shared" si="152"/>
        <v>14.8225</v>
      </c>
      <c r="AZ135" s="74">
        <f t="shared" si="34"/>
        <v>83.545000000000002</v>
      </c>
      <c r="BA135" s="87"/>
      <c r="BG135" s="87"/>
      <c r="BH135" s="1" t="s">
        <v>77</v>
      </c>
      <c r="BI135" s="1">
        <f>$BR$87*BI35/100</f>
        <v>5.39</v>
      </c>
      <c r="BJ135" s="1">
        <f t="shared" ref="BJ135:BO135" si="153">$BR$87*BJ35/100</f>
        <v>10.78</v>
      </c>
      <c r="BK135" s="1">
        <f t="shared" si="153"/>
        <v>20.212499999999999</v>
      </c>
      <c r="BL135" s="1">
        <f t="shared" si="153"/>
        <v>9.4324999999999992</v>
      </c>
      <c r="BM135" s="1">
        <f t="shared" si="153"/>
        <v>4.0425000000000004</v>
      </c>
      <c r="BN135" s="1">
        <f t="shared" si="153"/>
        <v>4.0425000000000004</v>
      </c>
      <c r="BO135" s="1">
        <f t="shared" si="153"/>
        <v>0</v>
      </c>
      <c r="BP135" s="74">
        <f t="shared" si="35"/>
        <v>53.899999999999991</v>
      </c>
      <c r="BQ135" s="87"/>
      <c r="BW135" s="87"/>
      <c r="BX135" s="1" t="s">
        <v>77</v>
      </c>
      <c r="BY135" s="1"/>
      <c r="BZ135" s="1"/>
      <c r="CA135" s="1"/>
      <c r="CB135" s="1"/>
      <c r="CC135" s="1"/>
      <c r="CD135" s="1"/>
      <c r="CE135" s="1"/>
      <c r="CF135" s="74">
        <f t="shared" si="36"/>
        <v>0</v>
      </c>
      <c r="CG135" s="87"/>
      <c r="CM135" s="87"/>
      <c r="CN135" s="1" t="s">
        <v>77</v>
      </c>
      <c r="CO135" s="1"/>
      <c r="CP135" s="1"/>
      <c r="CQ135" s="1"/>
      <c r="CR135" s="1"/>
      <c r="CS135" s="1"/>
      <c r="CT135" s="1"/>
      <c r="CU135" s="1"/>
      <c r="CV135" s="74">
        <f t="shared" si="38"/>
        <v>0</v>
      </c>
      <c r="CW135" s="87"/>
      <c r="DC135" s="87"/>
      <c r="DD135" s="1" t="s">
        <v>77</v>
      </c>
      <c r="DE135" s="1"/>
      <c r="DF135" s="1"/>
      <c r="DG135" s="1"/>
      <c r="DH135" s="1"/>
      <c r="DI135" s="1"/>
      <c r="DJ135" s="1"/>
      <c r="DK135" s="1"/>
      <c r="DL135" s="74">
        <f t="shared" si="40"/>
        <v>0</v>
      </c>
      <c r="DM135" s="87"/>
      <c r="DS135" s="87"/>
      <c r="DT135" s="85" t="s">
        <v>77</v>
      </c>
      <c r="DU135" s="1"/>
      <c r="DV135" s="1"/>
      <c r="DW135" s="1"/>
      <c r="DX135" s="1"/>
      <c r="DY135" s="1"/>
      <c r="DZ135" s="1"/>
      <c r="EA135" s="1"/>
      <c r="EB135" s="74">
        <f t="shared" si="41"/>
        <v>0</v>
      </c>
      <c r="EC135" s="87"/>
      <c r="EI135" s="87"/>
      <c r="EJ135" s="85" t="s">
        <v>77</v>
      </c>
      <c r="EK135" s="1"/>
      <c r="EL135" s="1"/>
      <c r="EM135" s="1"/>
      <c r="EN135" s="1"/>
      <c r="EO135" s="1"/>
      <c r="EP135" s="1"/>
      <c r="EQ135" s="1"/>
      <c r="ER135" s="74">
        <f t="shared" si="42"/>
        <v>0</v>
      </c>
      <c r="ES135" s="90"/>
      <c r="EY135" s="93"/>
      <c r="EZ135" s="85" t="s">
        <v>77</v>
      </c>
      <c r="FA135" s="1"/>
      <c r="FB135" s="1"/>
      <c r="FC135" s="1"/>
      <c r="FD135" s="1"/>
      <c r="FE135" s="1"/>
      <c r="FF135" s="1"/>
      <c r="FG135" s="1"/>
      <c r="FH135" s="74">
        <f t="shared" si="43"/>
        <v>0</v>
      </c>
      <c r="FI135" s="93"/>
      <c r="FJ135" s="90"/>
      <c r="FK135" s="93"/>
      <c r="FL135" s="93"/>
      <c r="FM135" s="93"/>
      <c r="FN135" s="92"/>
      <c r="FO135" s="92"/>
      <c r="FP135" s="85" t="s">
        <v>77</v>
      </c>
      <c r="FQ135" s="1"/>
      <c r="FR135" s="1"/>
      <c r="FS135" s="1"/>
      <c r="FT135" s="1"/>
      <c r="FU135" s="1"/>
      <c r="FV135" s="1"/>
      <c r="FW135" s="1"/>
      <c r="FX135" s="74">
        <f t="shared" si="44"/>
        <v>0</v>
      </c>
      <c r="FY135" s="93"/>
      <c r="FZ135" s="93"/>
      <c r="GA135" s="93"/>
      <c r="GB135" s="93"/>
      <c r="GC135" s="93"/>
      <c r="GD135" s="93"/>
      <c r="GE135" s="93"/>
      <c r="GF135" s="85" t="s">
        <v>77</v>
      </c>
      <c r="GG135" s="1"/>
      <c r="GH135" s="1"/>
      <c r="GI135" s="1"/>
      <c r="GJ135" s="1"/>
      <c r="GK135" s="1"/>
      <c r="GL135" s="1"/>
      <c r="GM135" s="1"/>
      <c r="GN135" s="74">
        <f t="shared" si="45"/>
        <v>0</v>
      </c>
      <c r="GO135" s="93"/>
      <c r="GP135" s="93"/>
      <c r="GQ135" s="93"/>
      <c r="GR135" s="93"/>
      <c r="GS135" s="93"/>
      <c r="GT135" s="93"/>
      <c r="GU135" s="93"/>
      <c r="GV135" s="93"/>
      <c r="GW135" s="1" t="s">
        <v>77</v>
      </c>
      <c r="GX135" s="74">
        <f t="shared" si="46"/>
        <v>552.47500000000002</v>
      </c>
      <c r="GY135" s="75">
        <f t="shared" si="47"/>
        <v>5.52475</v>
      </c>
      <c r="HA135" s="43"/>
      <c r="HC135" s="1" t="s">
        <v>77</v>
      </c>
      <c r="HK135" s="172"/>
      <c r="HL135" s="172"/>
      <c r="HM135" s="172"/>
    </row>
    <row r="136" spans="12:234" x14ac:dyDescent="0.3">
      <c r="EL136" s="90"/>
      <c r="EM136" s="90"/>
      <c r="EN136" s="90"/>
      <c r="EO136" s="90"/>
      <c r="EP136" s="90"/>
      <c r="EQ136" s="90"/>
      <c r="ER136" s="90"/>
      <c r="ES136" s="90"/>
      <c r="EY136" s="90"/>
      <c r="FB136" s="90"/>
      <c r="HK136" s="172"/>
      <c r="HL136" s="172"/>
      <c r="HM136" s="172"/>
    </row>
  </sheetData>
  <mergeCells count="52">
    <mergeCell ref="IE37:IJ40"/>
    <mergeCell ref="FA102:FG102"/>
    <mergeCell ref="FQ2:FW2"/>
    <mergeCell ref="FZ2:GD2"/>
    <mergeCell ref="FQ102:FW102"/>
    <mergeCell ref="GG2:GM2"/>
    <mergeCell ref="GG102:GM102"/>
    <mergeCell ref="GZ3:HD13"/>
    <mergeCell ref="FJ2:FN2"/>
    <mergeCell ref="GP2:GT2"/>
    <mergeCell ref="IB2:IF2"/>
    <mergeCell ref="HP2:HV2"/>
    <mergeCell ref="EK102:EQ102"/>
    <mergeCell ref="BI2:BO2"/>
    <mergeCell ref="BQ2:BQ22"/>
    <mergeCell ref="BR2:BV2"/>
    <mergeCell ref="M2:S2"/>
    <mergeCell ref="U2:U22"/>
    <mergeCell ref="V2:Z2"/>
    <mergeCell ref="AC2:AI2"/>
    <mergeCell ref="AK2:AK22"/>
    <mergeCell ref="AL2:AP2"/>
    <mergeCell ref="CO2:CU2"/>
    <mergeCell ref="CO102:CU102"/>
    <mergeCell ref="DE102:DK102"/>
    <mergeCell ref="CX2:DB2"/>
    <mergeCell ref="DE2:DK2"/>
    <mergeCell ref="DN2:DR2"/>
    <mergeCell ref="ED2:EH2"/>
    <mergeCell ref="EK2:EQ2"/>
    <mergeCell ref="ET2:EX2"/>
    <mergeCell ref="FA2:FG2"/>
    <mergeCell ref="H14:J14"/>
    <mergeCell ref="J4:J13"/>
    <mergeCell ref="AS2:AY2"/>
    <mergeCell ref="BA2:BA22"/>
    <mergeCell ref="BB2:BF2"/>
    <mergeCell ref="BY2:CE2"/>
    <mergeCell ref="CG2:CG22"/>
    <mergeCell ref="M102:S102"/>
    <mergeCell ref="U102:U122"/>
    <mergeCell ref="AC102:AI102"/>
    <mergeCell ref="AK102:AK122"/>
    <mergeCell ref="AS102:AY102"/>
    <mergeCell ref="DU102:EA102"/>
    <mergeCell ref="CH2:CL2"/>
    <mergeCell ref="BA102:BA122"/>
    <mergeCell ref="BI102:BO102"/>
    <mergeCell ref="BQ102:BQ122"/>
    <mergeCell ref="BY102:CE102"/>
    <mergeCell ref="CG102:CG122"/>
    <mergeCell ref="DU2:EA2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DE55-5D27-4989-B962-08698BA355BD}">
  <dimension ref="A1:C20"/>
  <sheetViews>
    <sheetView workbookViewId="0">
      <selection activeCell="G20" sqref="G20"/>
    </sheetView>
  </sheetViews>
  <sheetFormatPr baseColWidth="10" defaultRowHeight="14.4" x14ac:dyDescent="0.3"/>
  <cols>
    <col min="1" max="16384" width="11.5546875" style="198"/>
  </cols>
  <sheetData>
    <row r="1" spans="1:3" x14ac:dyDescent="0.3">
      <c r="A1" s="1" t="s">
        <v>250</v>
      </c>
      <c r="B1" s="1" t="s">
        <v>270</v>
      </c>
      <c r="C1" s="1" t="s">
        <v>269</v>
      </c>
    </row>
    <row r="2" spans="1:3" x14ac:dyDescent="0.3">
      <c r="A2" s="1" t="s">
        <v>268</v>
      </c>
      <c r="B2" s="1">
        <v>151.71794150061586</v>
      </c>
      <c r="C2" s="12">
        <v>0.69186747906141366</v>
      </c>
    </row>
    <row r="3" spans="1:3" x14ac:dyDescent="0.3">
      <c r="A3" s="1" t="s">
        <v>267</v>
      </c>
      <c r="B3" s="1">
        <v>3.3071848180090955</v>
      </c>
      <c r="C3" s="12">
        <v>0.25660339712229596</v>
      </c>
    </row>
    <row r="4" spans="1:3" x14ac:dyDescent="0.3">
      <c r="A4" s="1" t="s">
        <v>266</v>
      </c>
      <c r="B4" s="1">
        <v>12.213043512623504</v>
      </c>
      <c r="C4" s="12">
        <v>0.1163210540775844</v>
      </c>
    </row>
    <row r="5" spans="1:3" x14ac:dyDescent="0.3">
      <c r="A5" s="1" t="s">
        <v>265</v>
      </c>
      <c r="B5" s="1">
        <v>232.95138214939865</v>
      </c>
      <c r="C5" s="12">
        <v>0.30150937315961351</v>
      </c>
    </row>
    <row r="6" spans="1:3" x14ac:dyDescent="0.3">
      <c r="A6" s="1" t="s">
        <v>264</v>
      </c>
      <c r="B6" s="1">
        <v>121.89989565929676</v>
      </c>
      <c r="C6" s="12">
        <v>0.59007192499864769</v>
      </c>
    </row>
    <row r="7" spans="1:3" x14ac:dyDescent="0.3">
      <c r="A7" s="1" t="s">
        <v>263</v>
      </c>
      <c r="B7" s="1">
        <v>57.575163628216991</v>
      </c>
      <c r="C7" s="12">
        <v>0.35434813841132856</v>
      </c>
    </row>
    <row r="8" spans="1:3" x14ac:dyDescent="0.3">
      <c r="A8" s="1" t="s">
        <v>262</v>
      </c>
      <c r="B8" s="3">
        <v>249.28385986453446</v>
      </c>
      <c r="C8" s="12">
        <v>0.63690734487127254</v>
      </c>
    </row>
    <row r="9" spans="1:3" x14ac:dyDescent="0.3">
      <c r="A9" s="1" t="s">
        <v>271</v>
      </c>
      <c r="B9" s="3">
        <v>121.22871417100583</v>
      </c>
      <c r="C9" s="12">
        <v>0.68345999440728122</v>
      </c>
    </row>
    <row r="10" spans="1:3" x14ac:dyDescent="0.3">
      <c r="A10" s="1" t="s">
        <v>261</v>
      </c>
      <c r="B10" s="1">
        <v>123.26920368843527</v>
      </c>
      <c r="C10" s="12">
        <v>0.33904478902897639</v>
      </c>
    </row>
    <row r="11" spans="1:3" x14ac:dyDescent="0.3">
      <c r="A11" s="1" t="s">
        <v>260</v>
      </c>
      <c r="B11" s="1">
        <v>153.7154950414338</v>
      </c>
      <c r="C11" s="12">
        <v>0.60589769055724685</v>
      </c>
    </row>
    <row r="12" spans="1:3" x14ac:dyDescent="0.3">
      <c r="A12" s="1" t="s">
        <v>259</v>
      </c>
      <c r="B12" s="1">
        <v>115.50198013057113</v>
      </c>
      <c r="C12" s="12">
        <v>0.38681053562422901</v>
      </c>
    </row>
    <row r="13" spans="1:3" x14ac:dyDescent="0.3">
      <c r="A13" s="1" t="s">
        <v>258</v>
      </c>
      <c r="B13" s="1">
        <v>23.385011465403803</v>
      </c>
      <c r="C13" s="12">
        <v>0.26333419454065005</v>
      </c>
    </row>
    <row r="14" spans="1:3" x14ac:dyDescent="0.3">
      <c r="A14" s="1" t="s">
        <v>257</v>
      </c>
      <c r="B14" s="1">
        <v>102.63954789418094</v>
      </c>
      <c r="C14" s="12">
        <v>0.27708383991312618</v>
      </c>
    </row>
    <row r="15" spans="1:3" x14ac:dyDescent="0.3">
      <c r="A15" s="1" t="s">
        <v>256</v>
      </c>
      <c r="B15" s="1">
        <v>141.40051815257547</v>
      </c>
      <c r="C15" s="12">
        <v>0.29567703195592487</v>
      </c>
    </row>
    <row r="16" spans="1:3" x14ac:dyDescent="0.3">
      <c r="A16" s="1" t="s">
        <v>255</v>
      </c>
      <c r="B16" s="1">
        <v>79.290133402176593</v>
      </c>
      <c r="C16" s="12">
        <v>0.33666488324552557</v>
      </c>
    </row>
    <row r="17" spans="1:3" x14ac:dyDescent="0.3">
      <c r="A17" s="1" t="s">
        <v>254</v>
      </c>
      <c r="B17" s="1">
        <v>133.64268586201834</v>
      </c>
      <c r="C17" s="12">
        <v>0.19929977926585141</v>
      </c>
    </row>
    <row r="18" spans="1:3" x14ac:dyDescent="0.3">
      <c r="A18" s="1" t="s">
        <v>253</v>
      </c>
      <c r="B18" s="1">
        <v>91.483179327293044</v>
      </c>
      <c r="C18" s="12">
        <v>0.40149127605971263</v>
      </c>
    </row>
    <row r="19" spans="1:3" x14ac:dyDescent="0.3">
      <c r="A19" s="1" t="s">
        <v>252</v>
      </c>
      <c r="B19" s="1">
        <v>212.99151386268915</v>
      </c>
      <c r="C19" s="12">
        <v>0.30364436816970625</v>
      </c>
    </row>
    <row r="20" spans="1:3" x14ac:dyDescent="0.3">
      <c r="A20" s="1" t="s">
        <v>251</v>
      </c>
      <c r="B20" s="1">
        <v>20.548459453537831</v>
      </c>
      <c r="C20" s="12">
        <v>0.33219666001930553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D121F-8587-4DE5-9DA4-49C32A66F61D}">
  <dimension ref="A2:AB41"/>
  <sheetViews>
    <sheetView workbookViewId="0">
      <selection activeCell="G9" sqref="G9"/>
    </sheetView>
  </sheetViews>
  <sheetFormatPr baseColWidth="10" defaultRowHeight="14.4" x14ac:dyDescent="0.3"/>
  <cols>
    <col min="1" max="1" width="23" customWidth="1"/>
  </cols>
  <sheetData>
    <row r="2" spans="1:28" s="163" customFormat="1" x14ac:dyDescent="0.3">
      <c r="J2" s="163" t="s">
        <v>210</v>
      </c>
      <c r="K2" s="163" t="s">
        <v>24</v>
      </c>
      <c r="L2" s="163" t="s">
        <v>1</v>
      </c>
      <c r="M2" s="163" t="s">
        <v>23</v>
      </c>
      <c r="N2" s="163" t="s">
        <v>53</v>
      </c>
    </row>
    <row r="3" spans="1:28" s="163" customFormat="1" x14ac:dyDescent="0.3">
      <c r="J3" s="163" t="s">
        <v>211</v>
      </c>
      <c r="K3" s="163">
        <v>48.06</v>
      </c>
      <c r="L3" s="163">
        <v>50.75</v>
      </c>
      <c r="M3" s="163">
        <v>42.94</v>
      </c>
      <c r="N3" s="163">
        <v>51.61</v>
      </c>
    </row>
    <row r="4" spans="1:28" s="163" customFormat="1" x14ac:dyDescent="0.3">
      <c r="J4" s="163" t="s">
        <v>212</v>
      </c>
      <c r="K4" s="163">
        <v>5.4</v>
      </c>
      <c r="L4" s="163">
        <v>1.66</v>
      </c>
      <c r="M4" s="163">
        <v>2.25</v>
      </c>
      <c r="N4" s="163">
        <v>2.67</v>
      </c>
    </row>
    <row r="5" spans="1:28" s="163" customFormat="1" x14ac:dyDescent="0.3"/>
    <row r="6" spans="1:28" s="163" customFormat="1" x14ac:dyDescent="0.3"/>
    <row r="9" spans="1:28" x14ac:dyDescent="0.3">
      <c r="A9" s="1" t="s">
        <v>131</v>
      </c>
      <c r="B9" s="1" t="s">
        <v>159</v>
      </c>
      <c r="C9" s="1" t="s">
        <v>160</v>
      </c>
      <c r="D9" s="1" t="s">
        <v>161</v>
      </c>
      <c r="E9" s="1" t="s">
        <v>162</v>
      </c>
      <c r="F9" s="1" t="s">
        <v>163</v>
      </c>
      <c r="G9" s="204" t="s">
        <v>41</v>
      </c>
      <c r="J9" s="1" t="s">
        <v>169</v>
      </c>
      <c r="K9" s="1" t="s">
        <v>46</v>
      </c>
      <c r="L9" s="1" t="s">
        <v>47</v>
      </c>
      <c r="M9" s="1" t="s">
        <v>48</v>
      </c>
      <c r="N9" s="1" t="s">
        <v>54</v>
      </c>
      <c r="P9" s="1" t="s">
        <v>213</v>
      </c>
      <c r="Q9" s="1" t="s">
        <v>46</v>
      </c>
      <c r="R9" s="1" t="s">
        <v>47</v>
      </c>
      <c r="S9" s="1" t="s">
        <v>48</v>
      </c>
      <c r="T9" s="1" t="s">
        <v>54</v>
      </c>
      <c r="U9" s="3" t="s">
        <v>34</v>
      </c>
      <c r="W9" s="1" t="s">
        <v>214</v>
      </c>
      <c r="X9" s="1" t="s">
        <v>46</v>
      </c>
      <c r="Y9" s="1" t="s">
        <v>47</v>
      </c>
      <c r="Z9" s="1" t="s">
        <v>48</v>
      </c>
      <c r="AA9" s="1" t="s">
        <v>54</v>
      </c>
      <c r="AB9" s="3" t="s">
        <v>34</v>
      </c>
    </row>
    <row r="10" spans="1:28" x14ac:dyDescent="0.3">
      <c r="A10" s="1" t="s">
        <v>132</v>
      </c>
      <c r="B10" s="4">
        <v>0.38885869682935187</v>
      </c>
      <c r="C10" s="4">
        <v>73.456695128340669</v>
      </c>
      <c r="D10" s="4">
        <v>0</v>
      </c>
      <c r="E10" s="4">
        <v>67.364297928611506</v>
      </c>
      <c r="F10" s="1">
        <v>369.91999999999996</v>
      </c>
      <c r="G10" s="74">
        <f>U10/AB10</f>
        <v>21.489843896047748</v>
      </c>
      <c r="J10" s="1">
        <v>1</v>
      </c>
      <c r="K10" s="1">
        <v>4.4064600000000002E-2</v>
      </c>
      <c r="L10" s="1">
        <v>27.802199999999999</v>
      </c>
      <c r="M10" s="1">
        <v>0</v>
      </c>
      <c r="N10" s="1">
        <v>72.153700000000001</v>
      </c>
      <c r="P10" s="1">
        <v>1</v>
      </c>
      <c r="Q10" s="74">
        <f>K10*$K$3/100</f>
        <v>2.117744676E-2</v>
      </c>
      <c r="R10" s="74">
        <f>$L$3*L10/100</f>
        <v>14.1096165</v>
      </c>
      <c r="S10" s="74">
        <f>$M$3*M10/100</f>
        <v>0</v>
      </c>
      <c r="T10" s="74">
        <f>$N$3*N10/100</f>
        <v>37.238524570000003</v>
      </c>
      <c r="U10" s="74">
        <f>SUM(Q10:T10)</f>
        <v>51.369318516760003</v>
      </c>
      <c r="W10" s="1">
        <v>1</v>
      </c>
      <c r="X10" s="74">
        <f>$K$4*K10/100</f>
        <v>2.3794884000000001E-3</v>
      </c>
      <c r="Y10" s="74">
        <f>$L$4*L10/100</f>
        <v>0.46151651999999999</v>
      </c>
      <c r="Z10" s="74">
        <f>$M$4*M10/100</f>
        <v>0</v>
      </c>
      <c r="AA10" s="74">
        <f>$N$4*N10/100</f>
        <v>1.9265037899999999</v>
      </c>
      <c r="AB10" s="74">
        <f>SUM(X10:AA10)</f>
        <v>2.3903997983999998</v>
      </c>
    </row>
    <row r="11" spans="1:28" x14ac:dyDescent="0.3">
      <c r="A11" s="1" t="s">
        <v>133</v>
      </c>
      <c r="B11" s="4">
        <v>0</v>
      </c>
      <c r="C11" s="4">
        <v>264.21180744092436</v>
      </c>
      <c r="D11" s="4">
        <v>0</v>
      </c>
      <c r="E11" s="4">
        <v>0</v>
      </c>
      <c r="F11" s="1">
        <v>369.91999999999996</v>
      </c>
      <c r="G11" s="74">
        <f t="shared" ref="G11:G40" si="0">U11/AB11</f>
        <v>30.572289156626507</v>
      </c>
      <c r="J11" s="1">
        <v>2</v>
      </c>
      <c r="K11" s="1">
        <v>0</v>
      </c>
      <c r="L11" s="1">
        <v>100</v>
      </c>
      <c r="M11" s="1">
        <v>0</v>
      </c>
      <c r="N11" s="1">
        <v>0</v>
      </c>
      <c r="P11" s="1">
        <v>2</v>
      </c>
      <c r="Q11" s="74">
        <f t="shared" ref="Q11:Q40" si="1">K11*$K$3/100</f>
        <v>0</v>
      </c>
      <c r="R11" s="74">
        <f t="shared" ref="R11:R40" si="2">$L$3*L11/100</f>
        <v>50.75</v>
      </c>
      <c r="S11" s="74">
        <f t="shared" ref="S11:S40" si="3">$M$3*M11/100</f>
        <v>0</v>
      </c>
      <c r="T11" s="74">
        <f t="shared" ref="T11:T40" si="4">$N$3*N11/100</f>
        <v>0</v>
      </c>
      <c r="U11" s="74">
        <f t="shared" ref="U11:U40" si="5">SUM(Q11:T11)</f>
        <v>50.75</v>
      </c>
      <c r="W11" s="1">
        <v>2</v>
      </c>
      <c r="X11" s="74">
        <f t="shared" ref="X11:X40" si="6">$K$4*K11/100</f>
        <v>0</v>
      </c>
      <c r="Y11" s="74">
        <f t="shared" ref="Y11:Y40" si="7">$L$4*L11/100</f>
        <v>1.66</v>
      </c>
      <c r="Z11" s="74">
        <f t="shared" ref="Z11:Z40" si="8">$M$4*M11/100</f>
        <v>0</v>
      </c>
      <c r="AA11" s="74">
        <f t="shared" ref="AA11:AA40" si="9">$N$4*N11/100</f>
        <v>0</v>
      </c>
      <c r="AB11" s="74">
        <f t="shared" ref="AB11:AB40" si="10">SUM(X11:AA11)</f>
        <v>1.66</v>
      </c>
    </row>
    <row r="12" spans="1:28" x14ac:dyDescent="0.3">
      <c r="A12" s="1" t="s">
        <v>134</v>
      </c>
      <c r="B12" s="4">
        <v>292.0283401069546</v>
      </c>
      <c r="C12" s="4">
        <v>87.934973752488446</v>
      </c>
      <c r="D12" s="4">
        <v>3.7754155928631432</v>
      </c>
      <c r="E12" s="4">
        <v>29.677796560607657</v>
      </c>
      <c r="F12" s="1">
        <v>369.91999999999996</v>
      </c>
      <c r="G12" s="74">
        <f t="shared" si="0"/>
        <v>15.478857239362638</v>
      </c>
      <c r="J12" s="78">
        <v>3</v>
      </c>
      <c r="K12" s="1">
        <v>33.091999999999999</v>
      </c>
      <c r="L12" s="1">
        <v>33.281999999999996</v>
      </c>
      <c r="M12" s="1">
        <v>1.8381700000000001</v>
      </c>
      <c r="N12" s="1">
        <v>31.787800000000001</v>
      </c>
      <c r="P12" s="78">
        <v>3</v>
      </c>
      <c r="Q12" s="74">
        <f t="shared" si="1"/>
        <v>15.904015200000002</v>
      </c>
      <c r="R12" s="74">
        <f t="shared" si="2"/>
        <v>16.890614999999997</v>
      </c>
      <c r="S12" s="74">
        <f t="shared" si="3"/>
        <v>0.78931019800000002</v>
      </c>
      <c r="T12" s="74">
        <f t="shared" si="4"/>
        <v>16.405683580000002</v>
      </c>
      <c r="U12" s="74">
        <f t="shared" si="5"/>
        <v>49.989623978000004</v>
      </c>
      <c r="W12" s="78">
        <v>3</v>
      </c>
      <c r="X12" s="74">
        <f t="shared" si="6"/>
        <v>1.7869679999999999</v>
      </c>
      <c r="Y12" s="74">
        <f t="shared" si="7"/>
        <v>0.55248119999999989</v>
      </c>
      <c r="Z12" s="74">
        <f t="shared" si="8"/>
        <v>4.1358825000000002E-2</v>
      </c>
      <c r="AA12" s="74">
        <f t="shared" si="9"/>
        <v>0.84873425999999996</v>
      </c>
      <c r="AB12" s="74">
        <f t="shared" si="10"/>
        <v>3.229542285</v>
      </c>
    </row>
    <row r="13" spans="1:28" x14ac:dyDescent="0.3">
      <c r="A13" s="1" t="s">
        <v>135</v>
      </c>
      <c r="B13" s="4">
        <v>240.01001986053689</v>
      </c>
      <c r="C13" s="4">
        <v>0</v>
      </c>
      <c r="D13" s="4">
        <v>149.5291900319221</v>
      </c>
      <c r="E13" s="4">
        <v>0</v>
      </c>
      <c r="F13" s="1">
        <v>369.91999999999996</v>
      </c>
      <c r="G13" s="74">
        <f t="shared" si="0"/>
        <v>14.269883991083708</v>
      </c>
      <c r="J13" s="99">
        <v>4</v>
      </c>
      <c r="K13" s="1">
        <v>27.197399999999998</v>
      </c>
      <c r="L13" s="1">
        <v>0</v>
      </c>
      <c r="M13" s="1">
        <v>72.802599999999998</v>
      </c>
      <c r="N13" s="1">
        <v>0</v>
      </c>
      <c r="P13" s="99">
        <v>4</v>
      </c>
      <c r="Q13" s="74">
        <f t="shared" si="1"/>
        <v>13.071070440000002</v>
      </c>
      <c r="R13" s="74">
        <f t="shared" si="2"/>
        <v>0</v>
      </c>
      <c r="S13" s="74">
        <f t="shared" si="3"/>
        <v>31.261436439999997</v>
      </c>
      <c r="T13" s="74">
        <f t="shared" si="4"/>
        <v>0</v>
      </c>
      <c r="U13" s="74">
        <f t="shared" si="5"/>
        <v>44.332506879999997</v>
      </c>
      <c r="W13" s="99">
        <v>4</v>
      </c>
      <c r="X13" s="74">
        <f t="shared" si="6"/>
        <v>1.4686596000000001</v>
      </c>
      <c r="Y13" s="74">
        <f t="shared" si="7"/>
        <v>0</v>
      </c>
      <c r="Z13" s="74">
        <f t="shared" si="8"/>
        <v>1.6380584999999999</v>
      </c>
      <c r="AA13" s="74">
        <f t="shared" si="9"/>
        <v>0</v>
      </c>
      <c r="AB13" s="74">
        <f t="shared" si="10"/>
        <v>3.1067181000000001</v>
      </c>
    </row>
    <row r="14" spans="1:28" x14ac:dyDescent="0.3">
      <c r="A14" s="1" t="s">
        <v>136</v>
      </c>
      <c r="B14" s="4">
        <v>296.1671437909315</v>
      </c>
      <c r="C14" s="4">
        <v>3.9121842327777667</v>
      </c>
      <c r="D14" s="4">
        <v>67.075618581005386</v>
      </c>
      <c r="E14" s="4">
        <v>30.156558037535273</v>
      </c>
      <c r="F14" s="1">
        <v>369.91999999999996</v>
      </c>
      <c r="G14" s="74">
        <f t="shared" si="0"/>
        <v>13.853544486467742</v>
      </c>
      <c r="J14" s="85">
        <v>5</v>
      </c>
      <c r="K14" s="1">
        <v>33.561</v>
      </c>
      <c r="L14" s="1">
        <v>1.4806999999999999</v>
      </c>
      <c r="M14" s="1">
        <v>32.657699999999998</v>
      </c>
      <c r="N14" s="1">
        <v>32.300600000000003</v>
      </c>
      <c r="P14" s="85">
        <v>5</v>
      </c>
      <c r="Q14" s="74">
        <f t="shared" si="1"/>
        <v>16.129416600000003</v>
      </c>
      <c r="R14" s="74">
        <f t="shared" si="2"/>
        <v>0.75145524999999991</v>
      </c>
      <c r="S14" s="74">
        <f t="shared" si="3"/>
        <v>14.023216379999999</v>
      </c>
      <c r="T14" s="74">
        <f t="shared" si="4"/>
        <v>16.670339660000003</v>
      </c>
      <c r="U14" s="74">
        <f t="shared" si="5"/>
        <v>47.574427890000003</v>
      </c>
      <c r="W14" s="85">
        <v>5</v>
      </c>
      <c r="X14" s="74">
        <f t="shared" si="6"/>
        <v>1.8122940000000001</v>
      </c>
      <c r="Y14" s="74">
        <f t="shared" si="7"/>
        <v>2.4579619999999996E-2</v>
      </c>
      <c r="Z14" s="74">
        <f t="shared" si="8"/>
        <v>0.73479824999999988</v>
      </c>
      <c r="AA14" s="74">
        <f t="shared" si="9"/>
        <v>0.86242602000000002</v>
      </c>
      <c r="AB14" s="74">
        <f t="shared" si="10"/>
        <v>3.4340978899999999</v>
      </c>
    </row>
    <row r="15" spans="1:28" x14ac:dyDescent="0.3">
      <c r="A15" s="1" t="s">
        <v>274</v>
      </c>
      <c r="B15" s="4">
        <v>187.06359653297488</v>
      </c>
      <c r="C15" s="4">
        <v>193.77637433067065</v>
      </c>
      <c r="D15" s="4">
        <v>0</v>
      </c>
      <c r="E15" s="4">
        <v>0</v>
      </c>
      <c r="F15" s="1">
        <v>369.91999999999996</v>
      </c>
      <c r="G15" s="74">
        <f>U15/AB15</f>
        <v>18.830340516579795</v>
      </c>
      <c r="J15" s="1">
        <v>6</v>
      </c>
      <c r="K15" s="1">
        <v>26.6587</v>
      </c>
      <c r="L15" s="1">
        <v>73.341300000000004</v>
      </c>
      <c r="M15" s="1">
        <v>0</v>
      </c>
      <c r="N15" s="1">
        <v>0</v>
      </c>
      <c r="P15" s="1">
        <v>6</v>
      </c>
      <c r="Q15" s="74">
        <f t="shared" si="1"/>
        <v>12.81217122</v>
      </c>
      <c r="R15" s="74">
        <f t="shared" si="2"/>
        <v>37.220709749999997</v>
      </c>
      <c r="S15" s="74">
        <f t="shared" si="3"/>
        <v>0</v>
      </c>
      <c r="T15" s="74">
        <f t="shared" si="4"/>
        <v>0</v>
      </c>
      <c r="U15" s="74">
        <f t="shared" si="5"/>
        <v>50.032880969999994</v>
      </c>
      <c r="W15" s="1">
        <v>6</v>
      </c>
      <c r="X15" s="74">
        <f t="shared" si="6"/>
        <v>1.4395698000000001</v>
      </c>
      <c r="Y15" s="74">
        <f t="shared" si="7"/>
        <v>1.21746558</v>
      </c>
      <c r="Z15" s="74">
        <f t="shared" si="8"/>
        <v>0</v>
      </c>
      <c r="AA15" s="74">
        <f t="shared" si="9"/>
        <v>0</v>
      </c>
      <c r="AB15" s="74">
        <f t="shared" si="10"/>
        <v>2.6570353799999999</v>
      </c>
    </row>
    <row r="16" spans="1:28" x14ac:dyDescent="0.3">
      <c r="A16" s="1" t="s">
        <v>137</v>
      </c>
      <c r="B16" s="4">
        <v>650.52551438892408</v>
      </c>
      <c r="C16" s="4">
        <v>0</v>
      </c>
      <c r="D16" s="4">
        <v>0</v>
      </c>
      <c r="E16" s="4">
        <v>24.539233196992416</v>
      </c>
      <c r="F16" s="1">
        <v>369.91999999999996</v>
      </c>
      <c r="G16" s="74">
        <f t="shared" si="0"/>
        <v>10.463130063892008</v>
      </c>
      <c r="J16" s="1">
        <v>7</v>
      </c>
      <c r="K16" s="1">
        <v>73.716099999999997</v>
      </c>
      <c r="L16" s="1">
        <v>0</v>
      </c>
      <c r="M16" s="1">
        <v>0</v>
      </c>
      <c r="N16" s="1">
        <v>26.283899999999999</v>
      </c>
      <c r="P16" s="1">
        <v>7</v>
      </c>
      <c r="Q16" s="74">
        <f t="shared" si="1"/>
        <v>35.427957660000004</v>
      </c>
      <c r="R16" s="74">
        <f t="shared" si="2"/>
        <v>0</v>
      </c>
      <c r="S16" s="74">
        <f t="shared" si="3"/>
        <v>0</v>
      </c>
      <c r="T16" s="74">
        <f t="shared" si="4"/>
        <v>13.565120789999998</v>
      </c>
      <c r="U16" s="74">
        <f t="shared" si="5"/>
        <v>48.993078449999999</v>
      </c>
      <c r="W16" s="1">
        <v>7</v>
      </c>
      <c r="X16" s="74">
        <f t="shared" si="6"/>
        <v>3.9806694</v>
      </c>
      <c r="Y16" s="74">
        <f t="shared" si="7"/>
        <v>0</v>
      </c>
      <c r="Z16" s="74">
        <f t="shared" si="8"/>
        <v>0</v>
      </c>
      <c r="AA16" s="74">
        <f t="shared" si="9"/>
        <v>0.70178012999999995</v>
      </c>
      <c r="AB16" s="74">
        <f t="shared" si="10"/>
        <v>4.6824495299999995</v>
      </c>
    </row>
    <row r="17" spans="1:28" x14ac:dyDescent="0.3">
      <c r="A17" s="1" t="s">
        <v>138</v>
      </c>
      <c r="B17" s="4">
        <v>411.47827380753836</v>
      </c>
      <c r="C17" s="4">
        <v>125.12278564979856</v>
      </c>
      <c r="D17" s="4">
        <v>12.354469714498048</v>
      </c>
      <c r="E17" s="4">
        <v>0</v>
      </c>
      <c r="F17" s="1">
        <v>369.91999999999996</v>
      </c>
      <c r="G17" s="74">
        <f t="shared" si="0"/>
        <v>14.254333207876655</v>
      </c>
      <c r="J17" s="1">
        <v>8</v>
      </c>
      <c r="K17" s="1">
        <v>46.627800000000001</v>
      </c>
      <c r="L17" s="1">
        <v>47.356999999999999</v>
      </c>
      <c r="M17" s="1">
        <v>6.0151300000000001</v>
      </c>
      <c r="N17" s="1">
        <v>0</v>
      </c>
      <c r="P17" s="1">
        <v>8</v>
      </c>
      <c r="Q17" s="74">
        <f t="shared" si="1"/>
        <v>22.40932068</v>
      </c>
      <c r="R17" s="74">
        <f t="shared" si="2"/>
        <v>24.0336775</v>
      </c>
      <c r="S17" s="74">
        <f t="shared" si="3"/>
        <v>2.5828968220000004</v>
      </c>
      <c r="T17" s="74">
        <f t="shared" si="4"/>
        <v>0</v>
      </c>
      <c r="U17" s="74">
        <f t="shared" si="5"/>
        <v>49.025895002000006</v>
      </c>
      <c r="W17" s="1">
        <v>8</v>
      </c>
      <c r="X17" s="74">
        <f t="shared" si="6"/>
        <v>2.5179012000000003</v>
      </c>
      <c r="Y17" s="74">
        <f t="shared" si="7"/>
        <v>0.78612619999999989</v>
      </c>
      <c r="Z17" s="74">
        <f t="shared" si="8"/>
        <v>0.13534042499999999</v>
      </c>
      <c r="AA17" s="74">
        <f t="shared" si="9"/>
        <v>0</v>
      </c>
      <c r="AB17" s="74">
        <f t="shared" si="10"/>
        <v>3.4393678250000002</v>
      </c>
    </row>
    <row r="18" spans="1:28" x14ac:dyDescent="0.3">
      <c r="A18" s="1" t="s">
        <v>139</v>
      </c>
      <c r="B18" s="4">
        <v>882.47413304410327</v>
      </c>
      <c r="C18" s="4">
        <v>0</v>
      </c>
      <c r="D18" s="4">
        <v>0</v>
      </c>
      <c r="E18" s="4">
        <v>0</v>
      </c>
      <c r="F18" s="1">
        <v>369.91999999999996</v>
      </c>
      <c r="G18" s="74">
        <f t="shared" si="0"/>
        <v>8.9</v>
      </c>
      <c r="J18" s="1">
        <v>9</v>
      </c>
      <c r="K18" s="1">
        <v>100</v>
      </c>
      <c r="L18" s="1">
        <v>0</v>
      </c>
      <c r="M18" s="1">
        <v>0</v>
      </c>
      <c r="N18" s="1">
        <v>0</v>
      </c>
      <c r="P18" s="1">
        <v>9</v>
      </c>
      <c r="Q18" s="74">
        <f t="shared" si="1"/>
        <v>48.06</v>
      </c>
      <c r="R18" s="74">
        <f t="shared" si="2"/>
        <v>0</v>
      </c>
      <c r="S18" s="74">
        <f t="shared" si="3"/>
        <v>0</v>
      </c>
      <c r="T18" s="74">
        <f t="shared" si="4"/>
        <v>0</v>
      </c>
      <c r="U18" s="74">
        <f t="shared" si="5"/>
        <v>48.06</v>
      </c>
      <c r="W18" s="1">
        <v>9</v>
      </c>
      <c r="X18" s="74">
        <f t="shared" si="6"/>
        <v>5.4</v>
      </c>
      <c r="Y18" s="74">
        <f t="shared" si="7"/>
        <v>0</v>
      </c>
      <c r="Z18" s="74">
        <f t="shared" si="8"/>
        <v>0</v>
      </c>
      <c r="AA18" s="74">
        <f t="shared" si="9"/>
        <v>0</v>
      </c>
      <c r="AB18" s="74">
        <f t="shared" si="10"/>
        <v>5.4</v>
      </c>
    </row>
    <row r="19" spans="1:28" x14ac:dyDescent="0.3">
      <c r="A19" s="1" t="s">
        <v>140</v>
      </c>
      <c r="B19" s="4">
        <v>285.80777994312672</v>
      </c>
      <c r="C19" s="4">
        <v>85.139877041570912</v>
      </c>
      <c r="D19" s="4">
        <v>68.046496655800652</v>
      </c>
      <c r="E19" s="4">
        <v>2.1084177429312971</v>
      </c>
      <c r="F19" s="1">
        <v>369.91999999999996</v>
      </c>
      <c r="G19" s="74">
        <f t="shared" si="0"/>
        <v>15.313108129161261</v>
      </c>
      <c r="J19" s="100">
        <v>10</v>
      </c>
      <c r="K19" s="1">
        <v>32.387099999999997</v>
      </c>
      <c r="L19" s="1">
        <v>32.2241</v>
      </c>
      <c r="M19" s="1">
        <v>33.130400000000002</v>
      </c>
      <c r="N19" s="1">
        <v>2.2583199999999999</v>
      </c>
      <c r="P19" s="100">
        <v>10</v>
      </c>
      <c r="Q19" s="74">
        <f t="shared" si="1"/>
        <v>15.565240259999998</v>
      </c>
      <c r="R19" s="74">
        <f t="shared" si="2"/>
        <v>16.35373075</v>
      </c>
      <c r="S19" s="74">
        <f t="shared" si="3"/>
        <v>14.226193760000001</v>
      </c>
      <c r="T19" s="74">
        <f t="shared" si="4"/>
        <v>1.165518952</v>
      </c>
      <c r="U19" s="74">
        <f t="shared" si="5"/>
        <v>47.310683722</v>
      </c>
      <c r="W19" s="100">
        <v>10</v>
      </c>
      <c r="X19" s="74">
        <f t="shared" si="6"/>
        <v>1.7489033999999999</v>
      </c>
      <c r="Y19" s="74">
        <f t="shared" si="7"/>
        <v>0.53492005999999992</v>
      </c>
      <c r="Z19" s="74">
        <f t="shared" si="8"/>
        <v>0.74543400000000004</v>
      </c>
      <c r="AA19" s="74">
        <f t="shared" si="9"/>
        <v>6.0297143999999997E-2</v>
      </c>
      <c r="AB19" s="74">
        <f t="shared" si="10"/>
        <v>3.0895546039999999</v>
      </c>
    </row>
    <row r="20" spans="1:28" x14ac:dyDescent="0.3">
      <c r="A20" s="1" t="s">
        <v>141</v>
      </c>
      <c r="B20" s="4">
        <v>0</v>
      </c>
      <c r="C20" s="4">
        <v>121.69648693090465</v>
      </c>
      <c r="D20" s="4">
        <v>96.240984906566482</v>
      </c>
      <c r="E20" s="4">
        <v>6.6120059589490143</v>
      </c>
      <c r="F20" s="1">
        <v>369.91999999999996</v>
      </c>
      <c r="G20" s="74">
        <f t="shared" si="0"/>
        <v>23.481854064745075</v>
      </c>
      <c r="J20" s="1">
        <v>11</v>
      </c>
      <c r="K20" s="1">
        <v>0</v>
      </c>
      <c r="L20" s="1">
        <v>46.060200000000002</v>
      </c>
      <c r="M20" s="1">
        <v>46.857700000000001</v>
      </c>
      <c r="N20" s="1">
        <v>7.0820999999999996</v>
      </c>
      <c r="P20" s="1">
        <v>11</v>
      </c>
      <c r="Q20" s="74">
        <f t="shared" si="1"/>
        <v>0</v>
      </c>
      <c r="R20" s="74">
        <f t="shared" si="2"/>
        <v>23.3755515</v>
      </c>
      <c r="S20" s="74">
        <f t="shared" si="3"/>
        <v>20.120696379999998</v>
      </c>
      <c r="T20" s="74">
        <f t="shared" si="4"/>
        <v>3.6550718099999999</v>
      </c>
      <c r="U20" s="74">
        <f t="shared" si="5"/>
        <v>47.151319690000001</v>
      </c>
      <c r="W20" s="1">
        <v>11</v>
      </c>
      <c r="X20" s="74">
        <f t="shared" si="6"/>
        <v>0</v>
      </c>
      <c r="Y20" s="74">
        <f t="shared" si="7"/>
        <v>0.76459931999999997</v>
      </c>
      <c r="Z20" s="74">
        <f t="shared" si="8"/>
        <v>1.05429825</v>
      </c>
      <c r="AA20" s="74">
        <f t="shared" si="9"/>
        <v>0.18909206999999997</v>
      </c>
      <c r="AB20" s="74">
        <f t="shared" si="10"/>
        <v>2.0079896399999999</v>
      </c>
    </row>
    <row r="21" spans="1:28" x14ac:dyDescent="0.3">
      <c r="A21" s="1" t="s">
        <v>272</v>
      </c>
      <c r="B21" s="4">
        <v>634.81041502767471</v>
      </c>
      <c r="C21" s="4">
        <v>0</v>
      </c>
      <c r="D21" s="4">
        <v>57.642060304012276</v>
      </c>
      <c r="E21" s="4">
        <v>0</v>
      </c>
      <c r="F21" s="1">
        <v>369.91999999999996</v>
      </c>
      <c r="G21" s="74">
        <f t="shared" si="0"/>
        <v>10.324065586956506</v>
      </c>
      <c r="J21" s="98">
        <v>12</v>
      </c>
      <c r="K21" s="1">
        <v>71.935299999999998</v>
      </c>
      <c r="L21" s="1">
        <v>0</v>
      </c>
      <c r="M21" s="1">
        <v>28.064699999999998</v>
      </c>
      <c r="N21" s="1">
        <v>0</v>
      </c>
      <c r="P21" s="98">
        <v>12</v>
      </c>
      <c r="Q21" s="74">
        <f t="shared" si="1"/>
        <v>34.572105180000001</v>
      </c>
      <c r="R21" s="74">
        <f t="shared" si="2"/>
        <v>0</v>
      </c>
      <c r="S21" s="74">
        <f t="shared" si="3"/>
        <v>12.050982179999998</v>
      </c>
      <c r="T21" s="74">
        <f t="shared" si="4"/>
        <v>0</v>
      </c>
      <c r="U21" s="74">
        <f t="shared" si="5"/>
        <v>46.62308736</v>
      </c>
      <c r="W21" s="98">
        <v>12</v>
      </c>
      <c r="X21" s="74">
        <f t="shared" si="6"/>
        <v>3.8845062000000001</v>
      </c>
      <c r="Y21" s="74">
        <f t="shared" si="7"/>
        <v>0</v>
      </c>
      <c r="Z21" s="74">
        <f t="shared" si="8"/>
        <v>0.63145574999999998</v>
      </c>
      <c r="AA21" s="74">
        <f t="shared" si="9"/>
        <v>0</v>
      </c>
      <c r="AB21" s="74">
        <f t="shared" si="10"/>
        <v>4.5159619500000003</v>
      </c>
    </row>
    <row r="22" spans="1:28" x14ac:dyDescent="0.3">
      <c r="A22" s="1" t="s">
        <v>142</v>
      </c>
      <c r="B22" s="4">
        <v>0</v>
      </c>
      <c r="C22" s="4">
        <v>0</v>
      </c>
      <c r="D22" s="4">
        <v>0</v>
      </c>
      <c r="E22" s="4">
        <v>93.362222489784301</v>
      </c>
      <c r="F22" s="1">
        <v>369.91999999999996</v>
      </c>
      <c r="G22" s="74">
        <f t="shared" si="0"/>
        <v>19.329588014981272</v>
      </c>
      <c r="J22" s="1">
        <v>13</v>
      </c>
      <c r="K22" s="1">
        <v>0</v>
      </c>
      <c r="L22" s="1">
        <v>0</v>
      </c>
      <c r="M22" s="1">
        <v>0</v>
      </c>
      <c r="N22" s="1">
        <v>100</v>
      </c>
      <c r="P22" s="1">
        <v>13</v>
      </c>
      <c r="Q22" s="74">
        <f t="shared" si="1"/>
        <v>0</v>
      </c>
      <c r="R22" s="74">
        <f t="shared" si="2"/>
        <v>0</v>
      </c>
      <c r="S22" s="74">
        <f t="shared" si="3"/>
        <v>0</v>
      </c>
      <c r="T22" s="74">
        <f t="shared" si="4"/>
        <v>51.61</v>
      </c>
      <c r="U22" s="74">
        <f t="shared" si="5"/>
        <v>51.61</v>
      </c>
      <c r="W22" s="1">
        <v>13</v>
      </c>
      <c r="X22" s="74">
        <f t="shared" si="6"/>
        <v>0</v>
      </c>
      <c r="Y22" s="74">
        <f t="shared" si="7"/>
        <v>0</v>
      </c>
      <c r="Z22" s="74">
        <f t="shared" si="8"/>
        <v>0</v>
      </c>
      <c r="AA22" s="74">
        <f t="shared" si="9"/>
        <v>2.67</v>
      </c>
      <c r="AB22" s="74">
        <f t="shared" si="10"/>
        <v>2.67</v>
      </c>
    </row>
    <row r="23" spans="1:28" x14ac:dyDescent="0.3">
      <c r="A23" s="1" t="s">
        <v>143</v>
      </c>
      <c r="B23" s="4">
        <v>56.938907764858321</v>
      </c>
      <c r="C23" s="4">
        <v>124.40492216898156</v>
      </c>
      <c r="D23" s="4">
        <v>0</v>
      </c>
      <c r="E23" s="4">
        <v>43.378422624316038</v>
      </c>
      <c r="F23" s="1">
        <v>369.91999999999996</v>
      </c>
      <c r="G23" s="74">
        <f t="shared" si="0"/>
        <v>21.503574744708686</v>
      </c>
      <c r="J23" s="3">
        <v>14</v>
      </c>
      <c r="K23" s="1">
        <v>6.4521899999999999</v>
      </c>
      <c r="L23" s="1">
        <v>47.085299999999997</v>
      </c>
      <c r="M23" s="1">
        <v>0</v>
      </c>
      <c r="N23" s="1">
        <v>46.462499999999999</v>
      </c>
      <c r="P23" s="3">
        <v>14</v>
      </c>
      <c r="Q23" s="74">
        <f t="shared" si="1"/>
        <v>3.1009225140000001</v>
      </c>
      <c r="R23" s="74">
        <f t="shared" si="2"/>
        <v>23.895789749999999</v>
      </c>
      <c r="S23" s="74">
        <f t="shared" si="3"/>
        <v>0</v>
      </c>
      <c r="T23" s="74">
        <f t="shared" si="4"/>
        <v>23.979296249999997</v>
      </c>
      <c r="U23" s="74">
        <f t="shared" si="5"/>
        <v>50.976008514</v>
      </c>
      <c r="W23" s="3">
        <v>14</v>
      </c>
      <c r="X23" s="74">
        <f t="shared" si="6"/>
        <v>0.34841826000000004</v>
      </c>
      <c r="Y23" s="74">
        <f t="shared" si="7"/>
        <v>0.78161597999999988</v>
      </c>
      <c r="Z23" s="74">
        <f t="shared" si="8"/>
        <v>0</v>
      </c>
      <c r="AA23" s="74">
        <f t="shared" si="9"/>
        <v>1.2405487499999999</v>
      </c>
      <c r="AB23" s="74">
        <f t="shared" si="10"/>
        <v>2.3705829899999999</v>
      </c>
    </row>
    <row r="24" spans="1:28" x14ac:dyDescent="0.3">
      <c r="A24" s="1" t="s">
        <v>144</v>
      </c>
      <c r="B24" s="4">
        <v>0</v>
      </c>
      <c r="C24" s="4">
        <v>192.0251784709522</v>
      </c>
      <c r="D24" s="4">
        <v>0</v>
      </c>
      <c r="E24" s="4">
        <v>25.507959617546422</v>
      </c>
      <c r="F24" s="1">
        <v>369.91999999999996</v>
      </c>
      <c r="G24" s="74">
        <f t="shared" si="0"/>
        <v>26.335928075309294</v>
      </c>
      <c r="J24" s="3">
        <v>15</v>
      </c>
      <c r="K24" s="1">
        <v>0</v>
      </c>
      <c r="L24" s="1">
        <v>72.6785</v>
      </c>
      <c r="M24" s="1">
        <v>0</v>
      </c>
      <c r="N24" s="1">
        <v>27.3215</v>
      </c>
      <c r="P24" s="3">
        <v>15</v>
      </c>
      <c r="Q24" s="74">
        <f t="shared" si="1"/>
        <v>0</v>
      </c>
      <c r="R24" s="74">
        <f t="shared" si="2"/>
        <v>36.884338750000005</v>
      </c>
      <c r="S24" s="74">
        <f t="shared" si="3"/>
        <v>0</v>
      </c>
      <c r="T24" s="74">
        <f t="shared" si="4"/>
        <v>14.10062615</v>
      </c>
      <c r="U24" s="74">
        <f t="shared" si="5"/>
        <v>50.984964900000008</v>
      </c>
      <c r="W24" s="3">
        <v>15</v>
      </c>
      <c r="X24" s="74">
        <f t="shared" si="6"/>
        <v>0</v>
      </c>
      <c r="Y24" s="74">
        <f t="shared" si="7"/>
        <v>1.2064630999999999</v>
      </c>
      <c r="Z24" s="74">
        <f t="shared" si="8"/>
        <v>0</v>
      </c>
      <c r="AA24" s="74">
        <f t="shared" si="9"/>
        <v>0.72948404999999994</v>
      </c>
      <c r="AB24" s="74">
        <f t="shared" si="10"/>
        <v>1.9359471499999998</v>
      </c>
    </row>
    <row r="25" spans="1:28" x14ac:dyDescent="0.3">
      <c r="A25" s="1" t="s">
        <v>145</v>
      </c>
      <c r="B25" s="4">
        <v>422.43330769514779</v>
      </c>
      <c r="C25" s="4">
        <v>12.706553506991167</v>
      </c>
      <c r="D25" s="4">
        <v>0</v>
      </c>
      <c r="E25" s="4">
        <v>44.180497477725773</v>
      </c>
      <c r="F25" s="1">
        <v>369.91999999999996</v>
      </c>
      <c r="G25" s="74">
        <f t="shared" si="0"/>
        <v>12.695020420276816</v>
      </c>
      <c r="J25" s="3">
        <v>16</v>
      </c>
      <c r="K25" s="1">
        <v>47.869199999999999</v>
      </c>
      <c r="L25" s="1">
        <v>4.8092300000000003</v>
      </c>
      <c r="M25" s="1">
        <v>0</v>
      </c>
      <c r="N25" s="1">
        <v>47.321599999999997</v>
      </c>
      <c r="P25" s="3">
        <v>16</v>
      </c>
      <c r="Q25" s="74">
        <f t="shared" si="1"/>
        <v>23.005937520000003</v>
      </c>
      <c r="R25" s="74">
        <f t="shared" si="2"/>
        <v>2.440684225</v>
      </c>
      <c r="S25" s="74">
        <f t="shared" si="3"/>
        <v>0</v>
      </c>
      <c r="T25" s="74">
        <f t="shared" si="4"/>
        <v>24.422677759999996</v>
      </c>
      <c r="U25" s="74">
        <f t="shared" si="5"/>
        <v>49.869299505000001</v>
      </c>
      <c r="W25" s="3">
        <v>16</v>
      </c>
      <c r="X25" s="74">
        <f t="shared" si="6"/>
        <v>2.5849368000000004</v>
      </c>
      <c r="Y25" s="74">
        <f t="shared" si="7"/>
        <v>7.9833218000000011E-2</v>
      </c>
      <c r="Z25" s="74">
        <f t="shared" si="8"/>
        <v>0</v>
      </c>
      <c r="AA25" s="74">
        <f t="shared" si="9"/>
        <v>1.26348672</v>
      </c>
      <c r="AB25" s="74">
        <f t="shared" si="10"/>
        <v>3.9282567380000004</v>
      </c>
    </row>
    <row r="26" spans="1:28" x14ac:dyDescent="0.3">
      <c r="A26" s="1" t="s">
        <v>146</v>
      </c>
      <c r="B26" s="4">
        <v>17.764822030070928</v>
      </c>
      <c r="C26" s="4">
        <v>82.844933282139024</v>
      </c>
      <c r="D26" s="4">
        <v>68.038075669748892</v>
      </c>
      <c r="E26" s="4">
        <v>31.281106007424725</v>
      </c>
      <c r="F26" s="1">
        <v>369.91999999999996</v>
      </c>
      <c r="G26" s="74">
        <f t="shared" si="0"/>
        <v>21.328309255288907</v>
      </c>
      <c r="J26" s="101">
        <v>17</v>
      </c>
      <c r="K26" s="1">
        <v>2.0130699999999999</v>
      </c>
      <c r="L26" s="1">
        <v>31.355499999999999</v>
      </c>
      <c r="M26" s="1">
        <v>33.126300000000001</v>
      </c>
      <c r="N26" s="1">
        <v>33.505099999999999</v>
      </c>
      <c r="P26" s="101">
        <v>17</v>
      </c>
      <c r="Q26" s="74">
        <f t="shared" si="1"/>
        <v>0.96748144199999997</v>
      </c>
      <c r="R26" s="74">
        <f t="shared" si="2"/>
        <v>15.91291625</v>
      </c>
      <c r="S26" s="74">
        <f t="shared" si="3"/>
        <v>14.224433219999998</v>
      </c>
      <c r="T26" s="74">
        <f t="shared" si="4"/>
        <v>17.291982109999999</v>
      </c>
      <c r="U26" s="74">
        <f t="shared" si="5"/>
        <v>48.396813021999996</v>
      </c>
      <c r="W26" s="101">
        <v>17</v>
      </c>
      <c r="X26" s="74">
        <f t="shared" si="6"/>
        <v>0.10870578</v>
      </c>
      <c r="Y26" s="74">
        <f t="shared" si="7"/>
        <v>0.52050129999999994</v>
      </c>
      <c r="Z26" s="74">
        <f t="shared" si="8"/>
        <v>0.74534175000000003</v>
      </c>
      <c r="AA26" s="74">
        <f t="shared" si="9"/>
        <v>0.89458616999999985</v>
      </c>
      <c r="AB26" s="74">
        <f t="shared" si="10"/>
        <v>2.2691349999999999</v>
      </c>
    </row>
    <row r="27" spans="1:28" x14ac:dyDescent="0.3">
      <c r="A27" s="1" t="s">
        <v>147</v>
      </c>
      <c r="B27" s="4">
        <v>285.80777994312672</v>
      </c>
      <c r="C27" s="4">
        <v>85.139877041570912</v>
      </c>
      <c r="D27" s="4">
        <v>68.046496655800652</v>
      </c>
      <c r="E27" s="4">
        <v>2.1084177429312971</v>
      </c>
      <c r="F27" s="1">
        <v>369.91999999999996</v>
      </c>
      <c r="G27" s="74">
        <f t="shared" si="0"/>
        <v>15.313108129161261</v>
      </c>
      <c r="J27" s="100">
        <v>18</v>
      </c>
      <c r="K27" s="1">
        <v>32.387099999999997</v>
      </c>
      <c r="L27" s="1">
        <v>32.2241</v>
      </c>
      <c r="M27" s="1">
        <v>33.130400000000002</v>
      </c>
      <c r="N27" s="1">
        <v>2.2583199999999999</v>
      </c>
      <c r="P27" s="100">
        <v>18</v>
      </c>
      <c r="Q27" s="74">
        <f t="shared" si="1"/>
        <v>15.565240259999998</v>
      </c>
      <c r="R27" s="74">
        <f t="shared" si="2"/>
        <v>16.35373075</v>
      </c>
      <c r="S27" s="74">
        <f t="shared" si="3"/>
        <v>14.226193760000001</v>
      </c>
      <c r="T27" s="74">
        <f t="shared" si="4"/>
        <v>1.165518952</v>
      </c>
      <c r="U27" s="74">
        <f t="shared" si="5"/>
        <v>47.310683722</v>
      </c>
      <c r="W27" s="100">
        <v>18</v>
      </c>
      <c r="X27" s="74">
        <f t="shared" si="6"/>
        <v>1.7489033999999999</v>
      </c>
      <c r="Y27" s="74">
        <f t="shared" si="7"/>
        <v>0.53492005999999992</v>
      </c>
      <c r="Z27" s="74">
        <f t="shared" si="8"/>
        <v>0.74543400000000004</v>
      </c>
      <c r="AA27" s="74">
        <f t="shared" si="9"/>
        <v>6.0297143999999997E-2</v>
      </c>
      <c r="AB27" s="74">
        <f t="shared" si="10"/>
        <v>3.0895546039999999</v>
      </c>
    </row>
    <row r="28" spans="1:28" x14ac:dyDescent="0.3">
      <c r="A28" s="1" t="s">
        <v>148</v>
      </c>
      <c r="B28" s="4">
        <v>0</v>
      </c>
      <c r="C28" s="4">
        <v>0</v>
      </c>
      <c r="D28" s="4">
        <v>57.486169367103123</v>
      </c>
      <c r="E28" s="4">
        <v>67.231256761563557</v>
      </c>
      <c r="F28" s="1">
        <v>369.91999999999996</v>
      </c>
      <c r="G28" s="74">
        <f t="shared" si="0"/>
        <v>19.269105399342585</v>
      </c>
      <c r="J28" s="3">
        <v>19</v>
      </c>
      <c r="K28" s="1">
        <v>0</v>
      </c>
      <c r="L28" s="1">
        <v>0</v>
      </c>
      <c r="M28" s="1">
        <v>27.988800000000001</v>
      </c>
      <c r="N28" s="1">
        <v>72.011200000000002</v>
      </c>
      <c r="P28" s="3">
        <v>19</v>
      </c>
      <c r="Q28" s="74">
        <f t="shared" si="1"/>
        <v>0</v>
      </c>
      <c r="R28" s="74">
        <f t="shared" si="2"/>
        <v>0</v>
      </c>
      <c r="S28" s="74">
        <f t="shared" si="3"/>
        <v>12.018390719999999</v>
      </c>
      <c r="T28" s="74">
        <f t="shared" si="4"/>
        <v>37.164980319999998</v>
      </c>
      <c r="U28" s="74">
        <f t="shared" si="5"/>
        <v>49.183371039999997</v>
      </c>
      <c r="W28" s="3">
        <v>19</v>
      </c>
      <c r="X28" s="74">
        <f t="shared" si="6"/>
        <v>0</v>
      </c>
      <c r="Y28" s="74">
        <f t="shared" si="7"/>
        <v>0</v>
      </c>
      <c r="Z28" s="74">
        <f t="shared" si="8"/>
        <v>0.62974799999999997</v>
      </c>
      <c r="AA28" s="74">
        <f t="shared" si="9"/>
        <v>1.9226990399999999</v>
      </c>
      <c r="AB28" s="74">
        <f t="shared" si="10"/>
        <v>2.5524470399999997</v>
      </c>
    </row>
    <row r="29" spans="1:28" x14ac:dyDescent="0.3">
      <c r="A29" s="1" t="s">
        <v>273</v>
      </c>
      <c r="B29" s="4">
        <v>240.01001986053689</v>
      </c>
      <c r="C29" s="4">
        <v>0</v>
      </c>
      <c r="D29" s="4">
        <v>149.5291900319221</v>
      </c>
      <c r="E29" s="4">
        <v>0</v>
      </c>
      <c r="F29" s="1">
        <v>369.91999999999996</v>
      </c>
      <c r="G29" s="74">
        <f t="shared" si="0"/>
        <v>14.269883991083708</v>
      </c>
      <c r="J29" s="99">
        <v>20</v>
      </c>
      <c r="K29" s="1">
        <v>27.197399999999998</v>
      </c>
      <c r="L29" s="1">
        <v>0</v>
      </c>
      <c r="M29" s="1">
        <v>72.802599999999998</v>
      </c>
      <c r="N29" s="1">
        <v>0</v>
      </c>
      <c r="P29" s="99">
        <v>20</v>
      </c>
      <c r="Q29" s="74">
        <f t="shared" si="1"/>
        <v>13.071070440000002</v>
      </c>
      <c r="R29" s="74">
        <f t="shared" si="2"/>
        <v>0</v>
      </c>
      <c r="S29" s="74">
        <f t="shared" si="3"/>
        <v>31.261436439999997</v>
      </c>
      <c r="T29" s="74">
        <f t="shared" si="4"/>
        <v>0</v>
      </c>
      <c r="U29" s="74">
        <f t="shared" si="5"/>
        <v>44.332506879999997</v>
      </c>
      <c r="W29" s="99">
        <v>20</v>
      </c>
      <c r="X29" s="74">
        <f t="shared" si="6"/>
        <v>1.4686596000000001</v>
      </c>
      <c r="Y29" s="74">
        <f t="shared" si="7"/>
        <v>0</v>
      </c>
      <c r="Z29" s="74">
        <f t="shared" si="8"/>
        <v>1.6380584999999999</v>
      </c>
      <c r="AA29" s="74">
        <f t="shared" si="9"/>
        <v>0</v>
      </c>
      <c r="AB29" s="74">
        <f t="shared" si="10"/>
        <v>3.1067181000000001</v>
      </c>
    </row>
    <row r="30" spans="1:28" x14ac:dyDescent="0.3">
      <c r="A30" s="1" t="s">
        <v>149</v>
      </c>
      <c r="B30" s="4">
        <v>48.59749751708555</v>
      </c>
      <c r="C30" s="4">
        <v>6.5584504325638342</v>
      </c>
      <c r="D30" s="4">
        <v>97.249654723642749</v>
      </c>
      <c r="E30" s="4">
        <v>41.697342446164981</v>
      </c>
      <c r="F30" s="1">
        <v>369.91999999999996</v>
      </c>
      <c r="G30" s="74">
        <f t="shared" si="0"/>
        <v>18.212886032807219</v>
      </c>
      <c r="J30" s="3">
        <v>21</v>
      </c>
      <c r="K30" s="1">
        <v>5.5069600000000003</v>
      </c>
      <c r="L30" s="1">
        <v>2.4822700000000002</v>
      </c>
      <c r="M30" s="1">
        <v>47.348799999999997</v>
      </c>
      <c r="N30" s="1">
        <v>44.661900000000003</v>
      </c>
      <c r="P30" s="3">
        <v>21</v>
      </c>
      <c r="Q30" s="74">
        <f t="shared" si="1"/>
        <v>2.6466449760000001</v>
      </c>
      <c r="R30" s="74">
        <f t="shared" si="2"/>
        <v>1.2597520250000001</v>
      </c>
      <c r="S30" s="74">
        <f t="shared" si="3"/>
        <v>20.331574719999999</v>
      </c>
      <c r="T30" s="74">
        <f t="shared" si="4"/>
        <v>23.050006590000002</v>
      </c>
      <c r="U30" s="74">
        <f t="shared" si="5"/>
        <v>47.287978311000003</v>
      </c>
      <c r="W30" s="3">
        <v>21</v>
      </c>
      <c r="X30" s="74">
        <f t="shared" si="6"/>
        <v>0.29737584000000006</v>
      </c>
      <c r="Y30" s="74">
        <f t="shared" si="7"/>
        <v>4.1205682E-2</v>
      </c>
      <c r="Z30" s="74">
        <f t="shared" si="8"/>
        <v>1.065348</v>
      </c>
      <c r="AA30" s="74">
        <f t="shared" si="9"/>
        <v>1.19247273</v>
      </c>
      <c r="AB30" s="74">
        <f t="shared" si="10"/>
        <v>2.5964022519999999</v>
      </c>
    </row>
    <row r="31" spans="1:28" x14ac:dyDescent="0.3">
      <c r="A31" s="1" t="s">
        <v>150</v>
      </c>
      <c r="B31" s="4">
        <v>292.0283401069546</v>
      </c>
      <c r="C31" s="4">
        <v>87.934973752488446</v>
      </c>
      <c r="D31" s="4">
        <v>3.7754155928631432</v>
      </c>
      <c r="E31" s="4">
        <v>29.677796560607657</v>
      </c>
      <c r="F31" s="1">
        <v>369.91999999999996</v>
      </c>
      <c r="G31" s="74">
        <f t="shared" si="0"/>
        <v>15.478857239362638</v>
      </c>
      <c r="J31" s="78">
        <v>22</v>
      </c>
      <c r="K31" s="1">
        <v>33.091999999999999</v>
      </c>
      <c r="L31" s="1">
        <v>33.281999999999996</v>
      </c>
      <c r="M31" s="1">
        <v>1.8381700000000001</v>
      </c>
      <c r="N31" s="1">
        <v>31.787800000000001</v>
      </c>
      <c r="P31" s="78">
        <v>22</v>
      </c>
      <c r="Q31" s="74">
        <f t="shared" si="1"/>
        <v>15.904015200000002</v>
      </c>
      <c r="R31" s="74">
        <f t="shared" si="2"/>
        <v>16.890614999999997</v>
      </c>
      <c r="S31" s="74">
        <f t="shared" si="3"/>
        <v>0.78931019800000002</v>
      </c>
      <c r="T31" s="74">
        <f t="shared" si="4"/>
        <v>16.405683580000002</v>
      </c>
      <c r="U31" s="74">
        <f t="shared" si="5"/>
        <v>49.989623978000004</v>
      </c>
      <c r="W31" s="78">
        <v>22</v>
      </c>
      <c r="X31" s="74">
        <f t="shared" si="6"/>
        <v>1.7869679999999999</v>
      </c>
      <c r="Y31" s="74">
        <f t="shared" si="7"/>
        <v>0.55248119999999989</v>
      </c>
      <c r="Z31" s="74">
        <f t="shared" si="8"/>
        <v>4.1358825000000002E-2</v>
      </c>
      <c r="AA31" s="74">
        <f t="shared" si="9"/>
        <v>0.84873425999999996</v>
      </c>
      <c r="AB31" s="74">
        <f t="shared" si="10"/>
        <v>3.229542285</v>
      </c>
    </row>
    <row r="32" spans="1:28" x14ac:dyDescent="0.3">
      <c r="A32" s="1" t="s">
        <v>151</v>
      </c>
      <c r="B32" s="4">
        <v>634.81041502767471</v>
      </c>
      <c r="C32" s="4">
        <v>0</v>
      </c>
      <c r="D32" s="4">
        <v>57.642060304012276</v>
      </c>
      <c r="E32" s="4">
        <v>0</v>
      </c>
      <c r="F32" s="1">
        <v>369.91999999999996</v>
      </c>
      <c r="G32" s="74">
        <f t="shared" si="0"/>
        <v>10.324065586956506</v>
      </c>
      <c r="J32" s="98">
        <v>23</v>
      </c>
      <c r="K32" s="1">
        <v>71.935299999999998</v>
      </c>
      <c r="L32" s="1">
        <v>0</v>
      </c>
      <c r="M32" s="1">
        <v>28.064699999999998</v>
      </c>
      <c r="N32" s="1">
        <v>0</v>
      </c>
      <c r="P32" s="98">
        <v>23</v>
      </c>
      <c r="Q32" s="74">
        <f t="shared" si="1"/>
        <v>34.572105180000001</v>
      </c>
      <c r="R32" s="74">
        <f t="shared" si="2"/>
        <v>0</v>
      </c>
      <c r="S32" s="74">
        <f t="shared" si="3"/>
        <v>12.050982179999998</v>
      </c>
      <c r="T32" s="74">
        <f t="shared" si="4"/>
        <v>0</v>
      </c>
      <c r="U32" s="74">
        <f t="shared" si="5"/>
        <v>46.62308736</v>
      </c>
      <c r="W32" s="98">
        <v>23</v>
      </c>
      <c r="X32" s="74">
        <f t="shared" si="6"/>
        <v>3.8845062000000001</v>
      </c>
      <c r="Y32" s="74">
        <f t="shared" si="7"/>
        <v>0</v>
      </c>
      <c r="Z32" s="74">
        <f t="shared" si="8"/>
        <v>0.63145574999999998</v>
      </c>
      <c r="AA32" s="74">
        <f t="shared" si="9"/>
        <v>0</v>
      </c>
      <c r="AB32" s="74">
        <f t="shared" si="10"/>
        <v>4.5159619500000003</v>
      </c>
    </row>
    <row r="33" spans="1:28" x14ac:dyDescent="0.3">
      <c r="A33" s="1" t="s">
        <v>152</v>
      </c>
      <c r="B33" s="4">
        <v>296.1671437909315</v>
      </c>
      <c r="C33" s="4">
        <v>3.9121842327777667</v>
      </c>
      <c r="D33" s="4">
        <v>67.075618581005386</v>
      </c>
      <c r="E33" s="4">
        <v>30.156558037535273</v>
      </c>
      <c r="F33" s="1">
        <v>369.91999999999996</v>
      </c>
      <c r="G33" s="74">
        <f t="shared" si="0"/>
        <v>13.853544486467742</v>
      </c>
      <c r="J33" s="85">
        <v>24</v>
      </c>
      <c r="K33" s="1">
        <v>33.561</v>
      </c>
      <c r="L33" s="1">
        <v>1.4806999999999999</v>
      </c>
      <c r="M33" s="1">
        <v>32.657699999999998</v>
      </c>
      <c r="N33" s="1">
        <v>32.300600000000003</v>
      </c>
      <c r="P33" s="85">
        <v>24</v>
      </c>
      <c r="Q33" s="74">
        <f t="shared" si="1"/>
        <v>16.129416600000003</v>
      </c>
      <c r="R33" s="74">
        <f t="shared" si="2"/>
        <v>0.75145524999999991</v>
      </c>
      <c r="S33" s="74">
        <f t="shared" si="3"/>
        <v>14.023216379999999</v>
      </c>
      <c r="T33" s="74">
        <f t="shared" si="4"/>
        <v>16.670339660000003</v>
      </c>
      <c r="U33" s="74">
        <f t="shared" si="5"/>
        <v>47.574427890000003</v>
      </c>
      <c r="W33" s="85">
        <v>24</v>
      </c>
      <c r="X33" s="74">
        <f t="shared" si="6"/>
        <v>1.8122940000000001</v>
      </c>
      <c r="Y33" s="74">
        <f t="shared" si="7"/>
        <v>2.4579619999999996E-2</v>
      </c>
      <c r="Z33" s="74">
        <f t="shared" si="8"/>
        <v>0.73479824999999988</v>
      </c>
      <c r="AA33" s="74">
        <f t="shared" si="9"/>
        <v>0.86242602000000002</v>
      </c>
      <c r="AB33" s="74">
        <f t="shared" si="10"/>
        <v>3.4340978899999999</v>
      </c>
    </row>
    <row r="34" spans="1:28" x14ac:dyDescent="0.3">
      <c r="A34" s="1" t="s">
        <v>153</v>
      </c>
      <c r="B34" s="4">
        <v>17.764822030070928</v>
      </c>
      <c r="C34" s="4">
        <v>82.844933282139024</v>
      </c>
      <c r="D34" s="4">
        <v>68.038075669748892</v>
      </c>
      <c r="E34" s="4">
        <v>31.281106007424725</v>
      </c>
      <c r="F34" s="1">
        <v>369.91999999999996</v>
      </c>
      <c r="G34" s="74">
        <f t="shared" si="0"/>
        <v>21.328309255288907</v>
      </c>
      <c r="J34" s="101">
        <v>25</v>
      </c>
      <c r="K34" s="1">
        <v>2.0130699999999999</v>
      </c>
      <c r="L34" s="1">
        <v>31.355499999999999</v>
      </c>
      <c r="M34" s="1">
        <v>33.126300000000001</v>
      </c>
      <c r="N34" s="1">
        <v>33.505099999999999</v>
      </c>
      <c r="P34" s="101">
        <v>25</v>
      </c>
      <c r="Q34" s="74">
        <f t="shared" si="1"/>
        <v>0.96748144199999997</v>
      </c>
      <c r="R34" s="74">
        <f t="shared" si="2"/>
        <v>15.91291625</v>
      </c>
      <c r="S34" s="74">
        <f t="shared" si="3"/>
        <v>14.224433219999998</v>
      </c>
      <c r="T34" s="74">
        <f t="shared" si="4"/>
        <v>17.291982109999999</v>
      </c>
      <c r="U34" s="74">
        <f t="shared" si="5"/>
        <v>48.396813021999996</v>
      </c>
      <c r="W34" s="101">
        <v>25</v>
      </c>
      <c r="X34" s="74">
        <f t="shared" si="6"/>
        <v>0.10870578</v>
      </c>
      <c r="Y34" s="74">
        <f t="shared" si="7"/>
        <v>0.52050129999999994</v>
      </c>
      <c r="Z34" s="74">
        <f t="shared" si="8"/>
        <v>0.74534175000000003</v>
      </c>
      <c r="AA34" s="74">
        <f t="shared" si="9"/>
        <v>0.89458616999999985</v>
      </c>
      <c r="AB34" s="74">
        <f t="shared" si="10"/>
        <v>2.2691349999999999</v>
      </c>
    </row>
    <row r="35" spans="1:28" x14ac:dyDescent="0.3">
      <c r="A35" s="1" t="s">
        <v>154</v>
      </c>
      <c r="B35" s="4">
        <v>234.4654348826208</v>
      </c>
      <c r="C35" s="4">
        <v>0</v>
      </c>
      <c r="D35" s="4">
        <v>0</v>
      </c>
      <c r="E35" s="4">
        <v>68.556720234251031</v>
      </c>
      <c r="F35" s="1">
        <v>369.91999999999996</v>
      </c>
      <c r="G35" s="74">
        <f t="shared" si="0"/>
        <v>14.922467329695515</v>
      </c>
      <c r="J35" s="3">
        <v>26</v>
      </c>
      <c r="K35" s="1">
        <v>26.569099999999999</v>
      </c>
      <c r="L35" s="1">
        <v>0</v>
      </c>
      <c r="M35" s="1">
        <v>0</v>
      </c>
      <c r="N35" s="1">
        <v>73.430899999999994</v>
      </c>
      <c r="P35" s="3">
        <v>26</v>
      </c>
      <c r="Q35" s="74">
        <f t="shared" si="1"/>
        <v>12.769109459999999</v>
      </c>
      <c r="R35" s="74">
        <f t="shared" si="2"/>
        <v>0</v>
      </c>
      <c r="S35" s="74">
        <f t="shared" si="3"/>
        <v>0</v>
      </c>
      <c r="T35" s="74">
        <f t="shared" si="4"/>
        <v>37.897687489999996</v>
      </c>
      <c r="U35" s="74">
        <f t="shared" si="5"/>
        <v>50.666796949999991</v>
      </c>
      <c r="W35" s="3">
        <v>26</v>
      </c>
      <c r="X35" s="74">
        <f t="shared" si="6"/>
        <v>1.4347314</v>
      </c>
      <c r="Y35" s="74">
        <f t="shared" si="7"/>
        <v>0</v>
      </c>
      <c r="Z35" s="74">
        <f t="shared" si="8"/>
        <v>0</v>
      </c>
      <c r="AA35" s="74">
        <f t="shared" si="9"/>
        <v>1.9606050299999997</v>
      </c>
      <c r="AB35" s="74">
        <f t="shared" si="10"/>
        <v>3.3953364299999995</v>
      </c>
    </row>
    <row r="36" spans="1:28" x14ac:dyDescent="0.3">
      <c r="A36" s="1" t="s">
        <v>275</v>
      </c>
      <c r="B36" s="4">
        <v>640.57561853885181</v>
      </c>
      <c r="C36" s="4">
        <v>72.424155384861535</v>
      </c>
      <c r="D36" s="4">
        <v>0</v>
      </c>
      <c r="E36" s="4">
        <v>0</v>
      </c>
      <c r="F36" s="1">
        <v>369.91999999999996</v>
      </c>
      <c r="G36" s="74">
        <f t="shared" si="0"/>
        <v>11.154158936927884</v>
      </c>
      <c r="J36" s="3">
        <v>27</v>
      </c>
      <c r="K36" s="1">
        <v>72.5886</v>
      </c>
      <c r="L36" s="1">
        <v>27.4114</v>
      </c>
      <c r="M36" s="1">
        <v>0</v>
      </c>
      <c r="N36" s="1">
        <v>0</v>
      </c>
      <c r="P36" s="3">
        <v>27</v>
      </c>
      <c r="Q36" s="74">
        <f>K36*$K$3/100</f>
        <v>34.886081160000003</v>
      </c>
      <c r="R36" s="74">
        <f>$L$3*L36/100</f>
        <v>13.911285500000002</v>
      </c>
      <c r="S36" s="74">
        <f t="shared" si="3"/>
        <v>0</v>
      </c>
      <c r="T36" s="74">
        <f t="shared" si="4"/>
        <v>0</v>
      </c>
      <c r="U36" s="74">
        <f t="shared" si="5"/>
        <v>48.797366660000009</v>
      </c>
      <c r="W36" s="3">
        <v>27</v>
      </c>
      <c r="X36" s="74">
        <f>$K$4*K36/100</f>
        <v>3.9197844000000002</v>
      </c>
      <c r="Y36" s="74">
        <f>$L$4*L36/100</f>
        <v>0.45502924</v>
      </c>
      <c r="Z36" s="74">
        <f t="shared" si="8"/>
        <v>0</v>
      </c>
      <c r="AA36" s="74">
        <f t="shared" si="9"/>
        <v>0</v>
      </c>
      <c r="AB36" s="74">
        <f t="shared" si="10"/>
        <v>4.3748136400000002</v>
      </c>
    </row>
    <row r="37" spans="1:28" x14ac:dyDescent="0.3">
      <c r="A37" s="1" t="s">
        <v>155</v>
      </c>
      <c r="B37" s="4">
        <v>0</v>
      </c>
      <c r="C37" s="4">
        <v>191.43123032782501</v>
      </c>
      <c r="D37" s="4">
        <v>56.181738088697209</v>
      </c>
      <c r="E37" s="4">
        <v>0.1798147068930997</v>
      </c>
      <c r="F37" s="1">
        <v>369.91999999999996</v>
      </c>
      <c r="G37" s="74">
        <f t="shared" si="0"/>
        <v>26.662906254120497</v>
      </c>
      <c r="J37" s="3">
        <v>28</v>
      </c>
      <c r="K37" s="1">
        <v>0</v>
      </c>
      <c r="L37" s="1">
        <v>72.453699999999998</v>
      </c>
      <c r="M37" s="1">
        <v>27.3537</v>
      </c>
      <c r="N37" s="1">
        <v>0.19259899999999999</v>
      </c>
      <c r="P37" s="3">
        <v>28</v>
      </c>
      <c r="Q37" s="74">
        <f t="shared" si="1"/>
        <v>0</v>
      </c>
      <c r="R37" s="74">
        <f t="shared" si="2"/>
        <v>36.770252749999997</v>
      </c>
      <c r="S37" s="74">
        <f t="shared" si="3"/>
        <v>11.745678779999999</v>
      </c>
      <c r="T37" s="74">
        <f t="shared" si="4"/>
        <v>9.9400343899999993E-2</v>
      </c>
      <c r="U37" s="74">
        <f t="shared" si="5"/>
        <v>48.615331873899997</v>
      </c>
      <c r="W37" s="3">
        <v>28</v>
      </c>
      <c r="X37" s="74">
        <f t="shared" si="6"/>
        <v>0</v>
      </c>
      <c r="Y37" s="74">
        <f t="shared" si="7"/>
        <v>1.2027314199999999</v>
      </c>
      <c r="Z37" s="74">
        <f t="shared" si="8"/>
        <v>0.61545824999999998</v>
      </c>
      <c r="AA37" s="74">
        <f t="shared" si="9"/>
        <v>5.1423933E-3</v>
      </c>
      <c r="AB37" s="74">
        <f t="shared" si="10"/>
        <v>1.8233320632999999</v>
      </c>
    </row>
    <row r="38" spans="1:28" x14ac:dyDescent="0.3">
      <c r="A38" s="1" t="s">
        <v>156</v>
      </c>
      <c r="B38" s="4">
        <v>0</v>
      </c>
      <c r="C38" s="4">
        <v>0</v>
      </c>
      <c r="D38" s="4">
        <v>205.38990370113441</v>
      </c>
      <c r="E38" s="4">
        <v>0</v>
      </c>
      <c r="F38" s="1">
        <v>369.91999999999996</v>
      </c>
      <c r="G38" s="74">
        <f t="shared" si="0"/>
        <v>19.084444444444443</v>
      </c>
      <c r="J38" s="3">
        <v>29</v>
      </c>
      <c r="K38" s="1">
        <v>0</v>
      </c>
      <c r="L38" s="1">
        <v>0</v>
      </c>
      <c r="M38" s="1">
        <v>100</v>
      </c>
      <c r="N38" s="1">
        <v>0</v>
      </c>
      <c r="P38" s="3">
        <v>29</v>
      </c>
      <c r="Q38" s="74">
        <f t="shared" si="1"/>
        <v>0</v>
      </c>
      <c r="R38" s="74">
        <f t="shared" si="2"/>
        <v>0</v>
      </c>
      <c r="S38" s="74">
        <f t="shared" si="3"/>
        <v>42.94</v>
      </c>
      <c r="T38" s="74">
        <f t="shared" si="4"/>
        <v>0</v>
      </c>
      <c r="U38" s="74">
        <f t="shared" si="5"/>
        <v>42.94</v>
      </c>
      <c r="W38" s="3">
        <v>29</v>
      </c>
      <c r="X38" s="74">
        <f t="shared" si="6"/>
        <v>0</v>
      </c>
      <c r="Y38" s="74">
        <f t="shared" si="7"/>
        <v>0</v>
      </c>
      <c r="Z38" s="74">
        <f t="shared" si="8"/>
        <v>2.25</v>
      </c>
      <c r="AA38" s="74">
        <f t="shared" si="9"/>
        <v>0</v>
      </c>
      <c r="AB38" s="74">
        <f t="shared" si="10"/>
        <v>2.25</v>
      </c>
    </row>
    <row r="39" spans="1:28" x14ac:dyDescent="0.3">
      <c r="A39" s="1" t="s">
        <v>157</v>
      </c>
      <c r="B39" s="4">
        <v>0</v>
      </c>
      <c r="C39" s="4">
        <v>0</v>
      </c>
      <c r="D39" s="4">
        <v>152.40629180296762</v>
      </c>
      <c r="E39" s="4">
        <v>24.0842790867997</v>
      </c>
      <c r="F39" s="1">
        <v>369.91999999999996</v>
      </c>
      <c r="G39" s="74">
        <f t="shared" si="0"/>
        <v>19.156040116120042</v>
      </c>
      <c r="J39" s="3">
        <v>30</v>
      </c>
      <c r="K39" s="1">
        <v>0</v>
      </c>
      <c r="L39" s="1">
        <v>0</v>
      </c>
      <c r="M39" s="1">
        <v>74.203400000000002</v>
      </c>
      <c r="N39" s="1">
        <v>25.796600000000002</v>
      </c>
      <c r="P39" s="3">
        <v>30</v>
      </c>
      <c r="Q39" s="74">
        <f t="shared" si="1"/>
        <v>0</v>
      </c>
      <c r="R39" s="74">
        <f t="shared" si="2"/>
        <v>0</v>
      </c>
      <c r="S39" s="74">
        <f t="shared" si="3"/>
        <v>31.862939959999999</v>
      </c>
      <c r="T39" s="74">
        <f t="shared" si="4"/>
        <v>13.313625260000002</v>
      </c>
      <c r="U39" s="74">
        <f t="shared" si="5"/>
        <v>45.176565220000001</v>
      </c>
      <c r="W39" s="3">
        <v>30</v>
      </c>
      <c r="X39" s="74">
        <f t="shared" si="6"/>
        <v>0</v>
      </c>
      <c r="Y39" s="74">
        <f t="shared" si="7"/>
        <v>0</v>
      </c>
      <c r="Z39" s="74">
        <f t="shared" si="8"/>
        <v>1.6695765</v>
      </c>
      <c r="AA39" s="74">
        <f t="shared" si="9"/>
        <v>0.68876922000000007</v>
      </c>
      <c r="AB39" s="74">
        <f t="shared" si="10"/>
        <v>2.35834572</v>
      </c>
    </row>
    <row r="40" spans="1:28" x14ac:dyDescent="0.3">
      <c r="A40" s="1" t="s">
        <v>158</v>
      </c>
      <c r="B40" s="4">
        <v>0</v>
      </c>
      <c r="C40" s="4">
        <v>70.114415764212978</v>
      </c>
      <c r="D40" s="4">
        <v>150.88517417615699</v>
      </c>
      <c r="E40" s="4">
        <v>0</v>
      </c>
      <c r="F40" s="1">
        <v>369.91999999999996</v>
      </c>
      <c r="G40" s="74">
        <f t="shared" si="0"/>
        <v>21.5018147915413</v>
      </c>
      <c r="J40" s="3">
        <v>31</v>
      </c>
      <c r="K40" s="1">
        <v>0</v>
      </c>
      <c r="L40" s="1">
        <v>26.537199999999999</v>
      </c>
      <c r="M40" s="1">
        <v>73.462800000000001</v>
      </c>
      <c r="N40" s="1">
        <v>0</v>
      </c>
      <c r="P40" s="3">
        <v>31</v>
      </c>
      <c r="Q40" s="74">
        <f t="shared" si="1"/>
        <v>0</v>
      </c>
      <c r="R40" s="74">
        <f t="shared" si="2"/>
        <v>13.467628999999999</v>
      </c>
      <c r="S40" s="74">
        <f t="shared" si="3"/>
        <v>31.544926319999998</v>
      </c>
      <c r="T40" s="74">
        <f t="shared" si="4"/>
        <v>0</v>
      </c>
      <c r="U40" s="74">
        <f t="shared" si="5"/>
        <v>45.012555319999997</v>
      </c>
      <c r="W40" s="3">
        <v>31</v>
      </c>
      <c r="X40" s="74">
        <f t="shared" si="6"/>
        <v>0</v>
      </c>
      <c r="Y40" s="74">
        <f t="shared" si="7"/>
        <v>0.44051751999999994</v>
      </c>
      <c r="Z40" s="74">
        <f t="shared" si="8"/>
        <v>1.6529130000000001</v>
      </c>
      <c r="AA40" s="74">
        <f t="shared" si="9"/>
        <v>0</v>
      </c>
      <c r="AB40" s="74">
        <f t="shared" si="10"/>
        <v>2.0934305200000001</v>
      </c>
    </row>
    <row r="41" spans="1:28" x14ac:dyDescent="0.3">
      <c r="A41" s="3" t="s">
        <v>164</v>
      </c>
      <c r="B41" s="4">
        <v>0</v>
      </c>
      <c r="C41" s="4">
        <v>0</v>
      </c>
      <c r="D41" s="4">
        <v>0</v>
      </c>
      <c r="E41" s="4">
        <v>0</v>
      </c>
      <c r="F41" s="1">
        <v>369.91999999999996</v>
      </c>
      <c r="G41" s="1"/>
      <c r="K41" s="1"/>
      <c r="L4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14ED-3ED0-4A9A-9536-F3EAD21009E3}">
  <dimension ref="A1:CO128"/>
  <sheetViews>
    <sheetView zoomScale="80" zoomScaleNormal="80" workbookViewId="0">
      <selection activeCell="C124" sqref="C124:F128"/>
    </sheetView>
  </sheetViews>
  <sheetFormatPr baseColWidth="10" defaultRowHeight="14.4" x14ac:dyDescent="0.3"/>
  <cols>
    <col min="1" max="5" width="11.5546875" style="107"/>
    <col min="6" max="6" width="16.5546875" style="107" customWidth="1"/>
    <col min="7" max="16384" width="11.5546875" style="107"/>
  </cols>
  <sheetData>
    <row r="1" spans="1:92" x14ac:dyDescent="0.3">
      <c r="G1" s="107" t="s">
        <v>92</v>
      </c>
    </row>
    <row r="2" spans="1:92" ht="15" thickBot="1" x14ac:dyDescent="0.35">
      <c r="F2" s="120"/>
      <c r="G2" s="242" t="s">
        <v>60</v>
      </c>
      <c r="H2" s="243"/>
      <c r="I2" s="243"/>
      <c r="J2" s="243"/>
      <c r="K2" s="243"/>
      <c r="L2" s="243"/>
      <c r="M2" s="244"/>
      <c r="N2" s="242" t="s">
        <v>61</v>
      </c>
      <c r="O2" s="243"/>
      <c r="P2" s="243"/>
      <c r="Q2" s="243"/>
      <c r="R2" s="243"/>
      <c r="S2" s="243"/>
      <c r="T2" s="244"/>
      <c r="U2" s="242" t="s">
        <v>62</v>
      </c>
      <c r="V2" s="243"/>
      <c r="W2" s="243"/>
      <c r="X2" s="243"/>
      <c r="Y2" s="243"/>
      <c r="Z2" s="243"/>
      <c r="AA2" s="244"/>
      <c r="AB2" s="242" t="s">
        <v>63</v>
      </c>
      <c r="AC2" s="243"/>
      <c r="AD2" s="243"/>
      <c r="AE2" s="243"/>
      <c r="AF2" s="243"/>
      <c r="AG2" s="243"/>
      <c r="AH2" s="244"/>
      <c r="AI2" s="242" t="s">
        <v>64</v>
      </c>
      <c r="AJ2" s="243"/>
      <c r="AK2" s="243"/>
      <c r="AL2" s="243"/>
      <c r="AM2" s="243"/>
      <c r="AN2" s="243"/>
      <c r="AO2" s="244"/>
      <c r="AP2" s="242" t="s">
        <v>65</v>
      </c>
      <c r="AQ2" s="243"/>
      <c r="AR2" s="243"/>
      <c r="AS2" s="243"/>
      <c r="AT2" s="243"/>
      <c r="AU2" s="243"/>
      <c r="AV2" s="244"/>
      <c r="AW2" s="242" t="s">
        <v>86</v>
      </c>
      <c r="AX2" s="243"/>
      <c r="AY2" s="243"/>
      <c r="AZ2" s="243"/>
      <c r="BA2" s="243"/>
      <c r="BB2" s="243"/>
      <c r="BC2" s="244"/>
      <c r="BD2" s="242" t="s">
        <v>87</v>
      </c>
      <c r="BE2" s="243"/>
      <c r="BF2" s="243"/>
      <c r="BG2" s="243"/>
      <c r="BH2" s="243"/>
      <c r="BI2" s="243"/>
      <c r="BJ2" s="244"/>
      <c r="BK2" s="242" t="s">
        <v>93</v>
      </c>
      <c r="BL2" s="243"/>
      <c r="BM2" s="243"/>
      <c r="BN2" s="243"/>
      <c r="BO2" s="243"/>
      <c r="BP2" s="243"/>
      <c r="BQ2" s="244"/>
      <c r="BR2" s="242" t="s">
        <v>95</v>
      </c>
      <c r="BS2" s="243"/>
      <c r="BT2" s="243"/>
      <c r="BU2" s="243"/>
      <c r="BV2" s="243"/>
      <c r="BW2" s="243"/>
      <c r="BX2" s="244"/>
      <c r="BY2" s="242" t="s">
        <v>101</v>
      </c>
      <c r="BZ2" s="243"/>
      <c r="CA2" s="243"/>
      <c r="CB2" s="243"/>
      <c r="CC2" s="243"/>
      <c r="CD2" s="243"/>
      <c r="CE2" s="244"/>
      <c r="CF2" s="242" t="s">
        <v>102</v>
      </c>
      <c r="CG2" s="243"/>
      <c r="CH2" s="243"/>
      <c r="CI2" s="243"/>
      <c r="CJ2" s="243"/>
      <c r="CK2" s="243"/>
      <c r="CL2" s="244"/>
      <c r="CM2" s="113"/>
    </row>
    <row r="3" spans="1:92" ht="15" thickTop="1" x14ac:dyDescent="0.3">
      <c r="A3" s="1" t="s">
        <v>169</v>
      </c>
      <c r="B3" s="1" t="s">
        <v>46</v>
      </c>
      <c r="C3" s="1" t="s">
        <v>248</v>
      </c>
      <c r="D3" s="1" t="s">
        <v>48</v>
      </c>
      <c r="E3" s="114" t="s">
        <v>54</v>
      </c>
      <c r="F3" s="114"/>
      <c r="G3" s="115">
        <v>45327</v>
      </c>
      <c r="H3" s="173">
        <v>0</v>
      </c>
      <c r="I3" s="173">
        <v>1</v>
      </c>
      <c r="J3" s="173">
        <v>2</v>
      </c>
      <c r="K3" s="173">
        <v>3</v>
      </c>
      <c r="L3" s="173">
        <v>4</v>
      </c>
      <c r="M3" s="173">
        <v>5</v>
      </c>
      <c r="N3" s="173">
        <v>6</v>
      </c>
      <c r="O3" s="173">
        <v>7</v>
      </c>
      <c r="P3" s="173">
        <v>8</v>
      </c>
      <c r="Q3" s="173">
        <v>9</v>
      </c>
      <c r="R3" s="173">
        <v>10</v>
      </c>
      <c r="S3" s="173">
        <v>11</v>
      </c>
      <c r="T3" s="173">
        <v>12</v>
      </c>
      <c r="U3" s="173">
        <v>13</v>
      </c>
      <c r="V3" s="173">
        <v>14</v>
      </c>
      <c r="W3" s="173">
        <v>15</v>
      </c>
      <c r="X3" s="173">
        <v>16</v>
      </c>
      <c r="Y3" s="173">
        <v>17</v>
      </c>
      <c r="Z3" s="173">
        <v>18</v>
      </c>
      <c r="AA3" s="173">
        <v>19</v>
      </c>
      <c r="AB3" s="173">
        <v>20</v>
      </c>
      <c r="AC3" s="173">
        <v>21</v>
      </c>
      <c r="AD3" s="173">
        <v>22</v>
      </c>
      <c r="AE3" s="173">
        <v>23</v>
      </c>
      <c r="AF3" s="173">
        <v>24</v>
      </c>
      <c r="AG3" s="173">
        <v>25</v>
      </c>
      <c r="AH3" s="173">
        <v>26</v>
      </c>
      <c r="AI3" s="173">
        <v>27</v>
      </c>
      <c r="AJ3" s="173">
        <v>28</v>
      </c>
      <c r="AK3" s="173">
        <v>29</v>
      </c>
      <c r="AL3" s="173">
        <v>30</v>
      </c>
      <c r="AM3" s="173">
        <v>31</v>
      </c>
      <c r="AN3" s="173">
        <v>32</v>
      </c>
      <c r="AO3" s="173">
        <v>33</v>
      </c>
      <c r="AP3" s="173">
        <v>34</v>
      </c>
      <c r="AQ3" s="173">
        <v>35</v>
      </c>
      <c r="AR3" s="173">
        <v>36</v>
      </c>
      <c r="AS3" s="173">
        <v>37</v>
      </c>
      <c r="AT3" s="173">
        <v>38</v>
      </c>
      <c r="AU3" s="173">
        <v>39</v>
      </c>
      <c r="AV3" s="173">
        <v>40</v>
      </c>
      <c r="AW3" s="173">
        <v>41</v>
      </c>
      <c r="AX3" s="173">
        <v>42</v>
      </c>
      <c r="AY3" s="173">
        <v>43</v>
      </c>
      <c r="AZ3" s="173">
        <v>44</v>
      </c>
      <c r="BA3" s="173">
        <v>45</v>
      </c>
      <c r="BB3" s="173">
        <v>46</v>
      </c>
      <c r="BC3" s="173">
        <v>47</v>
      </c>
      <c r="BD3" s="173">
        <v>48</v>
      </c>
      <c r="BE3" s="173">
        <v>49</v>
      </c>
      <c r="BF3" s="173">
        <v>50</v>
      </c>
      <c r="BG3" s="173">
        <v>51</v>
      </c>
      <c r="BH3" s="173">
        <v>52</v>
      </c>
      <c r="BI3" s="173">
        <v>53</v>
      </c>
      <c r="BJ3" s="173">
        <v>54</v>
      </c>
      <c r="BK3" s="173">
        <v>55</v>
      </c>
      <c r="BL3" s="173">
        <v>56</v>
      </c>
      <c r="BM3" s="173">
        <v>57</v>
      </c>
      <c r="BN3" s="173">
        <v>58</v>
      </c>
      <c r="BO3" s="173">
        <v>59</v>
      </c>
      <c r="BP3" s="173">
        <v>60</v>
      </c>
      <c r="BQ3" s="173">
        <v>61</v>
      </c>
      <c r="BR3" s="173">
        <v>62</v>
      </c>
      <c r="BS3" s="173">
        <v>63</v>
      </c>
      <c r="BT3" s="173">
        <v>64</v>
      </c>
      <c r="BU3" s="173">
        <v>65</v>
      </c>
      <c r="BV3" s="173">
        <v>66</v>
      </c>
      <c r="BW3" s="173">
        <v>67</v>
      </c>
      <c r="BX3" s="173">
        <v>68</v>
      </c>
      <c r="BY3" s="173">
        <v>69</v>
      </c>
      <c r="BZ3" s="173">
        <v>70</v>
      </c>
      <c r="CA3" s="173">
        <v>71</v>
      </c>
      <c r="CB3" s="173">
        <v>72</v>
      </c>
      <c r="CC3" s="173">
        <v>73</v>
      </c>
      <c r="CD3" s="173">
        <v>74</v>
      </c>
      <c r="CE3" s="173">
        <v>75</v>
      </c>
      <c r="CF3" s="173">
        <v>76</v>
      </c>
      <c r="CG3" s="173">
        <v>77</v>
      </c>
      <c r="CH3" s="117"/>
      <c r="CI3" s="117"/>
      <c r="CJ3" s="117"/>
      <c r="CK3" s="117"/>
      <c r="CL3" s="118"/>
      <c r="CM3" s="113" t="s">
        <v>34</v>
      </c>
    </row>
    <row r="4" spans="1:92" x14ac:dyDescent="0.3">
      <c r="A4" s="1">
        <v>9</v>
      </c>
      <c r="B4" s="1">
        <v>100</v>
      </c>
      <c r="C4" s="1">
        <v>0</v>
      </c>
      <c r="D4" s="1">
        <v>0</v>
      </c>
      <c r="E4" s="114">
        <v>0</v>
      </c>
      <c r="F4" s="121" t="s">
        <v>177</v>
      </c>
      <c r="G4" s="113"/>
      <c r="H4" s="1">
        <v>0</v>
      </c>
      <c r="I4" s="1">
        <v>0</v>
      </c>
      <c r="J4" s="1">
        <v>0</v>
      </c>
      <c r="K4" s="1">
        <v>88.83</v>
      </c>
      <c r="L4" s="1">
        <v>184.005</v>
      </c>
      <c r="M4" s="114">
        <v>256.97250000000003</v>
      </c>
      <c r="N4" s="113">
        <v>256.97250000000003</v>
      </c>
      <c r="O4" s="1">
        <v>212.5575</v>
      </c>
      <c r="P4" s="1">
        <v>190.35</v>
      </c>
      <c r="Q4" s="1">
        <v>266.49</v>
      </c>
      <c r="R4" s="1">
        <v>539.32500000000005</v>
      </c>
      <c r="S4" s="1">
        <v>196.69499999999999</v>
      </c>
      <c r="T4" s="114">
        <v>472.70249999999999</v>
      </c>
      <c r="U4" s="113">
        <v>298.21499999999997</v>
      </c>
      <c r="V4" s="1">
        <v>555.1875</v>
      </c>
      <c r="W4" s="1">
        <v>345.80250000000001</v>
      </c>
      <c r="X4" s="1">
        <v>298.66200000000003</v>
      </c>
      <c r="Y4" s="1">
        <v>347.892</v>
      </c>
      <c r="Z4" s="1">
        <v>347.76800000000003</v>
      </c>
      <c r="AA4" s="114">
        <v>209.86</v>
      </c>
      <c r="AB4" s="113">
        <v>179.88</v>
      </c>
      <c r="AC4" s="1">
        <v>245.83599999999998</v>
      </c>
      <c r="AD4" s="1">
        <v>193.285</v>
      </c>
      <c r="AE4" s="1">
        <v>199.52</v>
      </c>
      <c r="AF4" s="1">
        <v>208.99799999999999</v>
      </c>
      <c r="AG4" s="1">
        <v>184.41</v>
      </c>
      <c r="AH4" s="114">
        <v>221.292</v>
      </c>
      <c r="AI4" s="113">
        <v>211.76100000000002</v>
      </c>
      <c r="AJ4" s="1">
        <v>128.34</v>
      </c>
      <c r="AK4" s="1">
        <v>89.838000000000008</v>
      </c>
      <c r="AL4" s="1">
        <v>102.67200000000001</v>
      </c>
      <c r="AM4" s="1">
        <v>163.072</v>
      </c>
      <c r="AN4" s="1">
        <v>125.44</v>
      </c>
      <c r="AO4" s="114">
        <v>62.72</v>
      </c>
      <c r="AP4" s="113">
        <v>100.352</v>
      </c>
      <c r="AQ4" s="1">
        <v>106.624</v>
      </c>
      <c r="AR4" s="1">
        <v>31.36</v>
      </c>
      <c r="AS4" s="1">
        <v>6.2720000000000002</v>
      </c>
      <c r="AT4" s="1">
        <v>0</v>
      </c>
      <c r="AU4" s="1"/>
      <c r="AV4" s="114"/>
      <c r="AW4" s="113"/>
      <c r="AX4" s="1"/>
      <c r="AY4" s="1"/>
      <c r="AZ4" s="1"/>
      <c r="BA4" s="1"/>
      <c r="BB4" s="1"/>
      <c r="BC4" s="114"/>
      <c r="BD4" s="113"/>
      <c r="BE4" s="1"/>
      <c r="BF4" s="1"/>
      <c r="BG4" s="1"/>
      <c r="BH4" s="1"/>
      <c r="BI4" s="1"/>
      <c r="BJ4" s="114"/>
      <c r="BK4" s="113"/>
      <c r="BL4" s="1"/>
      <c r="BM4" s="1"/>
      <c r="BN4" s="1"/>
      <c r="BO4" s="1"/>
      <c r="BP4" s="1"/>
      <c r="BQ4" s="114"/>
      <c r="BR4" s="113"/>
      <c r="BS4" s="1"/>
      <c r="BT4" s="1"/>
      <c r="BU4" s="1"/>
      <c r="BV4" s="1"/>
      <c r="BW4" s="1"/>
      <c r="BX4" s="114"/>
      <c r="BY4" s="113"/>
      <c r="BZ4" s="1"/>
      <c r="CA4" s="1"/>
      <c r="CB4" s="1"/>
      <c r="CC4" s="1"/>
      <c r="CD4" s="1"/>
      <c r="CE4" s="114"/>
      <c r="CF4" s="113"/>
      <c r="CG4" s="1"/>
      <c r="CH4" s="1"/>
      <c r="CI4" s="1"/>
      <c r="CJ4" s="1"/>
      <c r="CK4" s="1"/>
      <c r="CL4" s="114"/>
      <c r="CM4" s="113">
        <f>SUM(G4:CL4)</f>
        <v>7629.9589999999998</v>
      </c>
    </row>
    <row r="5" spans="1:92" x14ac:dyDescent="0.3">
      <c r="A5" s="1">
        <v>2</v>
      </c>
      <c r="B5" s="1">
        <v>0</v>
      </c>
      <c r="C5" s="1">
        <v>100</v>
      </c>
      <c r="D5" s="1">
        <v>0</v>
      </c>
      <c r="E5" s="114">
        <v>0</v>
      </c>
      <c r="F5" s="121" t="s">
        <v>233</v>
      </c>
      <c r="G5" s="113"/>
      <c r="H5" s="1">
        <v>0</v>
      </c>
      <c r="I5" s="1">
        <v>0</v>
      </c>
      <c r="J5" s="1">
        <v>0</v>
      </c>
      <c r="K5" s="1">
        <v>0.435</v>
      </c>
      <c r="L5" s="1">
        <v>0.435</v>
      </c>
      <c r="M5" s="114">
        <v>2.1749999999999998</v>
      </c>
      <c r="N5" s="113">
        <v>38.74</v>
      </c>
      <c r="O5" s="1">
        <v>34.866000000000007</v>
      </c>
      <c r="P5" s="1">
        <v>27.118000000000002</v>
      </c>
      <c r="Q5" s="1">
        <v>19.37</v>
      </c>
      <c r="R5" s="1">
        <v>7.7480000000000011</v>
      </c>
      <c r="S5" s="1">
        <v>19.37</v>
      </c>
      <c r="T5" s="114">
        <v>11.622</v>
      </c>
      <c r="U5" s="113">
        <v>22.68</v>
      </c>
      <c r="V5" s="1">
        <v>22.68</v>
      </c>
      <c r="W5" s="1">
        <v>18.144000000000002</v>
      </c>
      <c r="X5" s="1">
        <v>18.144000000000002</v>
      </c>
      <c r="Y5" s="1">
        <v>9.072000000000001</v>
      </c>
      <c r="Z5" s="1">
        <v>18.144000000000002</v>
      </c>
      <c r="AA5" s="114">
        <v>13.607999999999999</v>
      </c>
      <c r="AB5" s="113">
        <v>4.6680000000000001</v>
      </c>
      <c r="AC5" s="1">
        <v>6.2240000000000002</v>
      </c>
      <c r="AD5" s="1">
        <v>14.004000000000001</v>
      </c>
      <c r="AE5" s="1">
        <v>98.028000000000006</v>
      </c>
      <c r="AF5" s="1">
        <v>31.12</v>
      </c>
      <c r="AG5" s="1">
        <v>6.3360000000000003</v>
      </c>
      <c r="AH5" s="114">
        <v>5.6320000000000006</v>
      </c>
      <c r="AI5" s="113">
        <v>7.04</v>
      </c>
      <c r="AJ5" s="1">
        <v>43.648000000000003</v>
      </c>
      <c r="AK5" s="1">
        <v>14.784000000000001</v>
      </c>
      <c r="AL5" s="1">
        <v>13.412000000000001</v>
      </c>
      <c r="AM5" s="1">
        <v>19.16</v>
      </c>
      <c r="AN5" s="1">
        <v>11.495999999999999</v>
      </c>
      <c r="AO5" s="114">
        <v>13.412000000000001</v>
      </c>
      <c r="AP5" s="113">
        <v>13.412000000000001</v>
      </c>
      <c r="AQ5" s="1">
        <v>13.412000000000001</v>
      </c>
      <c r="AR5" s="1">
        <v>13.347000000000001</v>
      </c>
      <c r="AS5" s="1">
        <v>10.380999999999998</v>
      </c>
      <c r="AT5" s="1">
        <v>10.380999999999998</v>
      </c>
      <c r="AU5" s="1">
        <v>8.8979999999999997</v>
      </c>
      <c r="AV5" s="114">
        <v>11.864000000000001</v>
      </c>
      <c r="AW5" s="113">
        <v>6.19</v>
      </c>
      <c r="AX5" s="1">
        <v>9.2850000000000001</v>
      </c>
      <c r="AY5" s="1">
        <v>3.0950000000000002</v>
      </c>
      <c r="AZ5" s="1">
        <v>6.19</v>
      </c>
      <c r="BA5" s="1">
        <v>3.0950000000000002</v>
      </c>
      <c r="BB5" s="1"/>
      <c r="BC5" s="114"/>
      <c r="BD5" s="113"/>
      <c r="BE5" s="1"/>
      <c r="BF5" s="1"/>
      <c r="BG5" s="113"/>
      <c r="BH5" s="1"/>
      <c r="BI5" s="1"/>
      <c r="BJ5" s="1"/>
      <c r="BK5" s="1"/>
      <c r="BL5" s="1"/>
      <c r="BM5" s="114"/>
      <c r="BN5" s="113"/>
      <c r="BO5" s="1"/>
      <c r="BP5" s="1"/>
      <c r="BQ5" s="114"/>
      <c r="BR5" s="113"/>
      <c r="BS5" s="1"/>
      <c r="BT5" s="1"/>
      <c r="BU5" s="1"/>
      <c r="BV5" s="1"/>
      <c r="BW5" s="1"/>
      <c r="BX5" s="114"/>
      <c r="BY5" s="113"/>
      <c r="BZ5" s="1"/>
      <c r="CA5" s="1"/>
      <c r="CB5" s="1"/>
      <c r="CC5" s="1"/>
      <c r="CD5" s="1"/>
      <c r="CE5" s="114"/>
      <c r="CF5" s="113"/>
      <c r="CG5" s="1"/>
      <c r="CH5" s="1"/>
      <c r="CI5" s="1"/>
      <c r="CJ5" s="1"/>
      <c r="CK5" s="1"/>
      <c r="CL5" s="114"/>
      <c r="CM5" s="113">
        <f>SUM(G5:CL5)</f>
        <v>682.86500000000035</v>
      </c>
    </row>
    <row r="6" spans="1:92" x14ac:dyDescent="0.3">
      <c r="A6" s="1">
        <v>13</v>
      </c>
      <c r="B6" s="1">
        <v>0</v>
      </c>
      <c r="C6" s="1">
        <v>0</v>
      </c>
      <c r="D6" s="1">
        <v>0</v>
      </c>
      <c r="E6" s="114">
        <v>100</v>
      </c>
      <c r="F6" s="121" t="s">
        <v>198</v>
      </c>
      <c r="G6" s="113"/>
      <c r="H6" s="1">
        <v>0</v>
      </c>
      <c r="I6" s="1">
        <v>56.07</v>
      </c>
      <c r="J6" s="1">
        <v>41.118000000000002</v>
      </c>
      <c r="K6" s="1">
        <v>37.380000000000003</v>
      </c>
      <c r="L6" s="1">
        <v>52.332000000000008</v>
      </c>
      <c r="M6" s="114">
        <v>44.856000000000002</v>
      </c>
      <c r="N6" s="113">
        <v>26.244</v>
      </c>
      <c r="O6" s="1">
        <v>89.316000000000003</v>
      </c>
      <c r="P6" s="1">
        <v>52.92799999999999</v>
      </c>
      <c r="Q6" s="1">
        <v>46.311999999999998</v>
      </c>
      <c r="R6" s="1">
        <v>36.387999999999998</v>
      </c>
      <c r="S6" s="1">
        <v>39.695999999999998</v>
      </c>
      <c r="T6" s="114">
        <v>29.771999999999998</v>
      </c>
      <c r="U6" s="113">
        <v>23.155999999999999</v>
      </c>
      <c r="V6" s="1">
        <v>45.161999999999999</v>
      </c>
      <c r="W6" s="1">
        <v>40.143999999999998</v>
      </c>
      <c r="X6" s="1">
        <v>40.143999999999998</v>
      </c>
      <c r="Y6" s="1">
        <v>25.09</v>
      </c>
      <c r="Z6" s="1">
        <v>22.581</v>
      </c>
      <c r="AA6" s="114">
        <v>20.071999999999999</v>
      </c>
      <c r="AB6" s="113">
        <v>21.05</v>
      </c>
      <c r="AC6" s="1">
        <v>26.862000000000002</v>
      </c>
      <c r="AD6" s="1">
        <v>24.42</v>
      </c>
      <c r="AE6" s="1">
        <v>14.652000000000001</v>
      </c>
      <c r="AF6" s="1">
        <v>19.536000000000001</v>
      </c>
      <c r="AG6" s="1">
        <v>12.21</v>
      </c>
      <c r="AH6" s="114">
        <v>14.652000000000001</v>
      </c>
      <c r="AI6" s="113">
        <v>17.622</v>
      </c>
      <c r="AJ6" s="1">
        <v>15.663999999999998</v>
      </c>
      <c r="AK6" s="1">
        <v>11.747999999999999</v>
      </c>
      <c r="AL6" s="1">
        <v>8.41</v>
      </c>
      <c r="AM6" s="1">
        <v>26.911999999999999</v>
      </c>
      <c r="AN6" s="1">
        <v>18.501999999999999</v>
      </c>
      <c r="AO6" s="114">
        <v>18.501999999999999</v>
      </c>
      <c r="AP6" s="113">
        <v>16.82</v>
      </c>
      <c r="AQ6" s="1">
        <v>15.138</v>
      </c>
      <c r="AR6" s="1">
        <v>13.455</v>
      </c>
      <c r="AS6" s="1">
        <v>8.9700000000000006</v>
      </c>
      <c r="AT6" s="1">
        <v>8.9700000000000006</v>
      </c>
      <c r="AU6" s="1">
        <v>8.0730000000000004</v>
      </c>
      <c r="AV6" s="114"/>
      <c r="AW6" s="113"/>
      <c r="AX6" s="1"/>
      <c r="AY6" s="1"/>
      <c r="AZ6" s="1"/>
      <c r="BA6" s="1"/>
      <c r="BB6" s="1"/>
      <c r="BC6" s="114"/>
      <c r="BD6" s="113"/>
      <c r="BE6" s="1"/>
      <c r="BF6" s="1"/>
      <c r="BG6" s="1"/>
      <c r="BH6" s="1"/>
      <c r="BI6" s="1"/>
      <c r="BJ6" s="114"/>
      <c r="BK6" s="113"/>
      <c r="BL6" s="1"/>
      <c r="BM6" s="1"/>
      <c r="BN6" s="1"/>
      <c r="BO6" s="1"/>
      <c r="BP6" s="1"/>
      <c r="BQ6" s="114"/>
      <c r="BR6" s="113"/>
      <c r="BS6" s="1"/>
      <c r="BT6" s="1"/>
      <c r="BU6" s="1"/>
      <c r="BV6" s="1"/>
      <c r="BW6" s="1"/>
      <c r="BX6" s="114"/>
      <c r="BY6" s="113"/>
      <c r="BZ6" s="1"/>
      <c r="CA6" s="1"/>
      <c r="CB6" s="1"/>
      <c r="CC6" s="1"/>
      <c r="CD6" s="1"/>
      <c r="CE6" s="114"/>
      <c r="CF6" s="113"/>
      <c r="CG6" s="1"/>
      <c r="CH6" s="1"/>
      <c r="CI6" s="1"/>
      <c r="CJ6" s="1"/>
      <c r="CK6" s="1"/>
      <c r="CL6" s="114"/>
      <c r="CM6" s="113">
        <f>SUM(G6:CL6)</f>
        <v>1090.9289999999999</v>
      </c>
      <c r="CN6" s="112"/>
    </row>
    <row r="7" spans="1:92" x14ac:dyDescent="0.3">
      <c r="A7" s="3">
        <v>29</v>
      </c>
      <c r="B7" s="1">
        <v>0</v>
      </c>
      <c r="C7" s="1">
        <v>0</v>
      </c>
      <c r="D7" s="1">
        <v>100</v>
      </c>
      <c r="E7" s="114">
        <v>0</v>
      </c>
      <c r="F7" s="121" t="s">
        <v>199</v>
      </c>
      <c r="G7" s="113"/>
      <c r="H7" s="1">
        <v>0</v>
      </c>
      <c r="I7" s="1">
        <v>235.227</v>
      </c>
      <c r="J7" s="1">
        <v>105.72</v>
      </c>
      <c r="K7" s="1">
        <v>237.87</v>
      </c>
      <c r="L7" s="1">
        <v>124.221</v>
      </c>
      <c r="M7" s="114">
        <v>203.511</v>
      </c>
      <c r="N7" s="113">
        <v>214.083</v>
      </c>
      <c r="O7" s="1">
        <v>190.29599999999999</v>
      </c>
      <c r="P7" s="1">
        <v>174.43799999999999</v>
      </c>
      <c r="Q7" s="1">
        <v>182.36700000000002</v>
      </c>
      <c r="R7" s="1">
        <v>348.87599999999998</v>
      </c>
      <c r="S7" s="1">
        <v>187.65299999999999</v>
      </c>
      <c r="T7" s="114">
        <v>338.30400000000003</v>
      </c>
      <c r="U7" s="113">
        <v>237.87</v>
      </c>
      <c r="V7" s="1">
        <v>448.36200000000002</v>
      </c>
      <c r="W7" s="1">
        <v>591.31799999999998</v>
      </c>
      <c r="X7" s="1">
        <v>520.0625</v>
      </c>
      <c r="Y7" s="1">
        <v>437.25</v>
      </c>
      <c r="Z7" s="1">
        <v>424</v>
      </c>
      <c r="AA7" s="114">
        <v>433.9375</v>
      </c>
      <c r="AB7" s="113">
        <v>543.25</v>
      </c>
      <c r="AC7" s="1">
        <v>538.96</v>
      </c>
      <c r="AD7" s="1">
        <v>570.48300000000006</v>
      </c>
      <c r="AE7" s="1">
        <v>464.83800000000002</v>
      </c>
      <c r="AF7" s="1">
        <v>478.92400000000004</v>
      </c>
      <c r="AG7" s="1">
        <v>288.76300000000003</v>
      </c>
      <c r="AH7" s="114">
        <v>150.88</v>
      </c>
      <c r="AI7" s="113">
        <v>154.65199999999999</v>
      </c>
      <c r="AJ7" s="1">
        <v>115.04600000000001</v>
      </c>
      <c r="AK7" s="1">
        <v>96.186000000000007</v>
      </c>
      <c r="AL7" s="1">
        <v>92.414000000000001</v>
      </c>
      <c r="AM7" s="1">
        <v>62.238</v>
      </c>
      <c r="AN7" s="1">
        <v>96.186000000000007</v>
      </c>
      <c r="AO7" s="114">
        <v>64.123999999999995</v>
      </c>
      <c r="AP7" s="113">
        <v>54.693999999999996</v>
      </c>
      <c r="AQ7" s="1">
        <v>73.554000000000002</v>
      </c>
      <c r="AR7" s="1">
        <v>43.378</v>
      </c>
      <c r="AS7" s="1"/>
      <c r="AT7" s="1"/>
      <c r="AU7" s="1"/>
      <c r="AV7" s="114"/>
      <c r="AW7" s="113"/>
      <c r="AX7" s="1"/>
      <c r="AY7" s="1"/>
      <c r="AZ7" s="1"/>
      <c r="BA7" s="1"/>
      <c r="BB7" s="1"/>
      <c r="BC7" s="114"/>
      <c r="BD7" s="113"/>
      <c r="BE7" s="1"/>
      <c r="BF7" s="1"/>
      <c r="BG7" s="1"/>
      <c r="BH7" s="1"/>
      <c r="BI7" s="1"/>
      <c r="BJ7" s="114"/>
      <c r="BK7" s="113"/>
      <c r="BL7" s="1"/>
      <c r="BM7" s="1"/>
      <c r="BN7" s="1"/>
      <c r="BO7" s="1"/>
      <c r="BP7" s="1"/>
      <c r="BQ7" s="114"/>
      <c r="BR7" s="113"/>
      <c r="BS7" s="1"/>
      <c r="BT7" s="1"/>
      <c r="BU7" s="1"/>
      <c r="BV7" s="1"/>
      <c r="BW7" s="1"/>
      <c r="BX7" s="114"/>
      <c r="BY7" s="113"/>
      <c r="BZ7" s="1"/>
      <c r="CA7" s="1"/>
      <c r="CB7" s="1"/>
      <c r="CC7" s="1"/>
      <c r="CD7" s="1"/>
      <c r="CE7" s="114"/>
      <c r="CF7" s="113"/>
      <c r="CG7" s="1"/>
      <c r="CH7" s="1"/>
      <c r="CI7" s="1"/>
      <c r="CJ7" s="1"/>
      <c r="CK7" s="1"/>
      <c r="CL7" s="114"/>
      <c r="CM7" s="113">
        <f>SUM(G7:CL7)</f>
        <v>9523.9359999999997</v>
      </c>
    </row>
    <row r="8" spans="1:92" x14ac:dyDescent="0.3">
      <c r="A8" s="107" t="s">
        <v>77</v>
      </c>
      <c r="F8" s="120"/>
      <c r="G8" s="126"/>
      <c r="H8" s="62"/>
      <c r="I8" s="62">
        <v>25.602499999999999</v>
      </c>
      <c r="J8" s="62">
        <v>41.772500000000001</v>
      </c>
      <c r="K8" s="62">
        <v>52.552500000000002</v>
      </c>
      <c r="L8" s="62">
        <v>97.02</v>
      </c>
      <c r="M8" s="127">
        <v>33.6875</v>
      </c>
      <c r="N8" s="126">
        <v>88.935000000000002</v>
      </c>
      <c r="O8" s="62">
        <v>30.9925</v>
      </c>
      <c r="P8" s="62">
        <v>5.39</v>
      </c>
      <c r="Q8" s="62">
        <v>4.0425000000000004</v>
      </c>
      <c r="R8" s="62">
        <v>16.170000000000002</v>
      </c>
      <c r="S8" s="62">
        <v>8.0850000000000009</v>
      </c>
      <c r="T8" s="127">
        <v>10.78</v>
      </c>
      <c r="U8" s="126">
        <v>28.297499999999999</v>
      </c>
      <c r="V8" s="62">
        <v>5.39</v>
      </c>
      <c r="W8" s="62">
        <v>12.1275</v>
      </c>
      <c r="X8" s="62">
        <v>9.4324999999999992</v>
      </c>
      <c r="Y8" s="62">
        <v>0</v>
      </c>
      <c r="Z8" s="62">
        <v>13.475</v>
      </c>
      <c r="AA8" s="127">
        <v>14.8225</v>
      </c>
      <c r="AB8" s="126">
        <v>5.39</v>
      </c>
      <c r="AC8" s="62">
        <v>10.78</v>
      </c>
      <c r="AD8" s="62"/>
      <c r="AE8" s="62"/>
      <c r="AF8" s="62"/>
      <c r="AG8" s="62"/>
      <c r="AH8" s="127"/>
      <c r="AI8" s="126"/>
      <c r="AJ8" s="62"/>
      <c r="AK8" s="62"/>
      <c r="AL8" s="62"/>
      <c r="AM8" s="62"/>
      <c r="AN8" s="62"/>
      <c r="AO8" s="127"/>
      <c r="AP8" s="126"/>
      <c r="AQ8" s="62"/>
      <c r="AR8" s="62"/>
      <c r="AS8" s="62"/>
      <c r="AT8" s="62"/>
      <c r="AU8" s="62"/>
      <c r="AV8" s="127"/>
      <c r="AW8" s="126"/>
      <c r="AX8" s="62"/>
      <c r="AY8" s="62"/>
      <c r="AZ8" s="62"/>
      <c r="BA8" s="62"/>
      <c r="BB8" s="62"/>
      <c r="BC8" s="127"/>
      <c r="BD8" s="126"/>
      <c r="BE8" s="62"/>
      <c r="BF8" s="62"/>
      <c r="BG8" s="62"/>
      <c r="BH8" s="62"/>
      <c r="BI8" s="62"/>
      <c r="BJ8" s="127"/>
      <c r="BK8" s="126"/>
      <c r="BL8" s="62"/>
      <c r="BM8" s="62"/>
      <c r="BN8" s="62"/>
      <c r="BO8" s="62"/>
      <c r="BP8" s="62"/>
      <c r="BQ8" s="127"/>
      <c r="BR8" s="126"/>
      <c r="BS8" s="62"/>
      <c r="BT8" s="62"/>
      <c r="BU8" s="62"/>
      <c r="BV8" s="62"/>
      <c r="BW8" s="62"/>
      <c r="BX8" s="127"/>
      <c r="BY8" s="126"/>
      <c r="BZ8" s="62"/>
      <c r="CA8" s="62"/>
      <c r="CB8" s="62"/>
      <c r="CC8" s="62"/>
      <c r="CD8" s="62"/>
      <c r="CE8" s="127"/>
      <c r="CF8" s="126"/>
      <c r="CG8" s="62"/>
      <c r="CH8" s="62"/>
      <c r="CI8" s="62"/>
      <c r="CJ8" s="62"/>
      <c r="CK8" s="62"/>
      <c r="CL8" s="127"/>
      <c r="CM8" s="113">
        <f>SUM(G8:CL8)</f>
        <v>514.745</v>
      </c>
    </row>
    <row r="9" spans="1:92" s="13" customFormat="1" x14ac:dyDescent="0.3">
      <c r="A9" s="2"/>
      <c r="F9" s="2"/>
      <c r="CM9" s="113"/>
    </row>
    <row r="10" spans="1:92" s="174" customFormat="1" x14ac:dyDescent="0.3">
      <c r="A10" s="1" t="s">
        <v>169</v>
      </c>
      <c r="B10" s="1" t="s">
        <v>46</v>
      </c>
      <c r="C10" s="1" t="s">
        <v>248</v>
      </c>
      <c r="D10" s="1" t="s">
        <v>48</v>
      </c>
      <c r="E10" s="114" t="s">
        <v>54</v>
      </c>
      <c r="F10" s="114"/>
      <c r="G10" s="115">
        <v>45327</v>
      </c>
      <c r="H10" s="173">
        <v>0</v>
      </c>
      <c r="I10" s="173">
        <v>1</v>
      </c>
      <c r="J10" s="173">
        <v>2</v>
      </c>
      <c r="K10" s="173">
        <v>3</v>
      </c>
      <c r="L10" s="173">
        <v>4</v>
      </c>
      <c r="M10" s="173">
        <v>5</v>
      </c>
      <c r="N10" s="173">
        <v>6</v>
      </c>
      <c r="O10" s="173">
        <v>7</v>
      </c>
      <c r="P10" s="173">
        <v>8</v>
      </c>
      <c r="Q10" s="173">
        <v>9</v>
      </c>
      <c r="R10" s="173">
        <v>10</v>
      </c>
      <c r="S10" s="173">
        <v>11</v>
      </c>
      <c r="T10" s="173">
        <v>12</v>
      </c>
      <c r="U10" s="173">
        <v>13</v>
      </c>
      <c r="V10" s="173">
        <v>14</v>
      </c>
      <c r="W10" s="173">
        <v>15</v>
      </c>
      <c r="X10" s="173">
        <v>16</v>
      </c>
      <c r="Y10" s="173">
        <v>17</v>
      </c>
      <c r="Z10" s="173">
        <v>18</v>
      </c>
      <c r="AA10" s="173">
        <v>19</v>
      </c>
      <c r="AB10" s="173">
        <v>20</v>
      </c>
      <c r="AC10" s="173">
        <v>21</v>
      </c>
      <c r="AD10" s="173">
        <v>22</v>
      </c>
      <c r="AE10" s="173">
        <v>23</v>
      </c>
      <c r="AF10" s="173">
        <v>24</v>
      </c>
      <c r="AG10" s="173">
        <v>25</v>
      </c>
      <c r="AH10" s="173">
        <v>26</v>
      </c>
      <c r="AI10" s="173">
        <v>27</v>
      </c>
      <c r="AJ10" s="173">
        <v>28</v>
      </c>
      <c r="AK10" s="173">
        <v>29</v>
      </c>
      <c r="AL10" s="173">
        <v>30</v>
      </c>
      <c r="AM10" s="173">
        <v>31</v>
      </c>
      <c r="AN10" s="173">
        <v>32</v>
      </c>
      <c r="AO10" s="173">
        <v>33</v>
      </c>
      <c r="AP10" s="173">
        <v>34</v>
      </c>
      <c r="AQ10" s="173">
        <v>35</v>
      </c>
      <c r="AR10" s="173">
        <v>36</v>
      </c>
      <c r="AS10" s="173">
        <v>37</v>
      </c>
      <c r="AT10" s="173">
        <v>38</v>
      </c>
      <c r="AU10" s="173">
        <v>39</v>
      </c>
      <c r="AV10" s="173">
        <v>40</v>
      </c>
      <c r="AW10" s="173">
        <v>41</v>
      </c>
      <c r="AX10" s="173">
        <v>42</v>
      </c>
      <c r="AY10" s="173">
        <v>43</v>
      </c>
      <c r="AZ10" s="173">
        <v>44</v>
      </c>
      <c r="BA10" s="173">
        <v>45</v>
      </c>
      <c r="BB10" s="173">
        <v>46</v>
      </c>
      <c r="BC10" s="173">
        <v>47</v>
      </c>
      <c r="BD10" s="173">
        <v>48</v>
      </c>
      <c r="BE10" s="173">
        <v>49</v>
      </c>
      <c r="BF10" s="173">
        <v>50</v>
      </c>
      <c r="BG10" s="173">
        <v>51</v>
      </c>
      <c r="BH10" s="173">
        <v>52</v>
      </c>
      <c r="BI10" s="173">
        <v>53</v>
      </c>
      <c r="BJ10" s="173">
        <v>54</v>
      </c>
      <c r="BK10" s="173">
        <v>55</v>
      </c>
      <c r="BL10" s="173">
        <v>56</v>
      </c>
      <c r="BM10" s="173">
        <v>57</v>
      </c>
      <c r="BN10" s="173">
        <v>58</v>
      </c>
      <c r="BO10" s="173">
        <v>59</v>
      </c>
      <c r="BP10" s="173">
        <v>60</v>
      </c>
      <c r="BQ10" s="173">
        <v>61</v>
      </c>
      <c r="BR10" s="173">
        <v>62</v>
      </c>
      <c r="BS10" s="173">
        <v>63</v>
      </c>
      <c r="BT10" s="173">
        <v>64</v>
      </c>
      <c r="BU10" s="173">
        <v>65</v>
      </c>
      <c r="BV10" s="173">
        <v>66</v>
      </c>
      <c r="BW10" s="173">
        <v>67</v>
      </c>
      <c r="BX10" s="173">
        <v>68</v>
      </c>
      <c r="BY10" s="173">
        <v>69</v>
      </c>
      <c r="BZ10" s="173">
        <v>70</v>
      </c>
      <c r="CA10" s="173">
        <v>71</v>
      </c>
      <c r="CB10" s="173">
        <v>72</v>
      </c>
      <c r="CC10" s="173">
        <v>73</v>
      </c>
      <c r="CD10" s="173">
        <v>74</v>
      </c>
      <c r="CE10" s="173">
        <v>75</v>
      </c>
      <c r="CF10" s="173">
        <v>76</v>
      </c>
      <c r="CG10" s="173">
        <v>77</v>
      </c>
      <c r="CH10" s="117"/>
      <c r="CI10" s="117"/>
      <c r="CJ10" s="117"/>
      <c r="CK10" s="117"/>
      <c r="CL10" s="118"/>
      <c r="CM10" s="113" t="s">
        <v>34</v>
      </c>
    </row>
    <row r="11" spans="1:92" x14ac:dyDescent="0.3">
      <c r="A11" s="1">
        <v>6</v>
      </c>
      <c r="B11" s="1">
        <v>26.6587</v>
      </c>
      <c r="C11" s="1">
        <v>73.341300000000004</v>
      </c>
      <c r="D11" s="1">
        <v>0</v>
      </c>
      <c r="E11" s="114">
        <v>0</v>
      </c>
      <c r="F11" s="122" t="s">
        <v>235</v>
      </c>
      <c r="G11" s="113"/>
      <c r="H11" s="1">
        <v>0</v>
      </c>
      <c r="I11" s="1">
        <v>41.94</v>
      </c>
      <c r="J11" s="1">
        <v>4.66</v>
      </c>
      <c r="K11" s="1">
        <v>9.32</v>
      </c>
      <c r="L11" s="1">
        <v>13.98</v>
      </c>
      <c r="M11" s="114">
        <v>18.64</v>
      </c>
      <c r="N11" s="113">
        <v>46.6</v>
      </c>
      <c r="O11" s="1">
        <v>97.86</v>
      </c>
      <c r="P11" s="1">
        <v>102.52</v>
      </c>
      <c r="Q11" s="1">
        <v>69.900000000000006</v>
      </c>
      <c r="R11" s="1">
        <v>121.16</v>
      </c>
      <c r="S11" s="1">
        <v>69.900000000000006</v>
      </c>
      <c r="T11" s="114">
        <v>32.619999999999997</v>
      </c>
      <c r="U11" s="113">
        <v>46.6</v>
      </c>
      <c r="V11" s="1">
        <v>97.86</v>
      </c>
      <c r="W11" s="1">
        <v>102.52</v>
      </c>
      <c r="X11" s="1">
        <v>69.900000000000006</v>
      </c>
      <c r="Y11" s="1">
        <v>121.16</v>
      </c>
      <c r="Z11" s="1">
        <v>69.900000000000006</v>
      </c>
      <c r="AA11" s="114">
        <v>32.619999999999997</v>
      </c>
      <c r="AB11" s="113">
        <v>46.6</v>
      </c>
      <c r="AC11" s="1">
        <v>97.86</v>
      </c>
      <c r="AD11" s="1">
        <v>102.52</v>
      </c>
      <c r="AE11" s="1">
        <v>69.900000000000006</v>
      </c>
      <c r="AF11" s="1">
        <v>121.16</v>
      </c>
      <c r="AG11" s="1">
        <v>69.900000000000006</v>
      </c>
      <c r="AH11" s="114">
        <v>32.619999999999997</v>
      </c>
      <c r="AI11" s="113">
        <v>46.6</v>
      </c>
      <c r="AJ11" s="1">
        <v>97.86</v>
      </c>
      <c r="AK11" s="1">
        <v>102.52</v>
      </c>
      <c r="AL11" s="1">
        <v>69.900000000000006</v>
      </c>
      <c r="AM11" s="1">
        <v>148.928</v>
      </c>
      <c r="AN11" s="1">
        <v>85.92</v>
      </c>
      <c r="AO11" s="114">
        <v>40.095999999999997</v>
      </c>
      <c r="AP11" s="113">
        <v>57.28</v>
      </c>
      <c r="AQ11" s="1">
        <v>45.823999999999998</v>
      </c>
      <c r="AR11" s="1">
        <v>85.92</v>
      </c>
      <c r="AS11" s="1">
        <v>74.463999999999999</v>
      </c>
      <c r="AT11" s="1">
        <v>65.872</v>
      </c>
      <c r="AU11" s="1">
        <v>80.010000000000005</v>
      </c>
      <c r="AV11" s="114">
        <v>32.003999999999998</v>
      </c>
      <c r="AW11" s="113">
        <v>10.668000000000001</v>
      </c>
      <c r="AX11" s="1">
        <v>42.672000000000004</v>
      </c>
      <c r="AY11" s="1">
        <v>21.336000000000002</v>
      </c>
      <c r="AZ11" s="1">
        <v>32.003999999999998</v>
      </c>
      <c r="BA11" s="1">
        <v>26.67</v>
      </c>
      <c r="BB11" s="1">
        <v>42.672000000000004</v>
      </c>
      <c r="BC11" s="114">
        <v>16.001999999999999</v>
      </c>
      <c r="BD11" s="113">
        <v>42.672000000000004</v>
      </c>
      <c r="BE11" s="1">
        <v>42.672000000000004</v>
      </c>
      <c r="BF11" s="1">
        <v>10.668000000000001</v>
      </c>
      <c r="BG11" s="1">
        <v>0</v>
      </c>
      <c r="BH11" s="1">
        <v>0</v>
      </c>
      <c r="BI11" s="1">
        <v>34.208999999999996</v>
      </c>
      <c r="BJ11" s="114">
        <v>0</v>
      </c>
      <c r="BK11" s="113">
        <v>14.661</v>
      </c>
      <c r="BL11" s="1">
        <v>4.8869999999999996</v>
      </c>
      <c r="BM11" s="1">
        <v>39.095999999999997</v>
      </c>
      <c r="BN11" s="1">
        <v>0</v>
      </c>
      <c r="BO11" s="1">
        <v>0</v>
      </c>
      <c r="BP11" s="1">
        <v>0</v>
      </c>
      <c r="BQ11" s="114"/>
      <c r="BR11" s="113"/>
      <c r="BS11" s="1"/>
      <c r="BT11" s="1"/>
      <c r="BU11" s="1"/>
      <c r="BV11" s="1"/>
      <c r="BW11" s="1"/>
      <c r="BX11" s="114"/>
      <c r="BY11" s="113"/>
      <c r="BZ11" s="1"/>
      <c r="CA11" s="1"/>
      <c r="CB11" s="1"/>
      <c r="CC11" s="1"/>
      <c r="CD11" s="1"/>
      <c r="CE11" s="114"/>
      <c r="CF11" s="113"/>
      <c r="CG11" s="1"/>
      <c r="CH11" s="1"/>
      <c r="CI11" s="1"/>
      <c r="CJ11" s="1"/>
      <c r="CK11" s="1"/>
      <c r="CL11" s="114"/>
      <c r="CM11" s="113">
        <f>SUM(G11:CL11)</f>
        <v>3124.3070000000002</v>
      </c>
    </row>
    <row r="12" spans="1:92" x14ac:dyDescent="0.3">
      <c r="A12" s="3">
        <v>27</v>
      </c>
      <c r="B12" s="1">
        <v>72.5886</v>
      </c>
      <c r="C12" s="1">
        <v>27.4114</v>
      </c>
      <c r="D12" s="1">
        <v>0</v>
      </c>
      <c r="E12" s="114">
        <v>0</v>
      </c>
      <c r="F12" s="122" t="s">
        <v>234</v>
      </c>
      <c r="G12" s="113"/>
      <c r="H12" s="1">
        <v>0</v>
      </c>
      <c r="I12" s="1">
        <v>0</v>
      </c>
      <c r="J12" s="1">
        <v>0</v>
      </c>
      <c r="K12" s="1">
        <v>34.898499999999999</v>
      </c>
      <c r="L12" s="1">
        <v>10.738</v>
      </c>
      <c r="M12" s="114">
        <v>13.422499999999999</v>
      </c>
      <c r="N12" s="113">
        <v>118.11799999999999</v>
      </c>
      <c r="O12" s="1">
        <v>91.272999999999996</v>
      </c>
      <c r="P12" s="1">
        <v>158.38549999999998</v>
      </c>
      <c r="Q12" s="1">
        <v>5.3689999999999998</v>
      </c>
      <c r="R12" s="1">
        <v>8.0534999999999997</v>
      </c>
      <c r="S12" s="1">
        <v>18.791499999999999</v>
      </c>
      <c r="T12" s="114">
        <v>276.50349999999997</v>
      </c>
      <c r="U12" s="113">
        <v>292.6105</v>
      </c>
      <c r="V12" s="1">
        <v>332.87799999999993</v>
      </c>
      <c r="W12" s="1">
        <v>236.23599999999999</v>
      </c>
      <c r="X12" s="1">
        <v>311.23599999999999</v>
      </c>
      <c r="Y12" s="1">
        <v>253.72499999999999</v>
      </c>
      <c r="Z12" s="1">
        <v>290.93799999999999</v>
      </c>
      <c r="AA12" s="114">
        <v>288.84500000000003</v>
      </c>
      <c r="AB12" s="113">
        <v>257.14249999999998</v>
      </c>
      <c r="AC12" s="1">
        <v>250.0975</v>
      </c>
      <c r="AD12" s="1">
        <v>218.39500000000001</v>
      </c>
      <c r="AE12" s="1">
        <v>151.4675</v>
      </c>
      <c r="AF12" s="1">
        <v>162.035</v>
      </c>
      <c r="AG12" s="1">
        <v>95.107500000000002</v>
      </c>
      <c r="AH12" s="114">
        <v>81.762500000000003</v>
      </c>
      <c r="AI12" s="113">
        <v>81.762500000000003</v>
      </c>
      <c r="AJ12" s="1">
        <v>22.8935</v>
      </c>
      <c r="AK12" s="1">
        <v>20.868000000000002</v>
      </c>
      <c r="AL12" s="1">
        <v>18.259499999999999</v>
      </c>
      <c r="AM12" s="1">
        <v>5.2170000000000005</v>
      </c>
      <c r="AN12" s="1">
        <v>41.736000000000004</v>
      </c>
      <c r="AO12" s="114">
        <v>46.953000000000003</v>
      </c>
      <c r="AP12" s="113">
        <v>54.778500000000001</v>
      </c>
      <c r="AQ12" s="1">
        <v>99.123000000000005</v>
      </c>
      <c r="AR12" s="1">
        <v>54.778500000000001</v>
      </c>
      <c r="AS12" s="1">
        <v>65.212500000000006</v>
      </c>
      <c r="AT12" s="1">
        <v>93.906000000000006</v>
      </c>
      <c r="AU12" s="1">
        <v>130.42500000000001</v>
      </c>
      <c r="AV12" s="114">
        <v>49.561500000000002</v>
      </c>
      <c r="AW12" s="113">
        <v>57.387</v>
      </c>
      <c r="AX12" s="1">
        <v>36.518999999999998</v>
      </c>
      <c r="AY12" s="1">
        <v>28.6935</v>
      </c>
      <c r="AZ12" s="1">
        <v>133.0335</v>
      </c>
      <c r="BA12" s="1">
        <v>83.472000000000008</v>
      </c>
      <c r="BB12" s="1">
        <v>93.906000000000006</v>
      </c>
      <c r="BC12" s="114">
        <v>52.17</v>
      </c>
      <c r="BD12" s="113">
        <v>57.387</v>
      </c>
      <c r="BE12" s="1">
        <v>41.736000000000004</v>
      </c>
      <c r="BF12" s="1">
        <v>57.387</v>
      </c>
      <c r="BG12" s="1">
        <v>26.085000000000001</v>
      </c>
      <c r="BH12" s="1">
        <v>54.778500000000001</v>
      </c>
      <c r="BI12" s="1">
        <v>10.434000000000001</v>
      </c>
      <c r="BJ12" s="114">
        <v>26.085000000000001</v>
      </c>
      <c r="BK12" s="113">
        <v>26.085000000000001</v>
      </c>
      <c r="BL12" s="1"/>
      <c r="BM12" s="1"/>
      <c r="BN12" s="1"/>
      <c r="BO12" s="1"/>
      <c r="BP12" s="1"/>
      <c r="BQ12" s="114"/>
      <c r="BR12" s="113"/>
      <c r="BS12" s="1"/>
      <c r="BT12" s="1"/>
      <c r="BU12" s="1"/>
      <c r="BV12" s="1"/>
      <c r="BW12" s="1"/>
      <c r="BX12" s="114"/>
      <c r="BY12" s="113"/>
      <c r="BZ12" s="1"/>
      <c r="CA12" s="1"/>
      <c r="CB12" s="1"/>
      <c r="CC12" s="1"/>
      <c r="CD12" s="1"/>
      <c r="CE12" s="114"/>
      <c r="CF12" s="113"/>
      <c r="CG12" s="1"/>
      <c r="CH12" s="1"/>
      <c r="CI12" s="1"/>
      <c r="CJ12" s="1"/>
      <c r="CK12" s="1"/>
      <c r="CL12" s="114"/>
      <c r="CM12" s="113">
        <f>SUM(G12:CL12)</f>
        <v>5528.6619999999984</v>
      </c>
    </row>
    <row r="13" spans="1:92" x14ac:dyDescent="0.3">
      <c r="A13" s="3"/>
      <c r="B13" s="1"/>
      <c r="C13" s="1"/>
      <c r="D13" s="1"/>
      <c r="E13" s="114"/>
      <c r="F13" s="125"/>
      <c r="G13" s="115">
        <v>45327</v>
      </c>
      <c r="H13" s="116">
        <v>45328</v>
      </c>
      <c r="I13" s="116">
        <v>45329</v>
      </c>
      <c r="J13" s="116">
        <v>45330</v>
      </c>
      <c r="K13" s="116">
        <v>45331</v>
      </c>
      <c r="L13" s="116">
        <v>45332</v>
      </c>
      <c r="M13" s="119">
        <v>45333</v>
      </c>
      <c r="N13" s="115">
        <v>45334</v>
      </c>
      <c r="O13" s="116">
        <v>45335</v>
      </c>
      <c r="P13" s="116">
        <v>45336</v>
      </c>
      <c r="Q13" s="116">
        <v>45337</v>
      </c>
      <c r="R13" s="116">
        <v>45338</v>
      </c>
      <c r="S13" s="116">
        <v>45339</v>
      </c>
      <c r="T13" s="119">
        <v>45340</v>
      </c>
      <c r="U13" s="115">
        <v>45341</v>
      </c>
      <c r="V13" s="116">
        <v>45342</v>
      </c>
      <c r="W13" s="116">
        <v>45343</v>
      </c>
      <c r="X13" s="116">
        <v>45344</v>
      </c>
      <c r="Y13" s="116">
        <v>45345</v>
      </c>
      <c r="Z13" s="116">
        <v>45346</v>
      </c>
      <c r="AA13" s="119">
        <v>45347</v>
      </c>
      <c r="AB13" s="115">
        <v>45348</v>
      </c>
      <c r="AC13" s="116">
        <v>45349</v>
      </c>
      <c r="AD13" s="116">
        <v>45350</v>
      </c>
      <c r="AE13" s="116">
        <v>45351</v>
      </c>
      <c r="AF13" s="116">
        <v>45352</v>
      </c>
      <c r="AG13" s="116">
        <v>45353</v>
      </c>
      <c r="AH13" s="119">
        <v>45354</v>
      </c>
      <c r="AI13" s="115">
        <v>45355</v>
      </c>
      <c r="AJ13" s="116">
        <v>45356</v>
      </c>
      <c r="AK13" s="116">
        <v>45357</v>
      </c>
      <c r="AL13" s="116">
        <v>45358</v>
      </c>
      <c r="AM13" s="116">
        <v>45359</v>
      </c>
      <c r="AN13" s="116">
        <v>45360</v>
      </c>
      <c r="AO13" s="119">
        <v>45361</v>
      </c>
      <c r="AP13" s="115">
        <v>45362</v>
      </c>
      <c r="AQ13" s="116">
        <v>45363</v>
      </c>
      <c r="AR13" s="116">
        <v>45364</v>
      </c>
      <c r="AS13" s="116">
        <v>45365</v>
      </c>
      <c r="AT13" s="116">
        <v>45366</v>
      </c>
      <c r="AU13" s="116">
        <v>45367</v>
      </c>
      <c r="AV13" s="119">
        <v>45368</v>
      </c>
      <c r="AW13" s="115">
        <v>45369</v>
      </c>
      <c r="AX13" s="116">
        <v>45370</v>
      </c>
      <c r="AY13" s="116">
        <v>45371</v>
      </c>
      <c r="AZ13" s="116">
        <v>45372</v>
      </c>
      <c r="BA13" s="116">
        <v>45373</v>
      </c>
      <c r="BB13" s="116">
        <v>45374</v>
      </c>
      <c r="BC13" s="119">
        <v>45375</v>
      </c>
      <c r="BD13" s="115">
        <v>45376</v>
      </c>
      <c r="BE13" s="116">
        <v>45377</v>
      </c>
      <c r="BF13" s="116">
        <v>45378</v>
      </c>
      <c r="BG13" s="116">
        <v>45379</v>
      </c>
      <c r="BH13" s="116">
        <v>45380</v>
      </c>
      <c r="BI13" s="116">
        <v>45381</v>
      </c>
      <c r="BJ13" s="119">
        <v>45382</v>
      </c>
      <c r="BK13" s="115">
        <v>45383</v>
      </c>
      <c r="BL13" s="116">
        <v>45384</v>
      </c>
      <c r="BM13" s="116">
        <v>45385</v>
      </c>
      <c r="BN13" s="116">
        <v>45386</v>
      </c>
      <c r="BO13" s="116">
        <v>45387</v>
      </c>
      <c r="BP13" s="116">
        <v>45388</v>
      </c>
      <c r="BQ13" s="119">
        <v>45389</v>
      </c>
      <c r="BR13" s="115">
        <v>45390</v>
      </c>
      <c r="BS13" s="116">
        <v>45391</v>
      </c>
      <c r="BT13" s="116">
        <v>45392</v>
      </c>
      <c r="BU13" s="116">
        <v>45393</v>
      </c>
      <c r="BV13" s="116">
        <v>45394</v>
      </c>
      <c r="BW13" s="116">
        <v>45395</v>
      </c>
      <c r="BX13" s="119">
        <v>45396</v>
      </c>
      <c r="BY13" s="115">
        <v>45397</v>
      </c>
      <c r="BZ13" s="116">
        <v>45398</v>
      </c>
      <c r="CA13" s="116">
        <v>45399</v>
      </c>
      <c r="CB13" s="116">
        <v>45400</v>
      </c>
      <c r="CC13" s="116">
        <v>45401</v>
      </c>
      <c r="CD13" s="116">
        <v>45402</v>
      </c>
      <c r="CE13" s="119">
        <v>45403</v>
      </c>
      <c r="CF13" s="115">
        <v>45404</v>
      </c>
      <c r="CG13" s="116">
        <v>45405</v>
      </c>
      <c r="CH13" s="1"/>
      <c r="CI13" s="1"/>
      <c r="CJ13" s="1"/>
      <c r="CK13" s="1"/>
      <c r="CL13" s="114"/>
      <c r="CM13" s="113"/>
    </row>
    <row r="14" spans="1:92" s="143" customFormat="1" x14ac:dyDescent="0.3">
      <c r="A14" s="99">
        <v>4</v>
      </c>
      <c r="B14" s="1"/>
      <c r="C14" s="1"/>
      <c r="D14" s="1"/>
      <c r="E14" s="114"/>
      <c r="F14" s="125"/>
      <c r="G14" s="146"/>
      <c r="H14" s="147"/>
      <c r="I14" s="147">
        <v>127.65600000000001</v>
      </c>
      <c r="J14" s="147">
        <v>62.055</v>
      </c>
      <c r="K14" s="147">
        <v>313.82100000000003</v>
      </c>
      <c r="L14" s="147">
        <v>92.195999999999998</v>
      </c>
      <c r="M14" s="148">
        <v>138.29399999999998</v>
      </c>
      <c r="N14" s="146">
        <v>132.97499999999999</v>
      </c>
      <c r="O14" s="147">
        <v>234.03600000000003</v>
      </c>
      <c r="P14" s="147">
        <v>340.34</v>
      </c>
      <c r="Q14" s="147">
        <v>488.63099999999997</v>
      </c>
      <c r="R14" s="147">
        <v>277.13399999999996</v>
      </c>
      <c r="S14" s="147">
        <v>595.59500000000003</v>
      </c>
      <c r="T14" s="148">
        <v>546.97500000000002</v>
      </c>
      <c r="U14" s="146">
        <v>576.14699999999993</v>
      </c>
      <c r="V14" s="147">
        <v>583.44000000000005</v>
      </c>
      <c r="W14" s="147">
        <v>573.71600000000001</v>
      </c>
      <c r="X14" s="147">
        <v>476.49599999999998</v>
      </c>
      <c r="Y14" s="147">
        <v>317.66399999999999</v>
      </c>
      <c r="Z14" s="147">
        <v>396.62699999999995</v>
      </c>
      <c r="AA14" s="148">
        <v>401.77799999999996</v>
      </c>
      <c r="AB14" s="146">
        <v>508.16399999999993</v>
      </c>
      <c r="AC14" s="147">
        <v>494.06399999999996</v>
      </c>
      <c r="AD14" s="147">
        <v>476.649</v>
      </c>
      <c r="AE14" s="147">
        <v>445.02300000000002</v>
      </c>
      <c r="AF14" s="147">
        <v>456.31800000000004</v>
      </c>
      <c r="AG14" s="147">
        <v>352.404</v>
      </c>
      <c r="AH14" s="148">
        <v>406.21499999999997</v>
      </c>
      <c r="AI14" s="146">
        <v>379.99950000000007</v>
      </c>
      <c r="AJ14" s="147">
        <v>269.94499999999999</v>
      </c>
      <c r="AK14" s="147">
        <v>290.77350000000001</v>
      </c>
      <c r="AL14" s="147">
        <v>191.24700000000001</v>
      </c>
      <c r="AM14" s="147">
        <v>63.085000000000001</v>
      </c>
      <c r="AN14" s="147">
        <v>55.962499999999999</v>
      </c>
      <c r="AO14" s="148">
        <v>52.91</v>
      </c>
      <c r="AP14" s="146"/>
      <c r="AQ14" s="147"/>
      <c r="AR14" s="147"/>
      <c r="AS14" s="147"/>
      <c r="AT14" s="147"/>
      <c r="AU14" s="147"/>
      <c r="AV14" s="148"/>
      <c r="AW14" s="146"/>
      <c r="AX14" s="147"/>
      <c r="AY14" s="147"/>
      <c r="AZ14" s="147"/>
      <c r="BA14" s="147"/>
      <c r="BB14" s="147"/>
      <c r="BC14" s="148"/>
      <c r="BD14" s="146"/>
      <c r="BE14" s="147"/>
      <c r="BF14" s="147"/>
      <c r="BG14" s="147"/>
      <c r="BH14" s="147"/>
      <c r="BI14" s="147"/>
      <c r="BJ14" s="149"/>
      <c r="BK14" s="146"/>
      <c r="BL14" s="147"/>
      <c r="BM14" s="147"/>
      <c r="BN14" s="147"/>
      <c r="BO14" s="147"/>
      <c r="BP14" s="147"/>
      <c r="BQ14" s="149"/>
      <c r="BR14" s="146"/>
      <c r="BS14" s="147"/>
      <c r="BT14" s="147"/>
      <c r="BU14" s="147"/>
      <c r="BV14" s="147"/>
      <c r="BW14" s="147"/>
      <c r="BX14" s="149"/>
      <c r="BY14" s="146"/>
      <c r="BZ14" s="147"/>
      <c r="CA14" s="147"/>
      <c r="CB14" s="147"/>
      <c r="CC14" s="147"/>
      <c r="CD14" s="147"/>
      <c r="CE14" s="149"/>
      <c r="CF14" s="146"/>
      <c r="CG14" s="147"/>
      <c r="CH14" s="150"/>
      <c r="CI14" s="150"/>
      <c r="CJ14" s="150"/>
      <c r="CK14" s="150"/>
      <c r="CL14" s="151"/>
      <c r="CM14" s="113">
        <f>SUM(G14:CL14)</f>
        <v>11118.335499999997</v>
      </c>
    </row>
    <row r="15" spans="1:92" s="199" customFormat="1" x14ac:dyDescent="0.3">
      <c r="A15" s="99">
        <v>12</v>
      </c>
      <c r="B15" s="1"/>
      <c r="C15" s="1"/>
      <c r="D15" s="1"/>
      <c r="E15" s="114"/>
      <c r="F15" s="125"/>
      <c r="G15" s="113"/>
      <c r="H15" s="1"/>
      <c r="I15" s="1">
        <v>128.73599999999999</v>
      </c>
      <c r="J15" s="1">
        <v>66.155999999999992</v>
      </c>
      <c r="K15" s="1">
        <v>80.459999999999994</v>
      </c>
      <c r="L15" s="1">
        <v>87.611999999999995</v>
      </c>
      <c r="M15" s="1">
        <v>155.55599999999998</v>
      </c>
      <c r="N15" s="1">
        <v>141.25199999999998</v>
      </c>
      <c r="O15" s="1">
        <v>210.80699999999996</v>
      </c>
      <c r="P15" s="1">
        <v>160.78499999999997</v>
      </c>
      <c r="Q15" s="1">
        <v>242.96399999999997</v>
      </c>
      <c r="R15" s="1">
        <v>245.74</v>
      </c>
      <c r="S15" s="1">
        <v>598.08000000000004</v>
      </c>
      <c r="T15" s="1">
        <v>592.91399999999999</v>
      </c>
      <c r="U15" s="1">
        <v>727.64250000000004</v>
      </c>
      <c r="V15" s="1">
        <v>781.13250000000005</v>
      </c>
      <c r="W15" s="1">
        <v>858.24</v>
      </c>
      <c r="X15" s="1">
        <v>700.5</v>
      </c>
      <c r="Y15" s="1">
        <v>638.85599999999999</v>
      </c>
      <c r="Z15" s="1">
        <v>522.10599999999999</v>
      </c>
      <c r="AA15" s="1">
        <v>622.39800000000002</v>
      </c>
      <c r="AB15" s="1">
        <v>579.47400000000005</v>
      </c>
      <c r="AC15" s="1">
        <v>529.39600000000007</v>
      </c>
      <c r="AD15" s="1">
        <v>394.83899999999994</v>
      </c>
      <c r="AE15" s="1">
        <v>270.15300000000002</v>
      </c>
      <c r="AF15" s="1">
        <v>235.518</v>
      </c>
      <c r="AG15" s="1">
        <v>187.02899999999997</v>
      </c>
      <c r="AH15" s="1">
        <v>164.71199999999996</v>
      </c>
      <c r="AI15" s="1">
        <v>54.512</v>
      </c>
      <c r="AJ15" s="1">
        <v>61.326000000000001</v>
      </c>
      <c r="AK15" s="1">
        <v>54.512</v>
      </c>
      <c r="AL15" s="1">
        <v>54.512</v>
      </c>
      <c r="AM15" s="1">
        <v>121.95</v>
      </c>
      <c r="AN15" s="1">
        <v>74.525000000000006</v>
      </c>
      <c r="AO15" s="1">
        <v>94.85</v>
      </c>
      <c r="AP15" s="1">
        <v>81.3</v>
      </c>
      <c r="AQ15" s="1">
        <v>108.4</v>
      </c>
      <c r="AR15" s="1">
        <v>67.75</v>
      </c>
      <c r="AS15" s="1">
        <v>67.75</v>
      </c>
      <c r="AT15" s="1">
        <v>81.3</v>
      </c>
      <c r="AU15" s="1">
        <v>91.034999999999997</v>
      </c>
      <c r="AV15" s="1">
        <v>54.620999999999995</v>
      </c>
      <c r="AW15" s="1">
        <v>60.69</v>
      </c>
      <c r="AX15" s="1">
        <v>78.896999999999991</v>
      </c>
      <c r="AY15" s="1">
        <v>30.344999999999999</v>
      </c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70"/>
      <c r="BK15" s="113"/>
      <c r="BL15" s="1"/>
      <c r="BM15" s="1"/>
      <c r="BN15" s="1"/>
      <c r="BO15" s="1"/>
      <c r="BP15" s="1"/>
      <c r="BQ15" s="70"/>
      <c r="BR15" s="113"/>
      <c r="BS15" s="1"/>
      <c r="BT15" s="1"/>
      <c r="BU15" s="1"/>
      <c r="BV15" s="1"/>
      <c r="BW15" s="1"/>
      <c r="BX15" s="70"/>
      <c r="BY15" s="113"/>
      <c r="BZ15" s="1"/>
      <c r="CA15" s="1"/>
      <c r="CB15" s="1"/>
      <c r="CC15" s="1"/>
      <c r="CD15" s="1"/>
      <c r="CE15" s="114"/>
      <c r="CF15" s="113"/>
      <c r="CG15" s="1"/>
      <c r="CH15" s="1"/>
      <c r="CI15" s="1"/>
      <c r="CJ15" s="1"/>
      <c r="CK15" s="1"/>
      <c r="CL15" s="114"/>
      <c r="CM15" s="113">
        <f t="shared" ref="CM15" si="0">SUM(G15:CL15)</f>
        <v>11161.332999999999</v>
      </c>
    </row>
    <row r="16" spans="1:92" x14ac:dyDescent="0.3">
      <c r="A16" s="99" t="s">
        <v>276</v>
      </c>
      <c r="B16" s="1">
        <v>27.197399999999998</v>
      </c>
      <c r="C16" s="1">
        <v>0</v>
      </c>
      <c r="D16" s="1">
        <v>72.802599999999998</v>
      </c>
      <c r="E16" s="114">
        <v>0</v>
      </c>
      <c r="F16" s="122" t="s">
        <v>180</v>
      </c>
      <c r="G16" s="153"/>
      <c r="H16" s="99"/>
      <c r="I16" s="99">
        <f>AVERAGE(I14,I15)</f>
        <v>128.196</v>
      </c>
      <c r="J16" s="99">
        <f t="shared" ref="J16:AY16" si="1">AVERAGE(J14,J15)</f>
        <v>64.105499999999992</v>
      </c>
      <c r="K16" s="99">
        <f t="shared" si="1"/>
        <v>197.1405</v>
      </c>
      <c r="L16" s="99">
        <f t="shared" si="1"/>
        <v>89.903999999999996</v>
      </c>
      <c r="M16" s="99">
        <f t="shared" si="1"/>
        <v>146.92499999999998</v>
      </c>
      <c r="N16" s="99">
        <f t="shared" si="1"/>
        <v>137.11349999999999</v>
      </c>
      <c r="O16" s="99">
        <f t="shared" si="1"/>
        <v>222.42149999999998</v>
      </c>
      <c r="P16" s="99">
        <f t="shared" si="1"/>
        <v>250.56249999999997</v>
      </c>
      <c r="Q16" s="99">
        <f t="shared" si="1"/>
        <v>365.79749999999996</v>
      </c>
      <c r="R16" s="99">
        <f t="shared" si="1"/>
        <v>261.43700000000001</v>
      </c>
      <c r="S16" s="99">
        <f t="shared" si="1"/>
        <v>596.83750000000009</v>
      </c>
      <c r="T16" s="99">
        <f t="shared" si="1"/>
        <v>569.94450000000006</v>
      </c>
      <c r="U16" s="99">
        <f t="shared" si="1"/>
        <v>651.89474999999993</v>
      </c>
      <c r="V16" s="99">
        <f t="shared" si="1"/>
        <v>682.28625000000011</v>
      </c>
      <c r="W16" s="99">
        <f t="shared" si="1"/>
        <v>715.97800000000007</v>
      </c>
      <c r="X16" s="99">
        <f t="shared" si="1"/>
        <v>588.49800000000005</v>
      </c>
      <c r="Y16" s="99">
        <f t="shared" si="1"/>
        <v>478.26</v>
      </c>
      <c r="Z16" s="99">
        <f t="shared" si="1"/>
        <v>459.36649999999997</v>
      </c>
      <c r="AA16" s="99">
        <f t="shared" si="1"/>
        <v>512.08799999999997</v>
      </c>
      <c r="AB16" s="99">
        <f t="shared" si="1"/>
        <v>543.81899999999996</v>
      </c>
      <c r="AC16" s="99">
        <f t="shared" si="1"/>
        <v>511.73</v>
      </c>
      <c r="AD16" s="99">
        <f t="shared" si="1"/>
        <v>435.74399999999997</v>
      </c>
      <c r="AE16" s="99">
        <f t="shared" si="1"/>
        <v>357.58800000000002</v>
      </c>
      <c r="AF16" s="99">
        <f t="shared" si="1"/>
        <v>345.91800000000001</v>
      </c>
      <c r="AG16" s="99">
        <f t="shared" si="1"/>
        <v>269.7165</v>
      </c>
      <c r="AH16" s="99">
        <f t="shared" si="1"/>
        <v>285.46349999999995</v>
      </c>
      <c r="AI16" s="99">
        <f t="shared" si="1"/>
        <v>217.25575000000003</v>
      </c>
      <c r="AJ16" s="99">
        <f t="shared" si="1"/>
        <v>165.63550000000001</v>
      </c>
      <c r="AK16" s="99">
        <f t="shared" si="1"/>
        <v>172.64275000000001</v>
      </c>
      <c r="AL16" s="99">
        <f t="shared" si="1"/>
        <v>122.87950000000001</v>
      </c>
      <c r="AM16" s="99">
        <f t="shared" si="1"/>
        <v>92.517499999999998</v>
      </c>
      <c r="AN16" s="99">
        <f t="shared" si="1"/>
        <v>65.243750000000006</v>
      </c>
      <c r="AO16" s="99">
        <f t="shared" si="1"/>
        <v>73.88</v>
      </c>
      <c r="AP16" s="99">
        <f t="shared" si="1"/>
        <v>81.3</v>
      </c>
      <c r="AQ16" s="99">
        <f t="shared" si="1"/>
        <v>108.4</v>
      </c>
      <c r="AR16" s="99">
        <f t="shared" si="1"/>
        <v>67.75</v>
      </c>
      <c r="AS16" s="99">
        <f t="shared" si="1"/>
        <v>67.75</v>
      </c>
      <c r="AT16" s="99">
        <f t="shared" si="1"/>
        <v>81.3</v>
      </c>
      <c r="AU16" s="99">
        <f t="shared" si="1"/>
        <v>91.034999999999997</v>
      </c>
      <c r="AV16" s="99">
        <f t="shared" si="1"/>
        <v>54.620999999999995</v>
      </c>
      <c r="AW16" s="99">
        <f t="shared" si="1"/>
        <v>60.69</v>
      </c>
      <c r="AX16" s="99">
        <f t="shared" si="1"/>
        <v>78.896999999999991</v>
      </c>
      <c r="AY16" s="99">
        <f t="shared" si="1"/>
        <v>30.344999999999999</v>
      </c>
      <c r="AZ16" s="99"/>
      <c r="BA16" s="99"/>
      <c r="BB16" s="99"/>
      <c r="BC16" s="99"/>
      <c r="BD16" s="99"/>
      <c r="BE16" s="1"/>
      <c r="BF16" s="1"/>
      <c r="BG16" s="1"/>
      <c r="BH16" s="1"/>
      <c r="BI16" s="1"/>
      <c r="BJ16" s="114"/>
      <c r="BK16" s="113"/>
      <c r="BL16" s="1"/>
      <c r="BM16" s="1"/>
      <c r="BN16" s="1"/>
      <c r="BO16" s="1"/>
      <c r="BP16" s="1"/>
      <c r="BQ16" s="114"/>
      <c r="BR16" s="113"/>
      <c r="BS16" s="1"/>
      <c r="BT16" s="1"/>
      <c r="BU16" s="1"/>
      <c r="BV16" s="1"/>
      <c r="BW16" s="1"/>
      <c r="BX16" s="114"/>
      <c r="BY16" s="113"/>
      <c r="BZ16" s="1"/>
      <c r="CA16" s="1"/>
      <c r="CB16" s="1"/>
      <c r="CC16" s="1"/>
      <c r="CD16" s="1"/>
      <c r="CE16" s="114"/>
      <c r="CF16" s="113"/>
      <c r="CG16" s="1"/>
      <c r="CH16" s="1"/>
      <c r="CI16" s="1"/>
      <c r="CJ16" s="1"/>
      <c r="CK16" s="1"/>
      <c r="CL16" s="114"/>
      <c r="CM16" s="113">
        <f>SUM(G16:CL16)</f>
        <v>11500.878249999998</v>
      </c>
    </row>
    <row r="17" spans="1:91" s="143" customFormat="1" x14ac:dyDescent="0.3">
      <c r="A17" s="98">
        <v>20</v>
      </c>
      <c r="B17" s="1"/>
      <c r="C17" s="1"/>
      <c r="D17" s="1"/>
      <c r="E17" s="114"/>
      <c r="F17" s="125"/>
      <c r="G17" s="113"/>
      <c r="H17" s="1"/>
      <c r="I17" s="1">
        <v>87.93</v>
      </c>
      <c r="J17" s="1">
        <v>21.494</v>
      </c>
      <c r="K17" s="1">
        <v>1.9539999999999997</v>
      </c>
      <c r="L17" s="1">
        <v>0</v>
      </c>
      <c r="M17" s="1">
        <v>0</v>
      </c>
      <c r="N17" s="1">
        <v>5.8619999999999992</v>
      </c>
      <c r="O17" s="1">
        <v>102.58499999999999</v>
      </c>
      <c r="P17" s="1">
        <v>81.090999999999994</v>
      </c>
      <c r="Q17" s="1">
        <v>150.744</v>
      </c>
      <c r="R17" s="1">
        <v>318.61799999999999</v>
      </c>
      <c r="S17" s="1">
        <v>229.54199999999997</v>
      </c>
      <c r="T17" s="1">
        <v>208.98599999999999</v>
      </c>
      <c r="U17" s="1">
        <v>0</v>
      </c>
      <c r="V17" s="1">
        <v>185.00399999999999</v>
      </c>
      <c r="W17" s="1">
        <v>459.08399999999995</v>
      </c>
      <c r="X17" s="1">
        <v>283.85750000000002</v>
      </c>
      <c r="Y17" s="1">
        <v>460.85100000000006</v>
      </c>
      <c r="Z17" s="1">
        <v>271.94500000000005</v>
      </c>
      <c r="AA17" s="1">
        <v>0</v>
      </c>
      <c r="AB17" s="1">
        <v>313.63000000000005</v>
      </c>
      <c r="AC17" s="1">
        <v>574.36500000000012</v>
      </c>
      <c r="AD17" s="1">
        <v>524.91999999999996</v>
      </c>
      <c r="AE17" s="1">
        <v>363.86500000000001</v>
      </c>
      <c r="AF17" s="1">
        <v>241.6035</v>
      </c>
      <c r="AG17" s="1">
        <v>179.98650000000001</v>
      </c>
      <c r="AH17" s="1">
        <v>165.393</v>
      </c>
      <c r="AI17" s="1">
        <v>175.12200000000001</v>
      </c>
      <c r="AJ17" s="1">
        <v>216.38400000000001</v>
      </c>
      <c r="AK17" s="1">
        <v>84.525000000000006</v>
      </c>
      <c r="AL17" s="1">
        <v>138.62100000000001</v>
      </c>
      <c r="AM17" s="1">
        <v>121.71600000000001</v>
      </c>
      <c r="AN17" s="1">
        <v>74.382000000000005</v>
      </c>
      <c r="AO17" s="1">
        <v>30.85</v>
      </c>
      <c r="AP17" s="1">
        <v>30.85</v>
      </c>
      <c r="AQ17" s="1">
        <v>33.935000000000002</v>
      </c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70"/>
      <c r="BK17" s="113"/>
      <c r="BL17" s="1"/>
      <c r="BM17" s="1"/>
      <c r="BN17" s="1"/>
      <c r="BO17" s="1"/>
      <c r="BP17" s="1"/>
      <c r="BQ17" s="70"/>
      <c r="BR17" s="113"/>
      <c r="BS17" s="1"/>
      <c r="BT17" s="1"/>
      <c r="BU17" s="1"/>
      <c r="BV17" s="1"/>
      <c r="BW17" s="1"/>
      <c r="BX17" s="70"/>
      <c r="BY17" s="113"/>
      <c r="BZ17" s="1"/>
      <c r="CA17" s="1"/>
      <c r="CB17" s="1"/>
      <c r="CC17" s="1"/>
      <c r="CD17" s="1"/>
      <c r="CE17" s="114"/>
      <c r="CF17" s="113"/>
      <c r="CG17" s="1"/>
      <c r="CH17" s="1"/>
      <c r="CI17" s="1"/>
      <c r="CJ17" s="1"/>
      <c r="CK17" s="1"/>
      <c r="CL17" s="114"/>
      <c r="CM17" s="113">
        <f>SUM(G17:CL17)</f>
        <v>6139.6955000000016</v>
      </c>
    </row>
    <row r="18" spans="1:91" s="143" customFormat="1" x14ac:dyDescent="0.3">
      <c r="A18" s="98">
        <v>23</v>
      </c>
      <c r="B18" s="1"/>
      <c r="C18" s="1"/>
      <c r="D18" s="1"/>
      <c r="E18" s="114"/>
      <c r="F18" s="125"/>
      <c r="G18" s="113"/>
      <c r="H18" s="1"/>
      <c r="I18" s="1">
        <v>19.057499999999997</v>
      </c>
      <c r="J18" s="1">
        <v>42.157499999999999</v>
      </c>
      <c r="K18" s="1">
        <v>109.72499999999998</v>
      </c>
      <c r="L18" s="1">
        <v>125.31749999999998</v>
      </c>
      <c r="M18" s="1">
        <v>57.172499999999992</v>
      </c>
      <c r="N18" s="1">
        <v>65.834999999999994</v>
      </c>
      <c r="O18" s="1">
        <v>36.959999999999994</v>
      </c>
      <c r="P18" s="1">
        <v>45.045000000000002</v>
      </c>
      <c r="Q18" s="1">
        <v>18.479999999999997</v>
      </c>
      <c r="R18" s="1">
        <v>33.494999999999997</v>
      </c>
      <c r="S18" s="1">
        <v>28.874999999999996</v>
      </c>
      <c r="T18" s="1">
        <v>43.89</v>
      </c>
      <c r="U18" s="1">
        <v>18.479999999999997</v>
      </c>
      <c r="V18" s="1">
        <v>53.006</v>
      </c>
      <c r="W18" s="1">
        <v>109.13</v>
      </c>
      <c r="X18" s="1">
        <v>174.608</v>
      </c>
      <c r="Y18" s="1">
        <v>59.241999999999997</v>
      </c>
      <c r="Z18" s="1">
        <v>174.608</v>
      </c>
      <c r="AA18" s="1">
        <v>93.54</v>
      </c>
      <c r="AB18" s="1">
        <v>62.36</v>
      </c>
      <c r="AC18" s="1">
        <v>32.739000000000004</v>
      </c>
      <c r="AD18" s="1">
        <v>24.944000000000003</v>
      </c>
      <c r="AE18" s="1">
        <v>31.18</v>
      </c>
      <c r="AF18" s="1">
        <v>37.415999999999997</v>
      </c>
      <c r="AG18" s="1">
        <v>28.061999999999998</v>
      </c>
      <c r="AH18" s="1">
        <v>45.211000000000006</v>
      </c>
      <c r="AI18" s="1">
        <v>35.856999999999999</v>
      </c>
      <c r="AJ18" s="1">
        <v>28.061999999999998</v>
      </c>
      <c r="AK18" s="1">
        <v>79.001999999999995</v>
      </c>
      <c r="AL18" s="1">
        <v>67.031999999999982</v>
      </c>
      <c r="AM18" s="1">
        <v>93.365999999999985</v>
      </c>
      <c r="AN18" s="1">
        <v>69.425999999999988</v>
      </c>
      <c r="AO18" s="1">
        <v>79.001999999999995</v>
      </c>
      <c r="AP18" s="1">
        <v>57.455999999999996</v>
      </c>
      <c r="AQ18" s="1">
        <v>131.66999999999999</v>
      </c>
      <c r="AR18" s="1">
        <v>100.54799999999999</v>
      </c>
      <c r="AS18" s="1">
        <v>86.183999999999997</v>
      </c>
      <c r="AT18" s="1">
        <v>117.30599999999998</v>
      </c>
      <c r="AU18" s="1">
        <v>131.07</v>
      </c>
      <c r="AV18" s="1">
        <v>55.897500000000001</v>
      </c>
      <c r="AW18" s="1">
        <v>104.08499999999999</v>
      </c>
      <c r="AX18" s="1">
        <v>125.28749999999998</v>
      </c>
      <c r="AY18" s="1">
        <v>50.115000000000002</v>
      </c>
      <c r="AZ18" s="1">
        <v>96.375</v>
      </c>
      <c r="BA18" s="1">
        <v>84.81</v>
      </c>
      <c r="BB18" s="1">
        <v>106.0125</v>
      </c>
      <c r="BC18" s="1">
        <v>55.897500000000001</v>
      </c>
      <c r="BD18" s="1">
        <v>84.81</v>
      </c>
      <c r="BE18" s="1">
        <v>85.25</v>
      </c>
      <c r="BF18" s="1">
        <v>120.125</v>
      </c>
      <c r="BG18" s="1">
        <v>75.5625</v>
      </c>
      <c r="BH18" s="1">
        <v>127.875</v>
      </c>
      <c r="BI18" s="1">
        <v>94.9375</v>
      </c>
      <c r="BJ18" s="70">
        <v>143.375</v>
      </c>
      <c r="BK18" s="113">
        <v>100.75</v>
      </c>
      <c r="BL18" s="1">
        <v>50.375</v>
      </c>
      <c r="BM18" s="1">
        <v>89.125</v>
      </c>
      <c r="BN18" s="1">
        <v>110.4375</v>
      </c>
      <c r="BO18" s="1">
        <v>139.5</v>
      </c>
      <c r="BP18" s="1">
        <v>112.375</v>
      </c>
      <c r="BQ18" s="70">
        <v>135.625</v>
      </c>
      <c r="BR18" s="113">
        <v>123.20099999999998</v>
      </c>
      <c r="BS18" s="1">
        <v>102.66749999999998</v>
      </c>
      <c r="BT18" s="1">
        <v>78.974999999999994</v>
      </c>
      <c r="BU18" s="1">
        <v>66.338999999999999</v>
      </c>
      <c r="BV18" s="1">
        <v>61.60049999999999</v>
      </c>
      <c r="BW18" s="1">
        <v>39.487499999999997</v>
      </c>
      <c r="BX18" s="70">
        <v>32.889999999999993</v>
      </c>
      <c r="BY18" s="113">
        <v>21.45</v>
      </c>
      <c r="BZ18" s="1"/>
      <c r="CA18" s="1"/>
      <c r="CB18" s="1"/>
      <c r="CC18" s="1"/>
      <c r="CD18" s="1"/>
      <c r="CE18" s="114"/>
      <c r="CF18" s="113"/>
      <c r="CG18" s="1"/>
      <c r="CH18" s="1"/>
      <c r="CI18" s="1"/>
      <c r="CJ18" s="1"/>
      <c r="CK18" s="1"/>
      <c r="CL18" s="114"/>
      <c r="CM18" s="113">
        <f t="shared" ref="CM18" si="2">SUM(G18:CL18)</f>
        <v>5321.7299999999987</v>
      </c>
    </row>
    <row r="19" spans="1:91" x14ac:dyDescent="0.3">
      <c r="A19" s="98" t="s">
        <v>277</v>
      </c>
      <c r="B19" s="1">
        <v>71.935299999999998</v>
      </c>
      <c r="C19" s="1">
        <v>0</v>
      </c>
      <c r="D19" s="1">
        <v>28.064699999999998</v>
      </c>
      <c r="E19" s="114">
        <v>0</v>
      </c>
      <c r="F19" s="122" t="s">
        <v>181</v>
      </c>
      <c r="G19" s="130"/>
      <c r="H19" s="131"/>
      <c r="I19" s="131">
        <f>AVERAGE(I17,I18)</f>
        <v>53.493750000000006</v>
      </c>
      <c r="J19" s="131">
        <f t="shared" ref="J19:BU19" si="3">AVERAGE(J17,J18)</f>
        <v>31.825749999999999</v>
      </c>
      <c r="K19" s="131">
        <f t="shared" si="3"/>
        <v>55.839499999999987</v>
      </c>
      <c r="L19" s="131">
        <f t="shared" si="3"/>
        <v>62.658749999999991</v>
      </c>
      <c r="M19" s="131">
        <f t="shared" si="3"/>
        <v>28.586249999999996</v>
      </c>
      <c r="N19" s="131">
        <f t="shared" si="3"/>
        <v>35.848499999999994</v>
      </c>
      <c r="O19" s="131">
        <f t="shared" si="3"/>
        <v>69.772499999999994</v>
      </c>
      <c r="P19" s="131">
        <f t="shared" si="3"/>
        <v>63.067999999999998</v>
      </c>
      <c r="Q19" s="131">
        <f t="shared" si="3"/>
        <v>84.611999999999995</v>
      </c>
      <c r="R19" s="131">
        <f t="shared" si="3"/>
        <v>176.0565</v>
      </c>
      <c r="S19" s="131">
        <f t="shared" si="3"/>
        <v>129.20849999999999</v>
      </c>
      <c r="T19" s="131">
        <f t="shared" si="3"/>
        <v>126.43799999999999</v>
      </c>
      <c r="U19" s="131">
        <f t="shared" si="3"/>
        <v>9.2399999999999984</v>
      </c>
      <c r="V19" s="131">
        <f t="shared" si="3"/>
        <v>119.005</v>
      </c>
      <c r="W19" s="131">
        <f t="shared" si="3"/>
        <v>284.10699999999997</v>
      </c>
      <c r="X19" s="131">
        <f t="shared" si="3"/>
        <v>229.23275000000001</v>
      </c>
      <c r="Y19" s="131">
        <f t="shared" si="3"/>
        <v>260.04650000000004</v>
      </c>
      <c r="Z19" s="131">
        <f t="shared" si="3"/>
        <v>223.27650000000003</v>
      </c>
      <c r="AA19" s="131">
        <f t="shared" si="3"/>
        <v>46.77</v>
      </c>
      <c r="AB19" s="131">
        <f t="shared" si="3"/>
        <v>187.99500000000003</v>
      </c>
      <c r="AC19" s="131">
        <f t="shared" si="3"/>
        <v>303.55200000000008</v>
      </c>
      <c r="AD19" s="131">
        <f t="shared" si="3"/>
        <v>274.93199999999996</v>
      </c>
      <c r="AE19" s="131">
        <f t="shared" si="3"/>
        <v>197.52250000000001</v>
      </c>
      <c r="AF19" s="131">
        <f t="shared" si="3"/>
        <v>139.50975</v>
      </c>
      <c r="AG19" s="131">
        <f t="shared" si="3"/>
        <v>104.02424999999999</v>
      </c>
      <c r="AH19" s="131">
        <f t="shared" si="3"/>
        <v>105.30200000000001</v>
      </c>
      <c r="AI19" s="131">
        <f t="shared" si="3"/>
        <v>105.48950000000001</v>
      </c>
      <c r="AJ19" s="131">
        <f t="shared" si="3"/>
        <v>122.22300000000001</v>
      </c>
      <c r="AK19" s="131">
        <f t="shared" si="3"/>
        <v>81.763499999999993</v>
      </c>
      <c r="AL19" s="131">
        <f t="shared" si="3"/>
        <v>102.8265</v>
      </c>
      <c r="AM19" s="131">
        <f t="shared" si="3"/>
        <v>107.541</v>
      </c>
      <c r="AN19" s="131">
        <f t="shared" si="3"/>
        <v>71.903999999999996</v>
      </c>
      <c r="AO19" s="131">
        <f t="shared" si="3"/>
        <v>54.926000000000002</v>
      </c>
      <c r="AP19" s="131">
        <f t="shared" si="3"/>
        <v>44.152999999999999</v>
      </c>
      <c r="AQ19" s="131">
        <f t="shared" si="3"/>
        <v>82.802499999999995</v>
      </c>
      <c r="AR19" s="131">
        <f t="shared" si="3"/>
        <v>100.54799999999999</v>
      </c>
      <c r="AS19" s="131">
        <f t="shared" si="3"/>
        <v>86.183999999999997</v>
      </c>
      <c r="AT19" s="131">
        <f t="shared" si="3"/>
        <v>117.30599999999998</v>
      </c>
      <c r="AU19" s="131">
        <f t="shared" si="3"/>
        <v>131.07</v>
      </c>
      <c r="AV19" s="131">
        <f t="shared" si="3"/>
        <v>55.897500000000001</v>
      </c>
      <c r="AW19" s="131">
        <f t="shared" si="3"/>
        <v>104.08499999999999</v>
      </c>
      <c r="AX19" s="131">
        <f t="shared" si="3"/>
        <v>125.28749999999998</v>
      </c>
      <c r="AY19" s="131">
        <f t="shared" si="3"/>
        <v>50.115000000000002</v>
      </c>
      <c r="AZ19" s="131">
        <f t="shared" si="3"/>
        <v>96.375</v>
      </c>
      <c r="BA19" s="131">
        <f t="shared" si="3"/>
        <v>84.81</v>
      </c>
      <c r="BB19" s="131">
        <f t="shared" si="3"/>
        <v>106.0125</v>
      </c>
      <c r="BC19" s="131">
        <f t="shared" si="3"/>
        <v>55.897500000000001</v>
      </c>
      <c r="BD19" s="131">
        <f t="shared" si="3"/>
        <v>84.81</v>
      </c>
      <c r="BE19" s="131">
        <f t="shared" si="3"/>
        <v>85.25</v>
      </c>
      <c r="BF19" s="131">
        <f t="shared" si="3"/>
        <v>120.125</v>
      </c>
      <c r="BG19" s="131">
        <f t="shared" si="3"/>
        <v>75.5625</v>
      </c>
      <c r="BH19" s="131">
        <f t="shared" si="3"/>
        <v>127.875</v>
      </c>
      <c r="BI19" s="131">
        <f t="shared" si="3"/>
        <v>94.9375</v>
      </c>
      <c r="BJ19" s="131">
        <f t="shared" si="3"/>
        <v>143.375</v>
      </c>
      <c r="BK19" s="131">
        <f t="shared" si="3"/>
        <v>100.75</v>
      </c>
      <c r="BL19" s="131">
        <f t="shared" si="3"/>
        <v>50.375</v>
      </c>
      <c r="BM19" s="131">
        <f t="shared" si="3"/>
        <v>89.125</v>
      </c>
      <c r="BN19" s="131">
        <f t="shared" si="3"/>
        <v>110.4375</v>
      </c>
      <c r="BO19" s="131">
        <f t="shared" si="3"/>
        <v>139.5</v>
      </c>
      <c r="BP19" s="131">
        <f t="shared" si="3"/>
        <v>112.375</v>
      </c>
      <c r="BQ19" s="131">
        <f t="shared" si="3"/>
        <v>135.625</v>
      </c>
      <c r="BR19" s="131">
        <f t="shared" si="3"/>
        <v>123.20099999999998</v>
      </c>
      <c r="BS19" s="131">
        <f t="shared" si="3"/>
        <v>102.66749999999998</v>
      </c>
      <c r="BT19" s="131">
        <f t="shared" si="3"/>
        <v>78.974999999999994</v>
      </c>
      <c r="BU19" s="131">
        <f t="shared" si="3"/>
        <v>66.338999999999999</v>
      </c>
      <c r="BV19" s="131">
        <f t="shared" ref="BV19:BY19" si="4">AVERAGE(BV17,BV18)</f>
        <v>61.60049999999999</v>
      </c>
      <c r="BW19" s="131">
        <f t="shared" si="4"/>
        <v>39.487499999999997</v>
      </c>
      <c r="BX19" s="131">
        <f t="shared" si="4"/>
        <v>32.889999999999993</v>
      </c>
      <c r="BY19" s="131">
        <f t="shared" si="4"/>
        <v>21.45</v>
      </c>
      <c r="BZ19" s="131"/>
      <c r="CA19" s="131"/>
      <c r="CB19" s="1"/>
      <c r="CC19" s="1"/>
      <c r="CD19" s="1"/>
      <c r="CE19" s="114"/>
      <c r="CF19" s="113"/>
      <c r="CG19" s="1"/>
      <c r="CH19" s="1"/>
      <c r="CI19" s="1"/>
      <c r="CJ19" s="1"/>
      <c r="CK19" s="1"/>
      <c r="CL19" s="114"/>
      <c r="CM19" s="113">
        <f>SUM(G19:CL19)</f>
        <v>7285.8732499999996</v>
      </c>
    </row>
    <row r="20" spans="1:91" s="13" customFormat="1" x14ac:dyDescent="0.3">
      <c r="A20" s="2"/>
      <c r="F20" s="2"/>
      <c r="CM20" s="113"/>
    </row>
    <row r="21" spans="1:91" s="174" customFormat="1" x14ac:dyDescent="0.3">
      <c r="A21" s="1" t="s">
        <v>169</v>
      </c>
      <c r="B21" s="1" t="s">
        <v>46</v>
      </c>
      <c r="C21" s="1" t="s">
        <v>248</v>
      </c>
      <c r="D21" s="1" t="s">
        <v>48</v>
      </c>
      <c r="E21" s="114" t="s">
        <v>54</v>
      </c>
      <c r="F21" s="114"/>
      <c r="G21" s="115">
        <v>45327</v>
      </c>
      <c r="H21" s="173">
        <v>0</v>
      </c>
      <c r="I21" s="173">
        <v>1</v>
      </c>
      <c r="J21" s="173">
        <v>2</v>
      </c>
      <c r="K21" s="173">
        <v>3</v>
      </c>
      <c r="L21" s="173">
        <v>4</v>
      </c>
      <c r="M21" s="173">
        <v>5</v>
      </c>
      <c r="N21" s="173">
        <v>6</v>
      </c>
      <c r="O21" s="173">
        <v>7</v>
      </c>
      <c r="P21" s="173">
        <v>8</v>
      </c>
      <c r="Q21" s="173">
        <v>9</v>
      </c>
      <c r="R21" s="173">
        <v>10</v>
      </c>
      <c r="S21" s="173">
        <v>11</v>
      </c>
      <c r="T21" s="173">
        <v>12</v>
      </c>
      <c r="U21" s="173">
        <v>13</v>
      </c>
      <c r="V21" s="173">
        <v>14</v>
      </c>
      <c r="W21" s="173">
        <v>15</v>
      </c>
      <c r="X21" s="173">
        <v>16</v>
      </c>
      <c r="Y21" s="173">
        <v>17</v>
      </c>
      <c r="Z21" s="173">
        <v>18</v>
      </c>
      <c r="AA21" s="173">
        <v>19</v>
      </c>
      <c r="AB21" s="173">
        <v>20</v>
      </c>
      <c r="AC21" s="173">
        <v>21</v>
      </c>
      <c r="AD21" s="173">
        <v>22</v>
      </c>
      <c r="AE21" s="173">
        <v>23</v>
      </c>
      <c r="AF21" s="173">
        <v>24</v>
      </c>
      <c r="AG21" s="173">
        <v>25</v>
      </c>
      <c r="AH21" s="173">
        <v>26</v>
      </c>
      <c r="AI21" s="173">
        <v>27</v>
      </c>
      <c r="AJ21" s="173">
        <v>28</v>
      </c>
      <c r="AK21" s="173">
        <v>29</v>
      </c>
      <c r="AL21" s="173">
        <v>30</v>
      </c>
      <c r="AM21" s="173">
        <v>31</v>
      </c>
      <c r="AN21" s="173">
        <v>32</v>
      </c>
      <c r="AO21" s="173">
        <v>33</v>
      </c>
      <c r="AP21" s="173">
        <v>34</v>
      </c>
      <c r="AQ21" s="173">
        <v>35</v>
      </c>
      <c r="AR21" s="173">
        <v>36</v>
      </c>
      <c r="AS21" s="173">
        <v>37</v>
      </c>
      <c r="AT21" s="173">
        <v>38</v>
      </c>
      <c r="AU21" s="173">
        <v>39</v>
      </c>
      <c r="AV21" s="173">
        <v>40</v>
      </c>
      <c r="AW21" s="173">
        <v>41</v>
      </c>
      <c r="AX21" s="173">
        <v>42</v>
      </c>
      <c r="AY21" s="173">
        <v>43</v>
      </c>
      <c r="AZ21" s="173">
        <v>44</v>
      </c>
      <c r="BA21" s="173">
        <v>45</v>
      </c>
      <c r="BB21" s="173">
        <v>46</v>
      </c>
      <c r="BC21" s="173">
        <v>47</v>
      </c>
      <c r="BD21" s="173">
        <v>48</v>
      </c>
      <c r="BE21" s="173">
        <v>49</v>
      </c>
      <c r="BF21" s="173">
        <v>50</v>
      </c>
      <c r="BG21" s="173">
        <v>51</v>
      </c>
      <c r="BH21" s="173">
        <v>52</v>
      </c>
      <c r="BI21" s="173">
        <v>53</v>
      </c>
      <c r="BJ21" s="173">
        <v>54</v>
      </c>
      <c r="BK21" s="173">
        <v>55</v>
      </c>
      <c r="BL21" s="173">
        <v>56</v>
      </c>
      <c r="BM21" s="173">
        <v>57</v>
      </c>
      <c r="BN21" s="173">
        <v>58</v>
      </c>
      <c r="BO21" s="173">
        <v>59</v>
      </c>
      <c r="BP21" s="173">
        <v>60</v>
      </c>
      <c r="BQ21" s="173">
        <v>61</v>
      </c>
      <c r="BR21" s="173">
        <v>62</v>
      </c>
      <c r="BS21" s="173">
        <v>63</v>
      </c>
      <c r="BT21" s="173">
        <v>64</v>
      </c>
      <c r="BU21" s="173">
        <v>65</v>
      </c>
      <c r="BV21" s="173">
        <v>66</v>
      </c>
      <c r="BW21" s="173">
        <v>67</v>
      </c>
      <c r="BX21" s="173">
        <v>68</v>
      </c>
      <c r="BY21" s="173">
        <v>69</v>
      </c>
      <c r="BZ21" s="173">
        <v>70</v>
      </c>
      <c r="CA21" s="173">
        <v>71</v>
      </c>
      <c r="CB21" s="173">
        <v>72</v>
      </c>
      <c r="CC21" s="173">
        <v>73</v>
      </c>
      <c r="CD21" s="173">
        <v>74</v>
      </c>
      <c r="CE21" s="173">
        <v>75</v>
      </c>
      <c r="CF21" s="173">
        <v>76</v>
      </c>
      <c r="CG21" s="173">
        <v>77</v>
      </c>
      <c r="CH21" s="117"/>
      <c r="CI21" s="117"/>
      <c r="CJ21" s="117"/>
      <c r="CK21" s="117"/>
      <c r="CL21" s="118"/>
      <c r="CM21" s="113" t="s">
        <v>34</v>
      </c>
    </row>
    <row r="22" spans="1:91" s="143" customFormat="1" x14ac:dyDescent="0.3">
      <c r="A22" s="99" t="s">
        <v>276</v>
      </c>
      <c r="B22" s="1">
        <v>27.197399999999998</v>
      </c>
      <c r="C22" s="1">
        <v>0</v>
      </c>
      <c r="D22" s="1">
        <v>72.802599999999998</v>
      </c>
      <c r="E22" s="114">
        <v>0</v>
      </c>
      <c r="F22" s="122" t="s">
        <v>180</v>
      </c>
      <c r="G22" s="158"/>
      <c r="H22" s="159"/>
      <c r="I22" s="159">
        <v>128.196</v>
      </c>
      <c r="J22" s="159">
        <v>64.105499999999992</v>
      </c>
      <c r="K22" s="159">
        <v>197.1405</v>
      </c>
      <c r="L22" s="159">
        <v>89.903999999999996</v>
      </c>
      <c r="M22" s="160">
        <v>146.92499999999998</v>
      </c>
      <c r="N22" s="158">
        <v>137.11349999999999</v>
      </c>
      <c r="O22" s="159">
        <v>222.42149999999998</v>
      </c>
      <c r="P22" s="159">
        <v>250.56249999999997</v>
      </c>
      <c r="Q22" s="159">
        <v>365.79749999999996</v>
      </c>
      <c r="R22" s="159">
        <v>261.43700000000001</v>
      </c>
      <c r="S22" s="159">
        <v>596.83750000000009</v>
      </c>
      <c r="T22" s="160">
        <v>569.94450000000006</v>
      </c>
      <c r="U22" s="158">
        <v>651.89474999999993</v>
      </c>
      <c r="V22" s="159">
        <v>682.28625000000011</v>
      </c>
      <c r="W22" s="159">
        <v>715.97800000000007</v>
      </c>
      <c r="X22" s="159">
        <v>588.49800000000005</v>
      </c>
      <c r="Y22" s="159">
        <v>478.26</v>
      </c>
      <c r="Z22" s="159">
        <v>459.36649999999997</v>
      </c>
      <c r="AA22" s="160">
        <v>512.08799999999997</v>
      </c>
      <c r="AB22" s="158">
        <v>543.81899999999996</v>
      </c>
      <c r="AC22" s="159">
        <v>511.73</v>
      </c>
      <c r="AD22" s="159">
        <v>435.74399999999997</v>
      </c>
      <c r="AE22" s="159">
        <v>357.58800000000002</v>
      </c>
      <c r="AF22" s="159">
        <v>345.91800000000001</v>
      </c>
      <c r="AG22" s="159">
        <v>269.7165</v>
      </c>
      <c r="AH22" s="160">
        <v>285.46349999999995</v>
      </c>
      <c r="AI22" s="158">
        <v>217.25575000000003</v>
      </c>
      <c r="AJ22" s="159">
        <v>165.63550000000001</v>
      </c>
      <c r="AK22" s="159">
        <v>172.64275000000001</v>
      </c>
      <c r="AL22" s="159">
        <v>122.87950000000001</v>
      </c>
      <c r="AM22" s="159">
        <v>92.517499999999998</v>
      </c>
      <c r="AN22" s="159">
        <v>65.243750000000006</v>
      </c>
      <c r="AO22" s="160">
        <v>73.88</v>
      </c>
      <c r="AP22" s="158">
        <v>81.3</v>
      </c>
      <c r="AQ22" s="159">
        <v>108.4</v>
      </c>
      <c r="AR22" s="159">
        <v>67.75</v>
      </c>
      <c r="AS22" s="159">
        <v>67.75</v>
      </c>
      <c r="AT22" s="159">
        <v>81.3</v>
      </c>
      <c r="AU22" s="159">
        <v>91.034999999999997</v>
      </c>
      <c r="AV22" s="160">
        <v>54.620999999999995</v>
      </c>
      <c r="AW22" s="158">
        <v>60.69</v>
      </c>
      <c r="AX22" s="159">
        <v>78.896999999999991</v>
      </c>
      <c r="AY22" s="159">
        <v>30.344999999999999</v>
      </c>
      <c r="AZ22" s="159"/>
      <c r="BA22" s="159"/>
      <c r="BB22" s="159"/>
      <c r="BC22" s="160"/>
      <c r="BD22" s="158"/>
      <c r="BE22" s="159"/>
      <c r="BF22" s="159"/>
      <c r="BG22" s="159"/>
      <c r="BH22" s="159"/>
      <c r="BI22" s="159"/>
      <c r="BJ22" s="160"/>
      <c r="BK22" s="158"/>
      <c r="BL22" s="159"/>
      <c r="BM22" s="159"/>
      <c r="BN22" s="159"/>
      <c r="BO22" s="159"/>
      <c r="BP22" s="159"/>
      <c r="BQ22" s="160"/>
      <c r="BR22" s="158"/>
      <c r="BS22" s="159"/>
      <c r="BT22" s="159"/>
      <c r="BU22" s="159"/>
      <c r="BV22" s="159"/>
      <c r="BW22" s="159"/>
      <c r="BX22" s="160"/>
      <c r="BY22" s="158"/>
      <c r="BZ22" s="159"/>
      <c r="CA22" s="159"/>
      <c r="CB22" s="117"/>
      <c r="CC22" s="117"/>
      <c r="CD22" s="117"/>
      <c r="CE22" s="118"/>
      <c r="CF22" s="128"/>
      <c r="CG22" s="117"/>
      <c r="CH22" s="1"/>
      <c r="CI22" s="1"/>
      <c r="CJ22" s="1"/>
      <c r="CK22" s="1"/>
      <c r="CL22" s="114"/>
      <c r="CM22" s="113">
        <f>SUM(G22:CL22)</f>
        <v>11500.878249999998</v>
      </c>
    </row>
    <row r="23" spans="1:91" s="143" customFormat="1" x14ac:dyDescent="0.3">
      <c r="A23" s="98" t="s">
        <v>277</v>
      </c>
      <c r="B23" s="1">
        <v>71.935299999999998</v>
      </c>
      <c r="C23" s="1">
        <v>0</v>
      </c>
      <c r="D23" s="1">
        <v>28.064699999999998</v>
      </c>
      <c r="E23" s="114">
        <v>0</v>
      </c>
      <c r="F23" s="122" t="s">
        <v>181</v>
      </c>
      <c r="G23" s="158"/>
      <c r="H23" s="159"/>
      <c r="I23" s="159">
        <v>53.493750000000006</v>
      </c>
      <c r="J23" s="159">
        <v>31.825749999999999</v>
      </c>
      <c r="K23" s="159">
        <v>55.839499999999987</v>
      </c>
      <c r="L23" s="159">
        <v>62.658749999999991</v>
      </c>
      <c r="M23" s="160">
        <v>28.586249999999996</v>
      </c>
      <c r="N23" s="158">
        <v>35.848499999999994</v>
      </c>
      <c r="O23" s="159">
        <v>69.772499999999994</v>
      </c>
      <c r="P23" s="159">
        <v>63.067999999999998</v>
      </c>
      <c r="Q23" s="159">
        <v>84.611999999999995</v>
      </c>
      <c r="R23" s="159">
        <v>176.0565</v>
      </c>
      <c r="S23" s="159">
        <v>129.20849999999999</v>
      </c>
      <c r="T23" s="160">
        <v>126.43799999999999</v>
      </c>
      <c r="U23" s="158">
        <v>9.2399999999999984</v>
      </c>
      <c r="V23" s="159">
        <v>119.005</v>
      </c>
      <c r="W23" s="159">
        <v>284.10699999999997</v>
      </c>
      <c r="X23" s="159">
        <v>229.23275000000001</v>
      </c>
      <c r="Y23" s="159">
        <v>260.04650000000004</v>
      </c>
      <c r="Z23" s="159">
        <v>223.27650000000003</v>
      </c>
      <c r="AA23" s="160">
        <v>46.77</v>
      </c>
      <c r="AB23" s="158">
        <v>187.99500000000003</v>
      </c>
      <c r="AC23" s="159">
        <v>303.55200000000008</v>
      </c>
      <c r="AD23" s="159">
        <v>274.93199999999996</v>
      </c>
      <c r="AE23" s="159">
        <v>197.52250000000001</v>
      </c>
      <c r="AF23" s="159">
        <v>139.50975</v>
      </c>
      <c r="AG23" s="159">
        <v>104.02424999999999</v>
      </c>
      <c r="AH23" s="160">
        <v>105.30200000000001</v>
      </c>
      <c r="AI23" s="158">
        <v>105.48950000000001</v>
      </c>
      <c r="AJ23" s="159">
        <v>122.22300000000001</v>
      </c>
      <c r="AK23" s="159">
        <v>81.763499999999993</v>
      </c>
      <c r="AL23" s="159">
        <v>102.8265</v>
      </c>
      <c r="AM23" s="159">
        <v>107.541</v>
      </c>
      <c r="AN23" s="159">
        <v>71.903999999999996</v>
      </c>
      <c r="AO23" s="160">
        <v>54.926000000000002</v>
      </c>
      <c r="AP23" s="158">
        <v>44.152999999999999</v>
      </c>
      <c r="AQ23" s="159">
        <v>82.802499999999995</v>
      </c>
      <c r="AR23" s="159">
        <v>100.54799999999999</v>
      </c>
      <c r="AS23" s="159">
        <v>86.183999999999997</v>
      </c>
      <c r="AT23" s="159">
        <v>117.30599999999998</v>
      </c>
      <c r="AU23" s="159">
        <v>131.07</v>
      </c>
      <c r="AV23" s="160">
        <v>55.897500000000001</v>
      </c>
      <c r="AW23" s="158">
        <v>104.08499999999999</v>
      </c>
      <c r="AX23" s="159">
        <v>125.28749999999998</v>
      </c>
      <c r="AY23" s="159">
        <v>50.115000000000002</v>
      </c>
      <c r="AZ23" s="159">
        <v>96.375</v>
      </c>
      <c r="BA23" s="159">
        <v>84.81</v>
      </c>
      <c r="BB23" s="159">
        <v>106.0125</v>
      </c>
      <c r="BC23" s="160">
        <v>55.897500000000001</v>
      </c>
      <c r="BD23" s="158">
        <v>84.81</v>
      </c>
      <c r="BE23" s="159">
        <v>85.25</v>
      </c>
      <c r="BF23" s="159">
        <v>120.125</v>
      </c>
      <c r="BG23" s="159">
        <v>75.5625</v>
      </c>
      <c r="BH23" s="159">
        <v>127.875</v>
      </c>
      <c r="BI23" s="159">
        <v>94.9375</v>
      </c>
      <c r="BJ23" s="160">
        <v>143.375</v>
      </c>
      <c r="BK23" s="158">
        <v>100.75</v>
      </c>
      <c r="BL23" s="159">
        <v>50.375</v>
      </c>
      <c r="BM23" s="159">
        <v>89.125</v>
      </c>
      <c r="BN23" s="159">
        <v>110.4375</v>
      </c>
      <c r="BO23" s="159">
        <v>139.5</v>
      </c>
      <c r="BP23" s="159">
        <v>112.375</v>
      </c>
      <c r="BQ23" s="160">
        <v>135.625</v>
      </c>
      <c r="BR23" s="158">
        <v>123.20099999999998</v>
      </c>
      <c r="BS23" s="159">
        <v>102.66749999999998</v>
      </c>
      <c r="BT23" s="159">
        <v>78.974999999999994</v>
      </c>
      <c r="BU23" s="159">
        <v>66.338999999999999</v>
      </c>
      <c r="BV23" s="159">
        <v>61.60049999999999</v>
      </c>
      <c r="BW23" s="159">
        <v>39.487499999999997</v>
      </c>
      <c r="BX23" s="160">
        <v>32.889999999999993</v>
      </c>
      <c r="BY23" s="158">
        <v>21.45</v>
      </c>
      <c r="BZ23" s="159"/>
      <c r="CA23" s="159"/>
      <c r="CB23" s="117"/>
      <c r="CC23" s="117"/>
      <c r="CD23" s="117"/>
      <c r="CE23" s="118"/>
      <c r="CF23" s="128"/>
      <c r="CG23" s="117"/>
      <c r="CH23" s="1"/>
      <c r="CI23" s="1"/>
      <c r="CJ23" s="1"/>
      <c r="CK23" s="1"/>
      <c r="CL23" s="114"/>
      <c r="CM23" s="113">
        <f>SUM(G23:CL23)</f>
        <v>7285.8732499999996</v>
      </c>
    </row>
    <row r="24" spans="1:91" s="13" customFormat="1" x14ac:dyDescent="0.3">
      <c r="A24" s="2"/>
      <c r="F24" s="2"/>
      <c r="CM24" s="113"/>
    </row>
    <row r="25" spans="1:91" s="174" customFormat="1" x14ac:dyDescent="0.3">
      <c r="A25" s="1" t="s">
        <v>169</v>
      </c>
      <c r="B25" s="1" t="s">
        <v>46</v>
      </c>
      <c r="C25" s="1" t="s">
        <v>248</v>
      </c>
      <c r="D25" s="1" t="s">
        <v>48</v>
      </c>
      <c r="E25" s="114" t="s">
        <v>54</v>
      </c>
      <c r="F25" s="114"/>
      <c r="G25" s="115">
        <v>45327</v>
      </c>
      <c r="H25" s="173">
        <v>0</v>
      </c>
      <c r="I25" s="173">
        <v>1</v>
      </c>
      <c r="J25" s="173">
        <v>2</v>
      </c>
      <c r="K25" s="173">
        <v>3</v>
      </c>
      <c r="L25" s="173">
        <v>4</v>
      </c>
      <c r="M25" s="173">
        <v>5</v>
      </c>
      <c r="N25" s="173">
        <v>6</v>
      </c>
      <c r="O25" s="173">
        <v>7</v>
      </c>
      <c r="P25" s="173">
        <v>8</v>
      </c>
      <c r="Q25" s="173">
        <v>9</v>
      </c>
      <c r="R25" s="173">
        <v>10</v>
      </c>
      <c r="S25" s="173">
        <v>11</v>
      </c>
      <c r="T25" s="173">
        <v>12</v>
      </c>
      <c r="U25" s="173">
        <v>13</v>
      </c>
      <c r="V25" s="173">
        <v>14</v>
      </c>
      <c r="W25" s="173">
        <v>15</v>
      </c>
      <c r="X25" s="173">
        <v>16</v>
      </c>
      <c r="Y25" s="173">
        <v>17</v>
      </c>
      <c r="Z25" s="173">
        <v>18</v>
      </c>
      <c r="AA25" s="173">
        <v>19</v>
      </c>
      <c r="AB25" s="173">
        <v>20</v>
      </c>
      <c r="AC25" s="173">
        <v>21</v>
      </c>
      <c r="AD25" s="173">
        <v>22</v>
      </c>
      <c r="AE25" s="173">
        <v>23</v>
      </c>
      <c r="AF25" s="173">
        <v>24</v>
      </c>
      <c r="AG25" s="173">
        <v>25</v>
      </c>
      <c r="AH25" s="173">
        <v>26</v>
      </c>
      <c r="AI25" s="173">
        <v>27</v>
      </c>
      <c r="AJ25" s="173">
        <v>28</v>
      </c>
      <c r="AK25" s="173">
        <v>29</v>
      </c>
      <c r="AL25" s="173">
        <v>30</v>
      </c>
      <c r="AM25" s="173">
        <v>31</v>
      </c>
      <c r="AN25" s="173">
        <v>32</v>
      </c>
      <c r="AO25" s="173">
        <v>33</v>
      </c>
      <c r="AP25" s="173">
        <v>34</v>
      </c>
      <c r="AQ25" s="173">
        <v>35</v>
      </c>
      <c r="AR25" s="173">
        <v>36</v>
      </c>
      <c r="AS25" s="173">
        <v>37</v>
      </c>
      <c r="AT25" s="173">
        <v>38</v>
      </c>
      <c r="AU25" s="173">
        <v>39</v>
      </c>
      <c r="AV25" s="173">
        <v>40</v>
      </c>
      <c r="AW25" s="173">
        <v>41</v>
      </c>
      <c r="AX25" s="173">
        <v>42</v>
      </c>
      <c r="AY25" s="173">
        <v>43</v>
      </c>
      <c r="AZ25" s="173">
        <v>44</v>
      </c>
      <c r="BA25" s="173">
        <v>45</v>
      </c>
      <c r="BB25" s="173">
        <v>46</v>
      </c>
      <c r="BC25" s="173">
        <v>47</v>
      </c>
      <c r="BD25" s="173">
        <v>48</v>
      </c>
      <c r="BE25" s="173">
        <v>49</v>
      </c>
      <c r="BF25" s="173">
        <v>50</v>
      </c>
      <c r="BG25" s="173">
        <v>51</v>
      </c>
      <c r="BH25" s="173">
        <v>52</v>
      </c>
      <c r="BI25" s="173">
        <v>53</v>
      </c>
      <c r="BJ25" s="173">
        <v>54</v>
      </c>
      <c r="BK25" s="173">
        <v>55</v>
      </c>
      <c r="BL25" s="173">
        <v>56</v>
      </c>
      <c r="BM25" s="173">
        <v>57</v>
      </c>
      <c r="BN25" s="173">
        <v>58</v>
      </c>
      <c r="BO25" s="173">
        <v>59</v>
      </c>
      <c r="BP25" s="173">
        <v>60</v>
      </c>
      <c r="BQ25" s="173">
        <v>61</v>
      </c>
      <c r="BR25" s="173">
        <v>62</v>
      </c>
      <c r="BS25" s="173">
        <v>63</v>
      </c>
      <c r="BT25" s="173">
        <v>64</v>
      </c>
      <c r="BU25" s="173">
        <v>65</v>
      </c>
      <c r="BV25" s="173">
        <v>66</v>
      </c>
      <c r="BW25" s="173">
        <v>67</v>
      </c>
      <c r="BX25" s="173">
        <v>68</v>
      </c>
      <c r="BY25" s="173">
        <v>69</v>
      </c>
      <c r="BZ25" s="173">
        <v>70</v>
      </c>
      <c r="CA25" s="173">
        <v>71</v>
      </c>
      <c r="CB25" s="173">
        <v>72</v>
      </c>
      <c r="CC25" s="173">
        <v>73</v>
      </c>
      <c r="CD25" s="173">
        <v>74</v>
      </c>
      <c r="CE25" s="173">
        <v>75</v>
      </c>
      <c r="CF25" s="173">
        <v>76</v>
      </c>
      <c r="CG25" s="173">
        <v>77</v>
      </c>
      <c r="CH25" s="117"/>
      <c r="CI25" s="117"/>
      <c r="CJ25" s="117"/>
      <c r="CK25" s="117"/>
      <c r="CL25" s="118"/>
      <c r="CM25" s="113" t="s">
        <v>34</v>
      </c>
    </row>
    <row r="26" spans="1:91" x14ac:dyDescent="0.3">
      <c r="A26" s="1">
        <v>7</v>
      </c>
      <c r="B26" s="1">
        <v>73.716099999999997</v>
      </c>
      <c r="C26" s="1">
        <v>0</v>
      </c>
      <c r="D26" s="1">
        <v>0</v>
      </c>
      <c r="E26" s="114">
        <v>26.283899999999999</v>
      </c>
      <c r="F26" s="122" t="s">
        <v>182</v>
      </c>
      <c r="G26" s="113"/>
      <c r="H26" s="1"/>
      <c r="I26" s="1">
        <v>0</v>
      </c>
      <c r="J26" s="1">
        <v>0</v>
      </c>
      <c r="K26" s="1">
        <v>0</v>
      </c>
      <c r="L26" s="1">
        <v>26.65</v>
      </c>
      <c r="M26" s="114">
        <v>47.97</v>
      </c>
      <c r="N26" s="113">
        <v>95.94</v>
      </c>
      <c r="O26" s="1">
        <v>149.24</v>
      </c>
      <c r="P26" s="1">
        <v>335.79</v>
      </c>
      <c r="Q26" s="1">
        <v>293.14999999999998</v>
      </c>
      <c r="R26" s="1">
        <v>245.18</v>
      </c>
      <c r="S26" s="1">
        <v>362.44</v>
      </c>
      <c r="T26" s="114">
        <v>325.13</v>
      </c>
      <c r="U26" s="113">
        <v>271.83</v>
      </c>
      <c r="V26" s="1">
        <v>170.56</v>
      </c>
      <c r="W26" s="1">
        <v>122.59</v>
      </c>
      <c r="X26" s="1">
        <v>181.22</v>
      </c>
      <c r="Y26" s="1">
        <v>133.25</v>
      </c>
      <c r="Z26" s="1">
        <v>90.61</v>
      </c>
      <c r="AA26" s="114">
        <v>79.95</v>
      </c>
      <c r="AB26" s="113">
        <v>69.290000000000006</v>
      </c>
      <c r="AC26" s="1">
        <v>79.95</v>
      </c>
      <c r="AD26" s="1">
        <v>69.290000000000006</v>
      </c>
      <c r="AE26" s="1">
        <v>90.61</v>
      </c>
      <c r="AF26" s="1">
        <v>101.27</v>
      </c>
      <c r="AG26" s="1">
        <v>111.93</v>
      </c>
      <c r="AH26" s="114">
        <v>79.95</v>
      </c>
      <c r="AI26" s="113">
        <v>116.47799999999999</v>
      </c>
      <c r="AJ26" s="1">
        <v>129.41999999999999</v>
      </c>
      <c r="AK26" s="1">
        <v>97.064999999999984</v>
      </c>
      <c r="AL26" s="1">
        <v>122.949</v>
      </c>
      <c r="AM26" s="1">
        <v>116.47799999999999</v>
      </c>
      <c r="AN26" s="1">
        <v>110.00699999999999</v>
      </c>
      <c r="AO26" s="114">
        <v>51.767999999999994</v>
      </c>
      <c r="AP26" s="113">
        <v>118.845</v>
      </c>
      <c r="AQ26" s="1">
        <v>100.08</v>
      </c>
      <c r="AR26" s="1">
        <v>118.845</v>
      </c>
      <c r="AS26" s="1">
        <v>118.845</v>
      </c>
      <c r="AT26" s="1">
        <v>137.61000000000001</v>
      </c>
      <c r="AU26" s="1">
        <v>118.845</v>
      </c>
      <c r="AV26" s="114">
        <v>118.845</v>
      </c>
      <c r="AW26" s="113">
        <v>112.59</v>
      </c>
      <c r="AX26" s="1">
        <v>225.18</v>
      </c>
      <c r="AY26" s="1">
        <v>175.14</v>
      </c>
      <c r="AZ26" s="1">
        <v>156.375</v>
      </c>
      <c r="BA26" s="1">
        <v>93.825000000000003</v>
      </c>
      <c r="BB26" s="1">
        <v>62.55</v>
      </c>
      <c r="BC26" s="114">
        <v>143.86500000000001</v>
      </c>
      <c r="BD26" s="113">
        <v>244.69200000000001</v>
      </c>
      <c r="BE26" s="1">
        <v>407.82</v>
      </c>
      <c r="BF26" s="1">
        <v>297.12599999999998</v>
      </c>
      <c r="BG26" s="1">
        <v>192.25799999999998</v>
      </c>
      <c r="BH26" s="1">
        <v>110.694</v>
      </c>
      <c r="BI26" s="1">
        <v>96.128999999999991</v>
      </c>
      <c r="BJ26" s="114">
        <v>52.433999999999997</v>
      </c>
      <c r="BK26" s="113">
        <v>79.933500000000009</v>
      </c>
      <c r="BL26" s="1">
        <v>29.605</v>
      </c>
      <c r="BM26" s="1">
        <v>29.605</v>
      </c>
      <c r="BN26" s="1"/>
      <c r="BO26" s="1"/>
      <c r="BP26" s="1"/>
      <c r="BQ26" s="114"/>
      <c r="BR26" s="113"/>
      <c r="BS26" s="1"/>
      <c r="BT26" s="1"/>
      <c r="BU26" s="1"/>
      <c r="BV26" s="1"/>
      <c r="BW26" s="1"/>
      <c r="BX26" s="114"/>
      <c r="BY26" s="113"/>
      <c r="BZ26" s="1"/>
      <c r="CA26" s="1"/>
      <c r="CB26" s="1"/>
      <c r="CC26" s="1"/>
      <c r="CD26" s="1"/>
      <c r="CE26" s="114"/>
      <c r="CF26" s="113"/>
      <c r="CG26" s="1"/>
      <c r="CH26" s="1"/>
      <c r="CI26" s="1"/>
      <c r="CJ26" s="1"/>
      <c r="CK26" s="1"/>
      <c r="CL26" s="114"/>
      <c r="CM26" s="113">
        <f>SUM(G26:CL26)</f>
        <v>7619.6914999999999</v>
      </c>
    </row>
    <row r="27" spans="1:91" x14ac:dyDescent="0.3">
      <c r="A27" s="3">
        <v>26</v>
      </c>
      <c r="B27" s="1">
        <v>26.569099999999999</v>
      </c>
      <c r="C27" s="1">
        <v>0</v>
      </c>
      <c r="D27" s="1">
        <v>0</v>
      </c>
      <c r="E27" s="114">
        <v>73.430899999999994</v>
      </c>
      <c r="F27" s="122" t="s">
        <v>183</v>
      </c>
      <c r="G27" s="113"/>
      <c r="H27" s="1"/>
      <c r="I27" s="1">
        <v>0</v>
      </c>
      <c r="J27" s="1">
        <v>0</v>
      </c>
      <c r="K27" s="1">
        <v>0</v>
      </c>
      <c r="L27" s="1">
        <v>0</v>
      </c>
      <c r="M27" s="114">
        <v>0</v>
      </c>
      <c r="N27" s="113">
        <v>0.96400000000000008</v>
      </c>
      <c r="O27" s="1">
        <v>14.701000000000001</v>
      </c>
      <c r="P27" s="1">
        <v>7.4710000000000001</v>
      </c>
      <c r="Q27" s="1">
        <v>5.4225000000000003</v>
      </c>
      <c r="R27" s="1">
        <v>16.629000000000001</v>
      </c>
      <c r="S27" s="1">
        <v>3.9765000000000001</v>
      </c>
      <c r="T27" s="114">
        <v>9.1580000000000013</v>
      </c>
      <c r="U27" s="113">
        <v>15.664999999999999</v>
      </c>
      <c r="V27" s="1">
        <v>11.809000000000001</v>
      </c>
      <c r="W27" s="1">
        <v>9.2785000000000011</v>
      </c>
      <c r="X27" s="1">
        <v>162.2115</v>
      </c>
      <c r="Y27" s="1">
        <v>180.85649999999998</v>
      </c>
      <c r="Z27" s="1">
        <v>188.31450000000001</v>
      </c>
      <c r="AA27" s="114">
        <v>185.77500000000001</v>
      </c>
      <c r="AB27" s="113">
        <v>170.91299999999998</v>
      </c>
      <c r="AC27" s="1">
        <v>151.09699999999998</v>
      </c>
      <c r="AD27" s="1">
        <v>141.18899999999999</v>
      </c>
      <c r="AE27" s="1">
        <v>118.896</v>
      </c>
      <c r="AF27" s="1">
        <v>108.988</v>
      </c>
      <c r="AG27" s="1">
        <v>180.821</v>
      </c>
      <c r="AH27" s="114">
        <v>128.804</v>
      </c>
      <c r="AI27" s="113">
        <v>141.18899999999999</v>
      </c>
      <c r="AJ27" s="1">
        <v>54.494</v>
      </c>
      <c r="AK27" s="1">
        <v>66.878999999999991</v>
      </c>
      <c r="AL27" s="1">
        <v>74.31</v>
      </c>
      <c r="AM27" s="1">
        <v>110.4525</v>
      </c>
      <c r="AN27" s="1">
        <v>107.998</v>
      </c>
      <c r="AO27" s="114">
        <v>144.81550000000001</v>
      </c>
      <c r="AP27" s="113">
        <v>98.18</v>
      </c>
      <c r="AQ27" s="1">
        <v>183.13749999999999</v>
      </c>
      <c r="AR27" s="1">
        <v>118.33499999999999</v>
      </c>
      <c r="AS27" s="1">
        <v>107.065</v>
      </c>
      <c r="AT27" s="1">
        <v>146.51</v>
      </c>
      <c r="AU27" s="1">
        <v>163.41499999999999</v>
      </c>
      <c r="AV27" s="114">
        <v>70.4375</v>
      </c>
      <c r="AW27" s="113">
        <v>126.78749999999999</v>
      </c>
      <c r="AX27" s="1">
        <v>112.7</v>
      </c>
      <c r="AY27" s="1">
        <v>64.802499999999995</v>
      </c>
      <c r="AZ27" s="1">
        <v>109.88249999999999</v>
      </c>
      <c r="BA27" s="1">
        <v>87.342500000000001</v>
      </c>
      <c r="BB27" s="1">
        <v>119.11200000000001</v>
      </c>
      <c r="BC27" s="114">
        <v>67.000500000000002</v>
      </c>
      <c r="BD27" s="113">
        <v>81.889500000000012</v>
      </c>
      <c r="BE27" s="1">
        <v>183.63100000000003</v>
      </c>
      <c r="BF27" s="1">
        <v>111.6675</v>
      </c>
      <c r="BG27" s="1">
        <v>87.307500000000005</v>
      </c>
      <c r="BH27" s="1">
        <v>122.23049999999999</v>
      </c>
      <c r="BI27" s="1">
        <v>119.736</v>
      </c>
      <c r="BJ27" s="114">
        <v>179.60400000000001</v>
      </c>
      <c r="BK27" s="113">
        <v>96.683999999999997</v>
      </c>
      <c r="BL27" s="1">
        <v>52.945999999999998</v>
      </c>
      <c r="BM27" s="1">
        <v>89.777999999999992</v>
      </c>
      <c r="BN27" s="1">
        <v>78.268000000000001</v>
      </c>
      <c r="BO27" s="1">
        <v>117.40199999999999</v>
      </c>
      <c r="BP27" s="1">
        <v>55.248000000000005</v>
      </c>
      <c r="BQ27" s="114">
        <v>71.361999999999995</v>
      </c>
      <c r="BR27" s="113">
        <v>92.08</v>
      </c>
      <c r="BS27" s="1">
        <v>36.832000000000001</v>
      </c>
      <c r="BT27" s="1">
        <v>36.832000000000001</v>
      </c>
      <c r="BU27" s="1">
        <v>48.341999999999999</v>
      </c>
      <c r="BV27" s="1">
        <v>36.832000000000001</v>
      </c>
      <c r="BW27" s="1">
        <v>50.643999999999998</v>
      </c>
      <c r="BX27" s="114">
        <v>56.385999999999996</v>
      </c>
      <c r="BY27" s="113">
        <v>64.075000000000003</v>
      </c>
      <c r="BZ27" s="1">
        <v>56.385999999999996</v>
      </c>
      <c r="CA27" s="1">
        <v>53.823</v>
      </c>
      <c r="CB27" s="1">
        <v>3.3109999999999995</v>
      </c>
      <c r="CC27" s="1"/>
      <c r="CD27" s="1"/>
      <c r="CE27" s="114"/>
      <c r="CF27" s="113"/>
      <c r="CG27" s="1"/>
      <c r="CH27" s="1"/>
      <c r="CI27" s="1"/>
      <c r="CJ27" s="1"/>
      <c r="CK27" s="1"/>
      <c r="CL27" s="114"/>
      <c r="CM27" s="113">
        <f>SUM(G27:CL27)</f>
        <v>6071.0825000000004</v>
      </c>
    </row>
    <row r="28" spans="1:91" x14ac:dyDescent="0.3">
      <c r="A28" s="3"/>
      <c r="B28" s="3"/>
      <c r="C28" s="3"/>
      <c r="D28" s="3"/>
      <c r="E28" s="125"/>
      <c r="F28" s="125"/>
      <c r="G28" s="115">
        <v>45327</v>
      </c>
      <c r="H28" s="116">
        <v>45328</v>
      </c>
      <c r="I28" s="116">
        <v>45329</v>
      </c>
      <c r="J28" s="116">
        <v>45330</v>
      </c>
      <c r="K28" s="116">
        <v>45331</v>
      </c>
      <c r="L28" s="116">
        <v>45332</v>
      </c>
      <c r="M28" s="119">
        <v>45333</v>
      </c>
      <c r="N28" s="115">
        <v>45334</v>
      </c>
      <c r="O28" s="116">
        <v>45335</v>
      </c>
      <c r="P28" s="116">
        <v>45336</v>
      </c>
      <c r="Q28" s="116">
        <v>45337</v>
      </c>
      <c r="R28" s="116">
        <v>45338</v>
      </c>
      <c r="S28" s="116">
        <v>45339</v>
      </c>
      <c r="T28" s="119">
        <v>45340</v>
      </c>
      <c r="U28" s="115">
        <v>45341</v>
      </c>
      <c r="V28" s="116">
        <v>45342</v>
      </c>
      <c r="W28" s="116">
        <v>45343</v>
      </c>
      <c r="X28" s="116">
        <v>45344</v>
      </c>
      <c r="Y28" s="116">
        <v>45345</v>
      </c>
      <c r="Z28" s="116">
        <v>45346</v>
      </c>
      <c r="AA28" s="119">
        <v>45347</v>
      </c>
      <c r="AB28" s="115">
        <v>45348</v>
      </c>
      <c r="AC28" s="116">
        <v>45349</v>
      </c>
      <c r="AD28" s="116">
        <v>45350</v>
      </c>
      <c r="AE28" s="116">
        <v>45351</v>
      </c>
      <c r="AF28" s="116">
        <v>45352</v>
      </c>
      <c r="AG28" s="116">
        <v>45353</v>
      </c>
      <c r="AH28" s="119">
        <v>45354</v>
      </c>
      <c r="AI28" s="115">
        <v>45355</v>
      </c>
      <c r="AJ28" s="116">
        <v>45356</v>
      </c>
      <c r="AK28" s="116">
        <v>45357</v>
      </c>
      <c r="AL28" s="116">
        <v>45358</v>
      </c>
      <c r="AM28" s="116">
        <v>45359</v>
      </c>
      <c r="AN28" s="116">
        <v>45360</v>
      </c>
      <c r="AO28" s="119">
        <v>45361</v>
      </c>
      <c r="AP28" s="115">
        <v>45362</v>
      </c>
      <c r="AQ28" s="116">
        <v>45363</v>
      </c>
      <c r="AR28" s="116">
        <v>45364</v>
      </c>
      <c r="AS28" s="116">
        <v>45365</v>
      </c>
      <c r="AT28" s="116">
        <v>45366</v>
      </c>
      <c r="AU28" s="116">
        <v>45367</v>
      </c>
      <c r="AV28" s="119">
        <v>45368</v>
      </c>
      <c r="AW28" s="115">
        <v>45369</v>
      </c>
      <c r="AX28" s="116">
        <v>45370</v>
      </c>
      <c r="AY28" s="116">
        <v>45371</v>
      </c>
      <c r="AZ28" s="116">
        <v>45372</v>
      </c>
      <c r="BA28" s="116">
        <v>45373</v>
      </c>
      <c r="BB28" s="116">
        <v>45374</v>
      </c>
      <c r="BC28" s="119">
        <v>45375</v>
      </c>
      <c r="BD28" s="115">
        <v>45376</v>
      </c>
      <c r="BE28" s="116">
        <v>45377</v>
      </c>
      <c r="BF28" s="116">
        <v>45378</v>
      </c>
      <c r="BG28" s="116">
        <v>45379</v>
      </c>
      <c r="BH28" s="116">
        <v>45380</v>
      </c>
      <c r="BI28" s="116">
        <v>45381</v>
      </c>
      <c r="BJ28" s="119">
        <v>45382</v>
      </c>
      <c r="BK28" s="115">
        <v>45383</v>
      </c>
      <c r="BL28" s="116">
        <v>45384</v>
      </c>
      <c r="BM28" s="116">
        <v>45385</v>
      </c>
      <c r="BN28" s="116">
        <v>45386</v>
      </c>
      <c r="BO28" s="116">
        <v>45387</v>
      </c>
      <c r="BP28" s="116">
        <v>45388</v>
      </c>
      <c r="BQ28" s="119">
        <v>45389</v>
      </c>
      <c r="BR28" s="115">
        <v>45390</v>
      </c>
      <c r="BS28" s="116">
        <v>45391</v>
      </c>
      <c r="BT28" s="116">
        <v>45392</v>
      </c>
      <c r="BU28" s="116">
        <v>45393</v>
      </c>
      <c r="BV28" s="116">
        <v>45394</v>
      </c>
      <c r="BW28" s="116">
        <v>45395</v>
      </c>
      <c r="BX28" s="119">
        <v>45396</v>
      </c>
      <c r="BY28" s="115">
        <v>45397</v>
      </c>
      <c r="BZ28" s="116">
        <v>45398</v>
      </c>
      <c r="CA28" s="116">
        <v>45399</v>
      </c>
      <c r="CB28" s="116">
        <v>45400</v>
      </c>
      <c r="CC28" s="116">
        <v>45401</v>
      </c>
      <c r="CD28" s="116">
        <v>45402</v>
      </c>
      <c r="CE28" s="119">
        <v>45403</v>
      </c>
      <c r="CF28" s="115">
        <v>45404</v>
      </c>
      <c r="CG28" s="116">
        <v>45405</v>
      </c>
      <c r="CH28" s="1"/>
      <c r="CI28" s="1"/>
      <c r="CJ28" s="1"/>
      <c r="CK28" s="1"/>
      <c r="CL28" s="114"/>
      <c r="CM28" s="113"/>
    </row>
    <row r="29" spans="1:91" x14ac:dyDescent="0.3">
      <c r="A29" s="3">
        <v>31</v>
      </c>
      <c r="B29" s="1">
        <v>0</v>
      </c>
      <c r="C29" s="1">
        <v>26.537199999999999</v>
      </c>
      <c r="D29" s="1">
        <v>73.462800000000001</v>
      </c>
      <c r="E29" s="114">
        <v>0</v>
      </c>
      <c r="F29" s="122" t="s">
        <v>236</v>
      </c>
      <c r="G29" s="113"/>
      <c r="H29" s="1"/>
      <c r="I29" s="1">
        <v>133.41150000000002</v>
      </c>
      <c r="J29" s="1">
        <v>73.472999999999999</v>
      </c>
      <c r="K29" s="1">
        <v>61.872000000000007</v>
      </c>
      <c r="L29" s="1">
        <v>69.606000000000009</v>
      </c>
      <c r="M29" s="114">
        <v>87.007499999999993</v>
      </c>
      <c r="N29" s="113">
        <v>104.40899999999999</v>
      </c>
      <c r="O29" s="1">
        <v>131.47800000000001</v>
      </c>
      <c r="P29" s="1">
        <v>104.40899999999999</v>
      </c>
      <c r="Q29" s="1">
        <v>139.21200000000002</v>
      </c>
      <c r="R29" s="1">
        <v>189.483</v>
      </c>
      <c r="S29" s="1">
        <v>34.803000000000004</v>
      </c>
      <c r="T29" s="114">
        <v>42.536999999999999</v>
      </c>
      <c r="U29" s="113">
        <v>58.005000000000003</v>
      </c>
      <c r="V29" s="1">
        <v>243.62100000000001</v>
      </c>
      <c r="W29" s="1">
        <v>96.674999999999997</v>
      </c>
      <c r="X29" s="1">
        <v>181.74900000000002</v>
      </c>
      <c r="Y29" s="1">
        <v>154.68</v>
      </c>
      <c r="Z29" s="1">
        <v>189.483</v>
      </c>
      <c r="AA29" s="114">
        <v>104.40899999999999</v>
      </c>
      <c r="AB29" s="113">
        <v>154.68</v>
      </c>
      <c r="AC29" s="1">
        <v>224.28600000000003</v>
      </c>
      <c r="AD29" s="1">
        <v>227.99</v>
      </c>
      <c r="AE29" s="1">
        <v>224.733</v>
      </c>
      <c r="AF29" s="1">
        <v>351.75599999999997</v>
      </c>
      <c r="AG29" s="1">
        <v>257.303</v>
      </c>
      <c r="AH29" s="114">
        <v>439.69499999999999</v>
      </c>
      <c r="AI29" s="113">
        <v>403.86800000000005</v>
      </c>
      <c r="AJ29" s="1">
        <v>312.67200000000003</v>
      </c>
      <c r="AK29" s="1">
        <v>447.39</v>
      </c>
      <c r="AL29" s="1">
        <v>536.86800000000005</v>
      </c>
      <c r="AM29" s="1">
        <v>521.95500000000004</v>
      </c>
      <c r="AN29" s="1">
        <v>581.60700000000008</v>
      </c>
      <c r="AO29" s="114">
        <v>306.83699999999999</v>
      </c>
      <c r="AP29" s="113">
        <v>339.60599999999999</v>
      </c>
      <c r="AQ29" s="1">
        <v>408.12299999999993</v>
      </c>
      <c r="AR29" s="1">
        <v>268.11</v>
      </c>
      <c r="AS29" s="1">
        <v>199.59299999999999</v>
      </c>
      <c r="AT29" s="1">
        <v>208.53</v>
      </c>
      <c r="AU29" s="1">
        <v>262.15199999999999</v>
      </c>
      <c r="AV29" s="114">
        <v>145.971</v>
      </c>
      <c r="AW29" s="113">
        <v>134.05500000000001</v>
      </c>
      <c r="AX29" s="1">
        <v>101.286</v>
      </c>
      <c r="AY29" s="1">
        <v>65.537999999999997</v>
      </c>
      <c r="AZ29" s="1">
        <v>128.09699999999998</v>
      </c>
      <c r="BA29" s="1">
        <v>86.391000000000005</v>
      </c>
      <c r="BB29" s="1">
        <v>56.174999999999997</v>
      </c>
      <c r="BC29" s="114">
        <v>7.49</v>
      </c>
      <c r="BD29" s="113"/>
      <c r="BE29" s="1"/>
      <c r="BF29" s="1"/>
      <c r="BG29" s="1"/>
      <c r="BH29" s="1"/>
      <c r="BI29" s="1"/>
      <c r="BJ29" s="114"/>
      <c r="BK29" s="113"/>
      <c r="BL29" s="1"/>
      <c r="BM29" s="1"/>
      <c r="BN29" s="1"/>
      <c r="BO29" s="1"/>
      <c r="BP29" s="1"/>
      <c r="BQ29" s="114"/>
      <c r="BR29" s="113"/>
      <c r="BS29" s="1"/>
      <c r="BT29" s="1"/>
      <c r="BU29" s="1"/>
      <c r="BV29" s="1"/>
      <c r="BW29" s="1"/>
      <c r="BX29" s="114"/>
      <c r="BY29" s="113"/>
      <c r="BZ29" s="1"/>
      <c r="CA29" s="1"/>
      <c r="CB29" s="1"/>
      <c r="CC29" s="1"/>
      <c r="CD29" s="1"/>
      <c r="CE29" s="114"/>
      <c r="CF29" s="113"/>
      <c r="CG29" s="1"/>
      <c r="CH29" s="1"/>
      <c r="CI29" s="1"/>
      <c r="CJ29" s="1"/>
      <c r="CK29" s="1"/>
      <c r="CL29" s="114"/>
      <c r="CM29" s="113">
        <f>SUM(G29:CL29)</f>
        <v>9603.0800000000017</v>
      </c>
    </row>
    <row r="30" spans="1:91" x14ac:dyDescent="0.3">
      <c r="A30" s="3">
        <v>15</v>
      </c>
      <c r="B30" s="1">
        <v>0</v>
      </c>
      <c r="C30" s="1">
        <v>72.6785</v>
      </c>
      <c r="D30" s="1">
        <v>0</v>
      </c>
      <c r="E30" s="114">
        <v>27.3215</v>
      </c>
      <c r="F30" s="122" t="s">
        <v>237</v>
      </c>
      <c r="G30" s="113"/>
      <c r="H30" s="1"/>
      <c r="I30" s="1">
        <v>22.725000000000001</v>
      </c>
      <c r="J30" s="1">
        <v>9.09</v>
      </c>
      <c r="K30" s="1">
        <v>6.06</v>
      </c>
      <c r="L30" s="1">
        <v>5.3025000000000002</v>
      </c>
      <c r="M30" s="114">
        <v>5.3025000000000002</v>
      </c>
      <c r="N30" s="113">
        <v>4.5449999999999999</v>
      </c>
      <c r="O30" s="1">
        <v>6.06</v>
      </c>
      <c r="P30" s="1">
        <v>4.5449999999999999</v>
      </c>
      <c r="Q30" s="1">
        <v>4.5449999999999999</v>
      </c>
      <c r="R30" s="1">
        <v>6.06</v>
      </c>
      <c r="S30" s="1">
        <v>6.06</v>
      </c>
      <c r="T30" s="114">
        <v>1.5149999999999999</v>
      </c>
      <c r="U30" s="113">
        <v>3.03</v>
      </c>
      <c r="V30" s="1">
        <v>3.03</v>
      </c>
      <c r="W30" s="1">
        <v>0</v>
      </c>
      <c r="X30" s="1">
        <v>1.5149999999999999</v>
      </c>
      <c r="Y30" s="1">
        <v>3.03</v>
      </c>
      <c r="Z30" s="1">
        <v>31.815000000000001</v>
      </c>
      <c r="AA30" s="114">
        <v>13.626000000000001</v>
      </c>
      <c r="AB30" s="113">
        <v>43.149000000000008</v>
      </c>
      <c r="AC30" s="1">
        <v>52.233000000000004</v>
      </c>
      <c r="AD30" s="1">
        <v>2.2710000000000004</v>
      </c>
      <c r="AE30" s="1">
        <v>2.2710000000000004</v>
      </c>
      <c r="AF30" s="1">
        <v>6.8130000000000006</v>
      </c>
      <c r="AG30" s="1">
        <v>2.2710000000000004</v>
      </c>
      <c r="AH30" s="114">
        <v>4.5420000000000007</v>
      </c>
      <c r="AI30" s="113">
        <v>49.961999999999996</v>
      </c>
      <c r="AJ30" s="1">
        <v>38.606999999999999</v>
      </c>
      <c r="AK30" s="1">
        <v>70.521999999999991</v>
      </c>
      <c r="AL30" s="1">
        <v>68.616</v>
      </c>
      <c r="AM30" s="1">
        <v>68.616</v>
      </c>
      <c r="AN30" s="1">
        <v>60.991999999999997</v>
      </c>
      <c r="AO30" s="114">
        <v>57.18</v>
      </c>
      <c r="AP30" s="113">
        <v>57.18</v>
      </c>
      <c r="AQ30" s="1">
        <v>68.616</v>
      </c>
      <c r="AR30" s="1">
        <v>38.119999999999997</v>
      </c>
      <c r="AS30" s="1">
        <v>34.308</v>
      </c>
      <c r="AT30" s="1">
        <v>34.308</v>
      </c>
      <c r="AU30" s="1">
        <v>45.744</v>
      </c>
      <c r="AV30" s="114">
        <v>15.247999999999999</v>
      </c>
      <c r="AW30" s="113">
        <v>26.683999999999997</v>
      </c>
      <c r="AX30" s="1">
        <v>16.523999999999997</v>
      </c>
      <c r="AY30" s="1">
        <v>9.18</v>
      </c>
      <c r="AZ30" s="1">
        <v>14.687999999999999</v>
      </c>
      <c r="BA30" s="1">
        <v>12.852</v>
      </c>
      <c r="BB30" s="1">
        <v>12.852</v>
      </c>
      <c r="BC30" s="114">
        <v>9.18</v>
      </c>
      <c r="BD30" s="113">
        <v>12.852</v>
      </c>
      <c r="BE30" s="1">
        <v>11.015999999999998</v>
      </c>
      <c r="BF30" s="1">
        <v>12.852</v>
      </c>
      <c r="BG30" s="1">
        <v>12.852</v>
      </c>
      <c r="BH30" s="1">
        <v>14.687999999999999</v>
      </c>
      <c r="BI30" s="1">
        <v>14.687999999999999</v>
      </c>
      <c r="BJ30" s="114">
        <v>16.523999999999997</v>
      </c>
      <c r="BK30" s="113">
        <v>9.18</v>
      </c>
      <c r="BL30" s="1">
        <v>9.18</v>
      </c>
      <c r="BM30" s="1">
        <v>13.77</v>
      </c>
      <c r="BN30" s="1">
        <v>10.097999999999999</v>
      </c>
      <c r="BO30" s="1">
        <v>7.3439999999999994</v>
      </c>
      <c r="BP30" s="1">
        <v>1.8359999999999999</v>
      </c>
      <c r="BQ30" s="114"/>
      <c r="BR30" s="113"/>
      <c r="BS30" s="1"/>
      <c r="BT30" s="1"/>
      <c r="BU30" s="1"/>
      <c r="BV30" s="1"/>
      <c r="BW30" s="1"/>
      <c r="BX30" s="114"/>
      <c r="BY30" s="113"/>
      <c r="BZ30" s="1"/>
      <c r="CA30" s="1"/>
      <c r="CB30" s="1"/>
      <c r="CC30" s="1"/>
      <c r="CD30" s="1"/>
      <c r="CE30" s="114"/>
      <c r="CF30" s="113"/>
      <c r="CG30" s="1"/>
      <c r="CH30" s="1"/>
      <c r="CI30" s="1"/>
      <c r="CJ30" s="1"/>
      <c r="CK30" s="1"/>
      <c r="CL30" s="114"/>
      <c r="CM30" s="113">
        <f>SUM(G30:CL30)</f>
        <v>1208.2650000000008</v>
      </c>
    </row>
    <row r="31" spans="1:91" x14ac:dyDescent="0.3">
      <c r="A31" s="3"/>
      <c r="B31" s="3"/>
      <c r="C31" s="3"/>
      <c r="D31" s="3"/>
      <c r="E31" s="125"/>
      <c r="F31" s="125"/>
      <c r="G31" s="115">
        <v>45327</v>
      </c>
      <c r="H31" s="116">
        <v>45328</v>
      </c>
      <c r="I31" s="116">
        <v>45329</v>
      </c>
      <c r="J31" s="116">
        <v>45330</v>
      </c>
      <c r="K31" s="116">
        <v>45331</v>
      </c>
      <c r="L31" s="116">
        <v>45332</v>
      </c>
      <c r="M31" s="119">
        <v>45333</v>
      </c>
      <c r="N31" s="115">
        <v>45334</v>
      </c>
      <c r="O31" s="116">
        <v>45335</v>
      </c>
      <c r="P31" s="116">
        <v>45336</v>
      </c>
      <c r="Q31" s="116">
        <v>45337</v>
      </c>
      <c r="R31" s="116">
        <v>45338</v>
      </c>
      <c r="S31" s="116">
        <v>45339</v>
      </c>
      <c r="T31" s="119">
        <v>45340</v>
      </c>
      <c r="U31" s="115">
        <v>45341</v>
      </c>
      <c r="V31" s="116">
        <v>45342</v>
      </c>
      <c r="W31" s="116">
        <v>45343</v>
      </c>
      <c r="X31" s="116">
        <v>45344</v>
      </c>
      <c r="Y31" s="116">
        <v>45345</v>
      </c>
      <c r="Z31" s="116">
        <v>45346</v>
      </c>
      <c r="AA31" s="119">
        <v>45347</v>
      </c>
      <c r="AB31" s="115">
        <v>45348</v>
      </c>
      <c r="AC31" s="116">
        <v>45349</v>
      </c>
      <c r="AD31" s="116">
        <v>45350</v>
      </c>
      <c r="AE31" s="116">
        <v>45351</v>
      </c>
      <c r="AF31" s="116">
        <v>45352</v>
      </c>
      <c r="AG31" s="116">
        <v>45353</v>
      </c>
      <c r="AH31" s="119">
        <v>45354</v>
      </c>
      <c r="AI31" s="115">
        <v>45355</v>
      </c>
      <c r="AJ31" s="116">
        <v>45356</v>
      </c>
      <c r="AK31" s="116">
        <v>45357</v>
      </c>
      <c r="AL31" s="116">
        <v>45358</v>
      </c>
      <c r="AM31" s="116">
        <v>45359</v>
      </c>
      <c r="AN31" s="116">
        <v>45360</v>
      </c>
      <c r="AO31" s="119">
        <v>45361</v>
      </c>
      <c r="AP31" s="115">
        <v>45362</v>
      </c>
      <c r="AQ31" s="116">
        <v>45363</v>
      </c>
      <c r="AR31" s="116">
        <v>45364</v>
      </c>
      <c r="AS31" s="116">
        <v>45365</v>
      </c>
      <c r="AT31" s="116">
        <v>45366</v>
      </c>
      <c r="AU31" s="116">
        <v>45367</v>
      </c>
      <c r="AV31" s="119">
        <v>45368</v>
      </c>
      <c r="AW31" s="115">
        <v>45369</v>
      </c>
      <c r="AX31" s="116">
        <v>45370</v>
      </c>
      <c r="AY31" s="116">
        <v>45371</v>
      </c>
      <c r="AZ31" s="116">
        <v>45372</v>
      </c>
      <c r="BA31" s="116">
        <v>45373</v>
      </c>
      <c r="BB31" s="116">
        <v>45374</v>
      </c>
      <c r="BC31" s="119">
        <v>45375</v>
      </c>
      <c r="BD31" s="115">
        <v>45376</v>
      </c>
      <c r="BE31" s="116">
        <v>45377</v>
      </c>
      <c r="BF31" s="116">
        <v>45378</v>
      </c>
      <c r="BG31" s="116">
        <v>45379</v>
      </c>
      <c r="BH31" s="116">
        <v>45380</v>
      </c>
      <c r="BI31" s="116">
        <v>45381</v>
      </c>
      <c r="BJ31" s="119">
        <v>45382</v>
      </c>
      <c r="BK31" s="115">
        <v>45383</v>
      </c>
      <c r="BL31" s="116">
        <v>45384</v>
      </c>
      <c r="BM31" s="116">
        <v>45385</v>
      </c>
      <c r="BN31" s="116">
        <v>45386</v>
      </c>
      <c r="BO31" s="116">
        <v>45387</v>
      </c>
      <c r="BP31" s="116">
        <v>45388</v>
      </c>
      <c r="BQ31" s="119">
        <v>45389</v>
      </c>
      <c r="BR31" s="115">
        <v>45390</v>
      </c>
      <c r="BS31" s="116">
        <v>45391</v>
      </c>
      <c r="BT31" s="116">
        <v>45392</v>
      </c>
      <c r="BU31" s="116">
        <v>45393</v>
      </c>
      <c r="BV31" s="116">
        <v>45394</v>
      </c>
      <c r="BW31" s="116">
        <v>45395</v>
      </c>
      <c r="BX31" s="119">
        <v>45396</v>
      </c>
      <c r="BY31" s="115">
        <v>45397</v>
      </c>
      <c r="BZ31" s="116">
        <v>45398</v>
      </c>
      <c r="CA31" s="116">
        <v>45399</v>
      </c>
      <c r="CB31" s="116">
        <v>45400</v>
      </c>
      <c r="CC31" s="116">
        <v>45401</v>
      </c>
      <c r="CD31" s="116">
        <v>45402</v>
      </c>
      <c r="CE31" s="119">
        <v>45403</v>
      </c>
      <c r="CF31" s="115">
        <v>45404</v>
      </c>
      <c r="CG31" s="116">
        <v>45405</v>
      </c>
      <c r="CH31" s="1"/>
      <c r="CI31" s="1"/>
      <c r="CJ31" s="1"/>
      <c r="CK31" s="1"/>
      <c r="CL31" s="114"/>
      <c r="CM31" s="113"/>
    </row>
    <row r="32" spans="1:91" x14ac:dyDescent="0.3">
      <c r="A32" s="3">
        <v>19</v>
      </c>
      <c r="B32" s="1">
        <v>0</v>
      </c>
      <c r="C32" s="1">
        <v>0</v>
      </c>
      <c r="D32" s="1">
        <v>27.988800000000001</v>
      </c>
      <c r="E32" s="114">
        <v>72.011200000000002</v>
      </c>
      <c r="F32" s="122" t="s">
        <v>186</v>
      </c>
      <c r="G32" s="113"/>
      <c r="H32" s="1"/>
      <c r="I32" s="1">
        <v>0</v>
      </c>
      <c r="J32" s="1">
        <v>0</v>
      </c>
      <c r="K32" s="1">
        <v>0</v>
      </c>
      <c r="L32" s="1">
        <v>0</v>
      </c>
      <c r="M32" s="114">
        <v>37.661000000000001</v>
      </c>
      <c r="N32" s="113">
        <v>362.125</v>
      </c>
      <c r="O32" s="1">
        <v>307.08199999999999</v>
      </c>
      <c r="P32" s="1">
        <v>272.31799999999998</v>
      </c>
      <c r="Q32" s="1">
        <v>312.87599999999998</v>
      </c>
      <c r="R32" s="1">
        <v>391.09500000000003</v>
      </c>
      <c r="S32" s="1">
        <v>202.79</v>
      </c>
      <c r="T32" s="114">
        <v>338.94900000000001</v>
      </c>
      <c r="U32" s="113">
        <v>0</v>
      </c>
      <c r="V32" s="1">
        <v>249.142</v>
      </c>
      <c r="W32" s="1">
        <v>338.94900000000001</v>
      </c>
      <c r="X32" s="1">
        <v>261.83999999999997</v>
      </c>
      <c r="Y32" s="1">
        <v>235.65599999999998</v>
      </c>
      <c r="Z32" s="1">
        <v>253.64</v>
      </c>
      <c r="AA32" s="114">
        <v>212.42349999999999</v>
      </c>
      <c r="AB32" s="113">
        <v>158.52500000000001</v>
      </c>
      <c r="AC32" s="1">
        <v>180.71849999999998</v>
      </c>
      <c r="AD32" s="1">
        <v>199.74149999999997</v>
      </c>
      <c r="AE32" s="1">
        <v>155.3545</v>
      </c>
      <c r="AF32" s="1">
        <v>190.14400000000001</v>
      </c>
      <c r="AG32" s="1">
        <v>139.637</v>
      </c>
      <c r="AH32" s="114">
        <v>130.72399999999999</v>
      </c>
      <c r="AI32" s="113">
        <v>145.57900000000001</v>
      </c>
      <c r="AJ32" s="1">
        <v>112.89800000000001</v>
      </c>
      <c r="AK32" s="1">
        <v>95.072000000000003</v>
      </c>
      <c r="AL32" s="1">
        <v>101.014</v>
      </c>
      <c r="AM32" s="1">
        <v>68.332999999999998</v>
      </c>
      <c r="AN32" s="1">
        <v>89.13</v>
      </c>
      <c r="AO32" s="114">
        <v>68.332999999999998</v>
      </c>
      <c r="AP32" s="113">
        <v>62.391000000000005</v>
      </c>
      <c r="AQ32" s="1">
        <v>83.188000000000017</v>
      </c>
      <c r="AR32" s="1">
        <v>50.506999999999998</v>
      </c>
      <c r="AS32" s="1">
        <v>47.110500000000002</v>
      </c>
      <c r="AT32" s="1">
        <v>52.069500000000005</v>
      </c>
      <c r="AU32" s="1">
        <v>66.9465</v>
      </c>
      <c r="AV32" s="114">
        <v>42.151500000000006</v>
      </c>
      <c r="AW32" s="113">
        <v>52.069500000000005</v>
      </c>
      <c r="AX32" s="1">
        <v>59.508000000000003</v>
      </c>
      <c r="AY32" s="1"/>
      <c r="AZ32" s="1"/>
      <c r="BA32" s="1"/>
      <c r="BB32" s="1"/>
      <c r="BC32" s="114"/>
      <c r="BD32" s="113"/>
      <c r="BE32" s="1"/>
      <c r="BF32" s="1"/>
      <c r="BG32" s="1"/>
      <c r="BH32" s="1"/>
      <c r="BI32" s="1"/>
      <c r="BJ32" s="114"/>
      <c r="BK32" s="113"/>
      <c r="BL32" s="1"/>
      <c r="BM32" s="1"/>
      <c r="BN32" s="1"/>
      <c r="BO32" s="1"/>
      <c r="BP32" s="1"/>
      <c r="BQ32" s="114"/>
      <c r="BR32" s="113"/>
      <c r="BS32" s="1"/>
      <c r="BT32" s="1"/>
      <c r="BU32" s="1"/>
      <c r="BV32" s="1"/>
      <c r="BW32" s="1"/>
      <c r="BX32" s="114"/>
      <c r="BY32" s="113"/>
      <c r="BZ32" s="1"/>
      <c r="CA32" s="1"/>
      <c r="CB32" s="1"/>
      <c r="CC32" s="1"/>
      <c r="CD32" s="1"/>
      <c r="CE32" s="114"/>
      <c r="CF32" s="113"/>
      <c r="CG32" s="1"/>
      <c r="CH32" s="1"/>
      <c r="CI32" s="1"/>
      <c r="CJ32" s="1"/>
      <c r="CK32" s="1"/>
      <c r="CL32" s="114"/>
      <c r="CM32" s="113">
        <f>SUM(G32:CL32)</f>
        <v>6127.6914999999981</v>
      </c>
    </row>
    <row r="33" spans="1:91" x14ac:dyDescent="0.3">
      <c r="A33" s="3">
        <v>30</v>
      </c>
      <c r="B33" s="1">
        <v>0</v>
      </c>
      <c r="C33" s="1">
        <v>0</v>
      </c>
      <c r="D33" s="1">
        <v>74.203400000000002</v>
      </c>
      <c r="E33" s="114">
        <v>25.796600000000002</v>
      </c>
      <c r="F33" s="122" t="s">
        <v>187</v>
      </c>
      <c r="G33" s="113"/>
      <c r="H33" s="1"/>
      <c r="I33" s="1">
        <v>116.715</v>
      </c>
      <c r="J33" s="1">
        <v>54.592500000000001</v>
      </c>
      <c r="K33" s="1">
        <v>116.715</v>
      </c>
      <c r="L33" s="1">
        <v>105.42</v>
      </c>
      <c r="M33" s="114">
        <v>116.715</v>
      </c>
      <c r="N33" s="113">
        <v>124.245</v>
      </c>
      <c r="O33" s="1">
        <v>82.83</v>
      </c>
      <c r="P33" s="1">
        <v>79.064999999999998</v>
      </c>
      <c r="Q33" s="1">
        <v>79.064999999999998</v>
      </c>
      <c r="R33" s="1">
        <v>231.54750000000001</v>
      </c>
      <c r="S33" s="1">
        <v>77.182500000000005</v>
      </c>
      <c r="T33" s="114">
        <v>146.83500000000001</v>
      </c>
      <c r="U33" s="113">
        <v>188.25</v>
      </c>
      <c r="V33" s="1">
        <v>348.26249999999999</v>
      </c>
      <c r="W33" s="1">
        <v>146.83500000000001</v>
      </c>
      <c r="X33" s="1">
        <v>161.89500000000001</v>
      </c>
      <c r="Y33" s="1">
        <v>154.36500000000001</v>
      </c>
      <c r="Z33" s="1">
        <v>193.89750000000001</v>
      </c>
      <c r="AA33" s="114">
        <v>154.36500000000001</v>
      </c>
      <c r="AB33" s="113">
        <v>199.54499999999999</v>
      </c>
      <c r="AC33" s="1">
        <v>259.78500000000003</v>
      </c>
      <c r="AD33" s="1">
        <v>336.26</v>
      </c>
      <c r="AE33" s="1">
        <v>365.93</v>
      </c>
      <c r="AF33" s="1">
        <v>494.5</v>
      </c>
      <c r="AG33" s="1">
        <v>343.67750000000001</v>
      </c>
      <c r="AH33" s="114">
        <v>385.71</v>
      </c>
      <c r="AI33" s="113">
        <v>435.16</v>
      </c>
      <c r="AJ33" s="1">
        <v>405.49</v>
      </c>
      <c r="AK33" s="1">
        <v>363.55800000000005</v>
      </c>
      <c r="AL33" s="1">
        <v>391.524</v>
      </c>
      <c r="AM33" s="1">
        <v>410.16800000000001</v>
      </c>
      <c r="AN33" s="1">
        <v>391.524</v>
      </c>
      <c r="AO33" s="114">
        <v>284.54000000000002</v>
      </c>
      <c r="AP33" s="113">
        <v>256.78000000000003</v>
      </c>
      <c r="AQ33" s="1">
        <v>426.81</v>
      </c>
      <c r="AR33" s="1">
        <v>163.09000000000003</v>
      </c>
      <c r="AS33" s="1">
        <v>163.09000000000003</v>
      </c>
      <c r="AT33" s="1">
        <v>170.72400000000002</v>
      </c>
      <c r="AU33" s="1">
        <v>142.27000000000001</v>
      </c>
      <c r="AV33" s="114">
        <v>71.135000000000005</v>
      </c>
      <c r="AW33" s="113">
        <v>50.314999999999998</v>
      </c>
      <c r="AX33" s="1">
        <v>27.76</v>
      </c>
      <c r="AY33" s="1"/>
      <c r="AZ33" s="1"/>
      <c r="BA33" s="1"/>
      <c r="BB33" s="1"/>
      <c r="BC33" s="114"/>
      <c r="BD33" s="113"/>
      <c r="BE33" s="1"/>
      <c r="BF33" s="1"/>
      <c r="BG33" s="1"/>
      <c r="BH33" s="1"/>
      <c r="BI33" s="1"/>
      <c r="BJ33" s="114"/>
      <c r="BK33" s="113"/>
      <c r="BL33" s="1"/>
      <c r="BM33" s="1"/>
      <c r="BN33" s="1"/>
      <c r="BO33" s="1"/>
      <c r="BP33" s="1"/>
      <c r="BQ33" s="114"/>
      <c r="BR33" s="113"/>
      <c r="BS33" s="1"/>
      <c r="BT33" s="1"/>
      <c r="BU33" s="1"/>
      <c r="BV33" s="1"/>
      <c r="BW33" s="1"/>
      <c r="BX33" s="114"/>
      <c r="BY33" s="113"/>
      <c r="BZ33" s="1"/>
      <c r="CA33" s="1"/>
      <c r="CB33" s="1"/>
      <c r="CC33" s="1"/>
      <c r="CD33" s="1"/>
      <c r="CE33" s="114"/>
      <c r="CF33" s="113"/>
      <c r="CG33" s="1"/>
      <c r="CH33" s="1"/>
      <c r="CI33" s="1"/>
      <c r="CJ33" s="1"/>
      <c r="CK33" s="1"/>
      <c r="CL33" s="114"/>
      <c r="CM33" s="113">
        <f>SUM(G33:CL33)</f>
        <v>9218.1430000000018</v>
      </c>
    </row>
    <row r="34" spans="1:91" s="13" customFormat="1" x14ac:dyDescent="0.3">
      <c r="A34" s="2"/>
      <c r="F34" s="2"/>
      <c r="CM34" s="113"/>
    </row>
    <row r="35" spans="1:91" s="13" customFormat="1" x14ac:dyDescent="0.3">
      <c r="A35" s="18" t="s">
        <v>218</v>
      </c>
      <c r="M35" s="182" t="s">
        <v>219</v>
      </c>
      <c r="CC35" s="181" t="s">
        <v>219</v>
      </c>
      <c r="CD35" s="181">
        <v>75</v>
      </c>
      <c r="CM35" s="113"/>
    </row>
    <row r="36" spans="1:91" s="174" customFormat="1" x14ac:dyDescent="0.3">
      <c r="A36" s="1" t="s">
        <v>169</v>
      </c>
      <c r="B36" s="1" t="s">
        <v>46</v>
      </c>
      <c r="C36" s="1" t="s">
        <v>248</v>
      </c>
      <c r="D36" s="1" t="s">
        <v>48</v>
      </c>
      <c r="E36" s="114" t="s">
        <v>54</v>
      </c>
      <c r="F36" s="114"/>
      <c r="G36" s="115">
        <v>45327</v>
      </c>
      <c r="H36" s="173">
        <v>0</v>
      </c>
      <c r="I36" s="173">
        <v>1</v>
      </c>
      <c r="J36" s="173">
        <v>2</v>
      </c>
      <c r="K36" s="173">
        <v>3</v>
      </c>
      <c r="L36" s="173">
        <v>4</v>
      </c>
      <c r="M36" s="173">
        <v>5</v>
      </c>
      <c r="N36" s="173">
        <v>6</v>
      </c>
      <c r="O36" s="173">
        <v>7</v>
      </c>
      <c r="P36" s="173">
        <v>8</v>
      </c>
      <c r="Q36" s="173">
        <v>9</v>
      </c>
      <c r="R36" s="173">
        <v>10</v>
      </c>
      <c r="S36" s="173">
        <v>11</v>
      </c>
      <c r="T36" s="173">
        <v>12</v>
      </c>
      <c r="U36" s="173">
        <v>13</v>
      </c>
      <c r="V36" s="173">
        <v>14</v>
      </c>
      <c r="W36" s="173">
        <v>15</v>
      </c>
      <c r="X36" s="173">
        <v>16</v>
      </c>
      <c r="Y36" s="173">
        <v>17</v>
      </c>
      <c r="Z36" s="173">
        <v>18</v>
      </c>
      <c r="AA36" s="173">
        <v>19</v>
      </c>
      <c r="AB36" s="173">
        <v>20</v>
      </c>
      <c r="AC36" s="173">
        <v>21</v>
      </c>
      <c r="AD36" s="173">
        <v>22</v>
      </c>
      <c r="AE36" s="173">
        <v>23</v>
      </c>
      <c r="AF36" s="173">
        <v>24</v>
      </c>
      <c r="AG36" s="173">
        <v>25</v>
      </c>
      <c r="AH36" s="173">
        <v>26</v>
      </c>
      <c r="AI36" s="173">
        <v>27</v>
      </c>
      <c r="AJ36" s="173">
        <v>28</v>
      </c>
      <c r="AK36" s="173">
        <v>29</v>
      </c>
      <c r="AL36" s="173">
        <v>30</v>
      </c>
      <c r="AM36" s="173">
        <v>31</v>
      </c>
      <c r="AN36" s="173">
        <v>32</v>
      </c>
      <c r="AO36" s="173">
        <v>33</v>
      </c>
      <c r="AP36" s="173">
        <v>34</v>
      </c>
      <c r="AQ36" s="173">
        <v>35</v>
      </c>
      <c r="AR36" s="173">
        <v>36</v>
      </c>
      <c r="AS36" s="173">
        <v>37</v>
      </c>
      <c r="AT36" s="173">
        <v>38</v>
      </c>
      <c r="AU36" s="173">
        <v>39</v>
      </c>
      <c r="AV36" s="173">
        <v>40</v>
      </c>
      <c r="AW36" s="173">
        <v>41</v>
      </c>
      <c r="AX36" s="173">
        <v>42</v>
      </c>
      <c r="AY36" s="173">
        <v>43</v>
      </c>
      <c r="AZ36" s="173">
        <v>44</v>
      </c>
      <c r="BA36" s="173">
        <v>45</v>
      </c>
      <c r="BB36" s="173">
        <v>46</v>
      </c>
      <c r="BC36" s="173">
        <v>47</v>
      </c>
      <c r="BD36" s="173">
        <v>48</v>
      </c>
      <c r="BE36" s="173">
        <v>49</v>
      </c>
      <c r="BF36" s="173">
        <v>50</v>
      </c>
      <c r="BG36" s="173">
        <v>51</v>
      </c>
      <c r="BH36" s="173">
        <v>52</v>
      </c>
      <c r="BI36" s="173">
        <v>53</v>
      </c>
      <c r="BJ36" s="173">
        <v>54</v>
      </c>
      <c r="BK36" s="173">
        <v>55</v>
      </c>
      <c r="BL36" s="173">
        <v>56</v>
      </c>
      <c r="BM36" s="173">
        <v>57</v>
      </c>
      <c r="BN36" s="173">
        <v>58</v>
      </c>
      <c r="BO36" s="173">
        <v>59</v>
      </c>
      <c r="BP36" s="173">
        <v>60</v>
      </c>
      <c r="BQ36" s="173">
        <v>61</v>
      </c>
      <c r="BR36" s="173">
        <v>62</v>
      </c>
      <c r="BS36" s="173">
        <v>63</v>
      </c>
      <c r="BT36" s="173">
        <v>64</v>
      </c>
      <c r="BU36" s="173">
        <v>65</v>
      </c>
      <c r="BV36" s="173">
        <v>66</v>
      </c>
      <c r="BW36" s="173">
        <v>67</v>
      </c>
      <c r="BX36" s="173">
        <v>68</v>
      </c>
      <c r="BY36" s="173">
        <v>69</v>
      </c>
      <c r="BZ36" s="173">
        <v>70</v>
      </c>
      <c r="CA36" s="173">
        <v>71</v>
      </c>
      <c r="CB36" s="173">
        <v>72</v>
      </c>
      <c r="CC36" s="173">
        <v>73</v>
      </c>
      <c r="CD36" s="173">
        <v>74</v>
      </c>
      <c r="CE36" s="173">
        <v>75</v>
      </c>
      <c r="CF36" s="173">
        <v>76</v>
      </c>
      <c r="CG36" s="173">
        <v>77</v>
      </c>
      <c r="CH36" s="117"/>
      <c r="CI36" s="117"/>
      <c r="CJ36" s="117"/>
      <c r="CK36" s="117"/>
      <c r="CL36" s="118"/>
      <c r="CM36" s="113" t="s">
        <v>34</v>
      </c>
    </row>
    <row r="37" spans="1:91" s="175" customFormat="1" x14ac:dyDescent="0.3">
      <c r="A37" s="3">
        <v>27</v>
      </c>
      <c r="B37" s="1">
        <v>72.5886</v>
      </c>
      <c r="C37" s="1">
        <v>27.4114</v>
      </c>
      <c r="D37" s="1">
        <v>0</v>
      </c>
      <c r="E37" s="114">
        <v>0</v>
      </c>
      <c r="F37" s="122" t="s">
        <v>234</v>
      </c>
      <c r="G37" s="113"/>
      <c r="H37" s="1">
        <v>0</v>
      </c>
      <c r="I37" s="1">
        <v>0</v>
      </c>
      <c r="J37" s="1">
        <v>0</v>
      </c>
      <c r="K37" s="1">
        <v>34.898499999999999</v>
      </c>
      <c r="L37" s="1">
        <v>10.738</v>
      </c>
      <c r="M37" s="114">
        <v>13.422499999999999</v>
      </c>
      <c r="N37" s="113">
        <v>118.11799999999999</v>
      </c>
      <c r="O37" s="1">
        <v>91.272999999999996</v>
      </c>
      <c r="P37" s="1">
        <v>158.38549999999998</v>
      </c>
      <c r="Q37" s="1">
        <v>5.3689999999999998</v>
      </c>
      <c r="R37" s="1">
        <v>8.0534999999999997</v>
      </c>
      <c r="S37" s="1">
        <v>18.791499999999999</v>
      </c>
      <c r="T37" s="114">
        <v>276.50349999999997</v>
      </c>
      <c r="U37" s="113">
        <v>292.6105</v>
      </c>
      <c r="V37" s="1">
        <v>332.87799999999993</v>
      </c>
      <c r="W37" s="1">
        <v>236.23599999999999</v>
      </c>
      <c r="X37" s="1">
        <v>311.23599999999999</v>
      </c>
      <c r="Y37" s="1">
        <v>253.72499999999999</v>
      </c>
      <c r="Z37" s="1">
        <v>290.93799999999999</v>
      </c>
      <c r="AA37" s="114">
        <v>288.84500000000003</v>
      </c>
      <c r="AB37" s="113">
        <v>257.14249999999998</v>
      </c>
      <c r="AC37" s="1">
        <v>250.0975</v>
      </c>
      <c r="AD37" s="1">
        <v>218.39500000000001</v>
      </c>
      <c r="AE37" s="1">
        <v>151.4675</v>
      </c>
      <c r="AF37" s="1">
        <v>162.035</v>
      </c>
      <c r="AG37" s="1">
        <v>95.107500000000002</v>
      </c>
      <c r="AH37" s="114">
        <v>81.762500000000003</v>
      </c>
      <c r="AI37" s="113">
        <v>81.762500000000003</v>
      </c>
      <c r="AJ37" s="1">
        <v>22.8935</v>
      </c>
      <c r="AK37" s="1">
        <v>20.868000000000002</v>
      </c>
      <c r="AL37" s="1">
        <v>18.259499999999999</v>
      </c>
      <c r="AM37" s="1">
        <v>5.2170000000000005</v>
      </c>
      <c r="AN37" s="1">
        <v>41.736000000000004</v>
      </c>
      <c r="AO37" s="114">
        <v>46.953000000000003</v>
      </c>
      <c r="AP37" s="113">
        <v>54.778500000000001</v>
      </c>
      <c r="AQ37" s="1">
        <v>99.123000000000005</v>
      </c>
      <c r="AR37" s="1">
        <v>54.778500000000001</v>
      </c>
      <c r="AS37" s="1">
        <v>65.212500000000006</v>
      </c>
      <c r="AT37" s="1">
        <v>93.906000000000006</v>
      </c>
      <c r="AU37" s="1">
        <v>130.42500000000001</v>
      </c>
      <c r="AV37" s="114">
        <v>49.561500000000002</v>
      </c>
      <c r="AW37" s="113">
        <v>57.387</v>
      </c>
      <c r="AX37" s="1">
        <v>36.518999999999998</v>
      </c>
      <c r="AY37" s="1">
        <v>28.6935</v>
      </c>
      <c r="AZ37" s="1">
        <v>133.0335</v>
      </c>
      <c r="BA37" s="1">
        <v>83.472000000000008</v>
      </c>
      <c r="BB37" s="1">
        <v>93.906000000000006</v>
      </c>
      <c r="BC37" s="114">
        <v>52.17</v>
      </c>
      <c r="BD37" s="113">
        <v>57.387</v>
      </c>
      <c r="BE37" s="1">
        <v>41.736000000000004</v>
      </c>
      <c r="BF37" s="1">
        <v>57.387</v>
      </c>
      <c r="BG37" s="1">
        <v>26.085000000000001</v>
      </c>
      <c r="BH37" s="1">
        <v>54.778500000000001</v>
      </c>
      <c r="BI37" s="1">
        <v>10.434000000000001</v>
      </c>
      <c r="BJ37" s="114">
        <v>26.085000000000001</v>
      </c>
      <c r="BK37" s="113">
        <v>26.085000000000001</v>
      </c>
      <c r="BL37" s="1"/>
      <c r="BM37" s="1"/>
      <c r="BN37" s="1"/>
      <c r="BO37" s="1"/>
      <c r="BP37" s="1"/>
      <c r="BQ37" s="114"/>
      <c r="BR37" s="113"/>
      <c r="BS37" s="1"/>
      <c r="BT37" s="1"/>
      <c r="BU37" s="1"/>
      <c r="BV37" s="1"/>
      <c r="BW37" s="1"/>
      <c r="BX37" s="114"/>
      <c r="BY37" s="113"/>
      <c r="BZ37" s="1"/>
      <c r="CA37" s="1"/>
      <c r="CB37" s="1"/>
      <c r="CC37" s="1"/>
      <c r="CD37" s="1"/>
      <c r="CE37" s="114"/>
      <c r="CF37" s="113"/>
      <c r="CG37" s="1"/>
      <c r="CH37" s="1"/>
      <c r="CI37" s="1"/>
      <c r="CJ37" s="1"/>
      <c r="CK37" s="1"/>
      <c r="CL37" s="114"/>
      <c r="CM37" s="113">
        <f>SUM(G37:CL37)</f>
        <v>5528.6619999999984</v>
      </c>
    </row>
    <row r="38" spans="1:91" s="174" customFormat="1" x14ac:dyDescent="0.3">
      <c r="A38" s="1">
        <v>6</v>
      </c>
      <c r="B38" s="1">
        <v>26.6587</v>
      </c>
      <c r="C38" s="1">
        <v>73.341300000000004</v>
      </c>
      <c r="D38" s="1">
        <v>0</v>
      </c>
      <c r="E38" s="114">
        <v>0</v>
      </c>
      <c r="F38" s="122" t="s">
        <v>235</v>
      </c>
      <c r="G38" s="113"/>
      <c r="H38" s="1">
        <v>0</v>
      </c>
      <c r="I38" s="1">
        <v>41.94</v>
      </c>
      <c r="J38" s="1">
        <v>4.66</v>
      </c>
      <c r="K38" s="1">
        <v>9.32</v>
      </c>
      <c r="L38" s="1">
        <v>13.98</v>
      </c>
      <c r="M38" s="114">
        <v>18.64</v>
      </c>
      <c r="N38" s="113">
        <v>46.6</v>
      </c>
      <c r="O38" s="1">
        <v>97.86</v>
      </c>
      <c r="P38" s="1">
        <v>102.52</v>
      </c>
      <c r="Q38" s="1">
        <v>69.900000000000006</v>
      </c>
      <c r="R38" s="1">
        <v>121.16</v>
      </c>
      <c r="S38" s="1">
        <v>69.900000000000006</v>
      </c>
      <c r="T38" s="114">
        <v>32.619999999999997</v>
      </c>
      <c r="U38" s="113">
        <v>46.6</v>
      </c>
      <c r="V38" s="1">
        <v>97.86</v>
      </c>
      <c r="W38" s="1">
        <v>102.52</v>
      </c>
      <c r="X38" s="1">
        <v>69.900000000000006</v>
      </c>
      <c r="Y38" s="1">
        <v>121.16</v>
      </c>
      <c r="Z38" s="1">
        <v>69.900000000000006</v>
      </c>
      <c r="AA38" s="114">
        <v>32.619999999999997</v>
      </c>
      <c r="AB38" s="113">
        <v>46.6</v>
      </c>
      <c r="AC38" s="1">
        <v>97.86</v>
      </c>
      <c r="AD38" s="1">
        <v>102.52</v>
      </c>
      <c r="AE38" s="1">
        <v>69.900000000000006</v>
      </c>
      <c r="AF38" s="1">
        <v>121.16</v>
      </c>
      <c r="AG38" s="1">
        <v>69.900000000000006</v>
      </c>
      <c r="AH38" s="114">
        <v>32.619999999999997</v>
      </c>
      <c r="AI38" s="113">
        <v>46.6</v>
      </c>
      <c r="AJ38" s="1">
        <v>97.86</v>
      </c>
      <c r="AK38" s="1">
        <v>102.52</v>
      </c>
      <c r="AL38" s="1">
        <v>69.900000000000006</v>
      </c>
      <c r="AM38" s="1">
        <v>148.928</v>
      </c>
      <c r="AN38" s="1">
        <v>85.92</v>
      </c>
      <c r="AO38" s="114">
        <v>40.095999999999997</v>
      </c>
      <c r="AP38" s="113">
        <v>57.28</v>
      </c>
      <c r="AQ38" s="1">
        <v>45.823999999999998</v>
      </c>
      <c r="AR38" s="1">
        <v>85.92</v>
      </c>
      <c r="AS38" s="1">
        <v>74.463999999999999</v>
      </c>
      <c r="AT38" s="1">
        <v>65.872</v>
      </c>
      <c r="AU38" s="1">
        <v>80.010000000000005</v>
      </c>
      <c r="AV38" s="114">
        <v>32.003999999999998</v>
      </c>
      <c r="AW38" s="113">
        <v>10.668000000000001</v>
      </c>
      <c r="AX38" s="1">
        <v>42.672000000000004</v>
      </c>
      <c r="AY38" s="1">
        <v>21.336000000000002</v>
      </c>
      <c r="AZ38" s="1">
        <v>32.003999999999998</v>
      </c>
      <c r="BA38" s="1">
        <v>26.67</v>
      </c>
      <c r="BB38" s="1">
        <v>42.672000000000004</v>
      </c>
      <c r="BC38" s="114">
        <v>16.001999999999999</v>
      </c>
      <c r="BD38" s="113">
        <v>42.672000000000004</v>
      </c>
      <c r="BE38" s="1">
        <v>42.672000000000004</v>
      </c>
      <c r="BF38" s="1">
        <v>10.668000000000001</v>
      </c>
      <c r="BG38" s="1">
        <v>0</v>
      </c>
      <c r="BH38" s="1">
        <v>0</v>
      </c>
      <c r="BI38" s="1">
        <v>34.208999999999996</v>
      </c>
      <c r="BJ38" s="114">
        <v>0</v>
      </c>
      <c r="BK38" s="113">
        <v>14.661</v>
      </c>
      <c r="BL38" s="1">
        <v>4.8869999999999996</v>
      </c>
      <c r="BM38" s="1">
        <v>39.095999999999997</v>
      </c>
      <c r="BN38" s="1">
        <v>0</v>
      </c>
      <c r="BO38" s="1">
        <v>0</v>
      </c>
      <c r="BP38" s="1">
        <v>0</v>
      </c>
      <c r="BQ38" s="114"/>
      <c r="BR38" s="113"/>
      <c r="BS38" s="1"/>
      <c r="BT38" s="1"/>
      <c r="BU38" s="1"/>
      <c r="BV38" s="1"/>
      <c r="BW38" s="1"/>
      <c r="BX38" s="114"/>
      <c r="BY38" s="113"/>
      <c r="BZ38" s="1"/>
      <c r="CA38" s="1"/>
      <c r="CB38" s="1"/>
      <c r="CC38" s="1"/>
      <c r="CD38" s="1"/>
      <c r="CE38" s="114"/>
      <c r="CF38" s="113"/>
      <c r="CG38" s="1"/>
      <c r="CH38" s="1"/>
      <c r="CI38" s="1"/>
      <c r="CJ38" s="1"/>
      <c r="CK38" s="1"/>
      <c r="CL38" s="114"/>
      <c r="CM38" s="113">
        <f>SUM(G38:CL38)</f>
        <v>3124.3070000000002</v>
      </c>
    </row>
    <row r="39" spans="1:91" s="38" customFormat="1" x14ac:dyDescent="0.3">
      <c r="A39" s="3" t="s">
        <v>276</v>
      </c>
      <c r="B39" s="1">
        <v>27.197399999999998</v>
      </c>
      <c r="C39" s="1">
        <v>0</v>
      </c>
      <c r="D39" s="1">
        <v>72.802599999999998</v>
      </c>
      <c r="E39" s="114">
        <v>0</v>
      </c>
      <c r="F39" s="122" t="s">
        <v>180</v>
      </c>
      <c r="G39" s="176"/>
      <c r="H39" s="177">
        <v>0</v>
      </c>
      <c r="I39" s="177">
        <v>128.196</v>
      </c>
      <c r="J39" s="177">
        <v>64.105499999999992</v>
      </c>
      <c r="K39" s="177">
        <v>197.1405</v>
      </c>
      <c r="L39" s="177">
        <v>89.903999999999996</v>
      </c>
      <c r="M39" s="178">
        <v>146.92499999999998</v>
      </c>
      <c r="N39" s="176">
        <v>137.11349999999999</v>
      </c>
      <c r="O39" s="177">
        <v>222.42149999999998</v>
      </c>
      <c r="P39" s="177">
        <v>250.56249999999997</v>
      </c>
      <c r="Q39" s="177">
        <v>365.79749999999996</v>
      </c>
      <c r="R39" s="177">
        <v>261.43700000000001</v>
      </c>
      <c r="S39" s="177">
        <v>596.83750000000009</v>
      </c>
      <c r="T39" s="178">
        <v>569.94450000000006</v>
      </c>
      <c r="U39" s="176">
        <v>651.89474999999993</v>
      </c>
      <c r="V39" s="177">
        <v>682.28625000000011</v>
      </c>
      <c r="W39" s="177">
        <v>715.97800000000007</v>
      </c>
      <c r="X39" s="177">
        <v>588.49800000000005</v>
      </c>
      <c r="Y39" s="177">
        <v>478.26</v>
      </c>
      <c r="Z39" s="177">
        <v>459.36649999999997</v>
      </c>
      <c r="AA39" s="178">
        <v>512.08799999999997</v>
      </c>
      <c r="AB39" s="176">
        <v>543.81899999999996</v>
      </c>
      <c r="AC39" s="177">
        <v>511.73</v>
      </c>
      <c r="AD39" s="177">
        <v>435.74399999999997</v>
      </c>
      <c r="AE39" s="177">
        <v>357.58800000000002</v>
      </c>
      <c r="AF39" s="177">
        <v>345.91800000000001</v>
      </c>
      <c r="AG39" s="177">
        <v>269.7165</v>
      </c>
      <c r="AH39" s="178">
        <v>285.46349999999995</v>
      </c>
      <c r="AI39" s="176">
        <v>217.25575000000003</v>
      </c>
      <c r="AJ39" s="177">
        <v>165.63550000000001</v>
      </c>
      <c r="AK39" s="177">
        <v>172.64275000000001</v>
      </c>
      <c r="AL39" s="177">
        <v>122.87950000000001</v>
      </c>
      <c r="AM39" s="177">
        <v>92.517499999999998</v>
      </c>
      <c r="AN39" s="177">
        <v>65.243750000000006</v>
      </c>
      <c r="AO39" s="178">
        <v>73.88</v>
      </c>
      <c r="AP39" s="176">
        <v>81.3</v>
      </c>
      <c r="AQ39" s="177">
        <v>108.4</v>
      </c>
      <c r="AR39" s="177">
        <v>67.75</v>
      </c>
      <c r="AS39" s="177">
        <v>67.75</v>
      </c>
      <c r="AT39" s="177">
        <v>81.3</v>
      </c>
      <c r="AU39" s="177">
        <v>91.034999999999997</v>
      </c>
      <c r="AV39" s="178">
        <v>54.620999999999995</v>
      </c>
      <c r="AW39" s="176">
        <v>60.69</v>
      </c>
      <c r="AX39" s="177">
        <v>78.896999999999991</v>
      </c>
      <c r="AY39" s="177">
        <v>30.344999999999999</v>
      </c>
      <c r="AZ39" s="177"/>
      <c r="BA39" s="177"/>
      <c r="BB39" s="177"/>
      <c r="BC39" s="178"/>
      <c r="BD39" s="176"/>
      <c r="BE39" s="177"/>
      <c r="BF39" s="177"/>
      <c r="BG39" s="177"/>
      <c r="BH39" s="177"/>
      <c r="BI39" s="177"/>
      <c r="BJ39" s="178"/>
      <c r="BK39" s="176"/>
      <c r="BL39" s="177"/>
      <c r="BM39" s="177"/>
      <c r="BN39" s="177"/>
      <c r="BO39" s="177"/>
      <c r="BP39" s="177"/>
      <c r="BQ39" s="178"/>
      <c r="BR39" s="176"/>
      <c r="BS39" s="177"/>
      <c r="BT39" s="177"/>
      <c r="BU39" s="177"/>
      <c r="BV39" s="177"/>
      <c r="BW39" s="177"/>
      <c r="BX39" s="178"/>
      <c r="BY39" s="176"/>
      <c r="BZ39" s="177"/>
      <c r="CA39" s="177"/>
      <c r="CB39" s="177"/>
      <c r="CC39" s="177"/>
      <c r="CD39" s="177"/>
      <c r="CE39" s="179"/>
      <c r="CF39" s="176"/>
      <c r="CG39" s="177"/>
      <c r="CH39" s="3"/>
      <c r="CI39" s="3"/>
      <c r="CJ39" s="3"/>
      <c r="CK39" s="3"/>
      <c r="CL39" s="125"/>
      <c r="CM39" s="142"/>
    </row>
    <row r="40" spans="1:91" s="38" customFormat="1" x14ac:dyDescent="0.3">
      <c r="A40" s="3" t="s">
        <v>277</v>
      </c>
      <c r="B40" s="3">
        <v>71.935299999999998</v>
      </c>
      <c r="C40" s="3">
        <v>0</v>
      </c>
      <c r="D40" s="3">
        <v>28.064699999999998</v>
      </c>
      <c r="E40" s="125">
        <v>0</v>
      </c>
      <c r="F40" s="122" t="s">
        <v>181</v>
      </c>
      <c r="G40" s="176"/>
      <c r="H40" s="177">
        <v>0</v>
      </c>
      <c r="I40" s="177">
        <v>53.493750000000006</v>
      </c>
      <c r="J40" s="177">
        <v>31.825749999999999</v>
      </c>
      <c r="K40" s="177">
        <v>55.839499999999987</v>
      </c>
      <c r="L40" s="177">
        <v>62.658749999999991</v>
      </c>
      <c r="M40" s="178">
        <v>28.586249999999996</v>
      </c>
      <c r="N40" s="176">
        <v>35.848499999999994</v>
      </c>
      <c r="O40" s="177">
        <v>69.772499999999994</v>
      </c>
      <c r="P40" s="177">
        <v>63.067999999999998</v>
      </c>
      <c r="Q40" s="177">
        <v>84.611999999999995</v>
      </c>
      <c r="R40" s="177">
        <v>176.0565</v>
      </c>
      <c r="S40" s="177">
        <v>129.20849999999999</v>
      </c>
      <c r="T40" s="178">
        <v>126.43799999999999</v>
      </c>
      <c r="U40" s="176">
        <v>9.2399999999999984</v>
      </c>
      <c r="V40" s="177">
        <v>119.005</v>
      </c>
      <c r="W40" s="177">
        <v>284.10699999999997</v>
      </c>
      <c r="X40" s="177">
        <v>229.23275000000001</v>
      </c>
      <c r="Y40" s="177">
        <v>260.04650000000004</v>
      </c>
      <c r="Z40" s="177">
        <v>223.27650000000003</v>
      </c>
      <c r="AA40" s="178">
        <v>46.77</v>
      </c>
      <c r="AB40" s="176">
        <v>187.99500000000003</v>
      </c>
      <c r="AC40" s="177">
        <v>303.55200000000008</v>
      </c>
      <c r="AD40" s="177">
        <v>274.93199999999996</v>
      </c>
      <c r="AE40" s="177">
        <v>197.52250000000001</v>
      </c>
      <c r="AF40" s="177">
        <v>139.50975</v>
      </c>
      <c r="AG40" s="177">
        <v>104.02424999999999</v>
      </c>
      <c r="AH40" s="178">
        <v>105.30200000000001</v>
      </c>
      <c r="AI40" s="176">
        <v>105.48950000000001</v>
      </c>
      <c r="AJ40" s="177">
        <v>122.22300000000001</v>
      </c>
      <c r="AK40" s="177">
        <v>81.763499999999993</v>
      </c>
      <c r="AL40" s="177">
        <v>102.8265</v>
      </c>
      <c r="AM40" s="177">
        <v>107.541</v>
      </c>
      <c r="AN40" s="177">
        <v>71.903999999999996</v>
      </c>
      <c r="AO40" s="178">
        <v>54.926000000000002</v>
      </c>
      <c r="AP40" s="176">
        <v>44.152999999999999</v>
      </c>
      <c r="AQ40" s="177">
        <v>82.802499999999995</v>
      </c>
      <c r="AR40" s="177">
        <v>100.54799999999999</v>
      </c>
      <c r="AS40" s="177">
        <v>86.183999999999997</v>
      </c>
      <c r="AT40" s="177">
        <v>117.30599999999998</v>
      </c>
      <c r="AU40" s="177">
        <v>131.07</v>
      </c>
      <c r="AV40" s="178">
        <v>55.897500000000001</v>
      </c>
      <c r="AW40" s="176">
        <v>104.08499999999999</v>
      </c>
      <c r="AX40" s="177">
        <v>125.28749999999998</v>
      </c>
      <c r="AY40" s="177">
        <v>50.115000000000002</v>
      </c>
      <c r="AZ40" s="177">
        <v>96.375</v>
      </c>
      <c r="BA40" s="177">
        <v>84.81</v>
      </c>
      <c r="BB40" s="177">
        <v>106.0125</v>
      </c>
      <c r="BC40" s="178">
        <v>55.897500000000001</v>
      </c>
      <c r="BD40" s="176">
        <v>84.81</v>
      </c>
      <c r="BE40" s="177">
        <v>85.25</v>
      </c>
      <c r="BF40" s="177">
        <v>120.125</v>
      </c>
      <c r="BG40" s="177">
        <v>75.5625</v>
      </c>
      <c r="BH40" s="177">
        <v>127.875</v>
      </c>
      <c r="BI40" s="177">
        <v>94.9375</v>
      </c>
      <c r="BJ40" s="178">
        <v>143.375</v>
      </c>
      <c r="BK40" s="176">
        <v>100.75</v>
      </c>
      <c r="BL40" s="177">
        <v>50.375</v>
      </c>
      <c r="BM40" s="177">
        <v>89.125</v>
      </c>
      <c r="BN40" s="177">
        <v>110.4375</v>
      </c>
      <c r="BO40" s="177">
        <v>139.5</v>
      </c>
      <c r="BP40" s="177">
        <v>112.375</v>
      </c>
      <c r="BQ40" s="178">
        <v>135.625</v>
      </c>
      <c r="BR40" s="176">
        <v>123.20099999999998</v>
      </c>
      <c r="BS40" s="177">
        <v>102.66749999999998</v>
      </c>
      <c r="BT40" s="177">
        <v>78.974999999999994</v>
      </c>
      <c r="BU40" s="177">
        <v>66.338999999999999</v>
      </c>
      <c r="BV40" s="177">
        <v>61.60049999999999</v>
      </c>
      <c r="BW40" s="177">
        <v>39.487499999999997</v>
      </c>
      <c r="BX40" s="178">
        <v>32.889999999999993</v>
      </c>
      <c r="BY40" s="176">
        <v>21.45</v>
      </c>
      <c r="BZ40" s="177">
        <v>21.45</v>
      </c>
      <c r="CA40" s="177">
        <v>11.44</v>
      </c>
      <c r="CB40" s="177"/>
      <c r="CC40" s="177"/>
      <c r="CD40" s="177"/>
      <c r="CE40" s="179"/>
      <c r="CF40" s="176"/>
      <c r="CG40" s="177"/>
      <c r="CH40" s="3"/>
      <c r="CI40" s="3"/>
      <c r="CJ40" s="3"/>
      <c r="CK40" s="3"/>
      <c r="CL40" s="125"/>
      <c r="CM40" s="142"/>
    </row>
    <row r="41" spans="1:91" s="175" customFormat="1" x14ac:dyDescent="0.3">
      <c r="A41" s="3">
        <v>26</v>
      </c>
      <c r="B41" s="1">
        <v>26.569099999999999</v>
      </c>
      <c r="C41" s="1">
        <v>0</v>
      </c>
      <c r="D41" s="1">
        <v>0</v>
      </c>
      <c r="E41" s="114">
        <v>73.430899999999994</v>
      </c>
      <c r="F41" s="122" t="s">
        <v>183</v>
      </c>
      <c r="G41" s="113"/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14">
        <v>0</v>
      </c>
      <c r="N41" s="113">
        <v>0.96400000000000008</v>
      </c>
      <c r="O41" s="1">
        <v>14.701000000000001</v>
      </c>
      <c r="P41" s="1">
        <v>7.4710000000000001</v>
      </c>
      <c r="Q41" s="1">
        <v>5.4225000000000003</v>
      </c>
      <c r="R41" s="1">
        <v>16.629000000000001</v>
      </c>
      <c r="S41" s="1">
        <v>3.9765000000000001</v>
      </c>
      <c r="T41" s="114">
        <v>9.1580000000000013</v>
      </c>
      <c r="U41" s="113">
        <v>15.664999999999999</v>
      </c>
      <c r="V41" s="1">
        <v>11.809000000000001</v>
      </c>
      <c r="W41" s="1">
        <v>9.2785000000000011</v>
      </c>
      <c r="X41" s="1">
        <v>162.2115</v>
      </c>
      <c r="Y41" s="1">
        <v>180.85649999999998</v>
      </c>
      <c r="Z41" s="1">
        <v>188.31450000000001</v>
      </c>
      <c r="AA41" s="114">
        <v>185.77500000000001</v>
      </c>
      <c r="AB41" s="113">
        <v>170.91299999999998</v>
      </c>
      <c r="AC41" s="1">
        <v>151.09699999999998</v>
      </c>
      <c r="AD41" s="1">
        <v>141.18899999999999</v>
      </c>
      <c r="AE41" s="1">
        <v>118.896</v>
      </c>
      <c r="AF41" s="1">
        <v>108.988</v>
      </c>
      <c r="AG41" s="1">
        <v>180.821</v>
      </c>
      <c r="AH41" s="114">
        <v>128.804</v>
      </c>
      <c r="AI41" s="113">
        <v>141.18899999999999</v>
      </c>
      <c r="AJ41" s="1">
        <v>54.494</v>
      </c>
      <c r="AK41" s="1">
        <v>66.878999999999991</v>
      </c>
      <c r="AL41" s="1">
        <v>74.31</v>
      </c>
      <c r="AM41" s="1">
        <v>110.4525</v>
      </c>
      <c r="AN41" s="1">
        <v>107.998</v>
      </c>
      <c r="AO41" s="114">
        <v>144.81550000000001</v>
      </c>
      <c r="AP41" s="113">
        <v>98.18</v>
      </c>
      <c r="AQ41" s="1">
        <v>183.13749999999999</v>
      </c>
      <c r="AR41" s="1">
        <v>118.33499999999999</v>
      </c>
      <c r="AS41" s="1">
        <v>107.065</v>
      </c>
      <c r="AT41" s="1">
        <v>146.51</v>
      </c>
      <c r="AU41" s="1">
        <v>163.41499999999999</v>
      </c>
      <c r="AV41" s="114">
        <v>70.4375</v>
      </c>
      <c r="AW41" s="113">
        <v>126.78749999999999</v>
      </c>
      <c r="AX41" s="1">
        <v>112.7</v>
      </c>
      <c r="AY41" s="1">
        <v>64.802499999999995</v>
      </c>
      <c r="AZ41" s="1">
        <v>109.88249999999999</v>
      </c>
      <c r="BA41" s="1">
        <v>87.342500000000001</v>
      </c>
      <c r="BB41" s="1">
        <v>119.11200000000001</v>
      </c>
      <c r="BC41" s="114">
        <v>67.000500000000002</v>
      </c>
      <c r="BD41" s="113">
        <v>81.889500000000012</v>
      </c>
      <c r="BE41" s="1">
        <v>183.63100000000003</v>
      </c>
      <c r="BF41" s="1">
        <v>111.6675</v>
      </c>
      <c r="BG41" s="1">
        <v>87.307500000000005</v>
      </c>
      <c r="BH41" s="1">
        <v>122.23049999999999</v>
      </c>
      <c r="BI41" s="1">
        <v>119.736</v>
      </c>
      <c r="BJ41" s="114">
        <v>179.60400000000001</v>
      </c>
      <c r="BK41" s="113">
        <v>96.683999999999997</v>
      </c>
      <c r="BL41" s="1">
        <v>52.945999999999998</v>
      </c>
      <c r="BM41" s="1">
        <v>89.777999999999992</v>
      </c>
      <c r="BN41" s="1">
        <v>78.268000000000001</v>
      </c>
      <c r="BO41" s="1">
        <v>117.40199999999999</v>
      </c>
      <c r="BP41" s="1">
        <v>55.248000000000005</v>
      </c>
      <c r="BQ41" s="114">
        <v>71.361999999999995</v>
      </c>
      <c r="BR41" s="113">
        <v>92.08</v>
      </c>
      <c r="BS41" s="1">
        <v>36.832000000000001</v>
      </c>
      <c r="BT41" s="1">
        <v>36.832000000000001</v>
      </c>
      <c r="BU41" s="1">
        <v>48.341999999999999</v>
      </c>
      <c r="BV41" s="1">
        <v>36.832000000000001</v>
      </c>
      <c r="BW41" s="1">
        <v>50.643999999999998</v>
      </c>
      <c r="BX41" s="114">
        <v>56.385999999999996</v>
      </c>
      <c r="BY41" s="113">
        <v>64.075000000000003</v>
      </c>
      <c r="BZ41" s="1">
        <v>56.385999999999996</v>
      </c>
      <c r="CA41" s="1">
        <v>53.823</v>
      </c>
      <c r="CB41" s="1">
        <v>3.3109999999999995</v>
      </c>
      <c r="CC41" s="1"/>
      <c r="CD41" s="1"/>
      <c r="CE41" s="114"/>
      <c r="CF41" s="113"/>
      <c r="CG41" s="1"/>
      <c r="CH41" s="1"/>
      <c r="CI41" s="1"/>
      <c r="CJ41" s="1"/>
      <c r="CK41" s="1"/>
      <c r="CL41" s="114"/>
      <c r="CM41" s="113">
        <f>SUM(G41:CL41)</f>
        <v>6071.0825000000004</v>
      </c>
    </row>
    <row r="42" spans="1:91" s="174" customFormat="1" x14ac:dyDescent="0.3">
      <c r="A42" s="1">
        <v>7</v>
      </c>
      <c r="B42" s="1">
        <v>73.716099999999997</v>
      </c>
      <c r="C42" s="1">
        <v>0</v>
      </c>
      <c r="D42" s="1">
        <v>0</v>
      </c>
      <c r="E42" s="114">
        <v>26.283899999999999</v>
      </c>
      <c r="F42" s="122" t="s">
        <v>182</v>
      </c>
      <c r="G42" s="113"/>
      <c r="H42" s="1">
        <v>0</v>
      </c>
      <c r="I42" s="1">
        <v>0</v>
      </c>
      <c r="J42" s="1">
        <v>0</v>
      </c>
      <c r="K42" s="1">
        <v>0</v>
      </c>
      <c r="L42" s="1">
        <v>26.65</v>
      </c>
      <c r="M42" s="114">
        <v>47.97</v>
      </c>
      <c r="N42" s="113">
        <v>95.94</v>
      </c>
      <c r="O42" s="1">
        <v>149.24</v>
      </c>
      <c r="P42" s="1">
        <v>335.79</v>
      </c>
      <c r="Q42" s="1">
        <v>293.14999999999998</v>
      </c>
      <c r="R42" s="1">
        <v>245.18</v>
      </c>
      <c r="S42" s="1">
        <v>362.44</v>
      </c>
      <c r="T42" s="114">
        <v>325.13</v>
      </c>
      <c r="U42" s="113">
        <v>271.83</v>
      </c>
      <c r="V42" s="1">
        <v>170.56</v>
      </c>
      <c r="W42" s="1">
        <v>122.59</v>
      </c>
      <c r="X42" s="1">
        <v>181.22</v>
      </c>
      <c r="Y42" s="1">
        <v>133.25</v>
      </c>
      <c r="Z42" s="1">
        <v>90.61</v>
      </c>
      <c r="AA42" s="114">
        <v>79.95</v>
      </c>
      <c r="AB42" s="113">
        <v>69.290000000000006</v>
      </c>
      <c r="AC42" s="1">
        <v>79.95</v>
      </c>
      <c r="AD42" s="1">
        <v>69.290000000000006</v>
      </c>
      <c r="AE42" s="1">
        <v>90.61</v>
      </c>
      <c r="AF42" s="1">
        <v>101.27</v>
      </c>
      <c r="AG42" s="1">
        <v>111.93</v>
      </c>
      <c r="AH42" s="114">
        <v>79.95</v>
      </c>
      <c r="AI42" s="113">
        <v>116.47799999999999</v>
      </c>
      <c r="AJ42" s="1">
        <v>129.41999999999999</v>
      </c>
      <c r="AK42" s="1">
        <v>97.064999999999984</v>
      </c>
      <c r="AL42" s="1">
        <v>122.949</v>
      </c>
      <c r="AM42" s="1">
        <v>116.47799999999999</v>
      </c>
      <c r="AN42" s="1">
        <v>110.00699999999999</v>
      </c>
      <c r="AO42" s="114">
        <v>51.767999999999994</v>
      </c>
      <c r="AP42" s="113">
        <v>118.845</v>
      </c>
      <c r="AQ42" s="1">
        <v>100.08</v>
      </c>
      <c r="AR42" s="1">
        <v>118.845</v>
      </c>
      <c r="AS42" s="1">
        <v>118.845</v>
      </c>
      <c r="AT42" s="1">
        <v>137.61000000000001</v>
      </c>
      <c r="AU42" s="1">
        <v>118.845</v>
      </c>
      <c r="AV42" s="114">
        <v>118.845</v>
      </c>
      <c r="AW42" s="113">
        <v>112.59</v>
      </c>
      <c r="AX42" s="1">
        <v>225.18</v>
      </c>
      <c r="AY42" s="1">
        <v>175.14</v>
      </c>
      <c r="AZ42" s="1">
        <v>156.375</v>
      </c>
      <c r="BA42" s="1">
        <v>93.825000000000003</v>
      </c>
      <c r="BB42" s="1">
        <v>62.55</v>
      </c>
      <c r="BC42" s="114">
        <v>143.86500000000001</v>
      </c>
      <c r="BD42" s="113">
        <v>244.69200000000001</v>
      </c>
      <c r="BE42" s="1">
        <v>407.82</v>
      </c>
      <c r="BF42" s="1">
        <v>297.12599999999998</v>
      </c>
      <c r="BG42" s="1">
        <v>192.25799999999998</v>
      </c>
      <c r="BH42" s="1">
        <v>110.694</v>
      </c>
      <c r="BI42" s="1">
        <v>96.128999999999991</v>
      </c>
      <c r="BJ42" s="114">
        <v>52.433999999999997</v>
      </c>
      <c r="BK42" s="113">
        <v>79.933500000000009</v>
      </c>
      <c r="BL42" s="1">
        <v>29.605</v>
      </c>
      <c r="BM42" s="1">
        <v>29.605</v>
      </c>
      <c r="BN42" s="1"/>
      <c r="BO42" s="1"/>
      <c r="BP42" s="1"/>
      <c r="BQ42" s="114"/>
      <c r="BR42" s="113"/>
      <c r="BS42" s="1"/>
      <c r="BT42" s="1"/>
      <c r="BU42" s="1"/>
      <c r="BV42" s="1"/>
      <c r="BW42" s="1"/>
      <c r="BX42" s="114"/>
      <c r="BY42" s="113"/>
      <c r="BZ42" s="1"/>
      <c r="CA42" s="1"/>
      <c r="CB42" s="1"/>
      <c r="CC42" s="1"/>
      <c r="CD42" s="1"/>
      <c r="CE42" s="114"/>
      <c r="CF42" s="113"/>
      <c r="CG42" s="1"/>
      <c r="CH42" s="1"/>
      <c r="CI42" s="1"/>
      <c r="CJ42" s="1"/>
      <c r="CK42" s="1"/>
      <c r="CL42" s="114"/>
      <c r="CM42" s="113">
        <f>SUM(G42:CL42)</f>
        <v>7619.6914999999999</v>
      </c>
    </row>
    <row r="43" spans="1:91" s="13" customFormat="1" x14ac:dyDescent="0.3">
      <c r="A43" s="2"/>
      <c r="F43" s="2"/>
      <c r="CM43" s="113"/>
    </row>
    <row r="44" spans="1:91" s="13" customFormat="1" x14ac:dyDescent="0.3">
      <c r="A44" s="2"/>
      <c r="F44" s="2"/>
      <c r="CM44" s="113"/>
    </row>
    <row r="45" spans="1:91" s="174" customFormat="1" x14ac:dyDescent="0.3">
      <c r="A45" s="1" t="s">
        <v>169</v>
      </c>
      <c r="B45" s="1" t="s">
        <v>46</v>
      </c>
      <c r="C45" s="1" t="s">
        <v>248</v>
      </c>
      <c r="D45" s="1" t="s">
        <v>48</v>
      </c>
      <c r="E45" s="114" t="s">
        <v>54</v>
      </c>
      <c r="F45" s="114"/>
      <c r="G45" s="115">
        <v>45327</v>
      </c>
      <c r="H45" s="173">
        <v>0</v>
      </c>
      <c r="I45" s="173">
        <v>1</v>
      </c>
      <c r="J45" s="173">
        <v>2</v>
      </c>
      <c r="K45" s="173">
        <v>3</v>
      </c>
      <c r="L45" s="173">
        <v>4</v>
      </c>
      <c r="M45" s="173">
        <v>5</v>
      </c>
      <c r="N45" s="173">
        <v>6</v>
      </c>
      <c r="O45" s="173">
        <v>7</v>
      </c>
      <c r="P45" s="173">
        <v>8</v>
      </c>
      <c r="Q45" s="173">
        <v>9</v>
      </c>
      <c r="R45" s="173">
        <v>10</v>
      </c>
      <c r="S45" s="173">
        <v>11</v>
      </c>
      <c r="T45" s="173">
        <v>12</v>
      </c>
      <c r="U45" s="173">
        <v>13</v>
      </c>
      <c r="V45" s="173">
        <v>14</v>
      </c>
      <c r="W45" s="173">
        <v>15</v>
      </c>
      <c r="X45" s="173">
        <v>16</v>
      </c>
      <c r="Y45" s="173">
        <v>17</v>
      </c>
      <c r="Z45" s="173">
        <v>18</v>
      </c>
      <c r="AA45" s="173">
        <v>19</v>
      </c>
      <c r="AB45" s="173">
        <v>20</v>
      </c>
      <c r="AC45" s="173">
        <v>21</v>
      </c>
      <c r="AD45" s="173">
        <v>22</v>
      </c>
      <c r="AE45" s="173">
        <v>23</v>
      </c>
      <c r="AF45" s="173">
        <v>24</v>
      </c>
      <c r="AG45" s="173">
        <v>25</v>
      </c>
      <c r="AH45" s="173">
        <v>26</v>
      </c>
      <c r="AI45" s="173">
        <v>27</v>
      </c>
      <c r="AJ45" s="173">
        <v>28</v>
      </c>
      <c r="AK45" s="173">
        <v>29</v>
      </c>
      <c r="AL45" s="173">
        <v>30</v>
      </c>
      <c r="AM45" s="173">
        <v>31</v>
      </c>
      <c r="AN45" s="173">
        <v>32</v>
      </c>
      <c r="AO45" s="173">
        <v>33</v>
      </c>
      <c r="AP45" s="173">
        <v>34</v>
      </c>
      <c r="AQ45" s="173">
        <v>35</v>
      </c>
      <c r="AR45" s="173">
        <v>36</v>
      </c>
      <c r="AS45" s="173">
        <v>37</v>
      </c>
      <c r="AT45" s="173">
        <v>38</v>
      </c>
      <c r="AU45" s="173">
        <v>39</v>
      </c>
      <c r="AV45" s="173">
        <v>40</v>
      </c>
      <c r="AW45" s="173">
        <v>41</v>
      </c>
      <c r="AX45" s="173">
        <v>42</v>
      </c>
      <c r="AY45" s="173">
        <v>43</v>
      </c>
      <c r="AZ45" s="173">
        <v>44</v>
      </c>
      <c r="BA45" s="173">
        <v>45</v>
      </c>
      <c r="BB45" s="173">
        <v>46</v>
      </c>
      <c r="BC45" s="173">
        <v>47</v>
      </c>
      <c r="BD45" s="173">
        <v>48</v>
      </c>
      <c r="BE45" s="173">
        <v>49</v>
      </c>
      <c r="BF45" s="173">
        <v>50</v>
      </c>
      <c r="BG45" s="173">
        <v>51</v>
      </c>
      <c r="BH45" s="173">
        <v>52</v>
      </c>
      <c r="BI45" s="173">
        <v>53</v>
      </c>
      <c r="BJ45" s="173">
        <v>54</v>
      </c>
      <c r="BK45" s="173">
        <v>55</v>
      </c>
      <c r="BL45" s="173">
        <v>56</v>
      </c>
      <c r="BM45" s="173">
        <v>57</v>
      </c>
      <c r="BN45" s="173">
        <v>58</v>
      </c>
      <c r="BO45" s="173">
        <v>59</v>
      </c>
      <c r="BP45" s="173">
        <v>60</v>
      </c>
      <c r="BQ45" s="173">
        <v>61</v>
      </c>
      <c r="BR45" s="173">
        <v>62</v>
      </c>
      <c r="BS45" s="173">
        <v>63</v>
      </c>
      <c r="BT45" s="173">
        <v>64</v>
      </c>
      <c r="BU45" s="173">
        <v>65</v>
      </c>
      <c r="BV45" s="173">
        <v>66</v>
      </c>
      <c r="BW45" s="173">
        <v>67</v>
      </c>
      <c r="BX45" s="173">
        <v>68</v>
      </c>
      <c r="BY45" s="173">
        <v>69</v>
      </c>
      <c r="BZ45" s="173">
        <v>70</v>
      </c>
      <c r="CA45" s="173">
        <v>71</v>
      </c>
      <c r="CB45" s="173">
        <v>72</v>
      </c>
      <c r="CC45" s="173">
        <v>73</v>
      </c>
      <c r="CD45" s="173">
        <v>74</v>
      </c>
      <c r="CE45" s="173">
        <v>75</v>
      </c>
      <c r="CF45" s="173">
        <v>76</v>
      </c>
      <c r="CG45" s="173">
        <v>77</v>
      </c>
      <c r="CH45" s="117"/>
      <c r="CI45" s="117"/>
      <c r="CJ45" s="117"/>
      <c r="CK45" s="117"/>
      <c r="CL45" s="118"/>
      <c r="CM45" s="113" t="s">
        <v>34</v>
      </c>
    </row>
    <row r="46" spans="1:91" x14ac:dyDescent="0.3">
      <c r="A46" s="1">
        <v>8</v>
      </c>
      <c r="B46" s="1">
        <v>46.627800000000001</v>
      </c>
      <c r="C46" s="1">
        <v>47.356999999999999</v>
      </c>
      <c r="D46" s="1">
        <v>6.0151300000000001</v>
      </c>
      <c r="E46" s="114">
        <v>0</v>
      </c>
      <c r="F46" s="123" t="s">
        <v>238</v>
      </c>
      <c r="G46" s="113"/>
      <c r="H46" s="1"/>
      <c r="I46" s="1">
        <v>25.532000000000004</v>
      </c>
      <c r="J46" s="1">
        <v>21.603999999999999</v>
      </c>
      <c r="K46" s="1">
        <v>27.495999999999999</v>
      </c>
      <c r="L46" s="1">
        <v>26.513999999999999</v>
      </c>
      <c r="M46" s="114">
        <v>31.423999999999999</v>
      </c>
      <c r="N46" s="113">
        <v>35.352000000000004</v>
      </c>
      <c r="O46" s="1">
        <v>46.154000000000003</v>
      </c>
      <c r="P46" s="1">
        <v>45.171999999999997</v>
      </c>
      <c r="Q46" s="1">
        <v>52.046000000000006</v>
      </c>
      <c r="R46" s="1">
        <v>53.027999999999999</v>
      </c>
      <c r="S46" s="1">
        <v>67.757999999999996</v>
      </c>
      <c r="T46" s="114">
        <v>65.794000000000011</v>
      </c>
      <c r="U46" s="113">
        <v>70.704000000000008</v>
      </c>
      <c r="V46" s="1">
        <v>72.668000000000006</v>
      </c>
      <c r="W46" s="1">
        <v>71.686000000000007</v>
      </c>
      <c r="X46" s="1">
        <v>65.794000000000011</v>
      </c>
      <c r="Y46" s="1">
        <v>71.686000000000007</v>
      </c>
      <c r="Z46" s="1">
        <v>65.794000000000011</v>
      </c>
      <c r="AA46" s="114">
        <v>60.884000000000007</v>
      </c>
      <c r="AB46" s="113">
        <v>1.5712000000000002</v>
      </c>
      <c r="AC46" s="1">
        <v>66.77600000000001</v>
      </c>
      <c r="AD46" s="1">
        <v>162.91800000000001</v>
      </c>
      <c r="AE46" s="1">
        <v>151.28100000000001</v>
      </c>
      <c r="AF46" s="1">
        <v>162.91800000000001</v>
      </c>
      <c r="AG46" s="1">
        <v>140.74199999999999</v>
      </c>
      <c r="AH46" s="114">
        <v>137.39099999999999</v>
      </c>
      <c r="AI46" s="113">
        <v>107.23199999999999</v>
      </c>
      <c r="AJ46" s="1">
        <v>123.98699999999999</v>
      </c>
      <c r="AK46" s="1">
        <v>66.045000000000002</v>
      </c>
      <c r="AL46" s="1">
        <v>69.819000000000003</v>
      </c>
      <c r="AM46" s="1">
        <v>67.932000000000002</v>
      </c>
      <c r="AN46" s="1">
        <v>69.819000000000003</v>
      </c>
      <c r="AO46" s="114">
        <v>69.819000000000003</v>
      </c>
      <c r="AP46" s="113">
        <v>67.932000000000002</v>
      </c>
      <c r="AQ46" s="1">
        <v>69.819000000000003</v>
      </c>
      <c r="AR46" s="1">
        <v>67.932000000000002</v>
      </c>
      <c r="AS46" s="1">
        <v>68.875500000000002</v>
      </c>
      <c r="AT46" s="1">
        <v>68.875500000000002</v>
      </c>
      <c r="AU46" s="1">
        <v>69.819000000000003</v>
      </c>
      <c r="AV46" s="114">
        <v>73.593000000000004</v>
      </c>
      <c r="AW46" s="113">
        <v>66.045000000000002</v>
      </c>
      <c r="AX46" s="1">
        <v>69.819000000000003</v>
      </c>
      <c r="AY46" s="1">
        <v>66.045000000000002</v>
      </c>
      <c r="AZ46" s="1">
        <v>66.045000000000002</v>
      </c>
      <c r="BA46" s="1">
        <v>67.932000000000002</v>
      </c>
      <c r="BB46" s="1">
        <v>69.819000000000003</v>
      </c>
      <c r="BC46" s="114">
        <v>67.932000000000002</v>
      </c>
      <c r="BD46" s="113">
        <v>67.932000000000002</v>
      </c>
      <c r="BE46" s="1">
        <v>66.045000000000002</v>
      </c>
      <c r="BF46" s="1">
        <v>69.819000000000003</v>
      </c>
      <c r="BG46" s="1">
        <v>73.593000000000004</v>
      </c>
      <c r="BH46" s="1">
        <v>66.045000000000002</v>
      </c>
      <c r="BI46" s="1">
        <v>71.706000000000003</v>
      </c>
      <c r="BJ46" s="114">
        <v>69.819000000000003</v>
      </c>
      <c r="BK46" s="113">
        <v>120.54</v>
      </c>
      <c r="BL46" s="1">
        <v>123.98399999999999</v>
      </c>
      <c r="BM46" s="1">
        <v>120.54</v>
      </c>
      <c r="BN46" s="1">
        <v>110.208</v>
      </c>
      <c r="BO46" s="1">
        <v>127.428</v>
      </c>
      <c r="BP46" s="1">
        <v>113.65199999999999</v>
      </c>
      <c r="BQ46" s="114">
        <v>96.431999999999988</v>
      </c>
      <c r="BR46" s="113">
        <v>117.96400000000001</v>
      </c>
      <c r="BS46" s="1">
        <v>92.686000000000007</v>
      </c>
      <c r="BT46" s="1">
        <v>75.834000000000003</v>
      </c>
      <c r="BU46" s="1">
        <v>80.047000000000011</v>
      </c>
      <c r="BV46" s="1">
        <v>88.473000000000013</v>
      </c>
      <c r="BW46" s="1">
        <v>84.26</v>
      </c>
      <c r="BX46" s="114">
        <v>63.195</v>
      </c>
      <c r="BY46" s="113">
        <v>71.621000000000009</v>
      </c>
      <c r="BZ46" s="1">
        <v>80.047000000000011</v>
      </c>
      <c r="CA46" s="1">
        <v>67.408000000000001</v>
      </c>
      <c r="CB46" s="1">
        <v>9.58</v>
      </c>
      <c r="CC46" s="1">
        <v>8.6219999999999999</v>
      </c>
      <c r="CD46" s="1">
        <v>15.616</v>
      </c>
      <c r="CE46" s="114"/>
      <c r="CF46" s="113"/>
      <c r="CG46" s="1"/>
      <c r="CH46" s="1"/>
      <c r="CI46" s="1"/>
      <c r="CJ46" s="1"/>
      <c r="CK46" s="1"/>
      <c r="CL46" s="114"/>
      <c r="CM46" s="113">
        <f>SUM(G46:CL46)</f>
        <v>5488.9191999999975</v>
      </c>
    </row>
    <row r="47" spans="1:91" x14ac:dyDescent="0.3">
      <c r="A47" s="117"/>
      <c r="B47" s="117"/>
      <c r="C47" s="117"/>
      <c r="D47" s="117"/>
      <c r="E47" s="118"/>
      <c r="F47" s="118"/>
      <c r="G47" s="115">
        <v>45327</v>
      </c>
      <c r="H47" s="116">
        <v>45328</v>
      </c>
      <c r="I47" s="116">
        <v>45329</v>
      </c>
      <c r="J47" s="116">
        <v>45330</v>
      </c>
      <c r="K47" s="116">
        <v>45331</v>
      </c>
      <c r="L47" s="116">
        <v>45332</v>
      </c>
      <c r="M47" s="119">
        <v>45333</v>
      </c>
      <c r="N47" s="115">
        <v>45334</v>
      </c>
      <c r="O47" s="116">
        <v>45335</v>
      </c>
      <c r="P47" s="116">
        <v>45336</v>
      </c>
      <c r="Q47" s="116">
        <v>45337</v>
      </c>
      <c r="R47" s="116">
        <v>45338</v>
      </c>
      <c r="S47" s="116">
        <v>45339</v>
      </c>
      <c r="T47" s="119">
        <v>45340</v>
      </c>
      <c r="U47" s="115">
        <v>45341</v>
      </c>
      <c r="V47" s="116">
        <v>45342</v>
      </c>
      <c r="W47" s="116">
        <v>45343</v>
      </c>
      <c r="X47" s="116">
        <v>45344</v>
      </c>
      <c r="Y47" s="116">
        <v>45345</v>
      </c>
      <c r="Z47" s="116">
        <v>45346</v>
      </c>
      <c r="AA47" s="119">
        <v>45347</v>
      </c>
      <c r="AB47" s="115">
        <v>45348</v>
      </c>
      <c r="AC47" s="116">
        <v>45349</v>
      </c>
      <c r="AD47" s="116">
        <v>45350</v>
      </c>
      <c r="AE47" s="116">
        <v>45351</v>
      </c>
      <c r="AF47" s="116">
        <v>45352</v>
      </c>
      <c r="AG47" s="116">
        <v>45353</v>
      </c>
      <c r="AH47" s="119">
        <v>45354</v>
      </c>
      <c r="AI47" s="115">
        <v>45355</v>
      </c>
      <c r="AJ47" s="116">
        <v>45356</v>
      </c>
      <c r="AK47" s="116">
        <v>45357</v>
      </c>
      <c r="AL47" s="116">
        <v>45358</v>
      </c>
      <c r="AM47" s="116">
        <v>45359</v>
      </c>
      <c r="AN47" s="116">
        <v>45360</v>
      </c>
      <c r="AO47" s="119">
        <v>45361</v>
      </c>
      <c r="AP47" s="115">
        <v>45362</v>
      </c>
      <c r="AQ47" s="116">
        <v>45363</v>
      </c>
      <c r="AR47" s="116">
        <v>45364</v>
      </c>
      <c r="AS47" s="116">
        <v>45365</v>
      </c>
      <c r="AT47" s="116">
        <v>45366</v>
      </c>
      <c r="AU47" s="116">
        <v>45367</v>
      </c>
      <c r="AV47" s="119">
        <v>45368</v>
      </c>
      <c r="AW47" s="115">
        <v>45369</v>
      </c>
      <c r="AX47" s="116">
        <v>45370</v>
      </c>
      <c r="AY47" s="116">
        <v>45371</v>
      </c>
      <c r="AZ47" s="116">
        <v>45372</v>
      </c>
      <c r="BA47" s="116">
        <v>45373</v>
      </c>
      <c r="BB47" s="116">
        <v>45374</v>
      </c>
      <c r="BC47" s="119">
        <v>45375</v>
      </c>
      <c r="BD47" s="115">
        <v>45376</v>
      </c>
      <c r="BE47" s="116">
        <v>45377</v>
      </c>
      <c r="BF47" s="116">
        <v>45378</v>
      </c>
      <c r="BG47" s="116">
        <v>45379</v>
      </c>
      <c r="BH47" s="116">
        <v>45380</v>
      </c>
      <c r="BI47" s="116">
        <v>45381</v>
      </c>
      <c r="BJ47" s="119">
        <v>45382</v>
      </c>
      <c r="BK47" s="115">
        <v>45383</v>
      </c>
      <c r="BL47" s="116">
        <v>45384</v>
      </c>
      <c r="BM47" s="116">
        <v>45385</v>
      </c>
      <c r="BN47" s="116">
        <v>45386</v>
      </c>
      <c r="BO47" s="116">
        <v>45387</v>
      </c>
      <c r="BP47" s="116">
        <v>45388</v>
      </c>
      <c r="BQ47" s="119">
        <v>45389</v>
      </c>
      <c r="BR47" s="115">
        <v>45390</v>
      </c>
      <c r="BS47" s="116">
        <v>45391</v>
      </c>
      <c r="BT47" s="116">
        <v>45392</v>
      </c>
      <c r="BU47" s="116">
        <v>45393</v>
      </c>
      <c r="BV47" s="116">
        <v>45394</v>
      </c>
      <c r="BW47" s="116">
        <v>45395</v>
      </c>
      <c r="BX47" s="119">
        <v>45396</v>
      </c>
      <c r="BY47" s="115">
        <v>45397</v>
      </c>
      <c r="BZ47" s="116">
        <v>45398</v>
      </c>
      <c r="CA47" s="116">
        <v>45399</v>
      </c>
      <c r="CB47" s="116">
        <v>45400</v>
      </c>
      <c r="CC47" s="116">
        <v>45401</v>
      </c>
      <c r="CD47" s="116">
        <v>45402</v>
      </c>
      <c r="CE47" s="119">
        <v>45403</v>
      </c>
      <c r="CF47" s="115">
        <v>45404</v>
      </c>
      <c r="CG47" s="116">
        <v>45405</v>
      </c>
      <c r="CH47" s="117"/>
      <c r="CI47" s="117"/>
      <c r="CJ47" s="117"/>
      <c r="CK47" s="117"/>
      <c r="CL47" s="118"/>
      <c r="CM47" s="113"/>
    </row>
    <row r="48" spans="1:91" x14ac:dyDescent="0.3">
      <c r="A48" s="1">
        <v>1</v>
      </c>
      <c r="B48" s="1">
        <v>4.4064600000000002E-2</v>
      </c>
      <c r="C48" s="1">
        <v>27.802199999999999</v>
      </c>
      <c r="D48" s="1">
        <v>0</v>
      </c>
      <c r="E48" s="114">
        <v>72.153700000000001</v>
      </c>
      <c r="F48" s="123" t="s">
        <v>239</v>
      </c>
      <c r="G48" s="113"/>
      <c r="H48" s="1"/>
      <c r="I48" s="1">
        <v>10.327500000000001</v>
      </c>
      <c r="J48" s="1">
        <v>14.871600000000001</v>
      </c>
      <c r="K48" s="1">
        <v>16.524000000000001</v>
      </c>
      <c r="L48" s="1">
        <v>10.740599999999999</v>
      </c>
      <c r="M48" s="114">
        <v>18.589500000000001</v>
      </c>
      <c r="N48" s="113">
        <v>19.415700000000001</v>
      </c>
      <c r="O48" s="1">
        <v>16.524000000000001</v>
      </c>
      <c r="P48" s="1">
        <v>18.176400000000001</v>
      </c>
      <c r="Q48" s="1">
        <v>21.894300000000001</v>
      </c>
      <c r="R48" s="1">
        <v>52.697600000000001</v>
      </c>
      <c r="S48" s="1">
        <v>17.184000000000001</v>
      </c>
      <c r="T48" s="114">
        <v>41.241599999999998</v>
      </c>
      <c r="U48" s="113">
        <v>56.134400000000007</v>
      </c>
      <c r="V48" s="1">
        <v>66.444800000000001</v>
      </c>
      <c r="W48" s="1">
        <v>40.668800000000005</v>
      </c>
      <c r="X48" s="1">
        <v>51.2316</v>
      </c>
      <c r="Y48" s="1">
        <v>39.0336</v>
      </c>
      <c r="Z48" s="1">
        <v>51.841500000000003</v>
      </c>
      <c r="AA48" s="114">
        <v>49.401900000000005</v>
      </c>
      <c r="AB48" s="113">
        <v>39.872</v>
      </c>
      <c r="AC48" s="1">
        <v>51.085999999999991</v>
      </c>
      <c r="AD48" s="1">
        <v>50.463000000000001</v>
      </c>
      <c r="AE48" s="1">
        <v>40.592500000000001</v>
      </c>
      <c r="AF48" s="1">
        <v>47.461999999999996</v>
      </c>
      <c r="AG48" s="1">
        <v>40.592500000000001</v>
      </c>
      <c r="AH48" s="114">
        <v>41.841500000000003</v>
      </c>
      <c r="AI48" s="113">
        <v>47.303999999999995</v>
      </c>
      <c r="AJ48" s="1">
        <v>33.047999999999995</v>
      </c>
      <c r="AK48" s="1">
        <v>37.247599999999998</v>
      </c>
      <c r="AL48" s="1">
        <v>34.0366</v>
      </c>
      <c r="AM48" s="1">
        <v>35.320999999999998</v>
      </c>
      <c r="AN48" s="1">
        <v>35.963200000000001</v>
      </c>
      <c r="AO48" s="114">
        <v>38.484000000000002</v>
      </c>
      <c r="AP48" s="113">
        <v>30.787200000000002</v>
      </c>
      <c r="AQ48" s="1">
        <v>41.691000000000003</v>
      </c>
      <c r="AR48" s="1">
        <v>23.7318</v>
      </c>
      <c r="AS48" s="1">
        <v>21.807600000000001</v>
      </c>
      <c r="AT48" s="1">
        <v>25.014600000000002</v>
      </c>
      <c r="AU48" s="1">
        <v>33.994199999999999</v>
      </c>
      <c r="AV48" s="114">
        <v>12.1866</v>
      </c>
      <c r="AW48" s="113">
        <v>19.883399999999998</v>
      </c>
      <c r="AX48" s="1">
        <v>8.64</v>
      </c>
      <c r="AY48" s="1">
        <v>4.6080000000000005</v>
      </c>
      <c r="AZ48" s="1">
        <v>7.4880000000000004</v>
      </c>
      <c r="BA48" s="1">
        <v>5.4720000000000004</v>
      </c>
      <c r="BB48" s="1">
        <v>8.0640000000000001</v>
      </c>
      <c r="BC48" s="114">
        <v>4.6080000000000005</v>
      </c>
      <c r="BD48" s="113">
        <v>8.0640000000000001</v>
      </c>
      <c r="BE48" s="1">
        <v>18.432000000000002</v>
      </c>
      <c r="BF48" s="1">
        <v>6.3360000000000003</v>
      </c>
      <c r="BG48" s="1">
        <v>11.081399999999999</v>
      </c>
      <c r="BH48" s="1">
        <v>14.103599999999998</v>
      </c>
      <c r="BI48" s="1">
        <v>11.081399999999999</v>
      </c>
      <c r="BJ48" s="114">
        <v>19.140599999999999</v>
      </c>
      <c r="BK48" s="113">
        <v>8.5628999999999991</v>
      </c>
      <c r="BL48" s="1">
        <v>9.5702999999999996</v>
      </c>
      <c r="BM48" s="1">
        <v>12.592499999999999</v>
      </c>
      <c r="BN48" s="1"/>
      <c r="BO48" s="1"/>
      <c r="BP48" s="1"/>
      <c r="BQ48" s="114"/>
      <c r="BR48" s="113"/>
      <c r="BS48" s="1"/>
      <c r="BT48" s="1"/>
      <c r="BU48" s="1"/>
      <c r="BV48" s="1"/>
      <c r="BW48" s="1"/>
      <c r="BX48" s="114"/>
      <c r="BY48" s="113"/>
      <c r="BZ48" s="1"/>
      <c r="CA48" s="1"/>
      <c r="CB48" s="1"/>
      <c r="CC48" s="1"/>
      <c r="CD48" s="1"/>
      <c r="CE48" s="114"/>
      <c r="CF48" s="113"/>
      <c r="CG48" s="1"/>
      <c r="CH48" s="1"/>
      <c r="CI48" s="1"/>
      <c r="CJ48" s="1"/>
      <c r="CK48" s="1"/>
      <c r="CL48" s="114"/>
      <c r="CM48" s="113">
        <f>SUM(G48:CL48)</f>
        <v>1553.1983999999998</v>
      </c>
    </row>
    <row r="49" spans="1:91" x14ac:dyDescent="0.3">
      <c r="A49" s="3">
        <v>14</v>
      </c>
      <c r="B49" s="1">
        <v>6.4521899999999999</v>
      </c>
      <c r="C49" s="1">
        <v>47.085299999999997</v>
      </c>
      <c r="D49" s="1">
        <v>0</v>
      </c>
      <c r="E49" s="114">
        <v>46.462499999999999</v>
      </c>
      <c r="F49" s="123" t="s">
        <v>240</v>
      </c>
      <c r="G49" s="113"/>
      <c r="H49" s="1"/>
      <c r="I49" s="1">
        <v>1.1200000000000001</v>
      </c>
      <c r="J49" s="1">
        <v>2.72</v>
      </c>
      <c r="K49" s="1">
        <v>3.52</v>
      </c>
      <c r="L49" s="1">
        <v>7.84</v>
      </c>
      <c r="M49" s="114">
        <v>5.16</v>
      </c>
      <c r="N49" s="113">
        <v>4.4000000000000004</v>
      </c>
      <c r="O49" s="1">
        <v>54.136500000000005</v>
      </c>
      <c r="P49" s="1">
        <v>35.029500000000006</v>
      </c>
      <c r="Q49" s="1">
        <v>55.198</v>
      </c>
      <c r="R49" s="1">
        <v>126.786</v>
      </c>
      <c r="S49" s="1">
        <v>193.90799999999999</v>
      </c>
      <c r="T49" s="114">
        <v>182.72099999999998</v>
      </c>
      <c r="U49" s="113">
        <v>173.39849999999998</v>
      </c>
      <c r="V49" s="1">
        <v>217.25</v>
      </c>
      <c r="W49" s="1">
        <v>206.25</v>
      </c>
      <c r="X49" s="1">
        <v>213.732</v>
      </c>
      <c r="Y49" s="1">
        <v>201.858</v>
      </c>
      <c r="Z49" s="1">
        <v>237.52800000000002</v>
      </c>
      <c r="AA49" s="114">
        <v>227.63100000000003</v>
      </c>
      <c r="AB49" s="113">
        <v>214.435</v>
      </c>
      <c r="AC49" s="1">
        <v>194.64100000000002</v>
      </c>
      <c r="AD49" s="1">
        <v>217.73400000000001</v>
      </c>
      <c r="AE49" s="1">
        <v>189.80500000000001</v>
      </c>
      <c r="AF49" s="1">
        <v>141.49099999999999</v>
      </c>
      <c r="AG49" s="1">
        <v>55.215999999999994</v>
      </c>
      <c r="AH49" s="114">
        <v>193.25599999999997</v>
      </c>
      <c r="AI49" s="113">
        <v>166.012</v>
      </c>
      <c r="AJ49" s="1">
        <v>128.74400000000003</v>
      </c>
      <c r="AK49" s="1">
        <v>125.35600000000001</v>
      </c>
      <c r="AL49" s="1">
        <v>118.58</v>
      </c>
      <c r="AM49" s="1">
        <v>101.64</v>
      </c>
      <c r="AN49" s="1">
        <v>94.864000000000019</v>
      </c>
      <c r="AO49" s="114">
        <v>91.475999999999999</v>
      </c>
      <c r="AP49" s="113">
        <v>71.147999999999996</v>
      </c>
      <c r="AQ49" s="1">
        <v>87.9</v>
      </c>
      <c r="AR49" s="1">
        <v>61.53</v>
      </c>
      <c r="AS49" s="1">
        <v>61.53</v>
      </c>
      <c r="AT49" s="1">
        <v>64.459999999999994</v>
      </c>
      <c r="AU49" s="1">
        <v>105.48</v>
      </c>
      <c r="AV49" s="114">
        <v>35.159999999999997</v>
      </c>
      <c r="AW49" s="113">
        <v>61.53</v>
      </c>
      <c r="AX49" s="1">
        <v>61.53</v>
      </c>
      <c r="AY49" s="1">
        <v>32.229999999999997</v>
      </c>
      <c r="AZ49" s="1">
        <v>52.74</v>
      </c>
      <c r="BA49" s="1">
        <v>43.95</v>
      </c>
      <c r="BB49" s="1">
        <v>44.847000000000001</v>
      </c>
      <c r="BC49" s="114">
        <v>27.406500000000001</v>
      </c>
      <c r="BD49" s="113"/>
      <c r="BE49" s="1"/>
      <c r="BF49" s="1"/>
      <c r="BG49" s="1"/>
      <c r="BH49" s="1"/>
      <c r="BI49" s="1"/>
      <c r="BJ49" s="114"/>
      <c r="BK49" s="113"/>
      <c r="BL49" s="1"/>
      <c r="BM49" s="1"/>
      <c r="BN49" s="1"/>
      <c r="BO49" s="1"/>
      <c r="BP49" s="1"/>
      <c r="BQ49" s="114"/>
      <c r="BR49" s="113"/>
      <c r="BS49" s="1"/>
      <c r="BT49" s="1"/>
      <c r="BU49" s="1"/>
      <c r="BV49" s="1"/>
      <c r="BW49" s="1"/>
      <c r="BX49" s="114"/>
      <c r="BY49" s="113"/>
      <c r="BZ49" s="1"/>
      <c r="CA49" s="1"/>
      <c r="CB49" s="1"/>
      <c r="CC49" s="1"/>
      <c r="CD49" s="1"/>
      <c r="CE49" s="114"/>
      <c r="CF49" s="113"/>
      <c r="CG49" s="1"/>
      <c r="CH49" s="1"/>
      <c r="CI49" s="1"/>
      <c r="CJ49" s="1"/>
      <c r="CK49" s="1"/>
      <c r="CL49" s="114"/>
      <c r="CM49" s="113">
        <f>SUM(G49:CL49)</f>
        <v>4994.877999999997</v>
      </c>
    </row>
    <row r="50" spans="1:91" x14ac:dyDescent="0.3">
      <c r="A50" s="3">
        <v>16</v>
      </c>
      <c r="B50" s="1">
        <v>47.869199999999999</v>
      </c>
      <c r="C50" s="1">
        <v>4.8092300000000003</v>
      </c>
      <c r="D50" s="1">
        <v>0</v>
      </c>
      <c r="E50" s="114">
        <v>47.321599999999997</v>
      </c>
      <c r="F50" s="123" t="s">
        <v>241</v>
      </c>
      <c r="G50" s="113"/>
      <c r="H50" s="1"/>
      <c r="I50" s="1">
        <v>88.341000000000008</v>
      </c>
      <c r="J50" s="1">
        <v>56.216999999999999</v>
      </c>
      <c r="K50" s="1">
        <v>40.155000000000001</v>
      </c>
      <c r="L50" s="1">
        <v>40.155000000000001</v>
      </c>
      <c r="M50" s="114">
        <v>74.955999999999989</v>
      </c>
      <c r="N50" s="113">
        <v>125.819</v>
      </c>
      <c r="O50" s="1">
        <v>147.23500000000001</v>
      </c>
      <c r="P50" s="1">
        <v>34.801000000000002</v>
      </c>
      <c r="Q50" s="1">
        <v>160.62</v>
      </c>
      <c r="R50" s="1">
        <v>74.955999999999989</v>
      </c>
      <c r="S50" s="1">
        <v>144.55799999999999</v>
      </c>
      <c r="T50" s="114">
        <v>125.819</v>
      </c>
      <c r="U50" s="113">
        <v>200.77500000000001</v>
      </c>
      <c r="V50" s="1">
        <v>186.31</v>
      </c>
      <c r="W50" s="1">
        <v>177.29499999999999</v>
      </c>
      <c r="X50" s="1">
        <v>180.0975</v>
      </c>
      <c r="Y50" s="1">
        <v>170.27399999999997</v>
      </c>
      <c r="Z50" s="1">
        <v>196.47</v>
      </c>
      <c r="AA50" s="114">
        <v>197.91549999999998</v>
      </c>
      <c r="AB50" s="113">
        <v>194.56100000000004</v>
      </c>
      <c r="AC50" s="1">
        <v>241.524</v>
      </c>
      <c r="AD50" s="1">
        <v>204.62450000000001</v>
      </c>
      <c r="AE50" s="1">
        <v>184.4975</v>
      </c>
      <c r="AF50" s="1">
        <v>206.80099999999999</v>
      </c>
      <c r="AG50" s="1">
        <v>163.43949999999998</v>
      </c>
      <c r="AH50" s="114">
        <v>260.16899999999998</v>
      </c>
      <c r="AI50" s="113">
        <v>183.1225</v>
      </c>
      <c r="AJ50" s="1">
        <v>163.1455</v>
      </c>
      <c r="AK50" s="1">
        <v>143.16849999999999</v>
      </c>
      <c r="AL50" s="1">
        <v>159.816</v>
      </c>
      <c r="AM50" s="1">
        <v>131.95599999999999</v>
      </c>
      <c r="AN50" s="1">
        <v>140.953</v>
      </c>
      <c r="AO50" s="114">
        <v>137.95400000000001</v>
      </c>
      <c r="AP50" s="113">
        <v>122.959</v>
      </c>
      <c r="AQ50" s="1">
        <v>167.94399999999999</v>
      </c>
      <c r="AR50" s="1">
        <v>107.964</v>
      </c>
      <c r="AS50" s="1">
        <v>98.966999999999985</v>
      </c>
      <c r="AT50" s="1">
        <v>107.964</v>
      </c>
      <c r="AU50" s="1">
        <v>140.953</v>
      </c>
      <c r="AV50" s="114">
        <v>59.98</v>
      </c>
      <c r="AW50" s="113">
        <v>92.968999999999994</v>
      </c>
      <c r="AX50" s="1">
        <v>89.116500000000002</v>
      </c>
      <c r="AY50" s="1">
        <v>45.908499999999997</v>
      </c>
      <c r="AZ50" s="1">
        <v>75.61399999999999</v>
      </c>
      <c r="BA50" s="1">
        <v>56.710500000000003</v>
      </c>
      <c r="BB50" s="1">
        <v>70.213000000000008</v>
      </c>
      <c r="BC50" s="114">
        <v>45.908499999999997</v>
      </c>
      <c r="BD50" s="113">
        <v>59.410999999999994</v>
      </c>
      <c r="BE50" s="1">
        <v>26.400499999999997</v>
      </c>
      <c r="BF50" s="1"/>
      <c r="BG50" s="1"/>
      <c r="BH50" s="1"/>
      <c r="BI50" s="1"/>
      <c r="BJ50" s="114"/>
      <c r="BK50" s="113"/>
      <c r="BL50" s="1"/>
      <c r="BM50" s="1"/>
      <c r="BN50" s="1"/>
      <c r="BO50" s="1"/>
      <c r="BP50" s="1"/>
      <c r="BQ50" s="114"/>
      <c r="BR50" s="113"/>
      <c r="BS50" s="1"/>
      <c r="BT50" s="1"/>
      <c r="BU50" s="1"/>
      <c r="BV50" s="1"/>
      <c r="BW50" s="1"/>
      <c r="BX50" s="114"/>
      <c r="BY50" s="113"/>
      <c r="BZ50" s="1"/>
      <c r="CA50" s="1"/>
      <c r="CB50" s="1"/>
      <c r="CC50" s="1"/>
      <c r="CD50" s="1"/>
      <c r="CE50" s="114"/>
      <c r="CF50" s="113"/>
      <c r="CG50" s="1"/>
      <c r="CH50" s="1"/>
      <c r="CI50" s="1"/>
      <c r="CJ50" s="1"/>
      <c r="CK50" s="1"/>
      <c r="CL50" s="114"/>
      <c r="CM50" s="113">
        <f>SUM(G50:CL50)</f>
        <v>6307.4834999999975</v>
      </c>
    </row>
    <row r="51" spans="1:91" x14ac:dyDescent="0.3">
      <c r="A51" s="117"/>
      <c r="B51" s="117"/>
      <c r="C51" s="117"/>
      <c r="D51" s="117"/>
      <c r="E51" s="118"/>
      <c r="F51" s="118"/>
      <c r="G51" s="115">
        <v>45327</v>
      </c>
      <c r="H51" s="116">
        <v>45328</v>
      </c>
      <c r="I51" s="116">
        <v>45329</v>
      </c>
      <c r="J51" s="116">
        <v>45330</v>
      </c>
      <c r="K51" s="116">
        <v>45331</v>
      </c>
      <c r="L51" s="116">
        <v>45332</v>
      </c>
      <c r="M51" s="119">
        <v>45333</v>
      </c>
      <c r="N51" s="115">
        <v>45334</v>
      </c>
      <c r="O51" s="116">
        <v>45335</v>
      </c>
      <c r="P51" s="116">
        <v>45336</v>
      </c>
      <c r="Q51" s="116">
        <v>45337</v>
      </c>
      <c r="R51" s="116">
        <v>45338</v>
      </c>
      <c r="S51" s="116">
        <v>45339</v>
      </c>
      <c r="T51" s="119">
        <v>45340</v>
      </c>
      <c r="U51" s="115">
        <v>45341</v>
      </c>
      <c r="V51" s="116">
        <v>45342</v>
      </c>
      <c r="W51" s="116">
        <v>45343</v>
      </c>
      <c r="X51" s="116">
        <v>45344</v>
      </c>
      <c r="Y51" s="116">
        <v>45345</v>
      </c>
      <c r="Z51" s="116">
        <v>45346</v>
      </c>
      <c r="AA51" s="119">
        <v>45347</v>
      </c>
      <c r="AB51" s="115">
        <v>45348</v>
      </c>
      <c r="AC51" s="116">
        <v>45349</v>
      </c>
      <c r="AD51" s="116">
        <v>45350</v>
      </c>
      <c r="AE51" s="116">
        <v>45351</v>
      </c>
      <c r="AF51" s="116">
        <v>45352</v>
      </c>
      <c r="AG51" s="116">
        <v>45353</v>
      </c>
      <c r="AH51" s="119">
        <v>45354</v>
      </c>
      <c r="AI51" s="115">
        <v>45355</v>
      </c>
      <c r="AJ51" s="116">
        <v>45356</v>
      </c>
      <c r="AK51" s="116">
        <v>45357</v>
      </c>
      <c r="AL51" s="116">
        <v>45358</v>
      </c>
      <c r="AM51" s="116">
        <v>45359</v>
      </c>
      <c r="AN51" s="116">
        <v>45360</v>
      </c>
      <c r="AO51" s="119">
        <v>45361</v>
      </c>
      <c r="AP51" s="115">
        <v>45362</v>
      </c>
      <c r="AQ51" s="116">
        <v>45363</v>
      </c>
      <c r="AR51" s="116">
        <v>45364</v>
      </c>
      <c r="AS51" s="116">
        <v>45365</v>
      </c>
      <c r="AT51" s="116">
        <v>45366</v>
      </c>
      <c r="AU51" s="116">
        <v>45367</v>
      </c>
      <c r="AV51" s="119">
        <v>45368</v>
      </c>
      <c r="AW51" s="115">
        <v>45369</v>
      </c>
      <c r="AX51" s="116">
        <v>45370</v>
      </c>
      <c r="AY51" s="116">
        <v>45371</v>
      </c>
      <c r="AZ51" s="116">
        <v>45372</v>
      </c>
      <c r="BA51" s="116">
        <v>45373</v>
      </c>
      <c r="BB51" s="116">
        <v>45374</v>
      </c>
      <c r="BC51" s="119">
        <v>45375</v>
      </c>
      <c r="BD51" s="115">
        <v>45376</v>
      </c>
      <c r="BE51" s="116">
        <v>45377</v>
      </c>
      <c r="BF51" s="116">
        <v>45378</v>
      </c>
      <c r="BG51" s="116">
        <v>45379</v>
      </c>
      <c r="BH51" s="116">
        <v>45380</v>
      </c>
      <c r="BI51" s="116">
        <v>45381</v>
      </c>
      <c r="BJ51" s="119">
        <v>45382</v>
      </c>
      <c r="BK51" s="115">
        <v>45383</v>
      </c>
      <c r="BL51" s="116">
        <v>45384</v>
      </c>
      <c r="BM51" s="116">
        <v>45385</v>
      </c>
      <c r="BN51" s="116">
        <v>45386</v>
      </c>
      <c r="BO51" s="116">
        <v>45387</v>
      </c>
      <c r="BP51" s="116">
        <v>45388</v>
      </c>
      <c r="BQ51" s="119">
        <v>45389</v>
      </c>
      <c r="BR51" s="115">
        <v>45390</v>
      </c>
      <c r="BS51" s="116">
        <v>45391</v>
      </c>
      <c r="BT51" s="116">
        <v>45392</v>
      </c>
      <c r="BU51" s="116">
        <v>45393</v>
      </c>
      <c r="BV51" s="116">
        <v>45394</v>
      </c>
      <c r="BW51" s="116">
        <v>45395</v>
      </c>
      <c r="BX51" s="119">
        <v>45396</v>
      </c>
      <c r="BY51" s="115">
        <v>45397</v>
      </c>
      <c r="BZ51" s="116">
        <v>45398</v>
      </c>
      <c r="CA51" s="116">
        <v>45399</v>
      </c>
      <c r="CB51" s="116">
        <v>45400</v>
      </c>
      <c r="CC51" s="116">
        <v>45401</v>
      </c>
      <c r="CD51" s="116">
        <v>45402</v>
      </c>
      <c r="CE51" s="119">
        <v>45403</v>
      </c>
      <c r="CF51" s="115">
        <v>45404</v>
      </c>
      <c r="CG51" s="116">
        <v>45405</v>
      </c>
      <c r="CH51" s="117"/>
      <c r="CI51" s="117"/>
      <c r="CJ51" s="117"/>
      <c r="CK51" s="117"/>
      <c r="CL51" s="118"/>
      <c r="CM51" s="113"/>
    </row>
    <row r="52" spans="1:91" x14ac:dyDescent="0.3">
      <c r="A52" s="1">
        <v>11</v>
      </c>
      <c r="B52" s="1">
        <v>0</v>
      </c>
      <c r="C52" s="1">
        <v>46.060200000000002</v>
      </c>
      <c r="D52" s="1">
        <v>46.857700000000001</v>
      </c>
      <c r="E52" s="114">
        <v>7.0820999999999996</v>
      </c>
      <c r="F52" s="123" t="s">
        <v>232</v>
      </c>
      <c r="G52" s="113"/>
      <c r="H52" s="1"/>
      <c r="I52" s="1">
        <v>16.384499999999999</v>
      </c>
      <c r="J52" s="1">
        <v>84.901499999999999</v>
      </c>
      <c r="K52" s="1">
        <v>16.384499999999999</v>
      </c>
      <c r="L52" s="1">
        <v>17.873999999999999</v>
      </c>
      <c r="M52" s="114">
        <v>17.873999999999999</v>
      </c>
      <c r="N52" s="113">
        <v>104.265</v>
      </c>
      <c r="O52" s="1">
        <v>110.223</v>
      </c>
      <c r="P52" s="1">
        <v>99.796499999999995</v>
      </c>
      <c r="Q52" s="1">
        <v>50.643000000000001</v>
      </c>
      <c r="R52" s="1">
        <v>89.37</v>
      </c>
      <c r="S52" s="1">
        <v>101.286</v>
      </c>
      <c r="T52" s="114">
        <v>177.25049999999999</v>
      </c>
      <c r="U52" s="113">
        <v>184.69799999999998</v>
      </c>
      <c r="V52" s="1">
        <v>195.12450000000001</v>
      </c>
      <c r="W52" s="1">
        <v>205.55099999999999</v>
      </c>
      <c r="X52" s="1">
        <v>180.2295</v>
      </c>
      <c r="Y52" s="1">
        <v>184.69799999999998</v>
      </c>
      <c r="Z52" s="1">
        <v>178.86</v>
      </c>
      <c r="AA52" s="114">
        <v>172.35600000000002</v>
      </c>
      <c r="AB52" s="113">
        <v>152.84400000000002</v>
      </c>
      <c r="AC52" s="1">
        <v>144.71400000000003</v>
      </c>
      <c r="AD52" s="1">
        <v>125.20200000000001</v>
      </c>
      <c r="AE52" s="1">
        <v>91.055999999999997</v>
      </c>
      <c r="AF52" s="1">
        <v>74.796000000000006</v>
      </c>
      <c r="AG52" s="1">
        <v>76.422000000000011</v>
      </c>
      <c r="AH52" s="114">
        <v>55.284000000000006</v>
      </c>
      <c r="AI52" s="113">
        <v>95.934000000000012</v>
      </c>
      <c r="AJ52" s="1">
        <v>58.536000000000001</v>
      </c>
      <c r="AK52" s="1">
        <v>56.910000000000011</v>
      </c>
      <c r="AL52" s="1">
        <v>55.284000000000006</v>
      </c>
      <c r="AM52" s="1">
        <v>52.111999999999995</v>
      </c>
      <c r="AN52" s="1">
        <v>61.883000000000003</v>
      </c>
      <c r="AO52" s="114">
        <v>63.511499999999998</v>
      </c>
      <c r="AP52" s="113">
        <v>65.14</v>
      </c>
      <c r="AQ52" s="1">
        <v>63.511499999999998</v>
      </c>
      <c r="AR52" s="1">
        <v>68.396999999999991</v>
      </c>
      <c r="AS52" s="1">
        <v>76.539500000000004</v>
      </c>
      <c r="AT52" s="1">
        <v>84.682000000000002</v>
      </c>
      <c r="AU52" s="1">
        <v>68.396999999999991</v>
      </c>
      <c r="AV52" s="114">
        <v>66.768500000000003</v>
      </c>
      <c r="AW52" s="113">
        <v>78.168000000000006</v>
      </c>
      <c r="AX52" s="1">
        <v>71.653999999999996</v>
      </c>
      <c r="AY52" s="1">
        <v>92.8245</v>
      </c>
      <c r="AZ52" s="1">
        <v>68.396999999999991</v>
      </c>
      <c r="BA52" s="1">
        <v>83.0535</v>
      </c>
      <c r="BB52" s="1">
        <v>86.31049999999999</v>
      </c>
      <c r="BC52" s="114">
        <v>70.025500000000008</v>
      </c>
      <c r="BD52" s="113">
        <v>78.168000000000006</v>
      </c>
      <c r="BE52" s="1">
        <v>79.796499999999995</v>
      </c>
      <c r="BF52" s="1">
        <v>81.424999999999997</v>
      </c>
      <c r="BG52" s="1">
        <v>52.2545</v>
      </c>
      <c r="BH52" s="1">
        <v>64.999499999999998</v>
      </c>
      <c r="BI52" s="1">
        <v>45.881999999999998</v>
      </c>
      <c r="BJ52" s="114">
        <v>59.901499999999999</v>
      </c>
      <c r="BK52" s="113">
        <v>45.881999999999998</v>
      </c>
      <c r="BL52" s="1">
        <v>57.352499999999999</v>
      </c>
      <c r="BM52" s="1">
        <v>61.175999999999995</v>
      </c>
      <c r="BN52" s="1">
        <v>59.901499999999999</v>
      </c>
      <c r="BO52" s="1">
        <v>53.528999999999996</v>
      </c>
      <c r="BP52" s="1">
        <v>66.274000000000001</v>
      </c>
      <c r="BQ52" s="114">
        <v>71.372</v>
      </c>
      <c r="BR52" s="113">
        <v>49.705499999999994</v>
      </c>
      <c r="BS52" s="1">
        <v>43.332999999999998</v>
      </c>
      <c r="BT52" s="1">
        <v>42.058499999999995</v>
      </c>
      <c r="BU52" s="1"/>
      <c r="BV52" s="1"/>
      <c r="BW52" s="1"/>
      <c r="BX52" s="114"/>
      <c r="BY52" s="113"/>
      <c r="BZ52" s="1"/>
      <c r="CA52" s="1"/>
      <c r="CB52" s="1"/>
      <c r="CC52" s="1"/>
      <c r="CD52" s="1"/>
      <c r="CE52" s="114"/>
      <c r="CF52" s="113"/>
      <c r="CG52" s="1"/>
      <c r="CH52" s="1"/>
      <c r="CI52" s="1"/>
      <c r="CJ52" s="1"/>
      <c r="CK52" s="1"/>
      <c r="CL52" s="114"/>
      <c r="CM52" s="113">
        <f>SUM(G52:CL52)</f>
        <v>5409.1374999999989</v>
      </c>
    </row>
    <row r="53" spans="1:91" x14ac:dyDescent="0.3">
      <c r="A53" s="3">
        <v>28</v>
      </c>
      <c r="B53" s="1">
        <v>0</v>
      </c>
      <c r="C53" s="1">
        <v>72.453699999999998</v>
      </c>
      <c r="D53" s="1">
        <v>27.3537</v>
      </c>
      <c r="E53" s="114">
        <v>0.19259899999999999</v>
      </c>
      <c r="F53" s="123" t="s">
        <v>242</v>
      </c>
      <c r="G53" s="113"/>
      <c r="H53" s="1"/>
      <c r="I53" s="1">
        <v>19.012</v>
      </c>
      <c r="J53" s="1">
        <v>90.307000000000002</v>
      </c>
      <c r="K53" s="1">
        <v>47.53</v>
      </c>
      <c r="L53" s="1">
        <v>149.71950000000001</v>
      </c>
      <c r="M53" s="114">
        <v>154.4725</v>
      </c>
      <c r="N53" s="113">
        <v>178.23750000000001</v>
      </c>
      <c r="O53" s="1">
        <v>152.096</v>
      </c>
      <c r="P53" s="1">
        <v>140.21350000000001</v>
      </c>
      <c r="Q53" s="1">
        <v>128.33100000000002</v>
      </c>
      <c r="R53" s="1">
        <v>137.83700000000002</v>
      </c>
      <c r="S53" s="1">
        <v>175.86100000000002</v>
      </c>
      <c r="T53" s="114">
        <v>244.77950000000001</v>
      </c>
      <c r="U53" s="113">
        <v>0</v>
      </c>
      <c r="V53" s="1">
        <v>251.90900000000002</v>
      </c>
      <c r="W53" s="1">
        <v>223.39100000000002</v>
      </c>
      <c r="X53" s="1">
        <v>238.172</v>
      </c>
      <c r="Y53" s="1">
        <v>175.92250000000001</v>
      </c>
      <c r="Z53" s="1">
        <v>250.0455</v>
      </c>
      <c r="AA53" s="114">
        <v>196.66499999999999</v>
      </c>
      <c r="AB53" s="113">
        <v>92.71350000000001</v>
      </c>
      <c r="AC53" s="1">
        <v>143.28449999999998</v>
      </c>
      <c r="AD53" s="1">
        <v>36.523499999999999</v>
      </c>
      <c r="AE53" s="1">
        <v>39.332999999999998</v>
      </c>
      <c r="AF53" s="1">
        <v>19.666499999999999</v>
      </c>
      <c r="AG53" s="1">
        <v>22.475999999999999</v>
      </c>
      <c r="AH53" s="114">
        <v>81.757000000000005</v>
      </c>
      <c r="AI53" s="113">
        <v>23.666499999999999</v>
      </c>
      <c r="AJ53" s="1">
        <v>90.363000000000014</v>
      </c>
      <c r="AK53" s="1">
        <v>43.03</v>
      </c>
      <c r="AL53" s="1">
        <v>49.484499999999997</v>
      </c>
      <c r="AM53" s="1">
        <v>55.939000000000007</v>
      </c>
      <c r="AN53" s="1">
        <v>45.181500000000007</v>
      </c>
      <c r="AO53" s="114">
        <v>43.03</v>
      </c>
      <c r="AP53" s="113">
        <v>38.727000000000004</v>
      </c>
      <c r="AQ53" s="1">
        <v>25.818000000000001</v>
      </c>
      <c r="AR53" s="1">
        <v>27.969500000000004</v>
      </c>
      <c r="AS53" s="1">
        <v>25.818000000000001</v>
      </c>
      <c r="AT53" s="1"/>
      <c r="AU53" s="1"/>
      <c r="AV53" s="114"/>
      <c r="AW53" s="113"/>
      <c r="AX53" s="1"/>
      <c r="AY53" s="1"/>
      <c r="AZ53" s="1"/>
      <c r="BA53" s="1"/>
      <c r="BB53" s="1"/>
      <c r="BC53" s="114"/>
      <c r="BD53" s="113"/>
      <c r="BE53" s="1"/>
      <c r="BF53" s="1"/>
      <c r="BG53" s="1"/>
      <c r="BH53" s="1"/>
      <c r="BI53" s="1"/>
      <c r="BJ53" s="114"/>
      <c r="BK53" s="113"/>
      <c r="BL53" s="1"/>
      <c r="BM53" s="1"/>
      <c r="BN53" s="1"/>
      <c r="BO53" s="1"/>
      <c r="BP53" s="1"/>
      <c r="BQ53" s="114"/>
      <c r="BR53" s="113"/>
      <c r="BS53" s="1"/>
      <c r="BT53" s="1"/>
      <c r="BU53" s="1"/>
      <c r="BV53" s="1"/>
      <c r="BW53" s="1"/>
      <c r="BX53" s="114"/>
      <c r="BY53" s="113"/>
      <c r="BZ53" s="1"/>
      <c r="CA53" s="1"/>
      <c r="CB53" s="1"/>
      <c r="CC53" s="1"/>
      <c r="CD53" s="1"/>
      <c r="CE53" s="114"/>
      <c r="CF53" s="113"/>
      <c r="CG53" s="1"/>
      <c r="CH53" s="1"/>
      <c r="CI53" s="1"/>
      <c r="CJ53" s="1"/>
      <c r="CK53" s="1"/>
      <c r="CL53" s="114"/>
      <c r="CM53" s="113">
        <f>SUM(G53:CL53)</f>
        <v>3859.2825000000003</v>
      </c>
    </row>
    <row r="54" spans="1:91" s="13" customFormat="1" x14ac:dyDescent="0.3">
      <c r="A54" s="2"/>
      <c r="F54" s="2"/>
      <c r="CM54" s="113"/>
    </row>
    <row r="55" spans="1:91" s="13" customFormat="1" x14ac:dyDescent="0.3">
      <c r="A55" s="18" t="s">
        <v>217</v>
      </c>
      <c r="F55" s="2"/>
      <c r="CM55" s="113"/>
    </row>
    <row r="56" spans="1:91" s="174" customFormat="1" x14ac:dyDescent="0.3">
      <c r="A56" s="1" t="s">
        <v>169</v>
      </c>
      <c r="B56" s="1" t="s">
        <v>46</v>
      </c>
      <c r="C56" s="1" t="s">
        <v>248</v>
      </c>
      <c r="D56" s="1" t="s">
        <v>48</v>
      </c>
      <c r="E56" s="114" t="s">
        <v>54</v>
      </c>
      <c r="F56" s="114"/>
      <c r="G56" s="115">
        <v>45327</v>
      </c>
      <c r="H56" s="173">
        <v>0</v>
      </c>
      <c r="I56" s="173">
        <v>1</v>
      </c>
      <c r="J56" s="173">
        <v>2</v>
      </c>
      <c r="K56" s="173">
        <v>3</v>
      </c>
      <c r="L56" s="173">
        <v>4</v>
      </c>
      <c r="M56" s="173">
        <v>5</v>
      </c>
      <c r="N56" s="173">
        <v>6</v>
      </c>
      <c r="O56" s="173">
        <v>7</v>
      </c>
      <c r="P56" s="173">
        <v>8</v>
      </c>
      <c r="Q56" s="173">
        <v>9</v>
      </c>
      <c r="R56" s="173">
        <v>10</v>
      </c>
      <c r="S56" s="173">
        <v>11</v>
      </c>
      <c r="T56" s="173">
        <v>12</v>
      </c>
      <c r="U56" s="173">
        <v>13</v>
      </c>
      <c r="V56" s="173">
        <v>14</v>
      </c>
      <c r="W56" s="173">
        <v>15</v>
      </c>
      <c r="X56" s="173">
        <v>16</v>
      </c>
      <c r="Y56" s="173">
        <v>17</v>
      </c>
      <c r="Z56" s="173">
        <v>18</v>
      </c>
      <c r="AA56" s="173">
        <v>19</v>
      </c>
      <c r="AB56" s="173">
        <v>20</v>
      </c>
      <c r="AC56" s="173">
        <v>21</v>
      </c>
      <c r="AD56" s="173">
        <v>22</v>
      </c>
      <c r="AE56" s="173">
        <v>23</v>
      </c>
      <c r="AF56" s="173">
        <v>24</v>
      </c>
      <c r="AG56" s="173">
        <v>25</v>
      </c>
      <c r="AH56" s="173">
        <v>26</v>
      </c>
      <c r="AI56" s="173">
        <v>27</v>
      </c>
      <c r="AJ56" s="173">
        <v>28</v>
      </c>
      <c r="AK56" s="173">
        <v>29</v>
      </c>
      <c r="AL56" s="173">
        <v>30</v>
      </c>
      <c r="AM56" s="173">
        <v>31</v>
      </c>
      <c r="AN56" s="173">
        <v>32</v>
      </c>
      <c r="AO56" s="173">
        <v>33</v>
      </c>
      <c r="AP56" s="173">
        <v>34</v>
      </c>
      <c r="AQ56" s="173">
        <v>35</v>
      </c>
      <c r="AR56" s="173">
        <v>36</v>
      </c>
      <c r="AS56" s="173">
        <v>37</v>
      </c>
      <c r="AT56" s="173">
        <v>38</v>
      </c>
      <c r="AU56" s="173">
        <v>39</v>
      </c>
      <c r="AV56" s="173">
        <v>40</v>
      </c>
      <c r="AW56" s="173">
        <v>41</v>
      </c>
      <c r="AX56" s="173">
        <v>42</v>
      </c>
      <c r="AY56" s="173">
        <v>43</v>
      </c>
      <c r="AZ56" s="173">
        <v>44</v>
      </c>
      <c r="BA56" s="173">
        <v>45</v>
      </c>
      <c r="BB56" s="173">
        <v>46</v>
      </c>
      <c r="BC56" s="173">
        <v>47</v>
      </c>
      <c r="BD56" s="173">
        <v>48</v>
      </c>
      <c r="BE56" s="173">
        <v>49</v>
      </c>
      <c r="BF56" s="173">
        <v>50</v>
      </c>
      <c r="BG56" s="173">
        <v>51</v>
      </c>
      <c r="BH56" s="173">
        <v>52</v>
      </c>
      <c r="BI56" s="173">
        <v>53</v>
      </c>
      <c r="BJ56" s="173">
        <v>54</v>
      </c>
      <c r="BK56" s="173">
        <v>55</v>
      </c>
      <c r="BL56" s="173">
        <v>56</v>
      </c>
      <c r="BM56" s="173">
        <v>57</v>
      </c>
      <c r="BN56" s="173">
        <v>58</v>
      </c>
      <c r="BO56" s="173">
        <v>59</v>
      </c>
      <c r="BP56" s="173">
        <v>60</v>
      </c>
      <c r="BQ56" s="173">
        <v>61</v>
      </c>
      <c r="BR56" s="173">
        <v>62</v>
      </c>
      <c r="BS56" s="173">
        <v>63</v>
      </c>
      <c r="BT56" s="173">
        <v>64</v>
      </c>
      <c r="BU56" s="173">
        <v>65</v>
      </c>
      <c r="BV56" s="173">
        <v>66</v>
      </c>
      <c r="BW56" s="173">
        <v>67</v>
      </c>
      <c r="BX56" s="173">
        <v>68</v>
      </c>
      <c r="BY56" s="173">
        <v>69</v>
      </c>
      <c r="BZ56" s="173">
        <v>70</v>
      </c>
      <c r="CA56" s="173">
        <v>71</v>
      </c>
      <c r="CB56" s="173">
        <v>72</v>
      </c>
      <c r="CC56" s="173">
        <v>73</v>
      </c>
      <c r="CD56" s="173">
        <v>74</v>
      </c>
      <c r="CE56" s="173">
        <v>75</v>
      </c>
      <c r="CF56" s="173">
        <v>76</v>
      </c>
      <c r="CG56" s="173">
        <v>77</v>
      </c>
      <c r="CH56" s="117"/>
      <c r="CI56" s="117"/>
      <c r="CJ56" s="117"/>
      <c r="CK56" s="117"/>
      <c r="CL56" s="118"/>
      <c r="CM56" s="113" t="s">
        <v>34</v>
      </c>
    </row>
    <row r="57" spans="1:91" s="174" customFormat="1" x14ac:dyDescent="0.3">
      <c r="A57" s="1">
        <v>8</v>
      </c>
      <c r="B57" s="1">
        <v>46.627800000000001</v>
      </c>
      <c r="C57" s="1">
        <v>47.356999999999999</v>
      </c>
      <c r="D57" s="1">
        <v>6.0151300000000001</v>
      </c>
      <c r="E57" s="114">
        <v>0</v>
      </c>
      <c r="F57" s="123" t="s">
        <v>238</v>
      </c>
      <c r="G57" s="113"/>
      <c r="H57" s="1">
        <v>0</v>
      </c>
      <c r="I57" s="1">
        <v>25.532000000000004</v>
      </c>
      <c r="J57" s="1">
        <v>21.603999999999999</v>
      </c>
      <c r="K57" s="1">
        <v>27.495999999999999</v>
      </c>
      <c r="L57" s="1">
        <v>26.513999999999999</v>
      </c>
      <c r="M57" s="114">
        <v>31.423999999999999</v>
      </c>
      <c r="N57" s="113">
        <v>35.352000000000004</v>
      </c>
      <c r="O57" s="1">
        <v>46.154000000000003</v>
      </c>
      <c r="P57" s="1">
        <v>45.171999999999997</v>
      </c>
      <c r="Q57" s="1">
        <v>52.046000000000006</v>
      </c>
      <c r="R57" s="1">
        <v>53.027999999999999</v>
      </c>
      <c r="S57" s="1">
        <v>67.757999999999996</v>
      </c>
      <c r="T57" s="114">
        <v>65.794000000000011</v>
      </c>
      <c r="U57" s="113">
        <v>70.704000000000008</v>
      </c>
      <c r="V57" s="1">
        <v>72.668000000000006</v>
      </c>
      <c r="W57" s="1">
        <v>71.686000000000007</v>
      </c>
      <c r="X57" s="1">
        <v>65.794000000000011</v>
      </c>
      <c r="Y57" s="1">
        <v>71.686000000000007</v>
      </c>
      <c r="Z57" s="1">
        <v>65.794000000000011</v>
      </c>
      <c r="AA57" s="114">
        <v>60.884000000000007</v>
      </c>
      <c r="AB57" s="113">
        <v>1.5712000000000002</v>
      </c>
      <c r="AC57" s="1">
        <v>66.77600000000001</v>
      </c>
      <c r="AD57" s="1">
        <v>162.91800000000001</v>
      </c>
      <c r="AE57" s="1">
        <v>151.28100000000001</v>
      </c>
      <c r="AF57" s="1">
        <v>162.91800000000001</v>
      </c>
      <c r="AG57" s="1">
        <v>140.74199999999999</v>
      </c>
      <c r="AH57" s="114">
        <v>137.39099999999999</v>
      </c>
      <c r="AI57" s="113">
        <v>107.23199999999999</v>
      </c>
      <c r="AJ57" s="1">
        <v>123.98699999999999</v>
      </c>
      <c r="AK57" s="1">
        <v>66.045000000000002</v>
      </c>
      <c r="AL57" s="1">
        <v>69.819000000000003</v>
      </c>
      <c r="AM57" s="1">
        <v>67.932000000000002</v>
      </c>
      <c r="AN57" s="1">
        <v>69.819000000000003</v>
      </c>
      <c r="AO57" s="114">
        <v>69.819000000000003</v>
      </c>
      <c r="AP57" s="113">
        <v>67.932000000000002</v>
      </c>
      <c r="AQ57" s="1">
        <v>69.819000000000003</v>
      </c>
      <c r="AR57" s="1">
        <v>67.932000000000002</v>
      </c>
      <c r="AS57" s="1">
        <v>68.875500000000002</v>
      </c>
      <c r="AT57" s="1">
        <v>68.875500000000002</v>
      </c>
      <c r="AU57" s="1">
        <v>69.819000000000003</v>
      </c>
      <c r="AV57" s="114">
        <v>73.593000000000004</v>
      </c>
      <c r="AW57" s="113">
        <v>66.045000000000002</v>
      </c>
      <c r="AX57" s="1">
        <v>69.819000000000003</v>
      </c>
      <c r="AY57" s="1">
        <v>66.045000000000002</v>
      </c>
      <c r="AZ57" s="1">
        <v>66.045000000000002</v>
      </c>
      <c r="BA57" s="1">
        <v>67.932000000000002</v>
      </c>
      <c r="BB57" s="1">
        <v>69.819000000000003</v>
      </c>
      <c r="BC57" s="114">
        <v>67.932000000000002</v>
      </c>
      <c r="BD57" s="113">
        <v>67.932000000000002</v>
      </c>
      <c r="BE57" s="1">
        <v>66.045000000000002</v>
      </c>
      <c r="BF57" s="1">
        <v>69.819000000000003</v>
      </c>
      <c r="BG57" s="1">
        <v>73.593000000000004</v>
      </c>
      <c r="BH57" s="1">
        <v>66.045000000000002</v>
      </c>
      <c r="BI57" s="1">
        <v>71.706000000000003</v>
      </c>
      <c r="BJ57" s="114">
        <v>69.819000000000003</v>
      </c>
      <c r="BK57" s="113">
        <v>120.54</v>
      </c>
      <c r="BL57" s="1">
        <v>123.98399999999999</v>
      </c>
      <c r="BM57" s="1">
        <v>120.54</v>
      </c>
      <c r="BN57" s="1">
        <v>110.208</v>
      </c>
      <c r="BO57" s="1">
        <v>127.428</v>
      </c>
      <c r="BP57" s="1">
        <v>113.65199999999999</v>
      </c>
      <c r="BQ57" s="114">
        <v>96.431999999999988</v>
      </c>
      <c r="BR57" s="113">
        <v>117.96400000000001</v>
      </c>
      <c r="BS57" s="1">
        <v>92.686000000000007</v>
      </c>
      <c r="BT57" s="1">
        <v>75.834000000000003</v>
      </c>
      <c r="BU57" s="1">
        <v>80.047000000000011</v>
      </c>
      <c r="BV57" s="1">
        <v>88.473000000000013</v>
      </c>
      <c r="BW57" s="1">
        <v>84.26</v>
      </c>
      <c r="BX57" s="114">
        <v>63.195</v>
      </c>
      <c r="BY57" s="113">
        <v>71.621000000000009</v>
      </c>
      <c r="BZ57" s="1">
        <v>80.047000000000011</v>
      </c>
      <c r="CA57" s="1">
        <v>67.408000000000001</v>
      </c>
      <c r="CB57" s="1">
        <v>9.58</v>
      </c>
      <c r="CC57" s="1">
        <v>8.6219999999999999</v>
      </c>
      <c r="CD57" s="1">
        <v>15.616</v>
      </c>
      <c r="CE57" s="114"/>
      <c r="CF57" s="113"/>
      <c r="CG57" s="1"/>
      <c r="CH57" s="1"/>
      <c r="CI57" s="1"/>
      <c r="CJ57" s="1"/>
      <c r="CK57" s="1"/>
      <c r="CL57" s="114"/>
      <c r="CM57" s="113">
        <f>SUM(G57:CL57)</f>
        <v>5488.9191999999975</v>
      </c>
    </row>
    <row r="58" spans="1:91" s="174" customFormat="1" x14ac:dyDescent="0.3">
      <c r="A58" s="1">
        <v>1</v>
      </c>
      <c r="B58" s="1">
        <v>4.4064600000000002E-2</v>
      </c>
      <c r="C58" s="1">
        <v>27.802199999999999</v>
      </c>
      <c r="D58" s="1">
        <v>0</v>
      </c>
      <c r="E58" s="114">
        <v>72.153700000000001</v>
      </c>
      <c r="F58" s="123" t="s">
        <v>239</v>
      </c>
      <c r="G58" s="113"/>
      <c r="H58" s="1">
        <v>0</v>
      </c>
      <c r="I58" s="1">
        <v>10.327500000000001</v>
      </c>
      <c r="J58" s="1">
        <v>14.871600000000001</v>
      </c>
      <c r="K58" s="1">
        <v>16.524000000000001</v>
      </c>
      <c r="L58" s="1">
        <v>10.740599999999999</v>
      </c>
      <c r="M58" s="114">
        <v>18.589500000000001</v>
      </c>
      <c r="N58" s="113">
        <v>19.415700000000001</v>
      </c>
      <c r="O58" s="1">
        <v>16.524000000000001</v>
      </c>
      <c r="P58" s="1">
        <v>18.176400000000001</v>
      </c>
      <c r="Q58" s="1">
        <v>21.894300000000001</v>
      </c>
      <c r="R58" s="1">
        <v>52.697600000000001</v>
      </c>
      <c r="S58" s="1">
        <v>17.184000000000001</v>
      </c>
      <c r="T58" s="114">
        <v>41.241599999999998</v>
      </c>
      <c r="U58" s="113">
        <v>56.134400000000007</v>
      </c>
      <c r="V58" s="1">
        <v>66.444800000000001</v>
      </c>
      <c r="W58" s="1">
        <v>40.668800000000005</v>
      </c>
      <c r="X58" s="1">
        <v>51.2316</v>
      </c>
      <c r="Y58" s="1">
        <v>39.0336</v>
      </c>
      <c r="Z58" s="1">
        <v>51.841500000000003</v>
      </c>
      <c r="AA58" s="114">
        <v>49.401900000000005</v>
      </c>
      <c r="AB58" s="113">
        <v>39.872</v>
      </c>
      <c r="AC58" s="1">
        <v>51.085999999999991</v>
      </c>
      <c r="AD58" s="1">
        <v>50.463000000000001</v>
      </c>
      <c r="AE58" s="1">
        <v>40.592500000000001</v>
      </c>
      <c r="AF58" s="1">
        <v>47.461999999999996</v>
      </c>
      <c r="AG58" s="1">
        <v>40.592500000000001</v>
      </c>
      <c r="AH58" s="114">
        <v>41.841500000000003</v>
      </c>
      <c r="AI58" s="113">
        <v>47.303999999999995</v>
      </c>
      <c r="AJ58" s="1">
        <v>33.047999999999995</v>
      </c>
      <c r="AK58" s="1">
        <v>37.247599999999998</v>
      </c>
      <c r="AL58" s="1">
        <v>34.0366</v>
      </c>
      <c r="AM58" s="1">
        <v>35.320999999999998</v>
      </c>
      <c r="AN58" s="1">
        <v>35.963200000000001</v>
      </c>
      <c r="AO58" s="114">
        <v>38.484000000000002</v>
      </c>
      <c r="AP58" s="113">
        <v>30.787200000000002</v>
      </c>
      <c r="AQ58" s="1">
        <v>41.691000000000003</v>
      </c>
      <c r="AR58" s="1">
        <v>23.7318</v>
      </c>
      <c r="AS58" s="1">
        <v>21.807600000000001</v>
      </c>
      <c r="AT58" s="1">
        <v>25.014600000000002</v>
      </c>
      <c r="AU58" s="1">
        <v>33.994199999999999</v>
      </c>
      <c r="AV58" s="114">
        <v>12.1866</v>
      </c>
      <c r="AW58" s="113">
        <v>19.883399999999998</v>
      </c>
      <c r="AX58" s="1">
        <v>8.64</v>
      </c>
      <c r="AY58" s="1">
        <v>4.6080000000000005</v>
      </c>
      <c r="AZ58" s="1">
        <v>7.4880000000000004</v>
      </c>
      <c r="BA58" s="1">
        <v>5.4720000000000004</v>
      </c>
      <c r="BB58" s="1">
        <v>8.0640000000000001</v>
      </c>
      <c r="BC58" s="114">
        <v>4.6080000000000005</v>
      </c>
      <c r="BD58" s="113">
        <v>8.0640000000000001</v>
      </c>
      <c r="BE58" s="1">
        <v>18.432000000000002</v>
      </c>
      <c r="BF58" s="1">
        <v>6.3360000000000003</v>
      </c>
      <c r="BG58" s="1">
        <v>11.081399999999999</v>
      </c>
      <c r="BH58" s="1">
        <v>14.103599999999998</v>
      </c>
      <c r="BI58" s="1">
        <v>11.081399999999999</v>
      </c>
      <c r="BJ58" s="114">
        <v>19.140599999999999</v>
      </c>
      <c r="BK58" s="113">
        <v>8.5628999999999991</v>
      </c>
      <c r="BL58" s="1">
        <v>9.5702999999999996</v>
      </c>
      <c r="BM58" s="1">
        <v>12.592499999999999</v>
      </c>
      <c r="BN58" s="1"/>
      <c r="BO58" s="1"/>
      <c r="BP58" s="1"/>
      <c r="BQ58" s="114"/>
      <c r="BR58" s="113"/>
      <c r="BS58" s="1"/>
      <c r="BT58" s="1"/>
      <c r="BU58" s="1"/>
      <c r="BV58" s="1"/>
      <c r="BW58" s="1"/>
      <c r="BX58" s="114"/>
      <c r="BY58" s="113"/>
      <c r="BZ58" s="1"/>
      <c r="CA58" s="1"/>
      <c r="CB58" s="1"/>
      <c r="CC58" s="1"/>
      <c r="CD58" s="1"/>
      <c r="CE58" s="114"/>
      <c r="CF58" s="113"/>
      <c r="CG58" s="1"/>
      <c r="CH58" s="1"/>
      <c r="CI58" s="1"/>
      <c r="CJ58" s="1"/>
      <c r="CK58" s="1"/>
      <c r="CL58" s="114"/>
      <c r="CM58" s="113">
        <f>SUM(G58:CL58)</f>
        <v>1553.1983999999998</v>
      </c>
    </row>
    <row r="59" spans="1:91" s="174" customFormat="1" x14ac:dyDescent="0.3">
      <c r="A59" s="3">
        <v>14</v>
      </c>
      <c r="B59" s="1">
        <v>6.4521899999999999</v>
      </c>
      <c r="C59" s="1">
        <v>47.085299999999997</v>
      </c>
      <c r="D59" s="1">
        <v>0</v>
      </c>
      <c r="E59" s="114">
        <v>46.462499999999999</v>
      </c>
      <c r="F59" s="123" t="s">
        <v>240</v>
      </c>
      <c r="G59" s="113"/>
      <c r="H59" s="1">
        <v>0</v>
      </c>
      <c r="I59" s="1">
        <v>1.1200000000000001</v>
      </c>
      <c r="J59" s="1">
        <v>2.72</v>
      </c>
      <c r="K59" s="1">
        <v>3.52</v>
      </c>
      <c r="L59" s="1">
        <v>7.84</v>
      </c>
      <c r="M59" s="114">
        <v>5.16</v>
      </c>
      <c r="N59" s="113">
        <v>4.4000000000000004</v>
      </c>
      <c r="O59" s="1">
        <v>54.136500000000005</v>
      </c>
      <c r="P59" s="1">
        <v>35.029500000000006</v>
      </c>
      <c r="Q59" s="1">
        <v>55.198</v>
      </c>
      <c r="R59" s="1">
        <v>126.786</v>
      </c>
      <c r="S59" s="1">
        <v>193.90799999999999</v>
      </c>
      <c r="T59" s="114">
        <v>182.72099999999998</v>
      </c>
      <c r="U59" s="113">
        <v>173.39849999999998</v>
      </c>
      <c r="V59" s="1">
        <v>217.25</v>
      </c>
      <c r="W59" s="1">
        <v>206.25</v>
      </c>
      <c r="X59" s="1">
        <v>213.732</v>
      </c>
      <c r="Y59" s="1">
        <v>201.858</v>
      </c>
      <c r="Z59" s="1">
        <v>237.52800000000002</v>
      </c>
      <c r="AA59" s="114">
        <v>227.63100000000003</v>
      </c>
      <c r="AB59" s="113">
        <v>214.435</v>
      </c>
      <c r="AC59" s="1">
        <v>194.64100000000002</v>
      </c>
      <c r="AD59" s="1">
        <v>217.73400000000001</v>
      </c>
      <c r="AE59" s="1">
        <v>189.80500000000001</v>
      </c>
      <c r="AF59" s="1">
        <v>141.49099999999999</v>
      </c>
      <c r="AG59" s="1">
        <v>55.215999999999994</v>
      </c>
      <c r="AH59" s="114">
        <v>193.25599999999997</v>
      </c>
      <c r="AI59" s="113">
        <v>166.012</v>
      </c>
      <c r="AJ59" s="1">
        <v>128.74400000000003</v>
      </c>
      <c r="AK59" s="1">
        <v>125.35600000000001</v>
      </c>
      <c r="AL59" s="1">
        <v>118.58</v>
      </c>
      <c r="AM59" s="1">
        <v>101.64</v>
      </c>
      <c r="AN59" s="1">
        <v>94.864000000000019</v>
      </c>
      <c r="AO59" s="114">
        <v>91.475999999999999</v>
      </c>
      <c r="AP59" s="113">
        <v>71.147999999999996</v>
      </c>
      <c r="AQ59" s="1">
        <v>87.9</v>
      </c>
      <c r="AR59" s="1">
        <v>61.53</v>
      </c>
      <c r="AS59" s="1">
        <v>61.53</v>
      </c>
      <c r="AT59" s="1">
        <v>64.459999999999994</v>
      </c>
      <c r="AU59" s="1">
        <v>105.48</v>
      </c>
      <c r="AV59" s="114">
        <v>35.159999999999997</v>
      </c>
      <c r="AW59" s="113">
        <v>61.53</v>
      </c>
      <c r="AX59" s="1">
        <v>61.53</v>
      </c>
      <c r="AY59" s="1">
        <v>32.229999999999997</v>
      </c>
      <c r="AZ59" s="1">
        <v>52.74</v>
      </c>
      <c r="BA59" s="1">
        <v>43.95</v>
      </c>
      <c r="BB59" s="1">
        <v>44.847000000000001</v>
      </c>
      <c r="BC59" s="114">
        <v>27.406500000000001</v>
      </c>
      <c r="BD59" s="113"/>
      <c r="BE59" s="1"/>
      <c r="BF59" s="1"/>
      <c r="BG59" s="1"/>
      <c r="BH59" s="1"/>
      <c r="BI59" s="1"/>
      <c r="BJ59" s="114"/>
      <c r="BK59" s="113"/>
      <c r="BL59" s="1"/>
      <c r="BM59" s="1"/>
      <c r="BN59" s="1"/>
      <c r="BO59" s="1"/>
      <c r="BP59" s="1"/>
      <c r="BQ59" s="114"/>
      <c r="BR59" s="113"/>
      <c r="BS59" s="1"/>
      <c r="BT59" s="1"/>
      <c r="BU59" s="1"/>
      <c r="BV59" s="1"/>
      <c r="BW59" s="1"/>
      <c r="BX59" s="114"/>
      <c r="BY59" s="113"/>
      <c r="BZ59" s="1"/>
      <c r="CA59" s="1"/>
      <c r="CB59" s="1"/>
      <c r="CC59" s="1"/>
      <c r="CD59" s="1"/>
      <c r="CE59" s="114"/>
      <c r="CF59" s="113"/>
      <c r="CG59" s="1"/>
      <c r="CH59" s="1"/>
      <c r="CI59" s="1"/>
      <c r="CJ59" s="1"/>
      <c r="CK59" s="1"/>
      <c r="CL59" s="114"/>
      <c r="CM59" s="113">
        <f>SUM(G59:CL59)</f>
        <v>4994.877999999997</v>
      </c>
    </row>
    <row r="60" spans="1:91" s="174" customFormat="1" x14ac:dyDescent="0.3">
      <c r="A60" s="3">
        <v>16</v>
      </c>
      <c r="B60" s="1">
        <v>47.869199999999999</v>
      </c>
      <c r="C60" s="1">
        <v>4.8092300000000003</v>
      </c>
      <c r="D60" s="1">
        <v>0</v>
      </c>
      <c r="E60" s="114">
        <v>47.321599999999997</v>
      </c>
      <c r="F60" s="123" t="s">
        <v>241</v>
      </c>
      <c r="G60" s="113"/>
      <c r="H60" s="1">
        <v>0</v>
      </c>
      <c r="I60" s="1">
        <v>88.341000000000008</v>
      </c>
      <c r="J60" s="1">
        <v>56.216999999999999</v>
      </c>
      <c r="K60" s="1">
        <v>40.155000000000001</v>
      </c>
      <c r="L60" s="1">
        <v>40.155000000000001</v>
      </c>
      <c r="M60" s="114">
        <v>74.955999999999989</v>
      </c>
      <c r="N60" s="113">
        <v>125.819</v>
      </c>
      <c r="O60" s="1">
        <v>147.23500000000001</v>
      </c>
      <c r="P60" s="1">
        <v>34.801000000000002</v>
      </c>
      <c r="Q60" s="1">
        <v>160.62</v>
      </c>
      <c r="R60" s="1">
        <v>74.955999999999989</v>
      </c>
      <c r="S60" s="1">
        <v>144.55799999999999</v>
      </c>
      <c r="T60" s="114">
        <v>125.819</v>
      </c>
      <c r="U60" s="113">
        <v>200.77500000000001</v>
      </c>
      <c r="V60" s="1">
        <v>186.31</v>
      </c>
      <c r="W60" s="1">
        <v>177.29499999999999</v>
      </c>
      <c r="X60" s="1">
        <v>180.0975</v>
      </c>
      <c r="Y60" s="1">
        <v>170.27399999999997</v>
      </c>
      <c r="Z60" s="1">
        <v>196.47</v>
      </c>
      <c r="AA60" s="114">
        <v>197.91549999999998</v>
      </c>
      <c r="AB60" s="113">
        <v>194.56100000000004</v>
      </c>
      <c r="AC60" s="1">
        <v>241.524</v>
      </c>
      <c r="AD60" s="1">
        <v>204.62450000000001</v>
      </c>
      <c r="AE60" s="1">
        <v>184.4975</v>
      </c>
      <c r="AF60" s="1">
        <v>206.80099999999999</v>
      </c>
      <c r="AG60" s="1">
        <v>163.43949999999998</v>
      </c>
      <c r="AH60" s="114">
        <v>260.16899999999998</v>
      </c>
      <c r="AI60" s="113">
        <v>183.1225</v>
      </c>
      <c r="AJ60" s="1">
        <v>163.1455</v>
      </c>
      <c r="AK60" s="1">
        <v>143.16849999999999</v>
      </c>
      <c r="AL60" s="1">
        <v>159.816</v>
      </c>
      <c r="AM60" s="1">
        <v>131.95599999999999</v>
      </c>
      <c r="AN60" s="1">
        <v>140.953</v>
      </c>
      <c r="AO60" s="114">
        <v>137.95400000000001</v>
      </c>
      <c r="AP60" s="113">
        <v>122.959</v>
      </c>
      <c r="AQ60" s="1">
        <v>167.94399999999999</v>
      </c>
      <c r="AR60" s="1">
        <v>107.964</v>
      </c>
      <c r="AS60" s="1">
        <v>98.966999999999985</v>
      </c>
      <c r="AT60" s="1">
        <v>107.964</v>
      </c>
      <c r="AU60" s="1">
        <v>140.953</v>
      </c>
      <c r="AV60" s="114">
        <v>59.98</v>
      </c>
      <c r="AW60" s="113">
        <v>92.968999999999994</v>
      </c>
      <c r="AX60" s="1">
        <v>89.116500000000002</v>
      </c>
      <c r="AY60" s="1">
        <v>45.908499999999997</v>
      </c>
      <c r="AZ60" s="1">
        <v>75.61399999999999</v>
      </c>
      <c r="BA60" s="1">
        <v>56.710500000000003</v>
      </c>
      <c r="BB60" s="1">
        <v>70.213000000000008</v>
      </c>
      <c r="BC60" s="114">
        <v>45.908499999999997</v>
      </c>
      <c r="BD60" s="113">
        <v>59.410999999999994</v>
      </c>
      <c r="BE60" s="1">
        <v>26.400499999999997</v>
      </c>
      <c r="BF60" s="1"/>
      <c r="BG60" s="1"/>
      <c r="BH60" s="1"/>
      <c r="BI60" s="1"/>
      <c r="BJ60" s="114"/>
      <c r="BK60" s="113"/>
      <c r="BL60" s="1"/>
      <c r="BM60" s="1"/>
      <c r="BN60" s="1"/>
      <c r="BO60" s="1"/>
      <c r="BP60" s="1"/>
      <c r="BQ60" s="114"/>
      <c r="BR60" s="113"/>
      <c r="BS60" s="1"/>
      <c r="BT60" s="1"/>
      <c r="BU60" s="1"/>
      <c r="BV60" s="1"/>
      <c r="BW60" s="1"/>
      <c r="BX60" s="114"/>
      <c r="BY60" s="113"/>
      <c r="BZ60" s="1"/>
      <c r="CA60" s="1"/>
      <c r="CB60" s="1"/>
      <c r="CC60" s="1"/>
      <c r="CD60" s="1"/>
      <c r="CE60" s="114"/>
      <c r="CF60" s="113"/>
      <c r="CG60" s="1"/>
      <c r="CH60" s="1"/>
      <c r="CI60" s="1"/>
      <c r="CJ60" s="1"/>
      <c r="CK60" s="1"/>
      <c r="CL60" s="114"/>
      <c r="CM60" s="113">
        <f>SUM(G60:CL60)</f>
        <v>6307.4834999999975</v>
      </c>
    </row>
    <row r="61" spans="1:91" s="13" customFormat="1" x14ac:dyDescent="0.3">
      <c r="A61" s="2"/>
      <c r="F61" s="2"/>
      <c r="CM61" s="113"/>
    </row>
    <row r="62" spans="1:91" s="13" customFormat="1" x14ac:dyDescent="0.3">
      <c r="A62" s="2"/>
      <c r="F62" s="2"/>
      <c r="CM62" s="113"/>
    </row>
    <row r="63" spans="1:91" x14ac:dyDescent="0.3">
      <c r="A63" s="117" t="s">
        <v>169</v>
      </c>
      <c r="B63" s="117" t="s">
        <v>46</v>
      </c>
      <c r="C63" s="117" t="s">
        <v>248</v>
      </c>
      <c r="D63" s="117" t="s">
        <v>48</v>
      </c>
      <c r="E63" s="118" t="s">
        <v>54</v>
      </c>
      <c r="F63" s="118"/>
      <c r="G63" s="115">
        <v>45327</v>
      </c>
      <c r="H63" s="116">
        <v>45328</v>
      </c>
      <c r="I63" s="116">
        <v>45329</v>
      </c>
      <c r="J63" s="116">
        <v>45330</v>
      </c>
      <c r="K63" s="116">
        <v>45331</v>
      </c>
      <c r="L63" s="116">
        <v>45332</v>
      </c>
      <c r="M63" s="119">
        <v>45333</v>
      </c>
      <c r="N63" s="115">
        <v>45334</v>
      </c>
      <c r="O63" s="116">
        <v>45335</v>
      </c>
      <c r="P63" s="116">
        <v>45336</v>
      </c>
      <c r="Q63" s="116">
        <v>45337</v>
      </c>
      <c r="R63" s="116">
        <v>45338</v>
      </c>
      <c r="S63" s="116">
        <v>45339</v>
      </c>
      <c r="T63" s="119">
        <v>45340</v>
      </c>
      <c r="U63" s="115">
        <v>45341</v>
      </c>
      <c r="V63" s="116">
        <v>45342</v>
      </c>
      <c r="W63" s="116">
        <v>45343</v>
      </c>
      <c r="X63" s="116">
        <v>45344</v>
      </c>
      <c r="Y63" s="116">
        <v>45345</v>
      </c>
      <c r="Z63" s="116">
        <v>45346</v>
      </c>
      <c r="AA63" s="119">
        <v>45347</v>
      </c>
      <c r="AB63" s="115">
        <v>45348</v>
      </c>
      <c r="AC63" s="116">
        <v>45349</v>
      </c>
      <c r="AD63" s="116">
        <v>45350</v>
      </c>
      <c r="AE63" s="116">
        <v>45351</v>
      </c>
      <c r="AF63" s="116">
        <v>45352</v>
      </c>
      <c r="AG63" s="116">
        <v>45353</v>
      </c>
      <c r="AH63" s="119">
        <v>45354</v>
      </c>
      <c r="AI63" s="115">
        <v>45355</v>
      </c>
      <c r="AJ63" s="116">
        <v>45356</v>
      </c>
      <c r="AK63" s="116">
        <v>45357</v>
      </c>
      <c r="AL63" s="116">
        <v>45358</v>
      </c>
      <c r="AM63" s="116">
        <v>45359</v>
      </c>
      <c r="AN63" s="116">
        <v>45360</v>
      </c>
      <c r="AO63" s="119">
        <v>45361</v>
      </c>
      <c r="AP63" s="115">
        <v>45362</v>
      </c>
      <c r="AQ63" s="116">
        <v>45363</v>
      </c>
      <c r="AR63" s="116">
        <v>45364</v>
      </c>
      <c r="AS63" s="116">
        <v>45365</v>
      </c>
      <c r="AT63" s="116">
        <v>45366</v>
      </c>
      <c r="AU63" s="116">
        <v>45367</v>
      </c>
      <c r="AV63" s="119">
        <v>45368</v>
      </c>
      <c r="AW63" s="115">
        <v>45369</v>
      </c>
      <c r="AX63" s="116">
        <v>45370</v>
      </c>
      <c r="AY63" s="116">
        <v>45371</v>
      </c>
      <c r="AZ63" s="116">
        <v>45372</v>
      </c>
      <c r="BA63" s="116">
        <v>45373</v>
      </c>
      <c r="BB63" s="116">
        <v>45374</v>
      </c>
      <c r="BC63" s="119">
        <v>45375</v>
      </c>
      <c r="BD63" s="115">
        <v>45376</v>
      </c>
      <c r="BE63" s="116">
        <v>45377</v>
      </c>
      <c r="BF63" s="116">
        <v>45378</v>
      </c>
      <c r="BG63" s="116">
        <v>45379</v>
      </c>
      <c r="BH63" s="116">
        <v>45380</v>
      </c>
      <c r="BI63" s="116">
        <v>45381</v>
      </c>
      <c r="BJ63" s="119">
        <v>45382</v>
      </c>
      <c r="BK63" s="115">
        <v>45383</v>
      </c>
      <c r="BL63" s="116">
        <v>45384</v>
      </c>
      <c r="BM63" s="116">
        <v>45385</v>
      </c>
      <c r="BN63" s="116">
        <v>45386</v>
      </c>
      <c r="BO63" s="116">
        <v>45387</v>
      </c>
      <c r="BP63" s="116">
        <v>45388</v>
      </c>
      <c r="BQ63" s="119">
        <v>45389</v>
      </c>
      <c r="BR63" s="115">
        <v>45390</v>
      </c>
      <c r="BS63" s="116">
        <v>45391</v>
      </c>
      <c r="BT63" s="116">
        <v>45392</v>
      </c>
      <c r="BU63" s="116">
        <v>45393</v>
      </c>
      <c r="BV63" s="116">
        <v>45394</v>
      </c>
      <c r="BW63" s="116">
        <v>45395</v>
      </c>
      <c r="BX63" s="119">
        <v>45396</v>
      </c>
      <c r="BY63" s="115">
        <v>45397</v>
      </c>
      <c r="BZ63" s="116">
        <v>45398</v>
      </c>
      <c r="CA63" s="116">
        <v>45399</v>
      </c>
      <c r="CB63" s="116">
        <v>45400</v>
      </c>
      <c r="CC63" s="116">
        <v>45401</v>
      </c>
      <c r="CD63" s="116">
        <v>45402</v>
      </c>
      <c r="CE63" s="119">
        <v>45403</v>
      </c>
      <c r="CF63" s="115">
        <v>45404</v>
      </c>
      <c r="CG63" s="116">
        <v>45405</v>
      </c>
      <c r="CH63" s="117"/>
      <c r="CI63" s="117"/>
      <c r="CJ63" s="117"/>
      <c r="CK63" s="117"/>
      <c r="CL63" s="118"/>
      <c r="CM63" s="113"/>
    </row>
    <row r="64" spans="1:91" s="7" customFormat="1" x14ac:dyDescent="0.3">
      <c r="A64" s="156">
        <v>17</v>
      </c>
      <c r="B64" s="147"/>
      <c r="C64" s="147"/>
      <c r="D64" s="147"/>
      <c r="E64" s="149"/>
      <c r="F64" s="149"/>
      <c r="G64" s="146"/>
      <c r="H64" s="147"/>
      <c r="I64" s="147">
        <v>64.2</v>
      </c>
      <c r="J64" s="147">
        <v>48.15</v>
      </c>
      <c r="K64" s="147">
        <v>42.8</v>
      </c>
      <c r="L64" s="147">
        <v>41.462499999999999</v>
      </c>
      <c r="M64" s="148">
        <v>62.862499999999997</v>
      </c>
      <c r="N64" s="146">
        <v>127.0625</v>
      </c>
      <c r="O64" s="147">
        <v>153.8125</v>
      </c>
      <c r="P64" s="147">
        <v>136.42500000000001</v>
      </c>
      <c r="Q64" s="147">
        <v>173.875</v>
      </c>
      <c r="R64" s="147">
        <v>128.07900000000001</v>
      </c>
      <c r="S64" s="147">
        <v>547.39049999999997</v>
      </c>
      <c r="T64" s="148">
        <v>542.39150000000006</v>
      </c>
      <c r="U64" s="146">
        <v>329.93400000000003</v>
      </c>
      <c r="V64" s="147">
        <v>274.94499999999999</v>
      </c>
      <c r="W64" s="147">
        <v>194.96100000000001</v>
      </c>
      <c r="X64" s="147">
        <v>222.21200000000002</v>
      </c>
      <c r="Y64" s="147">
        <v>182.64</v>
      </c>
      <c r="Z64" s="147">
        <v>173.13499999999999</v>
      </c>
      <c r="AA64" s="148">
        <v>148.0025</v>
      </c>
      <c r="AB64" s="146">
        <v>125.66249999999999</v>
      </c>
      <c r="AC64" s="147">
        <v>125.66249999999999</v>
      </c>
      <c r="AD64" s="147">
        <v>108.9075</v>
      </c>
      <c r="AE64" s="147">
        <v>55.85</v>
      </c>
      <c r="AF64" s="147">
        <v>114.49250000000001</v>
      </c>
      <c r="AG64" s="147">
        <v>69.8125</v>
      </c>
      <c r="AH64" s="148">
        <v>72.605000000000004</v>
      </c>
      <c r="AI64" s="146">
        <v>178.72</v>
      </c>
      <c r="AJ64" s="147">
        <v>69.8125</v>
      </c>
      <c r="AK64" s="147">
        <v>21.870500000000003</v>
      </c>
      <c r="AL64" s="147">
        <v>19.297499999999999</v>
      </c>
      <c r="AM64" s="147">
        <v>19.297499999999999</v>
      </c>
      <c r="AN64" s="147"/>
      <c r="AO64" s="148"/>
      <c r="AP64" s="146"/>
      <c r="AQ64" s="147"/>
      <c r="AR64" s="147"/>
      <c r="AS64" s="147"/>
      <c r="AT64" s="147"/>
      <c r="AU64" s="147"/>
      <c r="AV64" s="148"/>
      <c r="AW64" s="146"/>
      <c r="AX64" s="147"/>
      <c r="AY64" s="147"/>
      <c r="AZ64" s="147"/>
      <c r="BA64" s="147"/>
      <c r="BB64" s="147"/>
      <c r="BC64" s="148"/>
      <c r="BD64" s="146"/>
      <c r="BE64" s="147"/>
      <c r="BF64" s="147"/>
      <c r="BG64" s="147"/>
      <c r="BH64" s="147"/>
      <c r="BI64" s="147"/>
      <c r="BJ64" s="149"/>
      <c r="BK64" s="146"/>
      <c r="BL64" s="147"/>
      <c r="BM64" s="147"/>
      <c r="BN64" s="147"/>
      <c r="BO64" s="147"/>
      <c r="BP64" s="147"/>
      <c r="BQ64" s="149"/>
      <c r="BR64" s="146"/>
      <c r="BS64" s="147"/>
      <c r="BT64" s="147"/>
      <c r="BU64" s="147"/>
      <c r="BV64" s="147"/>
      <c r="BW64" s="147"/>
      <c r="BX64" s="149"/>
      <c r="BY64" s="146"/>
      <c r="BZ64" s="147"/>
      <c r="CA64" s="147"/>
      <c r="CB64" s="147"/>
      <c r="CC64" s="147"/>
      <c r="CD64" s="147"/>
      <c r="CE64" s="149"/>
      <c r="CF64" s="146"/>
      <c r="CG64" s="147"/>
      <c r="CH64" s="147"/>
      <c r="CI64" s="147"/>
      <c r="CJ64" s="147"/>
      <c r="CK64" s="147"/>
      <c r="CL64" s="149"/>
      <c r="CM64" s="113">
        <f t="shared" ref="CM64:CM65" si="5">SUM(G64:CL64)</f>
        <v>4576.3309999999992</v>
      </c>
    </row>
    <row r="65" spans="1:91" s="7" customFormat="1" x14ac:dyDescent="0.3">
      <c r="A65" s="156">
        <v>25</v>
      </c>
      <c r="B65" s="147"/>
      <c r="C65" s="147"/>
      <c r="D65" s="147"/>
      <c r="E65" s="149"/>
      <c r="F65" s="149"/>
      <c r="G65" s="146"/>
      <c r="H65" s="147"/>
      <c r="I65" s="147">
        <v>81.545000000000016</v>
      </c>
      <c r="J65" s="147">
        <v>32.965000000000003</v>
      </c>
      <c r="K65" s="147">
        <v>38.17</v>
      </c>
      <c r="L65" s="147">
        <v>86.75</v>
      </c>
      <c r="M65" s="148">
        <v>135.33000000000001</v>
      </c>
      <c r="N65" s="146">
        <v>199.52500000000001</v>
      </c>
      <c r="O65" s="147">
        <v>201.26</v>
      </c>
      <c r="P65" s="147">
        <v>182.17500000000001</v>
      </c>
      <c r="Q65" s="147">
        <v>218.61</v>
      </c>
      <c r="R65" s="147">
        <v>286.27500000000003</v>
      </c>
      <c r="S65" s="147">
        <v>237.69500000000005</v>
      </c>
      <c r="T65" s="148">
        <v>244.72499999999999</v>
      </c>
      <c r="U65" s="146">
        <v>152.48249999999999</v>
      </c>
      <c r="V65" s="147">
        <v>144.95249999999999</v>
      </c>
      <c r="W65" s="147">
        <v>128.01</v>
      </c>
      <c r="X65" s="147">
        <v>118.5975</v>
      </c>
      <c r="Y65" s="147">
        <v>105.42</v>
      </c>
      <c r="Z65" s="147">
        <v>116.715</v>
      </c>
      <c r="AA65" s="148">
        <v>88.477500000000006</v>
      </c>
      <c r="AB65" s="146">
        <v>56.475000000000001</v>
      </c>
      <c r="AC65" s="147">
        <v>58.357500000000002</v>
      </c>
      <c r="AD65" s="147">
        <v>107.30249999999999</v>
      </c>
      <c r="AE65" s="147">
        <v>93.167999999999992</v>
      </c>
      <c r="AF65" s="147">
        <v>54.347999999999999</v>
      </c>
      <c r="AG65" s="147">
        <v>38.82</v>
      </c>
      <c r="AH65" s="148">
        <v>38.82</v>
      </c>
      <c r="AI65" s="146">
        <v>40.760999999999996</v>
      </c>
      <c r="AJ65" s="147">
        <v>32.997</v>
      </c>
      <c r="AK65" s="147">
        <v>31.055999999999997</v>
      </c>
      <c r="AL65" s="147">
        <v>29.114999999999998</v>
      </c>
      <c r="AM65" s="147"/>
      <c r="AN65" s="147"/>
      <c r="AO65" s="148"/>
      <c r="AP65" s="146"/>
      <c r="AQ65" s="147"/>
      <c r="AR65" s="147"/>
      <c r="AS65" s="147"/>
      <c r="AT65" s="147"/>
      <c r="AU65" s="147"/>
      <c r="AV65" s="148"/>
      <c r="AW65" s="146"/>
      <c r="AX65" s="147"/>
      <c r="AY65" s="147"/>
      <c r="AZ65" s="147"/>
      <c r="BA65" s="147"/>
      <c r="BB65" s="147"/>
      <c r="BC65" s="148"/>
      <c r="BD65" s="146"/>
      <c r="BE65" s="147"/>
      <c r="BF65" s="147"/>
      <c r="BG65" s="147"/>
      <c r="BH65" s="147"/>
      <c r="BI65" s="147"/>
      <c r="BJ65" s="149"/>
      <c r="BK65" s="146"/>
      <c r="BL65" s="147"/>
      <c r="BM65" s="147"/>
      <c r="BN65" s="147"/>
      <c r="BO65" s="147"/>
      <c r="BP65" s="147"/>
      <c r="BQ65" s="149"/>
      <c r="BR65" s="146"/>
      <c r="BS65" s="147"/>
      <c r="BT65" s="147"/>
      <c r="BU65" s="147"/>
      <c r="BV65" s="147"/>
      <c r="BW65" s="147"/>
      <c r="BX65" s="149"/>
      <c r="BY65" s="146"/>
      <c r="BZ65" s="147"/>
      <c r="CA65" s="147"/>
      <c r="CB65" s="147"/>
      <c r="CC65" s="147"/>
      <c r="CD65" s="147"/>
      <c r="CE65" s="149"/>
      <c r="CF65" s="146"/>
      <c r="CG65" s="147"/>
      <c r="CH65" s="147"/>
      <c r="CI65" s="147"/>
      <c r="CJ65" s="147"/>
      <c r="CK65" s="147"/>
      <c r="CL65" s="149"/>
      <c r="CM65" s="113">
        <f t="shared" si="5"/>
        <v>3380.9</v>
      </c>
    </row>
    <row r="66" spans="1:91" x14ac:dyDescent="0.3">
      <c r="A66" s="101" t="s">
        <v>189</v>
      </c>
      <c r="B66" s="1">
        <v>2.0130699999999999</v>
      </c>
      <c r="C66" s="1">
        <v>31.355499999999999</v>
      </c>
      <c r="D66" s="1">
        <v>33.126300000000001</v>
      </c>
      <c r="E66" s="114">
        <v>33.505099999999999</v>
      </c>
      <c r="F66" s="124" t="s">
        <v>243</v>
      </c>
      <c r="G66" s="113"/>
      <c r="H66" s="1"/>
      <c r="I66" s="1">
        <f>AVERAGE(I64,I65)</f>
        <v>72.872500000000002</v>
      </c>
      <c r="J66" s="1">
        <f t="shared" ref="J66:AM66" si="6">AVERAGE(J64,J65)</f>
        <v>40.557500000000005</v>
      </c>
      <c r="K66" s="1">
        <f t="shared" si="6"/>
        <v>40.484999999999999</v>
      </c>
      <c r="L66" s="1">
        <f t="shared" si="6"/>
        <v>64.106250000000003</v>
      </c>
      <c r="M66" s="1">
        <f t="shared" si="6"/>
        <v>99.096249999999998</v>
      </c>
      <c r="N66" s="1">
        <f t="shared" si="6"/>
        <v>163.29374999999999</v>
      </c>
      <c r="O66" s="1">
        <f t="shared" si="6"/>
        <v>177.53625</v>
      </c>
      <c r="P66" s="1">
        <f t="shared" si="6"/>
        <v>159.30000000000001</v>
      </c>
      <c r="Q66" s="1">
        <f t="shared" si="6"/>
        <v>196.24250000000001</v>
      </c>
      <c r="R66" s="1">
        <f t="shared" si="6"/>
        <v>207.17700000000002</v>
      </c>
      <c r="S66" s="1">
        <f t="shared" si="6"/>
        <v>392.54275000000001</v>
      </c>
      <c r="T66" s="1">
        <f t="shared" si="6"/>
        <v>393.55825000000004</v>
      </c>
      <c r="U66" s="1">
        <f t="shared" si="6"/>
        <v>241.20825000000002</v>
      </c>
      <c r="V66" s="1">
        <f t="shared" si="6"/>
        <v>209.94874999999999</v>
      </c>
      <c r="W66" s="1">
        <f t="shared" si="6"/>
        <v>161.4855</v>
      </c>
      <c r="X66" s="1">
        <f t="shared" si="6"/>
        <v>170.40475000000001</v>
      </c>
      <c r="Y66" s="1">
        <f t="shared" si="6"/>
        <v>144.03</v>
      </c>
      <c r="Z66" s="1">
        <f t="shared" si="6"/>
        <v>144.92500000000001</v>
      </c>
      <c r="AA66" s="1">
        <f t="shared" si="6"/>
        <v>118.24000000000001</v>
      </c>
      <c r="AB66" s="1">
        <f t="shared" si="6"/>
        <v>91.068749999999994</v>
      </c>
      <c r="AC66" s="1">
        <f t="shared" si="6"/>
        <v>92.009999999999991</v>
      </c>
      <c r="AD66" s="1">
        <f t="shared" si="6"/>
        <v>108.10499999999999</v>
      </c>
      <c r="AE66" s="1">
        <f t="shared" si="6"/>
        <v>74.509</v>
      </c>
      <c r="AF66" s="1">
        <f t="shared" si="6"/>
        <v>84.42025000000001</v>
      </c>
      <c r="AG66" s="1">
        <f t="shared" si="6"/>
        <v>54.316249999999997</v>
      </c>
      <c r="AH66" s="1">
        <f t="shared" si="6"/>
        <v>55.712500000000006</v>
      </c>
      <c r="AI66" s="1">
        <f t="shared" si="6"/>
        <v>109.7405</v>
      </c>
      <c r="AJ66" s="1">
        <f t="shared" si="6"/>
        <v>51.40475</v>
      </c>
      <c r="AK66" s="1">
        <f t="shared" si="6"/>
        <v>26.463250000000002</v>
      </c>
      <c r="AL66" s="1">
        <f>AVERAGE(AL64,AL65)</f>
        <v>24.206249999999997</v>
      </c>
      <c r="AM66" s="1">
        <f t="shared" si="6"/>
        <v>19.297499999999999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14"/>
      <c r="BK66" s="113"/>
      <c r="BL66" s="1"/>
      <c r="BM66" s="1"/>
      <c r="BN66" s="1"/>
      <c r="BO66" s="1"/>
      <c r="BP66" s="1"/>
      <c r="BQ66" s="114"/>
      <c r="BR66" s="113"/>
      <c r="BS66" s="1"/>
      <c r="BT66" s="1"/>
      <c r="BU66" s="1"/>
      <c r="BV66" s="1"/>
      <c r="BW66" s="1"/>
      <c r="BX66" s="114"/>
      <c r="BY66" s="113"/>
      <c r="BZ66" s="1"/>
      <c r="CA66" s="1"/>
      <c r="CB66" s="1"/>
      <c r="CC66" s="1"/>
      <c r="CD66" s="1"/>
      <c r="CE66" s="114"/>
      <c r="CF66" s="113"/>
      <c r="CG66" s="1"/>
      <c r="CH66" s="1"/>
      <c r="CI66" s="1"/>
      <c r="CJ66" s="1"/>
      <c r="CK66" s="1"/>
      <c r="CL66" s="114"/>
      <c r="CM66" s="113">
        <f>SUM(G66:CL66)</f>
        <v>3988.2642500000002</v>
      </c>
    </row>
    <row r="67" spans="1:91" x14ac:dyDescent="0.3">
      <c r="A67" s="3">
        <v>21</v>
      </c>
      <c r="B67" s="1">
        <v>5.5069600000000003</v>
      </c>
      <c r="C67" s="1">
        <v>2.4822700000000002</v>
      </c>
      <c r="D67" s="1">
        <v>47.348799999999997</v>
      </c>
      <c r="E67" s="114">
        <v>44.661900000000003</v>
      </c>
      <c r="F67" s="124" t="s">
        <v>244</v>
      </c>
      <c r="G67" s="113"/>
      <c r="H67" s="1"/>
      <c r="I67" s="1">
        <v>89.628999999999991</v>
      </c>
      <c r="J67" s="1">
        <v>72.466000000000008</v>
      </c>
      <c r="K67" s="1">
        <v>72.466000000000008</v>
      </c>
      <c r="L67" s="1">
        <v>70.559000000000012</v>
      </c>
      <c r="M67" s="114">
        <v>59.116999999999997</v>
      </c>
      <c r="N67" s="113">
        <v>61.023999999999994</v>
      </c>
      <c r="O67" s="1">
        <v>78.186999999999998</v>
      </c>
      <c r="P67" s="1">
        <v>112.51299999999999</v>
      </c>
      <c r="Q67" s="1">
        <v>148.74600000000001</v>
      </c>
      <c r="R67" s="1">
        <v>177.351</v>
      </c>
      <c r="S67" s="1">
        <v>188.79300000000001</v>
      </c>
      <c r="T67" s="114">
        <v>143.02500000000001</v>
      </c>
      <c r="U67" s="113">
        <v>160.18800000000002</v>
      </c>
      <c r="V67" s="1">
        <v>194.51400000000001</v>
      </c>
      <c r="W67" s="1">
        <v>221.21200000000002</v>
      </c>
      <c r="X67" s="1">
        <v>231.6335</v>
      </c>
      <c r="Y67" s="1">
        <v>225.79400000000001</v>
      </c>
      <c r="Z67" s="1">
        <v>241.36599999999999</v>
      </c>
      <c r="AA67" s="114">
        <v>229.68700000000001</v>
      </c>
      <c r="AB67" s="113">
        <v>142.744</v>
      </c>
      <c r="AC67" s="1">
        <v>140.19499999999999</v>
      </c>
      <c r="AD67" s="1">
        <v>194.32</v>
      </c>
      <c r="AE67" s="1">
        <v>215.14</v>
      </c>
      <c r="AF67" s="1">
        <v>187.38</v>
      </c>
      <c r="AG67" s="1">
        <v>178.70500000000001</v>
      </c>
      <c r="AH67" s="114">
        <v>176.97</v>
      </c>
      <c r="AI67" s="113">
        <v>180.44</v>
      </c>
      <c r="AJ67" s="1">
        <v>145.74</v>
      </c>
      <c r="AK67" s="1">
        <v>131.86000000000001</v>
      </c>
      <c r="AL67" s="1">
        <v>131.86000000000001</v>
      </c>
      <c r="AM67" s="1">
        <v>133.59500000000003</v>
      </c>
      <c r="AN67" s="1">
        <v>145.74</v>
      </c>
      <c r="AO67" s="114">
        <v>126.65500000000002</v>
      </c>
      <c r="AP67" s="113">
        <v>123.18500000000002</v>
      </c>
      <c r="AQ67" s="1">
        <v>93.69</v>
      </c>
      <c r="AR67" s="1">
        <v>86.75</v>
      </c>
      <c r="AS67" s="1">
        <v>83.28</v>
      </c>
      <c r="AT67" s="1">
        <v>78.075000000000003</v>
      </c>
      <c r="AU67" s="1">
        <v>81.545000000000016</v>
      </c>
      <c r="AV67" s="114">
        <v>72.87</v>
      </c>
      <c r="AW67" s="113">
        <v>83.28</v>
      </c>
      <c r="AX67" s="1">
        <v>81.545000000000016</v>
      </c>
      <c r="AY67" s="1">
        <v>69.400000000000006</v>
      </c>
      <c r="AZ67" s="1">
        <v>41.64</v>
      </c>
      <c r="BA67" s="1">
        <v>46.844999999999999</v>
      </c>
      <c r="BB67" s="1">
        <v>43.375</v>
      </c>
      <c r="BC67" s="114"/>
      <c r="BD67" s="113"/>
      <c r="BE67" s="1"/>
      <c r="BF67" s="1"/>
      <c r="BG67" s="1"/>
      <c r="BH67" s="1"/>
      <c r="BI67" s="1"/>
      <c r="BJ67" s="114"/>
      <c r="BK67" s="113"/>
      <c r="BL67" s="1"/>
      <c r="BM67" s="1"/>
      <c r="BN67" s="1"/>
      <c r="BO67" s="1"/>
      <c r="BP67" s="1"/>
      <c r="BQ67" s="114"/>
      <c r="BR67" s="113"/>
      <c r="BS67" s="1"/>
      <c r="BT67" s="1"/>
      <c r="BU67" s="1"/>
      <c r="BV67" s="1"/>
      <c r="BW67" s="1"/>
      <c r="BX67" s="114"/>
      <c r="BY67" s="113"/>
      <c r="BZ67" s="1"/>
      <c r="CA67" s="1"/>
      <c r="CB67" s="1"/>
      <c r="CC67" s="1"/>
      <c r="CD67" s="1"/>
      <c r="CE67" s="114"/>
      <c r="CF67" s="113"/>
      <c r="CG67" s="1"/>
      <c r="CH67" s="1"/>
      <c r="CI67" s="1"/>
      <c r="CJ67" s="1"/>
      <c r="CK67" s="1"/>
      <c r="CL67" s="114"/>
      <c r="CM67" s="113">
        <f>SUM(G67:CL67)</f>
        <v>5995.0944999999983</v>
      </c>
    </row>
    <row r="68" spans="1:91" s="7" customFormat="1" x14ac:dyDescent="0.3">
      <c r="A68" s="155">
        <v>10</v>
      </c>
      <c r="B68" s="150"/>
      <c r="C68" s="150"/>
      <c r="D68" s="150"/>
      <c r="E68" s="151"/>
      <c r="F68" s="149"/>
      <c r="G68" s="152"/>
      <c r="H68" s="150"/>
      <c r="I68" s="150">
        <v>1.976</v>
      </c>
      <c r="J68" s="150">
        <v>0.20800000000000002</v>
      </c>
      <c r="K68" s="150">
        <v>0.20800000000000002</v>
      </c>
      <c r="L68" s="150">
        <v>0.20800000000000002</v>
      </c>
      <c r="M68" s="154">
        <v>0.93600000000000005</v>
      </c>
      <c r="N68" s="152">
        <v>9.9840000000000018</v>
      </c>
      <c r="O68" s="150">
        <v>11.752000000000001</v>
      </c>
      <c r="P68" s="150">
        <v>7.6960000000000006</v>
      </c>
      <c r="Q68" s="150">
        <v>6.5520000000000005</v>
      </c>
      <c r="R68" s="150">
        <v>12.064</v>
      </c>
      <c r="S68" s="150">
        <v>13.416000000000002</v>
      </c>
      <c r="T68" s="154">
        <v>14.144</v>
      </c>
      <c r="U68" s="152">
        <v>14.352</v>
      </c>
      <c r="V68" s="150">
        <v>240.25799999999998</v>
      </c>
      <c r="W68" s="150">
        <v>322.08499999999998</v>
      </c>
      <c r="X68" s="150">
        <v>367.125</v>
      </c>
      <c r="Y68" s="150">
        <v>325.51750000000004</v>
      </c>
      <c r="Z68" s="150">
        <v>342.209</v>
      </c>
      <c r="AA68" s="154">
        <v>334.49</v>
      </c>
      <c r="AB68" s="152">
        <v>293.322</v>
      </c>
      <c r="AC68" s="150">
        <v>278.09100000000001</v>
      </c>
      <c r="AD68" s="150">
        <v>127.58199999999999</v>
      </c>
      <c r="AE68" s="150">
        <v>95.335999999999999</v>
      </c>
      <c r="AF68" s="150">
        <v>63.09</v>
      </c>
      <c r="AG68" s="150">
        <v>92.531999999999982</v>
      </c>
      <c r="AH68" s="154">
        <v>58.883999999999993</v>
      </c>
      <c r="AI68" s="152">
        <v>49.07</v>
      </c>
      <c r="AJ68" s="150">
        <v>32.246000000000002</v>
      </c>
      <c r="AK68" s="150">
        <v>49.024499999999996</v>
      </c>
      <c r="AL68" s="150">
        <v>46.69</v>
      </c>
      <c r="AM68" s="150">
        <v>49.024499999999996</v>
      </c>
      <c r="AN68" s="150">
        <v>44.355499999999999</v>
      </c>
      <c r="AO68" s="154">
        <v>46.69</v>
      </c>
      <c r="AP68" s="152">
        <v>49.024499999999996</v>
      </c>
      <c r="AQ68" s="150">
        <v>91.04549999999999</v>
      </c>
      <c r="AR68" s="150">
        <v>53.693499999999993</v>
      </c>
      <c r="AS68" s="150">
        <v>23.281999999999996</v>
      </c>
      <c r="AT68" s="150">
        <v>24.113499999999998</v>
      </c>
      <c r="AU68" s="150">
        <v>28.271000000000001</v>
      </c>
      <c r="AV68" s="154">
        <v>18.292999999999999</v>
      </c>
      <c r="AW68" s="152">
        <v>27.439499999999999</v>
      </c>
      <c r="AX68" s="150">
        <v>28.271000000000001</v>
      </c>
      <c r="AY68" s="150">
        <v>18.292999999999999</v>
      </c>
      <c r="AZ68" s="150">
        <v>28.271000000000001</v>
      </c>
      <c r="BA68" s="150">
        <v>69.795000000000002</v>
      </c>
      <c r="BB68" s="150">
        <v>69.795000000000002</v>
      </c>
      <c r="BC68" s="154">
        <v>62.8155</v>
      </c>
      <c r="BD68" s="152">
        <v>81.427499999999995</v>
      </c>
      <c r="BE68" s="150">
        <v>97.713000000000008</v>
      </c>
      <c r="BF68" s="150">
        <v>90.733500000000006</v>
      </c>
      <c r="BG68" s="150">
        <v>48.778499999999994</v>
      </c>
      <c r="BH68" s="150">
        <v>64.513499999999993</v>
      </c>
      <c r="BI68" s="150">
        <v>44.058</v>
      </c>
      <c r="BJ68" s="154">
        <v>69.233999999999995</v>
      </c>
      <c r="BK68" s="152">
        <v>45.286500000000004</v>
      </c>
      <c r="BL68" s="150">
        <v>45.286500000000004</v>
      </c>
      <c r="BM68" s="150">
        <v>47.443000000000005</v>
      </c>
      <c r="BN68" s="150">
        <v>49.599500000000006</v>
      </c>
      <c r="BO68" s="150">
        <v>34.503999999999998</v>
      </c>
      <c r="BP68" s="150">
        <v>36.660499999999999</v>
      </c>
      <c r="BQ68" s="154">
        <v>43.13</v>
      </c>
      <c r="BR68" s="152">
        <v>28.034500000000001</v>
      </c>
      <c r="BS68" s="150">
        <v>23.721500000000002</v>
      </c>
      <c r="BT68" s="150">
        <v>25.878</v>
      </c>
      <c r="BU68" s="150"/>
      <c r="BV68" s="150"/>
      <c r="BW68" s="150"/>
      <c r="BX68" s="151"/>
      <c r="BY68" s="152"/>
      <c r="BZ68" s="150"/>
      <c r="CA68" s="150"/>
      <c r="CB68" s="150"/>
      <c r="CC68" s="150"/>
      <c r="CD68" s="150"/>
      <c r="CE68" s="151"/>
      <c r="CF68" s="152"/>
      <c r="CG68" s="150"/>
      <c r="CH68" s="150"/>
      <c r="CI68" s="150"/>
      <c r="CJ68" s="150"/>
      <c r="CK68" s="150"/>
      <c r="CL68" s="151"/>
      <c r="CM68" s="113">
        <f t="shared" ref="CM68:CM69" si="7">SUM(G68:CL68)</f>
        <v>4819.523000000002</v>
      </c>
    </row>
    <row r="69" spans="1:91" s="7" customFormat="1" x14ac:dyDescent="0.3">
      <c r="A69" s="155">
        <v>18</v>
      </c>
      <c r="B69" s="150"/>
      <c r="C69" s="150"/>
      <c r="D69" s="150"/>
      <c r="E69" s="151"/>
      <c r="F69" s="149"/>
      <c r="G69" s="152"/>
      <c r="H69" s="150"/>
      <c r="I69" s="150">
        <v>0</v>
      </c>
      <c r="J69" s="150">
        <v>143.57599999999999</v>
      </c>
      <c r="K69" s="150">
        <v>153.44000000000003</v>
      </c>
      <c r="L69" s="150">
        <v>173.16800000000003</v>
      </c>
      <c r="M69" s="154">
        <v>173.16800000000003</v>
      </c>
      <c r="N69" s="152">
        <v>217.00800000000004</v>
      </c>
      <c r="O69" s="150">
        <v>202.76</v>
      </c>
      <c r="P69" s="150">
        <v>212.62400000000002</v>
      </c>
      <c r="Q69" s="150">
        <v>246.60000000000002</v>
      </c>
      <c r="R69" s="150">
        <v>274.00000000000006</v>
      </c>
      <c r="S69" s="150">
        <v>322.22399999999999</v>
      </c>
      <c r="T69" s="154">
        <v>234.54400000000001</v>
      </c>
      <c r="U69" s="152">
        <v>219.2</v>
      </c>
      <c r="V69" s="150">
        <v>275.096</v>
      </c>
      <c r="W69" s="150">
        <v>293.72800000000001</v>
      </c>
      <c r="X69" s="150">
        <v>360.584</v>
      </c>
      <c r="Y69" s="150">
        <v>321.12800000000004</v>
      </c>
      <c r="Z69" s="150">
        <v>2.6759999999999997</v>
      </c>
      <c r="AA69" s="154">
        <v>3.3719999999999999</v>
      </c>
      <c r="AB69" s="152">
        <v>2.8680000000000003</v>
      </c>
      <c r="AC69" s="150"/>
      <c r="AD69" s="150"/>
      <c r="AE69" s="150"/>
      <c r="AF69" s="150"/>
      <c r="AG69" s="150"/>
      <c r="AH69" s="154"/>
      <c r="AI69" s="152"/>
      <c r="AJ69" s="150"/>
      <c r="AK69" s="150"/>
      <c r="AL69" s="150"/>
      <c r="AM69" s="150"/>
      <c r="AN69" s="150"/>
      <c r="AO69" s="154"/>
      <c r="AP69" s="152"/>
      <c r="AQ69" s="150"/>
      <c r="AR69" s="150"/>
      <c r="AS69" s="150"/>
      <c r="AT69" s="150"/>
      <c r="AU69" s="150"/>
      <c r="AV69" s="154"/>
      <c r="AW69" s="152"/>
      <c r="AX69" s="150"/>
      <c r="AY69" s="150"/>
      <c r="AZ69" s="150"/>
      <c r="BA69" s="150"/>
      <c r="BB69" s="150"/>
      <c r="BC69" s="154"/>
      <c r="BD69" s="152"/>
      <c r="BE69" s="150"/>
      <c r="BF69" s="150"/>
      <c r="BG69" s="150"/>
      <c r="BH69" s="150"/>
      <c r="BI69" s="150"/>
      <c r="BJ69" s="154"/>
      <c r="BK69" s="152"/>
      <c r="BL69" s="150"/>
      <c r="BM69" s="150"/>
      <c r="BN69" s="150"/>
      <c r="BO69" s="150"/>
      <c r="BP69" s="150"/>
      <c r="BQ69" s="154"/>
      <c r="BR69" s="152"/>
      <c r="BS69" s="150"/>
      <c r="BT69" s="150"/>
      <c r="BU69" s="150"/>
      <c r="BV69" s="150"/>
      <c r="BW69" s="150"/>
      <c r="BX69" s="151"/>
      <c r="BY69" s="152"/>
      <c r="BZ69" s="150"/>
      <c r="CA69" s="150"/>
      <c r="CB69" s="150"/>
      <c r="CC69" s="150"/>
      <c r="CD69" s="150"/>
      <c r="CE69" s="151"/>
      <c r="CF69" s="152"/>
      <c r="CG69" s="150"/>
      <c r="CH69" s="150"/>
      <c r="CI69" s="150"/>
      <c r="CJ69" s="150"/>
      <c r="CK69" s="150"/>
      <c r="CL69" s="151"/>
      <c r="CM69" s="113">
        <f t="shared" si="7"/>
        <v>3831.7639999999997</v>
      </c>
    </row>
    <row r="70" spans="1:91" x14ac:dyDescent="0.3">
      <c r="A70" s="129" t="s">
        <v>191</v>
      </c>
      <c r="B70" s="1">
        <v>32.387099999999997</v>
      </c>
      <c r="C70" s="1">
        <v>32.2241</v>
      </c>
      <c r="D70" s="1">
        <v>33.130400000000002</v>
      </c>
      <c r="E70" s="114">
        <v>2.2583199999999999</v>
      </c>
      <c r="F70" s="124" t="s">
        <v>245</v>
      </c>
      <c r="G70" s="113"/>
      <c r="H70" s="1"/>
      <c r="I70" s="1">
        <f>AVERAGE(I68,I69)</f>
        <v>0.98799999999999999</v>
      </c>
      <c r="J70" s="1">
        <f t="shared" ref="J70:BT70" si="8">AVERAGE(J68,J69)</f>
        <v>71.891999999999996</v>
      </c>
      <c r="K70" s="1">
        <f t="shared" si="8"/>
        <v>76.824000000000012</v>
      </c>
      <c r="L70" s="1">
        <f t="shared" si="8"/>
        <v>86.688000000000017</v>
      </c>
      <c r="M70" s="1">
        <f t="shared" si="8"/>
        <v>87.052000000000021</v>
      </c>
      <c r="N70" s="1">
        <f t="shared" si="8"/>
        <v>113.49600000000002</v>
      </c>
      <c r="O70" s="1">
        <f t="shared" si="8"/>
        <v>107.256</v>
      </c>
      <c r="P70" s="1">
        <f t="shared" si="8"/>
        <v>110.16000000000001</v>
      </c>
      <c r="Q70" s="1">
        <f t="shared" si="8"/>
        <v>126.57600000000001</v>
      </c>
      <c r="R70" s="1">
        <f t="shared" si="8"/>
        <v>143.03200000000004</v>
      </c>
      <c r="S70" s="1">
        <f t="shared" si="8"/>
        <v>167.82</v>
      </c>
      <c r="T70" s="1">
        <f t="shared" si="8"/>
        <v>124.34400000000001</v>
      </c>
      <c r="U70" s="1">
        <f t="shared" si="8"/>
        <v>116.776</v>
      </c>
      <c r="V70" s="1">
        <f t="shared" si="8"/>
        <v>257.67700000000002</v>
      </c>
      <c r="W70" s="1">
        <f t="shared" si="8"/>
        <v>307.90649999999999</v>
      </c>
      <c r="X70" s="1">
        <f t="shared" si="8"/>
        <v>363.85450000000003</v>
      </c>
      <c r="Y70" s="1">
        <f t="shared" si="8"/>
        <v>323.32275000000004</v>
      </c>
      <c r="Z70" s="1">
        <f t="shared" si="8"/>
        <v>172.4425</v>
      </c>
      <c r="AA70" s="1">
        <f t="shared" si="8"/>
        <v>168.93100000000001</v>
      </c>
      <c r="AB70" s="1">
        <f t="shared" si="8"/>
        <v>148.095</v>
      </c>
      <c r="AC70" s="1">
        <f t="shared" si="8"/>
        <v>278.09100000000001</v>
      </c>
      <c r="AD70" s="1">
        <f t="shared" si="8"/>
        <v>127.58199999999999</v>
      </c>
      <c r="AE70" s="1">
        <f t="shared" si="8"/>
        <v>95.335999999999999</v>
      </c>
      <c r="AF70" s="1">
        <f t="shared" si="8"/>
        <v>63.09</v>
      </c>
      <c r="AG70" s="1">
        <f t="shared" si="8"/>
        <v>92.531999999999982</v>
      </c>
      <c r="AH70" s="1">
        <f t="shared" si="8"/>
        <v>58.883999999999993</v>
      </c>
      <c r="AI70" s="1">
        <f t="shared" si="8"/>
        <v>49.07</v>
      </c>
      <c r="AJ70" s="1">
        <f t="shared" si="8"/>
        <v>32.246000000000002</v>
      </c>
      <c r="AK70" s="1">
        <f t="shared" si="8"/>
        <v>49.024499999999996</v>
      </c>
      <c r="AL70" s="1">
        <f t="shared" si="8"/>
        <v>46.69</v>
      </c>
      <c r="AM70" s="1">
        <f t="shared" si="8"/>
        <v>49.024499999999996</v>
      </c>
      <c r="AN70" s="1">
        <f t="shared" si="8"/>
        <v>44.355499999999999</v>
      </c>
      <c r="AO70" s="1">
        <f t="shared" si="8"/>
        <v>46.69</v>
      </c>
      <c r="AP70" s="1">
        <f t="shared" si="8"/>
        <v>49.024499999999996</v>
      </c>
      <c r="AQ70" s="1">
        <f t="shared" si="8"/>
        <v>91.04549999999999</v>
      </c>
      <c r="AR70" s="1">
        <f t="shared" si="8"/>
        <v>53.693499999999993</v>
      </c>
      <c r="AS70" s="1">
        <f t="shared" si="8"/>
        <v>23.281999999999996</v>
      </c>
      <c r="AT70" s="1">
        <f t="shared" si="8"/>
        <v>24.113499999999998</v>
      </c>
      <c r="AU70" s="1">
        <f t="shared" si="8"/>
        <v>28.271000000000001</v>
      </c>
      <c r="AV70" s="1">
        <f t="shared" si="8"/>
        <v>18.292999999999999</v>
      </c>
      <c r="AW70" s="1">
        <f t="shared" si="8"/>
        <v>27.439499999999999</v>
      </c>
      <c r="AX70" s="1">
        <f t="shared" si="8"/>
        <v>28.271000000000001</v>
      </c>
      <c r="AY70" s="1">
        <f t="shared" si="8"/>
        <v>18.292999999999999</v>
      </c>
      <c r="AZ70" s="1">
        <f t="shared" si="8"/>
        <v>28.271000000000001</v>
      </c>
      <c r="BA70" s="1">
        <f t="shared" si="8"/>
        <v>69.795000000000002</v>
      </c>
      <c r="BB70" s="1">
        <f t="shared" si="8"/>
        <v>69.795000000000002</v>
      </c>
      <c r="BC70" s="1">
        <f t="shared" si="8"/>
        <v>62.8155</v>
      </c>
      <c r="BD70" s="1">
        <f t="shared" si="8"/>
        <v>81.427499999999995</v>
      </c>
      <c r="BE70" s="1">
        <f t="shared" si="8"/>
        <v>97.713000000000008</v>
      </c>
      <c r="BF70" s="1">
        <f t="shared" si="8"/>
        <v>90.733500000000006</v>
      </c>
      <c r="BG70" s="1">
        <f t="shared" si="8"/>
        <v>48.778499999999994</v>
      </c>
      <c r="BH70" s="1">
        <f t="shared" si="8"/>
        <v>64.513499999999993</v>
      </c>
      <c r="BI70" s="1">
        <f t="shared" si="8"/>
        <v>44.058</v>
      </c>
      <c r="BJ70" s="1">
        <f t="shared" si="8"/>
        <v>69.233999999999995</v>
      </c>
      <c r="BK70" s="1">
        <f t="shared" si="8"/>
        <v>45.286500000000004</v>
      </c>
      <c r="BL70" s="1">
        <f t="shared" si="8"/>
        <v>45.286500000000004</v>
      </c>
      <c r="BM70" s="1">
        <f t="shared" si="8"/>
        <v>47.443000000000005</v>
      </c>
      <c r="BN70" s="1">
        <f t="shared" si="8"/>
        <v>49.599500000000006</v>
      </c>
      <c r="BO70" s="1">
        <f t="shared" si="8"/>
        <v>34.503999999999998</v>
      </c>
      <c r="BP70" s="1">
        <f t="shared" si="8"/>
        <v>36.660499999999999</v>
      </c>
      <c r="BQ70" s="1">
        <f t="shared" si="8"/>
        <v>43.13</v>
      </c>
      <c r="BR70" s="1">
        <f t="shared" si="8"/>
        <v>28.034500000000001</v>
      </c>
      <c r="BS70" s="1">
        <f t="shared" si="8"/>
        <v>23.721500000000002</v>
      </c>
      <c r="BT70" s="1">
        <f t="shared" si="8"/>
        <v>25.878</v>
      </c>
      <c r="BU70" s="1"/>
      <c r="BV70" s="1"/>
      <c r="BW70" s="1"/>
      <c r="BX70" s="114"/>
      <c r="BY70" s="113"/>
      <c r="BZ70" s="1"/>
      <c r="CA70" s="1"/>
      <c r="CB70" s="1"/>
      <c r="CC70" s="1"/>
      <c r="CD70" s="1"/>
      <c r="CE70" s="114"/>
      <c r="CF70" s="113"/>
      <c r="CG70" s="1"/>
      <c r="CH70" s="1"/>
      <c r="CI70" s="1"/>
      <c r="CJ70" s="1"/>
      <c r="CK70" s="1"/>
      <c r="CL70" s="114"/>
      <c r="CM70" s="113">
        <f>SUM(G70:CL70)</f>
        <v>5576.1537500000004</v>
      </c>
    </row>
    <row r="71" spans="1:91" s="143" customFormat="1" x14ac:dyDescent="0.3">
      <c r="A71" s="157">
        <v>3</v>
      </c>
      <c r="B71" s="1"/>
      <c r="C71" s="1"/>
      <c r="D71" s="1"/>
      <c r="E71" s="114"/>
      <c r="F71" s="149"/>
      <c r="G71" s="113"/>
      <c r="H71" s="1"/>
      <c r="I71" s="1">
        <v>53.234000000000009</v>
      </c>
      <c r="J71" s="1">
        <v>68.709000000000003</v>
      </c>
      <c r="K71" s="1">
        <v>126.895</v>
      </c>
      <c r="L71" s="1">
        <v>126.48</v>
      </c>
      <c r="M71" s="1">
        <v>77.5</v>
      </c>
      <c r="N71" s="1">
        <v>81.22</v>
      </c>
      <c r="O71" s="1">
        <v>148.61000000000001</v>
      </c>
      <c r="P71" s="1">
        <v>103.23</v>
      </c>
      <c r="Q71" s="1">
        <v>250.04600000000002</v>
      </c>
      <c r="R71" s="1">
        <v>154.51149999999998</v>
      </c>
      <c r="S71" s="1">
        <v>260.42899999999997</v>
      </c>
      <c r="T71" s="1">
        <v>244.88099999999997</v>
      </c>
      <c r="U71" s="1">
        <v>194.35</v>
      </c>
      <c r="V71" s="1">
        <v>116.61</v>
      </c>
      <c r="W71" s="1">
        <v>120.49699999999999</v>
      </c>
      <c r="X71" s="1">
        <v>147.70599999999999</v>
      </c>
      <c r="Y71" s="1">
        <v>200.18049999999999</v>
      </c>
      <c r="Z71" s="1">
        <v>288.32700000000006</v>
      </c>
      <c r="AA71" s="1">
        <v>380.73950000000002</v>
      </c>
      <c r="AB71" s="1">
        <v>380.73950000000002</v>
      </c>
      <c r="AC71" s="1">
        <v>384.43600000000004</v>
      </c>
      <c r="AD71" s="1">
        <v>369.15</v>
      </c>
      <c r="AE71" s="1">
        <v>295.32</v>
      </c>
      <c r="AF71" s="1">
        <v>217.79849999999999</v>
      </c>
      <c r="AG71" s="1">
        <v>332.23500000000001</v>
      </c>
      <c r="AH71" s="1">
        <v>251.02200000000002</v>
      </c>
      <c r="AI71" s="1">
        <v>209.24350000000001</v>
      </c>
      <c r="AJ71" s="1">
        <v>159.59250000000003</v>
      </c>
      <c r="AK71" s="1">
        <v>141.86000000000001</v>
      </c>
      <c r="AL71" s="1">
        <v>141.86000000000001</v>
      </c>
      <c r="AM71" s="1">
        <v>141.86000000000001</v>
      </c>
      <c r="AN71" s="1">
        <v>129.09260000000003</v>
      </c>
      <c r="AO71" s="1">
        <v>152.49950000000001</v>
      </c>
      <c r="AP71" s="1">
        <v>163.13900000000001</v>
      </c>
      <c r="AQ71" s="1">
        <v>140.952</v>
      </c>
      <c r="AR71" s="1">
        <v>104.70720000000001</v>
      </c>
      <c r="AS71" s="1">
        <v>224.852</v>
      </c>
      <c r="AT71" s="1">
        <v>77.188000000000002</v>
      </c>
      <c r="AU71" s="1">
        <v>246.94839999999999</v>
      </c>
      <c r="AV71" s="1">
        <v>124.16400000000002</v>
      </c>
      <c r="AW71" s="1">
        <v>175.20920000000001</v>
      </c>
      <c r="AX71" s="1">
        <v>193.14400000000001</v>
      </c>
      <c r="AY71" s="1">
        <v>94.502600000000001</v>
      </c>
      <c r="AZ71" s="1">
        <v>161.41320000000002</v>
      </c>
      <c r="BA71" s="1">
        <v>139.33960000000002</v>
      </c>
      <c r="BB71" s="1">
        <v>151.756</v>
      </c>
      <c r="BC71" s="1">
        <v>110.69850000000001</v>
      </c>
      <c r="BD71" s="1">
        <v>103.98950000000001</v>
      </c>
      <c r="BE71" s="1">
        <v>134.18</v>
      </c>
      <c r="BF71" s="1">
        <v>174.43400000000003</v>
      </c>
      <c r="BG71" s="1">
        <v>134.18</v>
      </c>
      <c r="BH71" s="1">
        <v>127.471</v>
      </c>
      <c r="BI71" s="1">
        <v>80.507999999999996</v>
      </c>
      <c r="BJ71" s="1">
        <v>110.69850000000001</v>
      </c>
      <c r="BK71" s="1">
        <v>46.112499999999997</v>
      </c>
      <c r="BL71" s="1">
        <v>44.268000000000001</v>
      </c>
      <c r="BM71" s="1">
        <v>55.335000000000001</v>
      </c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70"/>
      <c r="BY71" s="113"/>
      <c r="BZ71" s="1"/>
      <c r="CA71" s="1"/>
      <c r="CB71" s="1"/>
      <c r="CC71" s="1"/>
      <c r="CD71" s="1"/>
      <c r="CE71" s="114"/>
      <c r="CF71" s="113"/>
      <c r="CG71" s="1"/>
      <c r="CH71" s="1"/>
      <c r="CI71" s="1"/>
      <c r="CJ71" s="1"/>
      <c r="CK71" s="1"/>
      <c r="CL71" s="114"/>
      <c r="CM71" s="113">
        <f t="shared" ref="CM71:CM72" si="9">SUM(G71:CL71)</f>
        <v>9570.0547999999962</v>
      </c>
    </row>
    <row r="72" spans="1:91" s="143" customFormat="1" x14ac:dyDescent="0.3">
      <c r="A72" s="157">
        <v>22</v>
      </c>
      <c r="B72" s="1"/>
      <c r="C72" s="1"/>
      <c r="D72" s="1"/>
      <c r="E72" s="114"/>
      <c r="F72" s="149"/>
      <c r="G72" s="113"/>
      <c r="H72" s="1"/>
      <c r="I72" s="1">
        <v>173.13400000000001</v>
      </c>
      <c r="J72" s="1">
        <v>189.78150000000002</v>
      </c>
      <c r="K72" s="1">
        <v>352.92700000000002</v>
      </c>
      <c r="L72" s="1">
        <v>436.16450000000003</v>
      </c>
      <c r="M72" s="1">
        <v>459.47100000000006</v>
      </c>
      <c r="N72" s="1">
        <v>459.47100000000006</v>
      </c>
      <c r="O72" s="1">
        <v>552.697</v>
      </c>
      <c r="P72" s="1">
        <v>266.36</v>
      </c>
      <c r="Q72" s="1">
        <v>392.88099999999997</v>
      </c>
      <c r="R72" s="1">
        <v>459.47100000000006</v>
      </c>
      <c r="S72" s="1">
        <v>373.49099999999999</v>
      </c>
      <c r="T72" s="1">
        <v>0</v>
      </c>
      <c r="U72" s="1">
        <v>0</v>
      </c>
      <c r="V72" s="1">
        <v>479.19599999999997</v>
      </c>
      <c r="W72" s="1">
        <v>412.24949999999995</v>
      </c>
      <c r="X72" s="1">
        <v>290.16699999999997</v>
      </c>
      <c r="Y72" s="1">
        <v>246.09099999999998</v>
      </c>
      <c r="Z72" s="1">
        <v>313.4375</v>
      </c>
      <c r="AA72" s="1">
        <v>250.75</v>
      </c>
      <c r="AB72" s="1">
        <v>191.75</v>
      </c>
      <c r="AC72" s="1">
        <v>191.75</v>
      </c>
      <c r="AD72" s="1">
        <v>162.25</v>
      </c>
      <c r="AE72" s="1">
        <v>114.3125</v>
      </c>
      <c r="AF72" s="1">
        <v>129.0625</v>
      </c>
      <c r="AG72" s="1">
        <v>88.5</v>
      </c>
      <c r="AH72" s="1">
        <v>76.4405</v>
      </c>
      <c r="AI72" s="1">
        <v>83.087500000000006</v>
      </c>
      <c r="AJ72" s="1">
        <v>66.47</v>
      </c>
      <c r="AK72" s="1">
        <v>56.499499999999998</v>
      </c>
      <c r="AL72" s="1">
        <v>63.146499999999996</v>
      </c>
      <c r="AM72" s="1">
        <v>83.087500000000006</v>
      </c>
      <c r="AN72" s="1">
        <v>86.411000000000001</v>
      </c>
      <c r="AO72" s="1">
        <v>62.234999999999999</v>
      </c>
      <c r="AP72" s="1">
        <v>58.086000000000006</v>
      </c>
      <c r="AQ72" s="1">
        <v>91.278000000000006</v>
      </c>
      <c r="AR72" s="1">
        <v>56.011500000000005</v>
      </c>
      <c r="AS72" s="1">
        <v>64.309500000000014</v>
      </c>
      <c r="AT72" s="1">
        <v>76.756500000000003</v>
      </c>
      <c r="AU72" s="1">
        <v>43.564499999999995</v>
      </c>
      <c r="AV72" s="1">
        <v>217.82249999999999</v>
      </c>
      <c r="AW72" s="1">
        <v>230.26949999999999</v>
      </c>
      <c r="AX72" s="1">
        <v>30.352499999999999</v>
      </c>
      <c r="AY72" s="1">
        <v>16.862500000000001</v>
      </c>
      <c r="AZ72" s="1">
        <v>24.956500000000002</v>
      </c>
      <c r="BA72" s="1">
        <v>110.80800000000001</v>
      </c>
      <c r="BB72" s="1">
        <v>129.27600000000001</v>
      </c>
      <c r="BC72" s="1">
        <v>95.418000000000006</v>
      </c>
      <c r="BD72" s="1">
        <v>126.35</v>
      </c>
      <c r="BE72" s="1">
        <v>119.7</v>
      </c>
      <c r="BF72" s="1">
        <v>156.27500000000001</v>
      </c>
      <c r="BG72" s="1">
        <v>86.45</v>
      </c>
      <c r="BH72" s="1">
        <v>113.05</v>
      </c>
      <c r="BI72" s="1">
        <v>63.174999999999997</v>
      </c>
      <c r="BJ72" s="1">
        <v>129.67500000000001</v>
      </c>
      <c r="BK72" s="1">
        <v>77.510000000000005</v>
      </c>
      <c r="BL72" s="1">
        <v>64.030000000000015</v>
      </c>
      <c r="BM72" s="1">
        <v>84.25</v>
      </c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70"/>
      <c r="BY72" s="113"/>
      <c r="BZ72" s="1"/>
      <c r="CA72" s="1"/>
      <c r="CB72" s="1"/>
      <c r="CC72" s="1"/>
      <c r="CD72" s="1"/>
      <c r="CE72" s="114"/>
      <c r="CF72" s="113"/>
      <c r="CG72" s="1"/>
      <c r="CH72" s="1"/>
      <c r="CI72" s="1"/>
      <c r="CJ72" s="1"/>
      <c r="CK72" s="1"/>
      <c r="CL72" s="114"/>
      <c r="CM72" s="113">
        <f t="shared" si="9"/>
        <v>9828.9790000000012</v>
      </c>
    </row>
    <row r="73" spans="1:91" x14ac:dyDescent="0.3">
      <c r="A73" s="78" t="s">
        <v>193</v>
      </c>
      <c r="B73" s="1">
        <v>33.091999999999999</v>
      </c>
      <c r="C73" s="1">
        <v>33.281999999999996</v>
      </c>
      <c r="D73" s="1">
        <v>1.8381700000000001</v>
      </c>
      <c r="E73" s="114">
        <v>31.787800000000001</v>
      </c>
      <c r="F73" s="124" t="s">
        <v>246</v>
      </c>
      <c r="G73" s="113"/>
      <c r="H73" s="1"/>
      <c r="I73" s="1">
        <f>AVERAGE(I71,I72)</f>
        <v>113.18400000000001</v>
      </c>
      <c r="J73" s="1">
        <f t="shared" ref="J73:BM73" si="10">AVERAGE(J71,J72)</f>
        <v>129.24525</v>
      </c>
      <c r="K73" s="1">
        <f t="shared" si="10"/>
        <v>239.911</v>
      </c>
      <c r="L73" s="1">
        <f t="shared" si="10"/>
        <v>281.32225</v>
      </c>
      <c r="M73" s="1">
        <f t="shared" si="10"/>
        <v>268.4855</v>
      </c>
      <c r="N73" s="1">
        <f t="shared" si="10"/>
        <v>270.34550000000002</v>
      </c>
      <c r="O73" s="1">
        <f t="shared" si="10"/>
        <v>350.65350000000001</v>
      </c>
      <c r="P73" s="1">
        <f t="shared" si="10"/>
        <v>184.79500000000002</v>
      </c>
      <c r="Q73" s="1">
        <f t="shared" si="10"/>
        <v>321.46350000000001</v>
      </c>
      <c r="R73" s="1">
        <f t="shared" si="10"/>
        <v>306.99125000000004</v>
      </c>
      <c r="S73" s="1">
        <f t="shared" si="10"/>
        <v>316.95999999999998</v>
      </c>
      <c r="T73" s="1">
        <f t="shared" si="10"/>
        <v>122.44049999999999</v>
      </c>
      <c r="U73" s="1">
        <f t="shared" si="10"/>
        <v>97.174999999999997</v>
      </c>
      <c r="V73" s="1">
        <f t="shared" si="10"/>
        <v>297.90299999999996</v>
      </c>
      <c r="W73" s="1">
        <f t="shared" si="10"/>
        <v>266.37324999999998</v>
      </c>
      <c r="X73" s="1">
        <f t="shared" si="10"/>
        <v>218.93649999999997</v>
      </c>
      <c r="Y73" s="1">
        <f t="shared" si="10"/>
        <v>223.13574999999997</v>
      </c>
      <c r="Z73" s="1">
        <f t="shared" si="10"/>
        <v>300.88225</v>
      </c>
      <c r="AA73" s="1">
        <f t="shared" si="10"/>
        <v>315.74475000000001</v>
      </c>
      <c r="AB73" s="1">
        <f t="shared" si="10"/>
        <v>286.24475000000001</v>
      </c>
      <c r="AC73" s="1">
        <f t="shared" si="10"/>
        <v>288.09300000000002</v>
      </c>
      <c r="AD73" s="1">
        <f t="shared" si="10"/>
        <v>265.7</v>
      </c>
      <c r="AE73" s="1">
        <f t="shared" si="10"/>
        <v>204.81625</v>
      </c>
      <c r="AF73" s="1">
        <f t="shared" si="10"/>
        <v>173.43049999999999</v>
      </c>
      <c r="AG73" s="1">
        <f t="shared" si="10"/>
        <v>210.36750000000001</v>
      </c>
      <c r="AH73" s="1">
        <f t="shared" si="10"/>
        <v>163.73125000000002</v>
      </c>
      <c r="AI73" s="1">
        <f t="shared" si="10"/>
        <v>146.16550000000001</v>
      </c>
      <c r="AJ73" s="1">
        <f t="shared" si="10"/>
        <v>113.03125000000001</v>
      </c>
      <c r="AK73" s="1">
        <f t="shared" si="10"/>
        <v>99.179750000000013</v>
      </c>
      <c r="AL73" s="1">
        <f t="shared" si="10"/>
        <v>102.50325000000001</v>
      </c>
      <c r="AM73" s="1">
        <f t="shared" si="10"/>
        <v>112.47375000000001</v>
      </c>
      <c r="AN73" s="1">
        <f t="shared" si="10"/>
        <v>107.75180000000002</v>
      </c>
      <c r="AO73" s="1">
        <f t="shared" si="10"/>
        <v>107.36725000000001</v>
      </c>
      <c r="AP73" s="1">
        <f t="shared" si="10"/>
        <v>110.61250000000001</v>
      </c>
      <c r="AQ73" s="1">
        <f t="shared" si="10"/>
        <v>116.11500000000001</v>
      </c>
      <c r="AR73" s="1">
        <f t="shared" si="10"/>
        <v>80.359350000000006</v>
      </c>
      <c r="AS73" s="1">
        <f t="shared" si="10"/>
        <v>144.58075000000002</v>
      </c>
      <c r="AT73" s="1">
        <f t="shared" si="10"/>
        <v>76.972250000000003</v>
      </c>
      <c r="AU73" s="1">
        <f t="shared" si="10"/>
        <v>145.25645</v>
      </c>
      <c r="AV73" s="1">
        <f t="shared" si="10"/>
        <v>170.99324999999999</v>
      </c>
      <c r="AW73" s="1">
        <f t="shared" si="10"/>
        <v>202.73935</v>
      </c>
      <c r="AX73" s="1">
        <f t="shared" si="10"/>
        <v>111.74825</v>
      </c>
      <c r="AY73" s="1">
        <f t="shared" si="10"/>
        <v>55.682549999999999</v>
      </c>
      <c r="AZ73" s="1">
        <f t="shared" si="10"/>
        <v>93.184850000000012</v>
      </c>
      <c r="BA73" s="1">
        <f t="shared" si="10"/>
        <v>125.07380000000001</v>
      </c>
      <c r="BB73" s="1">
        <f t="shared" si="10"/>
        <v>140.51600000000002</v>
      </c>
      <c r="BC73" s="1">
        <f t="shared" si="10"/>
        <v>103.05825000000002</v>
      </c>
      <c r="BD73" s="1">
        <f t="shared" si="10"/>
        <v>115.16974999999999</v>
      </c>
      <c r="BE73" s="1">
        <f t="shared" si="10"/>
        <v>126.94</v>
      </c>
      <c r="BF73" s="1">
        <f t="shared" si="10"/>
        <v>165.35450000000003</v>
      </c>
      <c r="BG73" s="1">
        <f t="shared" si="10"/>
        <v>110.315</v>
      </c>
      <c r="BH73" s="1">
        <f t="shared" si="10"/>
        <v>120.26050000000001</v>
      </c>
      <c r="BI73" s="1">
        <f t="shared" si="10"/>
        <v>71.841499999999996</v>
      </c>
      <c r="BJ73" s="1">
        <f t="shared" si="10"/>
        <v>120.18675000000002</v>
      </c>
      <c r="BK73" s="1">
        <f t="shared" si="10"/>
        <v>61.811250000000001</v>
      </c>
      <c r="BL73" s="1">
        <f t="shared" si="10"/>
        <v>54.149000000000008</v>
      </c>
      <c r="BM73" s="1">
        <f t="shared" si="10"/>
        <v>69.792500000000004</v>
      </c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14"/>
      <c r="CF73" s="113"/>
      <c r="CG73" s="1"/>
      <c r="CH73" s="1"/>
      <c r="CI73" s="1"/>
      <c r="CJ73" s="1"/>
      <c r="CK73" s="1"/>
      <c r="CL73" s="114"/>
      <c r="CM73" s="113">
        <f>SUM(G73:CL73)</f>
        <v>9699.5168999999987</v>
      </c>
    </row>
    <row r="74" spans="1:91" s="143" customFormat="1" x14ac:dyDescent="0.3">
      <c r="A74" s="85">
        <v>5</v>
      </c>
      <c r="B74" s="1"/>
      <c r="C74" s="1"/>
      <c r="D74" s="1"/>
      <c r="E74" s="114"/>
      <c r="F74" s="124"/>
      <c r="G74" s="113"/>
      <c r="H74" s="1"/>
      <c r="I74" s="1">
        <v>43.824000000000005</v>
      </c>
      <c r="J74" s="1">
        <v>0</v>
      </c>
      <c r="K74" s="1">
        <v>0</v>
      </c>
      <c r="L74" s="1">
        <v>2.2825000000000002</v>
      </c>
      <c r="M74" s="1">
        <v>31.498500000000003</v>
      </c>
      <c r="N74" s="1">
        <v>19.173000000000002</v>
      </c>
      <c r="O74" s="1">
        <v>20.086000000000002</v>
      </c>
      <c r="P74" s="1">
        <v>20.086000000000002</v>
      </c>
      <c r="Q74" s="1">
        <v>20.999000000000002</v>
      </c>
      <c r="R74" s="1">
        <v>41.998000000000005</v>
      </c>
      <c r="S74" s="1">
        <v>78.061500000000009</v>
      </c>
      <c r="T74" s="1">
        <v>33.781000000000006</v>
      </c>
      <c r="U74" s="1">
        <v>52.041000000000004</v>
      </c>
      <c r="V74" s="1">
        <v>40.172000000000004</v>
      </c>
      <c r="W74" s="1">
        <v>45.1935</v>
      </c>
      <c r="X74" s="1">
        <v>67.364999999999995</v>
      </c>
      <c r="Y74" s="1">
        <v>65.867999999999995</v>
      </c>
      <c r="Z74" s="1">
        <v>71.856000000000009</v>
      </c>
      <c r="AA74" s="1">
        <v>67.364999999999995</v>
      </c>
      <c r="AB74" s="1">
        <v>71.107500000000002</v>
      </c>
      <c r="AC74" s="1">
        <v>68.76100000000001</v>
      </c>
      <c r="AD74" s="1">
        <v>76.076000000000008</v>
      </c>
      <c r="AE74" s="1">
        <v>59.251500000000007</v>
      </c>
      <c r="AF74" s="1">
        <v>48.143999999999998</v>
      </c>
      <c r="AG74" s="1">
        <v>33.983999999999995</v>
      </c>
      <c r="AH74" s="1">
        <v>35.872</v>
      </c>
      <c r="AI74" s="1">
        <v>35.872</v>
      </c>
      <c r="AJ74" s="1">
        <v>25.96</v>
      </c>
      <c r="AK74" s="1">
        <v>25.96</v>
      </c>
      <c r="AL74" s="1">
        <v>23.127999999999997</v>
      </c>
      <c r="AM74" s="1">
        <v>21.712</v>
      </c>
      <c r="AN74" s="1">
        <v>18.408000000000001</v>
      </c>
      <c r="AO74" s="1">
        <v>16.52</v>
      </c>
      <c r="AP74" s="1">
        <v>14.16</v>
      </c>
      <c r="AQ74" s="1">
        <v>13.215999999999999</v>
      </c>
      <c r="AR74" s="1">
        <v>8.968</v>
      </c>
      <c r="AS74" s="1">
        <v>6.6079999999999997</v>
      </c>
      <c r="AT74" s="1">
        <v>7.5519999999999996</v>
      </c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70"/>
      <c r="BK74" s="113"/>
      <c r="BL74" s="1"/>
      <c r="BM74" s="1"/>
      <c r="BN74" s="1"/>
      <c r="BO74" s="1"/>
      <c r="BP74" s="1"/>
      <c r="BQ74" s="70"/>
      <c r="BR74" s="113"/>
      <c r="BS74" s="1"/>
      <c r="BT74" s="1"/>
      <c r="BU74" s="1"/>
      <c r="BV74" s="1"/>
      <c r="BW74" s="1"/>
      <c r="BX74" s="70"/>
      <c r="BY74" s="113"/>
      <c r="BZ74" s="1"/>
      <c r="CA74" s="1"/>
      <c r="CB74" s="1"/>
      <c r="CC74" s="1"/>
      <c r="CD74" s="1"/>
      <c r="CE74" s="114"/>
      <c r="CF74" s="113"/>
      <c r="CG74" s="1"/>
      <c r="CH74" s="1"/>
      <c r="CI74" s="1"/>
      <c r="CJ74" s="1"/>
      <c r="CK74" s="1"/>
      <c r="CL74" s="114"/>
      <c r="CM74" s="113">
        <f t="shared" ref="CM74:CM75" si="11">SUM(G74:CL74)</f>
        <v>1332.9099999999999</v>
      </c>
    </row>
    <row r="75" spans="1:91" s="143" customFormat="1" x14ac:dyDescent="0.3">
      <c r="A75" s="85">
        <v>24</v>
      </c>
      <c r="B75" s="1"/>
      <c r="C75" s="1"/>
      <c r="D75" s="1"/>
      <c r="E75" s="114"/>
      <c r="F75" s="124"/>
      <c r="G75" s="113"/>
      <c r="H75" s="1"/>
      <c r="I75" s="1">
        <v>0</v>
      </c>
      <c r="J75" s="1">
        <v>0</v>
      </c>
      <c r="K75" s="1">
        <v>19.385999999999999</v>
      </c>
      <c r="L75" s="1">
        <v>18.8475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3.2309999999999999</v>
      </c>
      <c r="S75" s="1">
        <v>35.540999999999997</v>
      </c>
      <c r="T75" s="1">
        <v>0</v>
      </c>
      <c r="U75" s="1">
        <v>101.48</v>
      </c>
      <c r="V75" s="1">
        <v>23.6</v>
      </c>
      <c r="W75" s="1">
        <v>120.36</v>
      </c>
      <c r="X75" s="1">
        <v>57.82</v>
      </c>
      <c r="Y75" s="1">
        <v>55.46</v>
      </c>
      <c r="Z75" s="1">
        <v>61.36</v>
      </c>
      <c r="AA75" s="1">
        <v>95.375</v>
      </c>
      <c r="AB75" s="1">
        <v>93.467500000000001</v>
      </c>
      <c r="AC75" s="1">
        <v>101.0975</v>
      </c>
      <c r="AD75" s="1">
        <v>97.282499999999999</v>
      </c>
      <c r="AE75" s="1">
        <v>75.603999999999999</v>
      </c>
      <c r="AF75" s="1">
        <v>101.42</v>
      </c>
      <c r="AG75" s="1">
        <v>73.760000000000005</v>
      </c>
      <c r="AH75" s="1">
        <v>79.292000000000002</v>
      </c>
      <c r="AI75" s="1">
        <v>81.13600000000001</v>
      </c>
      <c r="AJ75" s="1">
        <v>38.724000000000004</v>
      </c>
      <c r="AK75" s="1">
        <v>17.197500000000002</v>
      </c>
      <c r="AL75" s="1">
        <v>17.197500000000002</v>
      </c>
      <c r="AM75" s="1">
        <v>29.809000000000001</v>
      </c>
      <c r="AN75" s="1">
        <v>26.369499999999999</v>
      </c>
      <c r="AO75" s="1">
        <v>22.93</v>
      </c>
      <c r="AP75" s="1">
        <v>16.050999999999998</v>
      </c>
      <c r="AQ75" s="1">
        <v>19.490500000000001</v>
      </c>
      <c r="AR75" s="1">
        <v>18.344000000000001</v>
      </c>
      <c r="AS75" s="1">
        <v>3.4394999999999998</v>
      </c>
      <c r="AT75" s="1">
        <v>4.5860000000000003</v>
      </c>
      <c r="AU75" s="1">
        <v>11.064</v>
      </c>
      <c r="AV75" s="1">
        <v>5.532</v>
      </c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70"/>
      <c r="BK75" s="113"/>
      <c r="BL75" s="1"/>
      <c r="BM75" s="1"/>
      <c r="BN75" s="1"/>
      <c r="BO75" s="1"/>
      <c r="BP75" s="1"/>
      <c r="BQ75" s="70"/>
      <c r="BR75" s="113"/>
      <c r="BS75" s="1"/>
      <c r="BT75" s="1"/>
      <c r="BU75" s="1"/>
      <c r="BV75" s="1"/>
      <c r="BW75" s="1"/>
      <c r="BX75" s="70"/>
      <c r="BY75" s="113"/>
      <c r="BZ75" s="1"/>
      <c r="CA75" s="1"/>
      <c r="CB75" s="1"/>
      <c r="CC75" s="1"/>
      <c r="CD75" s="1"/>
      <c r="CE75" s="114"/>
      <c r="CF75" s="113"/>
      <c r="CG75" s="1"/>
      <c r="CH75" s="1"/>
      <c r="CI75" s="1"/>
      <c r="CJ75" s="1"/>
      <c r="CK75" s="1"/>
      <c r="CL75" s="114"/>
      <c r="CM75" s="113">
        <f t="shared" si="11"/>
        <v>1526.2544999999998</v>
      </c>
    </row>
    <row r="76" spans="1:91" x14ac:dyDescent="0.3">
      <c r="A76" s="85" t="s">
        <v>195</v>
      </c>
      <c r="B76" s="1">
        <v>33.561</v>
      </c>
      <c r="C76" s="1">
        <v>1.4806999999999999</v>
      </c>
      <c r="D76" s="1">
        <v>32.657699999999998</v>
      </c>
      <c r="E76" s="114">
        <v>32.300600000000003</v>
      </c>
      <c r="F76" s="124" t="s">
        <v>247</v>
      </c>
      <c r="G76" s="113"/>
      <c r="H76" s="1"/>
      <c r="I76" s="1">
        <f>AVERAGE(I74,I75)</f>
        <v>21.912000000000003</v>
      </c>
      <c r="J76" s="1">
        <f t="shared" ref="J76:AV76" si="12">AVERAGE(J74,J75)</f>
        <v>0</v>
      </c>
      <c r="K76" s="1">
        <f t="shared" si="12"/>
        <v>9.6929999999999996</v>
      </c>
      <c r="L76" s="1">
        <f t="shared" si="12"/>
        <v>10.565</v>
      </c>
      <c r="M76" s="1">
        <f t="shared" si="12"/>
        <v>15.749250000000002</v>
      </c>
      <c r="N76" s="1">
        <f t="shared" si="12"/>
        <v>9.5865000000000009</v>
      </c>
      <c r="O76" s="1">
        <f t="shared" si="12"/>
        <v>10.043000000000001</v>
      </c>
      <c r="P76" s="1">
        <f t="shared" si="12"/>
        <v>10.043000000000001</v>
      </c>
      <c r="Q76" s="1">
        <f t="shared" si="12"/>
        <v>10.499500000000001</v>
      </c>
      <c r="R76" s="1">
        <f t="shared" si="12"/>
        <v>22.614500000000003</v>
      </c>
      <c r="S76" s="1">
        <f t="shared" si="12"/>
        <v>56.801250000000003</v>
      </c>
      <c r="T76" s="1">
        <f t="shared" si="12"/>
        <v>16.890500000000003</v>
      </c>
      <c r="U76" s="1">
        <f t="shared" si="12"/>
        <v>76.760500000000008</v>
      </c>
      <c r="V76" s="1">
        <f t="shared" si="12"/>
        <v>31.886000000000003</v>
      </c>
      <c r="W76" s="1">
        <f t="shared" si="12"/>
        <v>82.776749999999993</v>
      </c>
      <c r="X76" s="1">
        <f t="shared" si="12"/>
        <v>62.592500000000001</v>
      </c>
      <c r="Y76" s="1">
        <f t="shared" si="12"/>
        <v>60.664000000000001</v>
      </c>
      <c r="Z76" s="1">
        <f t="shared" si="12"/>
        <v>66.608000000000004</v>
      </c>
      <c r="AA76" s="1">
        <f t="shared" si="12"/>
        <v>81.37</v>
      </c>
      <c r="AB76" s="1">
        <f t="shared" si="12"/>
        <v>82.287499999999994</v>
      </c>
      <c r="AC76" s="1">
        <f t="shared" si="12"/>
        <v>84.929249999999996</v>
      </c>
      <c r="AD76" s="1">
        <f t="shared" si="12"/>
        <v>86.679249999999996</v>
      </c>
      <c r="AE76" s="1">
        <f t="shared" si="12"/>
        <v>67.427750000000003</v>
      </c>
      <c r="AF76" s="1">
        <f t="shared" si="12"/>
        <v>74.781999999999996</v>
      </c>
      <c r="AG76" s="1">
        <f t="shared" si="12"/>
        <v>53.872</v>
      </c>
      <c r="AH76" s="1">
        <f t="shared" si="12"/>
        <v>57.582000000000001</v>
      </c>
      <c r="AI76" s="1">
        <f t="shared" si="12"/>
        <v>58.504000000000005</v>
      </c>
      <c r="AJ76" s="1">
        <f t="shared" si="12"/>
        <v>32.341999999999999</v>
      </c>
      <c r="AK76" s="1">
        <f t="shared" si="12"/>
        <v>21.578749999999999</v>
      </c>
      <c r="AL76" s="1">
        <f t="shared" si="12"/>
        <v>20.162749999999999</v>
      </c>
      <c r="AM76" s="1">
        <f t="shared" si="12"/>
        <v>25.7605</v>
      </c>
      <c r="AN76" s="1">
        <f t="shared" si="12"/>
        <v>22.388750000000002</v>
      </c>
      <c r="AO76" s="1">
        <f t="shared" si="12"/>
        <v>19.725000000000001</v>
      </c>
      <c r="AP76" s="1">
        <f t="shared" si="12"/>
        <v>15.105499999999999</v>
      </c>
      <c r="AQ76" s="1">
        <f t="shared" si="12"/>
        <v>16.353249999999999</v>
      </c>
      <c r="AR76" s="1">
        <f t="shared" si="12"/>
        <v>13.656000000000001</v>
      </c>
      <c r="AS76" s="1">
        <f t="shared" si="12"/>
        <v>5.0237499999999997</v>
      </c>
      <c r="AT76" s="1">
        <f t="shared" si="12"/>
        <v>6.069</v>
      </c>
      <c r="AU76" s="1">
        <f t="shared" si="12"/>
        <v>11.064</v>
      </c>
      <c r="AV76" s="1">
        <f t="shared" si="12"/>
        <v>5.532</v>
      </c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14"/>
      <c r="BK76" s="113"/>
      <c r="BL76" s="1"/>
      <c r="BM76" s="1"/>
      <c r="BN76" s="1"/>
      <c r="BO76" s="1"/>
      <c r="BP76" s="1"/>
      <c r="BQ76" s="114"/>
      <c r="BR76" s="113"/>
      <c r="BS76" s="1"/>
      <c r="BT76" s="1"/>
      <c r="BU76" s="1"/>
      <c r="BV76" s="1"/>
      <c r="BW76" s="1"/>
      <c r="BX76" s="114"/>
      <c r="BY76" s="113"/>
      <c r="BZ76" s="1"/>
      <c r="CA76" s="1"/>
      <c r="CB76" s="1"/>
      <c r="CC76" s="1"/>
      <c r="CD76" s="1"/>
      <c r="CE76" s="114"/>
      <c r="CF76" s="113"/>
      <c r="CG76" s="1"/>
      <c r="CH76" s="1"/>
      <c r="CI76" s="1"/>
      <c r="CJ76" s="1"/>
      <c r="CK76" s="1"/>
      <c r="CL76" s="114"/>
      <c r="CM76" s="113">
        <f>SUM(G76:CL76)</f>
        <v>1437.8802499999999</v>
      </c>
    </row>
    <row r="77" spans="1:91" s="174" customFormat="1" x14ac:dyDescent="0.3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13"/>
    </row>
    <row r="78" spans="1:91" s="174" customFormat="1" x14ac:dyDescent="0.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13"/>
    </row>
    <row r="79" spans="1:91" s="13" customFormat="1" x14ac:dyDescent="0.3">
      <c r="A79" s="18" t="s">
        <v>216</v>
      </c>
      <c r="F79" s="2"/>
      <c r="CM79" s="113"/>
    </row>
    <row r="80" spans="1:91" s="174" customFormat="1" x14ac:dyDescent="0.3">
      <c r="A80" s="1" t="s">
        <v>169</v>
      </c>
      <c r="B80" s="1" t="s">
        <v>46</v>
      </c>
      <c r="C80" s="1" t="s">
        <v>248</v>
      </c>
      <c r="D80" s="1" t="s">
        <v>48</v>
      </c>
      <c r="E80" s="114" t="s">
        <v>54</v>
      </c>
      <c r="F80" s="114"/>
      <c r="G80" s="115">
        <v>45327</v>
      </c>
      <c r="H80" s="173">
        <v>0</v>
      </c>
      <c r="I80" s="173">
        <v>1</v>
      </c>
      <c r="J80" s="173">
        <v>2</v>
      </c>
      <c r="K80" s="173">
        <v>3</v>
      </c>
      <c r="L80" s="173">
        <v>4</v>
      </c>
      <c r="M80" s="173">
        <v>5</v>
      </c>
      <c r="N80" s="173">
        <v>6</v>
      </c>
      <c r="O80" s="173">
        <v>7</v>
      </c>
      <c r="P80" s="173">
        <v>8</v>
      </c>
      <c r="Q80" s="173">
        <v>9</v>
      </c>
      <c r="R80" s="173">
        <v>10</v>
      </c>
      <c r="S80" s="173">
        <v>11</v>
      </c>
      <c r="T80" s="173">
        <v>12</v>
      </c>
      <c r="U80" s="173">
        <v>13</v>
      </c>
      <c r="V80" s="173">
        <v>14</v>
      </c>
      <c r="W80" s="173">
        <v>15</v>
      </c>
      <c r="X80" s="173">
        <v>16</v>
      </c>
      <c r="Y80" s="173">
        <v>17</v>
      </c>
      <c r="Z80" s="173">
        <v>18</v>
      </c>
      <c r="AA80" s="173">
        <v>19</v>
      </c>
      <c r="AB80" s="173">
        <v>20</v>
      </c>
      <c r="AC80" s="173">
        <v>21</v>
      </c>
      <c r="AD80" s="173">
        <v>22</v>
      </c>
      <c r="AE80" s="173">
        <v>23</v>
      </c>
      <c r="AF80" s="173">
        <v>24</v>
      </c>
      <c r="AG80" s="173">
        <v>25</v>
      </c>
      <c r="AH80" s="173">
        <v>26</v>
      </c>
      <c r="AI80" s="173">
        <v>27</v>
      </c>
      <c r="AJ80" s="173">
        <v>28</v>
      </c>
      <c r="AK80" s="173">
        <v>29</v>
      </c>
      <c r="AL80" s="173">
        <v>30</v>
      </c>
      <c r="AM80" s="173">
        <v>31</v>
      </c>
      <c r="AN80" s="173">
        <v>32</v>
      </c>
      <c r="AO80" s="173">
        <v>33</v>
      </c>
      <c r="AP80" s="173">
        <v>34</v>
      </c>
      <c r="AQ80" s="173">
        <v>35</v>
      </c>
      <c r="AR80" s="173">
        <v>36</v>
      </c>
      <c r="AS80" s="173">
        <v>37</v>
      </c>
      <c r="AT80" s="173">
        <v>38</v>
      </c>
      <c r="AU80" s="173">
        <v>39</v>
      </c>
      <c r="AV80" s="173">
        <v>40</v>
      </c>
      <c r="AW80" s="173">
        <v>41</v>
      </c>
      <c r="AX80" s="173">
        <v>42</v>
      </c>
      <c r="AY80" s="173">
        <v>43</v>
      </c>
      <c r="AZ80" s="173">
        <v>44</v>
      </c>
      <c r="BA80" s="173">
        <v>45</v>
      </c>
      <c r="BB80" s="173">
        <v>46</v>
      </c>
      <c r="BC80" s="173">
        <v>47</v>
      </c>
      <c r="BD80" s="173">
        <v>48</v>
      </c>
      <c r="BE80" s="173">
        <v>49</v>
      </c>
      <c r="BF80" s="173">
        <v>50</v>
      </c>
      <c r="BG80" s="173">
        <v>51</v>
      </c>
      <c r="BH80" s="173">
        <v>52</v>
      </c>
      <c r="BI80" s="173">
        <v>53</v>
      </c>
      <c r="BJ80" s="173">
        <v>54</v>
      </c>
      <c r="BK80" s="173">
        <v>55</v>
      </c>
      <c r="BL80" s="173">
        <v>56</v>
      </c>
      <c r="BM80" s="173">
        <v>57</v>
      </c>
      <c r="BN80" s="173">
        <v>58</v>
      </c>
      <c r="BO80" s="173">
        <v>59</v>
      </c>
      <c r="BP80" s="173">
        <v>60</v>
      </c>
      <c r="BQ80" s="173">
        <v>61</v>
      </c>
      <c r="BR80" s="173">
        <v>62</v>
      </c>
      <c r="BS80" s="173">
        <v>63</v>
      </c>
      <c r="BT80" s="173">
        <v>64</v>
      </c>
      <c r="BU80" s="173">
        <v>65</v>
      </c>
      <c r="BV80" s="173">
        <v>66</v>
      </c>
      <c r="BW80" s="173">
        <v>67</v>
      </c>
      <c r="BX80" s="173">
        <v>68</v>
      </c>
      <c r="BY80" s="173">
        <v>69</v>
      </c>
      <c r="BZ80" s="173">
        <v>70</v>
      </c>
      <c r="CA80" s="173">
        <v>71</v>
      </c>
      <c r="CB80" s="173">
        <v>72</v>
      </c>
      <c r="CC80" s="173">
        <v>73</v>
      </c>
      <c r="CD80" s="173">
        <v>74</v>
      </c>
      <c r="CE80" s="173">
        <v>75</v>
      </c>
      <c r="CF80" s="173">
        <v>76</v>
      </c>
      <c r="CG80" s="173">
        <v>77</v>
      </c>
      <c r="CH80" s="117"/>
      <c r="CI80" s="117"/>
      <c r="CJ80" s="117"/>
      <c r="CK80" s="117"/>
      <c r="CL80" s="118"/>
      <c r="CM80" s="113" t="s">
        <v>34</v>
      </c>
    </row>
    <row r="81" spans="1:93" s="143" customFormat="1" x14ac:dyDescent="0.3">
      <c r="A81" s="101" t="s">
        <v>189</v>
      </c>
      <c r="B81" s="13"/>
      <c r="C81" s="13"/>
      <c r="D81" s="13"/>
      <c r="E81" s="13"/>
      <c r="F81" s="161" t="s">
        <v>243</v>
      </c>
      <c r="G81" s="13"/>
      <c r="H81" s="13">
        <v>0</v>
      </c>
      <c r="I81" s="13">
        <f>I66</f>
        <v>72.872500000000002</v>
      </c>
      <c r="J81" s="13">
        <f t="shared" ref="J81:AL81" si="13">J66</f>
        <v>40.557500000000005</v>
      </c>
      <c r="K81" s="13">
        <f t="shared" si="13"/>
        <v>40.484999999999999</v>
      </c>
      <c r="L81" s="13">
        <f t="shared" si="13"/>
        <v>64.106250000000003</v>
      </c>
      <c r="M81" s="13">
        <f t="shared" si="13"/>
        <v>99.096249999999998</v>
      </c>
      <c r="N81" s="13">
        <f t="shared" si="13"/>
        <v>163.29374999999999</v>
      </c>
      <c r="O81" s="13">
        <f t="shared" si="13"/>
        <v>177.53625</v>
      </c>
      <c r="P81" s="13">
        <f t="shared" si="13"/>
        <v>159.30000000000001</v>
      </c>
      <c r="Q81" s="13">
        <f t="shared" si="13"/>
        <v>196.24250000000001</v>
      </c>
      <c r="R81" s="13">
        <f t="shared" si="13"/>
        <v>207.17700000000002</v>
      </c>
      <c r="S81" s="13">
        <f t="shared" si="13"/>
        <v>392.54275000000001</v>
      </c>
      <c r="T81" s="13">
        <f t="shared" si="13"/>
        <v>393.55825000000004</v>
      </c>
      <c r="U81" s="13">
        <f t="shared" si="13"/>
        <v>241.20825000000002</v>
      </c>
      <c r="V81" s="13">
        <f t="shared" si="13"/>
        <v>209.94874999999999</v>
      </c>
      <c r="W81" s="13">
        <f t="shared" si="13"/>
        <v>161.4855</v>
      </c>
      <c r="X81" s="13">
        <f t="shared" si="13"/>
        <v>170.40475000000001</v>
      </c>
      <c r="Y81" s="13">
        <f t="shared" si="13"/>
        <v>144.03</v>
      </c>
      <c r="Z81" s="13">
        <f t="shared" si="13"/>
        <v>144.92500000000001</v>
      </c>
      <c r="AA81" s="13">
        <f t="shared" si="13"/>
        <v>118.24000000000001</v>
      </c>
      <c r="AB81" s="13">
        <f t="shared" si="13"/>
        <v>91.068749999999994</v>
      </c>
      <c r="AC81" s="13">
        <f t="shared" si="13"/>
        <v>92.009999999999991</v>
      </c>
      <c r="AD81" s="13">
        <f t="shared" si="13"/>
        <v>108.10499999999999</v>
      </c>
      <c r="AE81" s="13">
        <f t="shared" si="13"/>
        <v>74.509</v>
      </c>
      <c r="AF81" s="13">
        <f t="shared" si="13"/>
        <v>84.42025000000001</v>
      </c>
      <c r="AG81" s="13">
        <f t="shared" si="13"/>
        <v>54.316249999999997</v>
      </c>
      <c r="AH81" s="13">
        <f t="shared" si="13"/>
        <v>55.712500000000006</v>
      </c>
      <c r="AI81" s="13">
        <f t="shared" si="13"/>
        <v>109.7405</v>
      </c>
      <c r="AJ81" s="13">
        <f t="shared" si="13"/>
        <v>51.40475</v>
      </c>
      <c r="AK81" s="13">
        <f t="shared" si="13"/>
        <v>26.463250000000002</v>
      </c>
      <c r="AL81" s="13">
        <f t="shared" si="13"/>
        <v>24.206249999999997</v>
      </c>
      <c r="AM81" s="13">
        <f>AM66</f>
        <v>19.297499999999999</v>
      </c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13">
        <f>SUM(G81:CL81)</f>
        <v>3988.2642500000002</v>
      </c>
    </row>
    <row r="82" spans="1:93" s="143" customFormat="1" x14ac:dyDescent="0.3">
      <c r="A82" s="3">
        <v>21</v>
      </c>
      <c r="B82" s="13"/>
      <c r="C82" s="13"/>
      <c r="D82" s="13"/>
      <c r="E82" s="13"/>
      <c r="F82" s="161" t="s">
        <v>244</v>
      </c>
      <c r="G82" s="13"/>
      <c r="H82" s="13">
        <v>0</v>
      </c>
      <c r="I82" s="13">
        <f>I67</f>
        <v>89.628999999999991</v>
      </c>
      <c r="J82" s="13">
        <f t="shared" ref="J82:BB82" si="14">J67</f>
        <v>72.466000000000008</v>
      </c>
      <c r="K82" s="13">
        <f t="shared" si="14"/>
        <v>72.466000000000008</v>
      </c>
      <c r="L82" s="13">
        <f t="shared" si="14"/>
        <v>70.559000000000012</v>
      </c>
      <c r="M82" s="13">
        <f t="shared" si="14"/>
        <v>59.116999999999997</v>
      </c>
      <c r="N82" s="13">
        <f t="shared" si="14"/>
        <v>61.023999999999994</v>
      </c>
      <c r="O82" s="13">
        <f t="shared" si="14"/>
        <v>78.186999999999998</v>
      </c>
      <c r="P82" s="13">
        <f t="shared" si="14"/>
        <v>112.51299999999999</v>
      </c>
      <c r="Q82" s="13">
        <f t="shared" si="14"/>
        <v>148.74600000000001</v>
      </c>
      <c r="R82" s="13">
        <f t="shared" si="14"/>
        <v>177.351</v>
      </c>
      <c r="S82" s="13">
        <f t="shared" si="14"/>
        <v>188.79300000000001</v>
      </c>
      <c r="T82" s="13">
        <f t="shared" si="14"/>
        <v>143.02500000000001</v>
      </c>
      <c r="U82" s="13">
        <f t="shared" si="14"/>
        <v>160.18800000000002</v>
      </c>
      <c r="V82" s="13">
        <f t="shared" si="14"/>
        <v>194.51400000000001</v>
      </c>
      <c r="W82" s="13">
        <f t="shared" si="14"/>
        <v>221.21200000000002</v>
      </c>
      <c r="X82" s="13">
        <f t="shared" si="14"/>
        <v>231.6335</v>
      </c>
      <c r="Y82" s="13">
        <f t="shared" si="14"/>
        <v>225.79400000000001</v>
      </c>
      <c r="Z82" s="13">
        <f t="shared" si="14"/>
        <v>241.36599999999999</v>
      </c>
      <c r="AA82" s="13">
        <f t="shared" si="14"/>
        <v>229.68700000000001</v>
      </c>
      <c r="AB82" s="13">
        <f t="shared" si="14"/>
        <v>142.744</v>
      </c>
      <c r="AC82" s="13">
        <f t="shared" si="14"/>
        <v>140.19499999999999</v>
      </c>
      <c r="AD82" s="13">
        <f t="shared" si="14"/>
        <v>194.32</v>
      </c>
      <c r="AE82" s="13">
        <f t="shared" si="14"/>
        <v>215.14</v>
      </c>
      <c r="AF82" s="13">
        <f t="shared" si="14"/>
        <v>187.38</v>
      </c>
      <c r="AG82" s="13">
        <f t="shared" si="14"/>
        <v>178.70500000000001</v>
      </c>
      <c r="AH82" s="13">
        <f t="shared" si="14"/>
        <v>176.97</v>
      </c>
      <c r="AI82" s="13">
        <f t="shared" si="14"/>
        <v>180.44</v>
      </c>
      <c r="AJ82" s="13">
        <f t="shared" si="14"/>
        <v>145.74</v>
      </c>
      <c r="AK82" s="13">
        <f t="shared" si="14"/>
        <v>131.86000000000001</v>
      </c>
      <c r="AL82" s="13">
        <f t="shared" si="14"/>
        <v>131.86000000000001</v>
      </c>
      <c r="AM82" s="13">
        <f t="shared" si="14"/>
        <v>133.59500000000003</v>
      </c>
      <c r="AN82" s="13">
        <f t="shared" si="14"/>
        <v>145.74</v>
      </c>
      <c r="AO82" s="13">
        <f t="shared" si="14"/>
        <v>126.65500000000002</v>
      </c>
      <c r="AP82" s="13">
        <f t="shared" si="14"/>
        <v>123.18500000000002</v>
      </c>
      <c r="AQ82" s="13">
        <f t="shared" si="14"/>
        <v>93.69</v>
      </c>
      <c r="AR82" s="13">
        <f t="shared" si="14"/>
        <v>86.75</v>
      </c>
      <c r="AS82" s="13">
        <f t="shared" si="14"/>
        <v>83.28</v>
      </c>
      <c r="AT82" s="13">
        <f t="shared" si="14"/>
        <v>78.075000000000003</v>
      </c>
      <c r="AU82" s="13">
        <f t="shared" si="14"/>
        <v>81.545000000000016</v>
      </c>
      <c r="AV82" s="13">
        <f t="shared" si="14"/>
        <v>72.87</v>
      </c>
      <c r="AW82" s="13">
        <f t="shared" si="14"/>
        <v>83.28</v>
      </c>
      <c r="AX82" s="13">
        <f t="shared" si="14"/>
        <v>81.545000000000016</v>
      </c>
      <c r="AY82" s="13">
        <f t="shared" si="14"/>
        <v>69.400000000000006</v>
      </c>
      <c r="AZ82" s="13">
        <f t="shared" si="14"/>
        <v>41.64</v>
      </c>
      <c r="BA82" s="13">
        <f t="shared" si="14"/>
        <v>46.844999999999999</v>
      </c>
      <c r="BB82" s="13">
        <f t="shared" si="14"/>
        <v>43.375</v>
      </c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13">
        <f t="shared" ref="CM82:CM85" si="15">SUM(G82:CL82)</f>
        <v>5995.0944999999983</v>
      </c>
    </row>
    <row r="83" spans="1:93" s="143" customFormat="1" x14ac:dyDescent="0.3">
      <c r="A83" s="129" t="s">
        <v>191</v>
      </c>
      <c r="B83" s="13"/>
      <c r="C83" s="13"/>
      <c r="D83" s="13"/>
      <c r="E83" s="13"/>
      <c r="F83" s="161" t="s">
        <v>245</v>
      </c>
      <c r="G83" s="13"/>
      <c r="H83" s="2">
        <v>0</v>
      </c>
      <c r="I83" s="13">
        <f>I70</f>
        <v>0.98799999999999999</v>
      </c>
      <c r="J83" s="13">
        <f t="shared" ref="J83:BT83" si="16">J70</f>
        <v>71.891999999999996</v>
      </c>
      <c r="K83" s="13">
        <f t="shared" si="16"/>
        <v>76.824000000000012</v>
      </c>
      <c r="L83" s="13">
        <f t="shared" si="16"/>
        <v>86.688000000000017</v>
      </c>
      <c r="M83" s="13">
        <f t="shared" si="16"/>
        <v>87.052000000000021</v>
      </c>
      <c r="N83" s="13">
        <f t="shared" si="16"/>
        <v>113.49600000000002</v>
      </c>
      <c r="O83" s="13">
        <f t="shared" si="16"/>
        <v>107.256</v>
      </c>
      <c r="P83" s="13">
        <f t="shared" si="16"/>
        <v>110.16000000000001</v>
      </c>
      <c r="Q83" s="13">
        <f t="shared" si="16"/>
        <v>126.57600000000001</v>
      </c>
      <c r="R83" s="13">
        <f t="shared" si="16"/>
        <v>143.03200000000004</v>
      </c>
      <c r="S83" s="13">
        <f t="shared" si="16"/>
        <v>167.82</v>
      </c>
      <c r="T83" s="13">
        <f t="shared" si="16"/>
        <v>124.34400000000001</v>
      </c>
      <c r="U83" s="13">
        <f t="shared" si="16"/>
        <v>116.776</v>
      </c>
      <c r="V83" s="13">
        <f t="shared" si="16"/>
        <v>257.67700000000002</v>
      </c>
      <c r="W83" s="13">
        <f t="shared" si="16"/>
        <v>307.90649999999999</v>
      </c>
      <c r="X83" s="13">
        <f t="shared" si="16"/>
        <v>363.85450000000003</v>
      </c>
      <c r="Y83" s="13">
        <f t="shared" si="16"/>
        <v>323.32275000000004</v>
      </c>
      <c r="Z83" s="13">
        <f t="shared" si="16"/>
        <v>172.4425</v>
      </c>
      <c r="AA83" s="13">
        <f t="shared" si="16"/>
        <v>168.93100000000001</v>
      </c>
      <c r="AB83" s="13">
        <f t="shared" si="16"/>
        <v>148.095</v>
      </c>
      <c r="AC83" s="13">
        <f t="shared" si="16"/>
        <v>278.09100000000001</v>
      </c>
      <c r="AD83" s="13">
        <f t="shared" si="16"/>
        <v>127.58199999999999</v>
      </c>
      <c r="AE83" s="13">
        <f t="shared" si="16"/>
        <v>95.335999999999999</v>
      </c>
      <c r="AF83" s="13">
        <f t="shared" si="16"/>
        <v>63.09</v>
      </c>
      <c r="AG83" s="13">
        <f t="shared" si="16"/>
        <v>92.531999999999982</v>
      </c>
      <c r="AH83" s="13">
        <f t="shared" si="16"/>
        <v>58.883999999999993</v>
      </c>
      <c r="AI83" s="13">
        <f t="shared" si="16"/>
        <v>49.07</v>
      </c>
      <c r="AJ83" s="13">
        <f t="shared" si="16"/>
        <v>32.246000000000002</v>
      </c>
      <c r="AK83" s="13">
        <f t="shared" si="16"/>
        <v>49.024499999999996</v>
      </c>
      <c r="AL83" s="13">
        <f t="shared" si="16"/>
        <v>46.69</v>
      </c>
      <c r="AM83" s="13">
        <f t="shared" si="16"/>
        <v>49.024499999999996</v>
      </c>
      <c r="AN83" s="13">
        <f t="shared" si="16"/>
        <v>44.355499999999999</v>
      </c>
      <c r="AO83" s="13">
        <f t="shared" si="16"/>
        <v>46.69</v>
      </c>
      <c r="AP83" s="13">
        <f t="shared" si="16"/>
        <v>49.024499999999996</v>
      </c>
      <c r="AQ83" s="13">
        <f t="shared" si="16"/>
        <v>91.04549999999999</v>
      </c>
      <c r="AR83" s="13">
        <f t="shared" si="16"/>
        <v>53.693499999999993</v>
      </c>
      <c r="AS83" s="13">
        <f t="shared" si="16"/>
        <v>23.281999999999996</v>
      </c>
      <c r="AT83" s="13">
        <f t="shared" si="16"/>
        <v>24.113499999999998</v>
      </c>
      <c r="AU83" s="13">
        <f t="shared" si="16"/>
        <v>28.271000000000001</v>
      </c>
      <c r="AV83" s="13">
        <f t="shared" si="16"/>
        <v>18.292999999999999</v>
      </c>
      <c r="AW83" s="13">
        <f t="shared" si="16"/>
        <v>27.439499999999999</v>
      </c>
      <c r="AX83" s="13">
        <f t="shared" si="16"/>
        <v>28.271000000000001</v>
      </c>
      <c r="AY83" s="13">
        <f t="shared" si="16"/>
        <v>18.292999999999999</v>
      </c>
      <c r="AZ83" s="13">
        <f t="shared" si="16"/>
        <v>28.271000000000001</v>
      </c>
      <c r="BA83" s="13">
        <f t="shared" si="16"/>
        <v>69.795000000000002</v>
      </c>
      <c r="BB83" s="13">
        <f t="shared" si="16"/>
        <v>69.795000000000002</v>
      </c>
      <c r="BC83" s="13">
        <f t="shared" si="16"/>
        <v>62.8155</v>
      </c>
      <c r="BD83" s="13">
        <f t="shared" si="16"/>
        <v>81.427499999999995</v>
      </c>
      <c r="BE83" s="13">
        <f t="shared" si="16"/>
        <v>97.713000000000008</v>
      </c>
      <c r="BF83" s="13">
        <f t="shared" si="16"/>
        <v>90.733500000000006</v>
      </c>
      <c r="BG83" s="13">
        <f t="shared" si="16"/>
        <v>48.778499999999994</v>
      </c>
      <c r="BH83" s="13">
        <f t="shared" si="16"/>
        <v>64.513499999999993</v>
      </c>
      <c r="BI83" s="13">
        <f t="shared" si="16"/>
        <v>44.058</v>
      </c>
      <c r="BJ83" s="13">
        <f t="shared" si="16"/>
        <v>69.233999999999995</v>
      </c>
      <c r="BK83" s="13">
        <f t="shared" si="16"/>
        <v>45.286500000000004</v>
      </c>
      <c r="BL83" s="13">
        <f t="shared" si="16"/>
        <v>45.286500000000004</v>
      </c>
      <c r="BM83" s="13">
        <f t="shared" si="16"/>
        <v>47.443000000000005</v>
      </c>
      <c r="BN83" s="13">
        <f t="shared" si="16"/>
        <v>49.599500000000006</v>
      </c>
      <c r="BO83" s="13">
        <f t="shared" si="16"/>
        <v>34.503999999999998</v>
      </c>
      <c r="BP83" s="13">
        <f t="shared" si="16"/>
        <v>36.660499999999999</v>
      </c>
      <c r="BQ83" s="13">
        <f t="shared" si="16"/>
        <v>43.13</v>
      </c>
      <c r="BR83" s="13">
        <f t="shared" si="16"/>
        <v>28.034500000000001</v>
      </c>
      <c r="BS83" s="13">
        <f t="shared" si="16"/>
        <v>23.721500000000002</v>
      </c>
      <c r="BT83" s="13">
        <f t="shared" si="16"/>
        <v>25.878</v>
      </c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13">
        <f t="shared" si="15"/>
        <v>5576.1537500000004</v>
      </c>
    </row>
    <row r="84" spans="1:93" s="143" customFormat="1" x14ac:dyDescent="0.3">
      <c r="A84" s="78" t="s">
        <v>193</v>
      </c>
      <c r="B84" s="13"/>
      <c r="C84" s="13"/>
      <c r="D84" s="13"/>
      <c r="E84" s="13"/>
      <c r="F84" s="161" t="s">
        <v>246</v>
      </c>
      <c r="G84" s="13"/>
      <c r="H84" s="2">
        <v>0</v>
      </c>
      <c r="I84" s="13">
        <f>I73</f>
        <v>113.18400000000001</v>
      </c>
      <c r="J84" s="13">
        <f t="shared" ref="J84:BM84" si="17">J73</f>
        <v>129.24525</v>
      </c>
      <c r="K84" s="13">
        <f t="shared" si="17"/>
        <v>239.911</v>
      </c>
      <c r="L84" s="13">
        <f t="shared" si="17"/>
        <v>281.32225</v>
      </c>
      <c r="M84" s="13">
        <f t="shared" si="17"/>
        <v>268.4855</v>
      </c>
      <c r="N84" s="13">
        <f t="shared" si="17"/>
        <v>270.34550000000002</v>
      </c>
      <c r="O84" s="13">
        <f t="shared" si="17"/>
        <v>350.65350000000001</v>
      </c>
      <c r="P84" s="13">
        <f t="shared" si="17"/>
        <v>184.79500000000002</v>
      </c>
      <c r="Q84" s="13">
        <f t="shared" si="17"/>
        <v>321.46350000000001</v>
      </c>
      <c r="R84" s="13">
        <f t="shared" si="17"/>
        <v>306.99125000000004</v>
      </c>
      <c r="S84" s="13">
        <f t="shared" si="17"/>
        <v>316.95999999999998</v>
      </c>
      <c r="T84" s="13">
        <f t="shared" si="17"/>
        <v>122.44049999999999</v>
      </c>
      <c r="U84" s="13">
        <f t="shared" si="17"/>
        <v>97.174999999999997</v>
      </c>
      <c r="V84" s="13">
        <f t="shared" si="17"/>
        <v>297.90299999999996</v>
      </c>
      <c r="W84" s="13">
        <f t="shared" si="17"/>
        <v>266.37324999999998</v>
      </c>
      <c r="X84" s="13">
        <f t="shared" si="17"/>
        <v>218.93649999999997</v>
      </c>
      <c r="Y84" s="13">
        <f t="shared" si="17"/>
        <v>223.13574999999997</v>
      </c>
      <c r="Z84" s="13">
        <f t="shared" si="17"/>
        <v>300.88225</v>
      </c>
      <c r="AA84" s="13">
        <f t="shared" si="17"/>
        <v>315.74475000000001</v>
      </c>
      <c r="AB84" s="13">
        <f t="shared" si="17"/>
        <v>286.24475000000001</v>
      </c>
      <c r="AC84" s="13">
        <f t="shared" si="17"/>
        <v>288.09300000000002</v>
      </c>
      <c r="AD84" s="13">
        <f t="shared" si="17"/>
        <v>265.7</v>
      </c>
      <c r="AE84" s="13">
        <f t="shared" si="17"/>
        <v>204.81625</v>
      </c>
      <c r="AF84" s="13">
        <f t="shared" si="17"/>
        <v>173.43049999999999</v>
      </c>
      <c r="AG84" s="13">
        <f t="shared" si="17"/>
        <v>210.36750000000001</v>
      </c>
      <c r="AH84" s="13">
        <f t="shared" si="17"/>
        <v>163.73125000000002</v>
      </c>
      <c r="AI84" s="13">
        <f t="shared" si="17"/>
        <v>146.16550000000001</v>
      </c>
      <c r="AJ84" s="13">
        <f t="shared" si="17"/>
        <v>113.03125000000001</v>
      </c>
      <c r="AK84" s="13">
        <f t="shared" si="17"/>
        <v>99.179750000000013</v>
      </c>
      <c r="AL84" s="13">
        <f t="shared" si="17"/>
        <v>102.50325000000001</v>
      </c>
      <c r="AM84" s="13">
        <f t="shared" si="17"/>
        <v>112.47375000000001</v>
      </c>
      <c r="AN84" s="13">
        <f t="shared" si="17"/>
        <v>107.75180000000002</v>
      </c>
      <c r="AO84" s="13">
        <f t="shared" si="17"/>
        <v>107.36725000000001</v>
      </c>
      <c r="AP84" s="13">
        <f t="shared" si="17"/>
        <v>110.61250000000001</v>
      </c>
      <c r="AQ84" s="13">
        <f t="shared" si="17"/>
        <v>116.11500000000001</v>
      </c>
      <c r="AR84" s="13">
        <f t="shared" si="17"/>
        <v>80.359350000000006</v>
      </c>
      <c r="AS84" s="13">
        <f t="shared" si="17"/>
        <v>144.58075000000002</v>
      </c>
      <c r="AT84" s="13">
        <f t="shared" si="17"/>
        <v>76.972250000000003</v>
      </c>
      <c r="AU84" s="13">
        <f t="shared" si="17"/>
        <v>145.25645</v>
      </c>
      <c r="AV84" s="13">
        <f t="shared" si="17"/>
        <v>170.99324999999999</v>
      </c>
      <c r="AW84" s="13">
        <f t="shared" si="17"/>
        <v>202.73935</v>
      </c>
      <c r="AX84" s="13">
        <f t="shared" si="17"/>
        <v>111.74825</v>
      </c>
      <c r="AY84" s="13">
        <f t="shared" si="17"/>
        <v>55.682549999999999</v>
      </c>
      <c r="AZ84" s="13">
        <f t="shared" si="17"/>
        <v>93.184850000000012</v>
      </c>
      <c r="BA84" s="13">
        <f t="shared" si="17"/>
        <v>125.07380000000001</v>
      </c>
      <c r="BB84" s="13">
        <f t="shared" si="17"/>
        <v>140.51600000000002</v>
      </c>
      <c r="BC84" s="13">
        <f t="shared" si="17"/>
        <v>103.05825000000002</v>
      </c>
      <c r="BD84" s="13">
        <f t="shared" si="17"/>
        <v>115.16974999999999</v>
      </c>
      <c r="BE84" s="13">
        <f t="shared" si="17"/>
        <v>126.94</v>
      </c>
      <c r="BF84" s="13">
        <f t="shared" si="17"/>
        <v>165.35450000000003</v>
      </c>
      <c r="BG84" s="13">
        <f t="shared" si="17"/>
        <v>110.315</v>
      </c>
      <c r="BH84" s="13">
        <f t="shared" si="17"/>
        <v>120.26050000000001</v>
      </c>
      <c r="BI84" s="13">
        <f t="shared" si="17"/>
        <v>71.841499999999996</v>
      </c>
      <c r="BJ84" s="13">
        <f t="shared" si="17"/>
        <v>120.18675000000002</v>
      </c>
      <c r="BK84" s="13">
        <f t="shared" si="17"/>
        <v>61.811250000000001</v>
      </c>
      <c r="BL84" s="13">
        <f t="shared" si="17"/>
        <v>54.149000000000008</v>
      </c>
      <c r="BM84" s="13">
        <f t="shared" si="17"/>
        <v>69.792500000000004</v>
      </c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13">
        <f t="shared" si="15"/>
        <v>9699.5168999999987</v>
      </c>
    </row>
    <row r="85" spans="1:93" s="143" customFormat="1" x14ac:dyDescent="0.3">
      <c r="A85" s="85" t="s">
        <v>195</v>
      </c>
      <c r="B85" s="13"/>
      <c r="C85" s="13"/>
      <c r="D85" s="13"/>
      <c r="E85" s="13"/>
      <c r="F85" s="161" t="s">
        <v>247</v>
      </c>
      <c r="G85" s="13"/>
      <c r="H85" s="2">
        <v>0</v>
      </c>
      <c r="I85" s="13">
        <f>I76</f>
        <v>21.912000000000003</v>
      </c>
      <c r="J85" s="13">
        <f t="shared" ref="J85:AV85" si="18">J76</f>
        <v>0</v>
      </c>
      <c r="K85" s="13">
        <f t="shared" si="18"/>
        <v>9.6929999999999996</v>
      </c>
      <c r="L85" s="13">
        <f t="shared" si="18"/>
        <v>10.565</v>
      </c>
      <c r="M85" s="13">
        <f t="shared" si="18"/>
        <v>15.749250000000002</v>
      </c>
      <c r="N85" s="13">
        <f t="shared" si="18"/>
        <v>9.5865000000000009</v>
      </c>
      <c r="O85" s="13">
        <f t="shared" si="18"/>
        <v>10.043000000000001</v>
      </c>
      <c r="P85" s="13">
        <f t="shared" si="18"/>
        <v>10.043000000000001</v>
      </c>
      <c r="Q85" s="13">
        <f t="shared" si="18"/>
        <v>10.499500000000001</v>
      </c>
      <c r="R85" s="13">
        <f t="shared" si="18"/>
        <v>22.614500000000003</v>
      </c>
      <c r="S85" s="13">
        <f t="shared" si="18"/>
        <v>56.801250000000003</v>
      </c>
      <c r="T85" s="13">
        <f t="shared" si="18"/>
        <v>16.890500000000003</v>
      </c>
      <c r="U85" s="13">
        <f t="shared" si="18"/>
        <v>76.760500000000008</v>
      </c>
      <c r="V85" s="13">
        <f t="shared" si="18"/>
        <v>31.886000000000003</v>
      </c>
      <c r="W85" s="13">
        <f t="shared" si="18"/>
        <v>82.776749999999993</v>
      </c>
      <c r="X85" s="13">
        <f t="shared" si="18"/>
        <v>62.592500000000001</v>
      </c>
      <c r="Y85" s="13">
        <f t="shared" si="18"/>
        <v>60.664000000000001</v>
      </c>
      <c r="Z85" s="13">
        <f t="shared" si="18"/>
        <v>66.608000000000004</v>
      </c>
      <c r="AA85" s="13">
        <f t="shared" si="18"/>
        <v>81.37</v>
      </c>
      <c r="AB85" s="13">
        <f t="shared" si="18"/>
        <v>82.287499999999994</v>
      </c>
      <c r="AC85" s="13">
        <f t="shared" si="18"/>
        <v>84.929249999999996</v>
      </c>
      <c r="AD85" s="13">
        <f t="shared" si="18"/>
        <v>86.679249999999996</v>
      </c>
      <c r="AE85" s="13">
        <f t="shared" si="18"/>
        <v>67.427750000000003</v>
      </c>
      <c r="AF85" s="13">
        <f t="shared" si="18"/>
        <v>74.781999999999996</v>
      </c>
      <c r="AG85" s="13">
        <f t="shared" si="18"/>
        <v>53.872</v>
      </c>
      <c r="AH85" s="13">
        <f t="shared" si="18"/>
        <v>57.582000000000001</v>
      </c>
      <c r="AI85" s="13">
        <f t="shared" si="18"/>
        <v>58.504000000000005</v>
      </c>
      <c r="AJ85" s="13">
        <f t="shared" si="18"/>
        <v>32.341999999999999</v>
      </c>
      <c r="AK85" s="13">
        <f t="shared" si="18"/>
        <v>21.578749999999999</v>
      </c>
      <c r="AL85" s="13">
        <f t="shared" si="18"/>
        <v>20.162749999999999</v>
      </c>
      <c r="AM85" s="13">
        <f t="shared" si="18"/>
        <v>25.7605</v>
      </c>
      <c r="AN85" s="13">
        <f t="shared" si="18"/>
        <v>22.388750000000002</v>
      </c>
      <c r="AO85" s="13">
        <f t="shared" si="18"/>
        <v>19.725000000000001</v>
      </c>
      <c r="AP85" s="13">
        <f t="shared" si="18"/>
        <v>15.105499999999999</v>
      </c>
      <c r="AQ85" s="13">
        <f t="shared" si="18"/>
        <v>16.353249999999999</v>
      </c>
      <c r="AR85" s="13">
        <f t="shared" si="18"/>
        <v>13.656000000000001</v>
      </c>
      <c r="AS85" s="13">
        <f t="shared" si="18"/>
        <v>5.0237499999999997</v>
      </c>
      <c r="AT85" s="13">
        <f t="shared" si="18"/>
        <v>6.069</v>
      </c>
      <c r="AU85" s="13">
        <f t="shared" si="18"/>
        <v>11.064</v>
      </c>
      <c r="AV85" s="13">
        <f t="shared" si="18"/>
        <v>5.532</v>
      </c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13">
        <f t="shared" si="15"/>
        <v>1437.8802499999999</v>
      </c>
    </row>
    <row r="86" spans="1:93" x14ac:dyDescent="0.3">
      <c r="CM86" s="113"/>
    </row>
    <row r="87" spans="1:93" x14ac:dyDescent="0.3">
      <c r="H87" s="22" t="s">
        <v>200</v>
      </c>
      <c r="BA87" s="19">
        <v>45327</v>
      </c>
      <c r="BB87" s="19">
        <v>45403</v>
      </c>
      <c r="BC87" s="107">
        <f>BB87-BA87</f>
        <v>76</v>
      </c>
    </row>
    <row r="88" spans="1:93" ht="15" thickBot="1" x14ac:dyDescent="0.35">
      <c r="G88" s="120"/>
      <c r="H88" s="242" t="s">
        <v>60</v>
      </c>
      <c r="I88" s="243"/>
      <c r="J88" s="243"/>
      <c r="K88" s="243"/>
      <c r="L88" s="243"/>
      <c r="M88" s="243"/>
      <c r="N88" s="244"/>
      <c r="O88" s="242" t="s">
        <v>61</v>
      </c>
      <c r="P88" s="243"/>
      <c r="Q88" s="243"/>
      <c r="R88" s="243"/>
      <c r="S88" s="243"/>
      <c r="T88" s="243"/>
      <c r="U88" s="244"/>
      <c r="V88" s="242" t="s">
        <v>62</v>
      </c>
      <c r="W88" s="243"/>
      <c r="X88" s="243"/>
      <c r="Y88" s="243"/>
      <c r="Z88" s="243"/>
      <c r="AA88" s="243"/>
      <c r="AB88" s="244"/>
      <c r="AC88" s="242" t="s">
        <v>63</v>
      </c>
      <c r="AD88" s="243"/>
      <c r="AE88" s="243"/>
      <c r="AF88" s="243"/>
      <c r="AG88" s="243"/>
      <c r="AH88" s="243"/>
      <c r="AI88" s="244"/>
      <c r="AJ88" s="242" t="s">
        <v>64</v>
      </c>
      <c r="AK88" s="243"/>
      <c r="AL88" s="243"/>
      <c r="AM88" s="243"/>
      <c r="AN88" s="243"/>
      <c r="AO88" s="243"/>
      <c r="AP88" s="244"/>
      <c r="AQ88" s="242" t="s">
        <v>65</v>
      </c>
      <c r="AR88" s="243"/>
      <c r="AS88" s="243"/>
      <c r="AT88" s="243"/>
      <c r="AU88" s="243"/>
      <c r="AV88" s="243"/>
      <c r="AW88" s="244"/>
      <c r="AX88" s="242" t="s">
        <v>86</v>
      </c>
      <c r="AY88" s="243"/>
      <c r="AZ88" s="243"/>
      <c r="BA88" s="243"/>
      <c r="BB88" s="243"/>
      <c r="BC88" s="243"/>
      <c r="BD88" s="244"/>
      <c r="BE88" s="242" t="s">
        <v>87</v>
      </c>
      <c r="BF88" s="243"/>
      <c r="BG88" s="243"/>
      <c r="BH88" s="243"/>
      <c r="BI88" s="243"/>
      <c r="BJ88" s="243"/>
      <c r="BK88" s="244"/>
      <c r="BL88" s="242" t="s">
        <v>93</v>
      </c>
      <c r="BM88" s="243"/>
      <c r="BN88" s="243"/>
      <c r="BO88" s="243"/>
      <c r="BP88" s="243"/>
      <c r="BQ88" s="243"/>
      <c r="BR88" s="244"/>
      <c r="BS88" s="242" t="s">
        <v>95</v>
      </c>
      <c r="BT88" s="243"/>
      <c r="BU88" s="243"/>
      <c r="BV88" s="243"/>
      <c r="BW88" s="243"/>
      <c r="BX88" s="243"/>
      <c r="BY88" s="244"/>
      <c r="BZ88" s="242" t="s">
        <v>101</v>
      </c>
      <c r="CA88" s="243"/>
      <c r="CB88" s="243"/>
      <c r="CC88" s="243"/>
      <c r="CD88" s="243"/>
      <c r="CE88" s="243"/>
      <c r="CF88" s="244"/>
      <c r="CG88" s="242" t="s">
        <v>102</v>
      </c>
      <c r="CH88" s="243"/>
      <c r="CI88" s="243"/>
      <c r="CJ88" s="243"/>
      <c r="CK88" s="243"/>
      <c r="CL88" s="243"/>
      <c r="CM88" s="244"/>
      <c r="CN88" s="113"/>
    </row>
    <row r="89" spans="1:93" s="180" customFormat="1" ht="15" thickTop="1" x14ac:dyDescent="0.3">
      <c r="A89" s="180" t="s">
        <v>81</v>
      </c>
      <c r="B89" s="1" t="s">
        <v>169</v>
      </c>
      <c r="C89" s="1" t="s">
        <v>46</v>
      </c>
      <c r="D89" s="1" t="s">
        <v>248</v>
      </c>
      <c r="E89" s="1" t="s">
        <v>48</v>
      </c>
      <c r="F89" s="114" t="s">
        <v>54</v>
      </c>
      <c r="G89" s="114"/>
      <c r="H89" s="115">
        <v>45327</v>
      </c>
      <c r="I89" s="173">
        <v>0</v>
      </c>
      <c r="J89" s="173">
        <v>1</v>
      </c>
      <c r="K89" s="173">
        <v>2</v>
      </c>
      <c r="L89" s="173">
        <v>3</v>
      </c>
      <c r="M89" s="173">
        <v>4</v>
      </c>
      <c r="N89" s="173">
        <v>5</v>
      </c>
      <c r="O89" s="173">
        <v>6</v>
      </c>
      <c r="P89" s="173">
        <v>7</v>
      </c>
      <c r="Q89" s="173">
        <v>8</v>
      </c>
      <c r="R89" s="173">
        <v>9</v>
      </c>
      <c r="S89" s="173">
        <v>10</v>
      </c>
      <c r="T89" s="173">
        <v>11</v>
      </c>
      <c r="U89" s="173">
        <v>12</v>
      </c>
      <c r="V89" s="173">
        <v>13</v>
      </c>
      <c r="W89" s="173">
        <v>14</v>
      </c>
      <c r="X89" s="173">
        <v>15</v>
      </c>
      <c r="Y89" s="173">
        <v>16</v>
      </c>
      <c r="Z89" s="173">
        <v>17</v>
      </c>
      <c r="AA89" s="173">
        <v>18</v>
      </c>
      <c r="AB89" s="173">
        <v>19</v>
      </c>
      <c r="AC89" s="173">
        <v>20</v>
      </c>
      <c r="AD89" s="173">
        <v>21</v>
      </c>
      <c r="AE89" s="173">
        <v>22</v>
      </c>
      <c r="AF89" s="173">
        <v>23</v>
      </c>
      <c r="AG89" s="173">
        <v>24</v>
      </c>
      <c r="AH89" s="173">
        <v>25</v>
      </c>
      <c r="AI89" s="173">
        <v>26</v>
      </c>
      <c r="AJ89" s="173">
        <v>27</v>
      </c>
      <c r="AK89" s="173">
        <v>28</v>
      </c>
      <c r="AL89" s="173">
        <v>29</v>
      </c>
      <c r="AM89" s="173">
        <v>30</v>
      </c>
      <c r="AN89" s="173">
        <v>31</v>
      </c>
      <c r="AO89" s="173">
        <v>32</v>
      </c>
      <c r="AP89" s="173">
        <v>33</v>
      </c>
      <c r="AQ89" s="173">
        <v>34</v>
      </c>
      <c r="AR89" s="173">
        <v>35</v>
      </c>
      <c r="AS89" s="173">
        <v>36</v>
      </c>
      <c r="AT89" s="173">
        <v>37</v>
      </c>
      <c r="AU89" s="173">
        <v>38</v>
      </c>
      <c r="AV89" s="173">
        <v>39</v>
      </c>
      <c r="AW89" s="173">
        <v>40</v>
      </c>
      <c r="AX89" s="173">
        <v>41</v>
      </c>
      <c r="AY89" s="173">
        <v>42</v>
      </c>
      <c r="AZ89" s="173">
        <v>43</v>
      </c>
      <c r="BA89" s="173">
        <v>44</v>
      </c>
      <c r="BB89" s="173">
        <v>45</v>
      </c>
      <c r="BC89" s="173">
        <v>46</v>
      </c>
      <c r="BD89" s="173">
        <v>47</v>
      </c>
      <c r="BE89" s="173">
        <v>48</v>
      </c>
      <c r="BF89" s="173">
        <v>49</v>
      </c>
      <c r="BG89" s="173">
        <v>50</v>
      </c>
      <c r="BH89" s="173">
        <v>51</v>
      </c>
      <c r="BI89" s="173">
        <v>52</v>
      </c>
      <c r="BJ89" s="173">
        <v>53</v>
      </c>
      <c r="BK89" s="173">
        <v>54</v>
      </c>
      <c r="BL89" s="173">
        <v>55</v>
      </c>
      <c r="BM89" s="173">
        <v>56</v>
      </c>
      <c r="BN89" s="173">
        <v>57</v>
      </c>
      <c r="BO89" s="173">
        <v>58</v>
      </c>
      <c r="BP89" s="173">
        <v>59</v>
      </c>
      <c r="BQ89" s="173">
        <v>60</v>
      </c>
      <c r="BR89" s="173">
        <v>61</v>
      </c>
      <c r="BS89" s="173">
        <v>62</v>
      </c>
      <c r="BT89" s="173">
        <v>63</v>
      </c>
      <c r="BU89" s="173">
        <v>64</v>
      </c>
      <c r="BV89" s="173">
        <v>65</v>
      </c>
      <c r="BW89" s="173">
        <v>66</v>
      </c>
      <c r="BX89" s="173">
        <v>67</v>
      </c>
      <c r="BY89" s="173">
        <v>68</v>
      </c>
      <c r="BZ89" s="173">
        <v>69</v>
      </c>
      <c r="CA89" s="173">
        <v>70</v>
      </c>
      <c r="CB89" s="173">
        <v>71</v>
      </c>
      <c r="CC89" s="173">
        <v>72</v>
      </c>
      <c r="CD89" s="173">
        <v>73</v>
      </c>
      <c r="CE89" s="173">
        <v>74</v>
      </c>
      <c r="CF89" s="173">
        <v>75</v>
      </c>
      <c r="CG89" s="173">
        <v>76</v>
      </c>
      <c r="CH89" s="173">
        <v>77</v>
      </c>
      <c r="CI89" s="117"/>
      <c r="CJ89" s="117"/>
      <c r="CK89" s="117"/>
      <c r="CL89" s="117"/>
      <c r="CM89" s="118"/>
      <c r="CN89" s="113" t="s">
        <v>34</v>
      </c>
    </row>
    <row r="90" spans="1:93" x14ac:dyDescent="0.3">
      <c r="A90" s="107">
        <v>46.648958784952079</v>
      </c>
      <c r="B90" s="1">
        <v>9</v>
      </c>
      <c r="C90" s="1">
        <v>100</v>
      </c>
      <c r="D90" s="1">
        <v>0</v>
      </c>
      <c r="E90" s="1">
        <v>0</v>
      </c>
      <c r="F90" s="114">
        <v>0</v>
      </c>
      <c r="G90" s="121" t="s">
        <v>177</v>
      </c>
      <c r="H90" s="113">
        <f t="shared" ref="H90:BB90" si="19">G4/$A$90</f>
        <v>0</v>
      </c>
      <c r="I90" s="113">
        <f t="shared" si="19"/>
        <v>0</v>
      </c>
      <c r="J90" s="113">
        <f t="shared" si="19"/>
        <v>0</v>
      </c>
      <c r="K90" s="113">
        <f t="shared" si="19"/>
        <v>0</v>
      </c>
      <c r="L90" s="113">
        <f t="shared" si="19"/>
        <v>1.9042225660276599</v>
      </c>
      <c r="M90" s="113">
        <f t="shared" si="19"/>
        <v>3.9444610296287244</v>
      </c>
      <c r="N90" s="113">
        <f t="shared" si="19"/>
        <v>5.5086438517228737</v>
      </c>
      <c r="O90" s="113">
        <f t="shared" si="19"/>
        <v>5.5086438517228737</v>
      </c>
      <c r="P90" s="113">
        <f t="shared" si="19"/>
        <v>4.5565325687090441</v>
      </c>
      <c r="Q90" s="113">
        <f t="shared" si="19"/>
        <v>4.0804769272021284</v>
      </c>
      <c r="R90" s="113">
        <f t="shared" si="19"/>
        <v>5.7126676980829805</v>
      </c>
      <c r="S90" s="113">
        <f t="shared" si="19"/>
        <v>11.561351293739365</v>
      </c>
      <c r="T90" s="113">
        <f t="shared" si="19"/>
        <v>4.2164928247755329</v>
      </c>
      <c r="U90" s="113">
        <f t="shared" si="19"/>
        <v>10.133184369218618</v>
      </c>
      <c r="V90" s="113">
        <f t="shared" si="19"/>
        <v>6.3927471859500011</v>
      </c>
      <c r="W90" s="113">
        <f t="shared" si="19"/>
        <v>11.901391037672875</v>
      </c>
      <c r="X90" s="113">
        <f t="shared" si="19"/>
        <v>7.4128664177505339</v>
      </c>
      <c r="Y90" s="113">
        <f t="shared" si="19"/>
        <v>6.4023293933913434</v>
      </c>
      <c r="Z90" s="113">
        <f t="shared" si="19"/>
        <v>7.4576584142800257</v>
      </c>
      <c r="AA90" s="113">
        <f t="shared" si="19"/>
        <v>7.4550002627750462</v>
      </c>
      <c r="AB90" s="113">
        <f t="shared" si="19"/>
        <v>4.4987070551228721</v>
      </c>
      <c r="AC90" s="113">
        <f t="shared" si="19"/>
        <v>3.8560346186767473</v>
      </c>
      <c r="AD90" s="113">
        <f t="shared" si="19"/>
        <v>5.269913978858221</v>
      </c>
      <c r="AE90" s="113">
        <f t="shared" si="19"/>
        <v>4.1433936583885655</v>
      </c>
      <c r="AF90" s="113">
        <f t="shared" si="19"/>
        <v>4.2770515183365836</v>
      </c>
      <c r="AG90" s="113">
        <f t="shared" si="19"/>
        <v>4.4802286148221198</v>
      </c>
      <c r="AH90" s="113">
        <f t="shared" si="19"/>
        <v>3.9531428954312817</v>
      </c>
      <c r="AI90" s="113">
        <f t="shared" si="19"/>
        <v>4.7437714745175388</v>
      </c>
      <c r="AJ90" s="113">
        <f t="shared" si="19"/>
        <v>4.5394582326306807</v>
      </c>
      <c r="AK90" s="113">
        <f t="shared" si="19"/>
        <v>2.7511868076549577</v>
      </c>
      <c r="AL90" s="113">
        <f t="shared" si="19"/>
        <v>1.9258307653584705</v>
      </c>
      <c r="AM90" s="113">
        <f t="shared" si="19"/>
        <v>2.2009494461239663</v>
      </c>
      <c r="AN90" s="113">
        <f t="shared" si="19"/>
        <v>3.4957264695177597</v>
      </c>
      <c r="AO90" s="113">
        <f t="shared" si="19"/>
        <v>2.6890203611675072</v>
      </c>
      <c r="AP90" s="113">
        <f t="shared" si="19"/>
        <v>1.3445101805837536</v>
      </c>
      <c r="AQ90" s="113">
        <f t="shared" si="19"/>
        <v>2.1512162889340058</v>
      </c>
      <c r="AR90" s="113">
        <f t="shared" si="19"/>
        <v>2.285667306992381</v>
      </c>
      <c r="AS90" s="113">
        <f t="shared" si="19"/>
        <v>0.6722550902918768</v>
      </c>
      <c r="AT90" s="113">
        <f t="shared" si="19"/>
        <v>0.13445101805837537</v>
      </c>
      <c r="AU90" s="113">
        <f t="shared" si="19"/>
        <v>0</v>
      </c>
      <c r="AV90" s="113">
        <f t="shared" si="19"/>
        <v>0</v>
      </c>
      <c r="AW90" s="113">
        <f t="shared" si="19"/>
        <v>0</v>
      </c>
      <c r="AX90" s="113">
        <f t="shared" si="19"/>
        <v>0</v>
      </c>
      <c r="AY90" s="113">
        <f t="shared" si="19"/>
        <v>0</v>
      </c>
      <c r="AZ90" s="113">
        <f t="shared" si="19"/>
        <v>0</v>
      </c>
      <c r="BA90" s="113">
        <f t="shared" si="19"/>
        <v>0</v>
      </c>
      <c r="BB90" s="113">
        <f t="shared" si="19"/>
        <v>0</v>
      </c>
      <c r="BC90" s="1"/>
      <c r="BD90" s="114"/>
      <c r="BE90" s="113"/>
      <c r="BF90" s="1"/>
      <c r="BG90" s="1"/>
      <c r="BH90" s="1"/>
      <c r="BI90" s="1"/>
      <c r="BJ90" s="1"/>
      <c r="BK90" s="114"/>
      <c r="BL90" s="113"/>
      <c r="BM90" s="1"/>
      <c r="BN90" s="1"/>
      <c r="BO90" s="1"/>
      <c r="BP90" s="1"/>
      <c r="BQ90" s="1"/>
      <c r="BR90" s="114"/>
      <c r="BS90" s="113"/>
      <c r="BT90" s="1"/>
      <c r="BU90" s="1"/>
      <c r="BV90" s="1"/>
      <c r="BW90" s="1"/>
      <c r="BX90" s="1"/>
      <c r="BY90" s="114"/>
      <c r="BZ90" s="113"/>
      <c r="CA90" s="1"/>
      <c r="CB90" s="1"/>
      <c r="CC90" s="1"/>
      <c r="CD90" s="1"/>
      <c r="CE90" s="1"/>
      <c r="CF90" s="114"/>
      <c r="CG90" s="113"/>
      <c r="CH90" s="1"/>
      <c r="CI90" s="1"/>
      <c r="CJ90" s="1"/>
      <c r="CK90" s="1"/>
      <c r="CL90" s="1"/>
      <c r="CM90" s="114"/>
      <c r="CN90" s="113">
        <f>SUM(H90:CL90)</f>
        <v>163.56118547411728</v>
      </c>
    </row>
    <row r="91" spans="1:93" x14ac:dyDescent="0.3">
      <c r="A91" s="107">
        <v>39.426281618725518</v>
      </c>
      <c r="B91" s="1">
        <v>2</v>
      </c>
      <c r="C91" s="1">
        <v>0</v>
      </c>
      <c r="D91" s="1">
        <v>100</v>
      </c>
      <c r="E91" s="1">
        <v>0</v>
      </c>
      <c r="F91" s="114">
        <v>0</v>
      </c>
      <c r="G91" s="121" t="s">
        <v>197</v>
      </c>
      <c r="H91" s="113">
        <f t="shared" ref="H91:AM91" si="20">G5/$A$91</f>
        <v>0</v>
      </c>
      <c r="I91" s="113">
        <f t="shared" si="20"/>
        <v>0</v>
      </c>
      <c r="J91" s="113">
        <f t="shared" si="20"/>
        <v>0</v>
      </c>
      <c r="K91" s="113">
        <f t="shared" si="20"/>
        <v>0</v>
      </c>
      <c r="L91" s="113">
        <f t="shared" si="20"/>
        <v>1.1033249450371619E-2</v>
      </c>
      <c r="M91" s="113">
        <f t="shared" si="20"/>
        <v>1.1033249450371619E-2</v>
      </c>
      <c r="N91" s="113">
        <f t="shared" si="20"/>
        <v>5.5166247251858092E-2</v>
      </c>
      <c r="O91" s="113">
        <f t="shared" si="20"/>
        <v>0.98259329587907251</v>
      </c>
      <c r="P91" s="113">
        <f t="shared" si="20"/>
        <v>0.88433396629116545</v>
      </c>
      <c r="Q91" s="113">
        <f t="shared" si="20"/>
        <v>0.68781530711535077</v>
      </c>
      <c r="R91" s="113">
        <f t="shared" si="20"/>
        <v>0.49129664793953626</v>
      </c>
      <c r="S91" s="113">
        <f t="shared" si="20"/>
        <v>0.19651865917581451</v>
      </c>
      <c r="T91" s="113">
        <f t="shared" si="20"/>
        <v>0.49129664793953626</v>
      </c>
      <c r="U91" s="113">
        <f t="shared" si="20"/>
        <v>0.29477798876372174</v>
      </c>
      <c r="V91" s="113">
        <f t="shared" si="20"/>
        <v>0.57525079892972031</v>
      </c>
      <c r="W91" s="113">
        <f t="shared" si="20"/>
        <v>0.57525079892972031</v>
      </c>
      <c r="X91" s="113">
        <f t="shared" si="20"/>
        <v>0.46020063914377629</v>
      </c>
      <c r="Y91" s="113">
        <f t="shared" si="20"/>
        <v>0.46020063914377629</v>
      </c>
      <c r="Z91" s="113">
        <f t="shared" si="20"/>
        <v>0.23010031957188815</v>
      </c>
      <c r="AA91" s="113">
        <f t="shared" si="20"/>
        <v>0.46020063914377629</v>
      </c>
      <c r="AB91" s="113">
        <f t="shared" si="20"/>
        <v>0.34515047935783216</v>
      </c>
      <c r="AC91" s="113">
        <f t="shared" si="20"/>
        <v>0.11839818030881545</v>
      </c>
      <c r="AD91" s="113">
        <f t="shared" si="20"/>
        <v>0.15786424041175393</v>
      </c>
      <c r="AE91" s="113">
        <f t="shared" si="20"/>
        <v>0.35519454092644637</v>
      </c>
      <c r="AF91" s="113">
        <f t="shared" si="20"/>
        <v>2.4863617864851246</v>
      </c>
      <c r="AG91" s="113">
        <f t="shared" si="20"/>
        <v>0.78932120205876966</v>
      </c>
      <c r="AH91" s="113">
        <f t="shared" si="20"/>
        <v>0.16070498509782663</v>
      </c>
      <c r="AI91" s="113">
        <f t="shared" si="20"/>
        <v>0.14284887564251256</v>
      </c>
      <c r="AJ91" s="113">
        <f t="shared" si="20"/>
        <v>0.1785610945531407</v>
      </c>
      <c r="AK91" s="113">
        <f t="shared" si="20"/>
        <v>1.1070787862294724</v>
      </c>
      <c r="AL91" s="113">
        <f t="shared" si="20"/>
        <v>0.37497829856159548</v>
      </c>
      <c r="AM91" s="113">
        <f t="shared" si="20"/>
        <v>0.340179176157205</v>
      </c>
      <c r="AN91" s="113">
        <f t="shared" ref="AN91:BS91" si="21">AM5/$A$91</f>
        <v>0.48597025165314994</v>
      </c>
      <c r="AO91" s="113">
        <f t="shared" si="21"/>
        <v>0.29158215099188994</v>
      </c>
      <c r="AP91" s="113">
        <f t="shared" si="21"/>
        <v>0.340179176157205</v>
      </c>
      <c r="AQ91" s="113">
        <f t="shared" si="21"/>
        <v>0.340179176157205</v>
      </c>
      <c r="AR91" s="113">
        <f t="shared" si="21"/>
        <v>0.340179176157205</v>
      </c>
      <c r="AS91" s="113">
        <f t="shared" si="21"/>
        <v>0.33853052968760922</v>
      </c>
      <c r="AT91" s="113">
        <f t="shared" si="21"/>
        <v>0.2633015230903627</v>
      </c>
      <c r="AU91" s="113">
        <f t="shared" si="21"/>
        <v>0.2633015230903627</v>
      </c>
      <c r="AV91" s="113">
        <f t="shared" si="21"/>
        <v>0.22568701979173947</v>
      </c>
      <c r="AW91" s="113">
        <f t="shared" si="21"/>
        <v>0.30091602638898596</v>
      </c>
      <c r="AX91" s="113">
        <f t="shared" si="21"/>
        <v>0.15700187148919614</v>
      </c>
      <c r="AY91" s="113">
        <f t="shared" si="21"/>
        <v>0.23550280723379421</v>
      </c>
      <c r="AZ91" s="113">
        <f t="shared" si="21"/>
        <v>7.8500935744598072E-2</v>
      </c>
      <c r="BA91" s="113">
        <f t="shared" si="21"/>
        <v>0.15700187148919614</v>
      </c>
      <c r="BB91" s="113">
        <f t="shared" si="21"/>
        <v>7.8500935744598072E-2</v>
      </c>
      <c r="BC91" s="113">
        <f t="shared" si="21"/>
        <v>0</v>
      </c>
      <c r="BD91" s="113">
        <f t="shared" si="21"/>
        <v>0</v>
      </c>
      <c r="BE91" s="113">
        <f t="shared" si="21"/>
        <v>0</v>
      </c>
      <c r="BF91" s="113">
        <f t="shared" si="21"/>
        <v>0</v>
      </c>
      <c r="BG91" s="113">
        <f t="shared" si="21"/>
        <v>0</v>
      </c>
      <c r="BH91" s="113">
        <f t="shared" si="21"/>
        <v>0</v>
      </c>
      <c r="BI91" s="113">
        <f t="shared" si="21"/>
        <v>0</v>
      </c>
      <c r="BJ91" s="113">
        <f t="shared" si="21"/>
        <v>0</v>
      </c>
      <c r="BK91" s="113">
        <f t="shared" si="21"/>
        <v>0</v>
      </c>
      <c r="BL91" s="113">
        <f t="shared" si="21"/>
        <v>0</v>
      </c>
      <c r="BM91" s="113">
        <f t="shared" si="21"/>
        <v>0</v>
      </c>
      <c r="BN91" s="113">
        <f t="shared" si="21"/>
        <v>0</v>
      </c>
      <c r="BO91" s="113">
        <f t="shared" si="21"/>
        <v>0</v>
      </c>
      <c r="BP91" s="113">
        <f t="shared" si="21"/>
        <v>0</v>
      </c>
      <c r="BQ91" s="113">
        <f t="shared" si="21"/>
        <v>0</v>
      </c>
      <c r="BR91" s="113">
        <f t="shared" si="21"/>
        <v>0</v>
      </c>
      <c r="BS91" s="113">
        <f t="shared" si="21"/>
        <v>0</v>
      </c>
      <c r="BT91" s="113">
        <f t="shared" ref="BT91:CB91" si="22">BS5/$A$91</f>
        <v>0</v>
      </c>
      <c r="BU91" s="113">
        <f t="shared" si="22"/>
        <v>0</v>
      </c>
      <c r="BV91" s="113">
        <f t="shared" si="22"/>
        <v>0</v>
      </c>
      <c r="BW91" s="113">
        <f t="shared" si="22"/>
        <v>0</v>
      </c>
      <c r="BX91" s="113">
        <f t="shared" si="22"/>
        <v>0</v>
      </c>
      <c r="BY91" s="113">
        <f t="shared" si="22"/>
        <v>0</v>
      </c>
      <c r="BZ91" s="113">
        <f t="shared" si="22"/>
        <v>0</v>
      </c>
      <c r="CA91" s="113">
        <f t="shared" si="22"/>
        <v>0</v>
      </c>
      <c r="CB91" s="113">
        <f t="shared" si="22"/>
        <v>0</v>
      </c>
      <c r="CC91" s="1"/>
      <c r="CD91" s="1"/>
      <c r="CE91" s="1"/>
      <c r="CF91" s="114"/>
      <c r="CG91" s="113"/>
      <c r="CH91" s="1"/>
      <c r="CI91" s="1"/>
      <c r="CJ91" s="1"/>
      <c r="CK91" s="1"/>
      <c r="CL91" s="1"/>
      <c r="CM91" s="114"/>
      <c r="CN91" s="113">
        <f>SUM(H91:CL91)</f>
        <v>17.320045714777045</v>
      </c>
      <c r="CO91" s="107">
        <f>CM5/A91</f>
        <v>17.320045714777056</v>
      </c>
    </row>
    <row r="92" spans="1:93" x14ac:dyDescent="0.3">
      <c r="A92" s="107">
        <v>44.088437042204063</v>
      </c>
      <c r="B92" s="1">
        <v>13</v>
      </c>
      <c r="C92" s="1">
        <v>0</v>
      </c>
      <c r="D92" s="1">
        <v>0</v>
      </c>
      <c r="E92" s="1">
        <v>0</v>
      </c>
      <c r="F92" s="114">
        <v>100</v>
      </c>
      <c r="G92" s="121" t="s">
        <v>198</v>
      </c>
      <c r="H92" s="113">
        <f t="shared" ref="H92:AM92" si="23">G6/$A$92</f>
        <v>0</v>
      </c>
      <c r="I92" s="113">
        <f t="shared" si="23"/>
        <v>0</v>
      </c>
      <c r="J92" s="113">
        <f t="shared" si="23"/>
        <v>1.2717620256378441</v>
      </c>
      <c r="K92" s="113">
        <f t="shared" si="23"/>
        <v>0.93262548546775237</v>
      </c>
      <c r="L92" s="113">
        <f t="shared" si="23"/>
        <v>0.84784135042522946</v>
      </c>
      <c r="M92" s="113">
        <f t="shared" si="23"/>
        <v>1.1869778905953214</v>
      </c>
      <c r="N92" s="113">
        <f t="shared" si="23"/>
        <v>1.0174096205102754</v>
      </c>
      <c r="O92" s="113">
        <f t="shared" si="23"/>
        <v>0.59525811665488815</v>
      </c>
      <c r="P92" s="113">
        <f t="shared" si="23"/>
        <v>2.0258372941300107</v>
      </c>
      <c r="Q92" s="113">
        <f t="shared" si="23"/>
        <v>1.2004961742992653</v>
      </c>
      <c r="R92" s="113">
        <f t="shared" si="23"/>
        <v>1.0504341525118572</v>
      </c>
      <c r="S92" s="113">
        <f t="shared" si="23"/>
        <v>0.82534111983074498</v>
      </c>
      <c r="T92" s="113">
        <f t="shared" si="23"/>
        <v>0.90037213072444899</v>
      </c>
      <c r="U92" s="113">
        <f t="shared" si="23"/>
        <v>0.67527909804333675</v>
      </c>
      <c r="V92" s="113">
        <f t="shared" si="23"/>
        <v>0.52521707625592862</v>
      </c>
      <c r="W92" s="113">
        <f t="shared" si="23"/>
        <v>1.0243502158347835</v>
      </c>
      <c r="X92" s="113">
        <f t="shared" si="23"/>
        <v>0.91053352518647424</v>
      </c>
      <c r="Y92" s="113">
        <f t="shared" si="23"/>
        <v>0.91053352518647424</v>
      </c>
      <c r="Z92" s="113">
        <f t="shared" si="23"/>
        <v>0.56908345324154641</v>
      </c>
      <c r="AA92" s="113">
        <f t="shared" si="23"/>
        <v>0.51217510791739174</v>
      </c>
      <c r="AB92" s="113">
        <f t="shared" si="23"/>
        <v>0.45526676259323712</v>
      </c>
      <c r="AC92" s="113">
        <f t="shared" si="23"/>
        <v>0.47744944961078328</v>
      </c>
      <c r="AD92" s="113">
        <f t="shared" si="23"/>
        <v>0.60927539740830694</v>
      </c>
      <c r="AE92" s="113">
        <f t="shared" si="23"/>
        <v>0.5538867249166427</v>
      </c>
      <c r="AF92" s="113">
        <f t="shared" si="23"/>
        <v>0.33233203494998559</v>
      </c>
      <c r="AG92" s="113">
        <f t="shared" si="23"/>
        <v>0.44310937993331417</v>
      </c>
      <c r="AH92" s="113">
        <f t="shared" si="23"/>
        <v>0.27694336245832135</v>
      </c>
      <c r="AI92" s="113">
        <f t="shared" si="23"/>
        <v>0.33233203494998559</v>
      </c>
      <c r="AJ92" s="113">
        <f t="shared" si="23"/>
        <v>0.39969663662903671</v>
      </c>
      <c r="AK92" s="113">
        <f t="shared" si="23"/>
        <v>0.35528589922581039</v>
      </c>
      <c r="AL92" s="113">
        <f t="shared" si="23"/>
        <v>0.2664644244193578</v>
      </c>
      <c r="AM92" s="113">
        <f t="shared" si="23"/>
        <v>0.19075296300364311</v>
      </c>
      <c r="AN92" s="113">
        <f t="shared" ref="AN92:BS92" si="24">AM6/$A$92</f>
        <v>0.61040948161165787</v>
      </c>
      <c r="AO92" s="113">
        <f t="shared" si="24"/>
        <v>0.41965651860801478</v>
      </c>
      <c r="AP92" s="113">
        <f t="shared" si="24"/>
        <v>0.41965651860801478</v>
      </c>
      <c r="AQ92" s="113">
        <f t="shared" si="24"/>
        <v>0.38150592600728622</v>
      </c>
      <c r="AR92" s="113">
        <f t="shared" si="24"/>
        <v>0.34335533340655761</v>
      </c>
      <c r="AS92" s="113">
        <f t="shared" si="24"/>
        <v>0.30518205912176194</v>
      </c>
      <c r="AT92" s="113">
        <f t="shared" si="24"/>
        <v>0.20345470608117464</v>
      </c>
      <c r="AU92" s="113">
        <f t="shared" si="24"/>
        <v>0.20345470608117464</v>
      </c>
      <c r="AV92" s="113">
        <f t="shared" si="24"/>
        <v>0.18310923547305719</v>
      </c>
      <c r="AW92" s="113">
        <f t="shared" si="24"/>
        <v>0</v>
      </c>
      <c r="AX92" s="113">
        <f t="shared" si="24"/>
        <v>0</v>
      </c>
      <c r="AY92" s="113">
        <f t="shared" si="24"/>
        <v>0</v>
      </c>
      <c r="AZ92" s="113">
        <f t="shared" si="24"/>
        <v>0</v>
      </c>
      <c r="BA92" s="113">
        <f t="shared" si="24"/>
        <v>0</v>
      </c>
      <c r="BB92" s="113">
        <f t="shared" si="24"/>
        <v>0</v>
      </c>
      <c r="BC92" s="113">
        <f t="shared" si="24"/>
        <v>0</v>
      </c>
      <c r="BD92" s="113">
        <f t="shared" si="24"/>
        <v>0</v>
      </c>
      <c r="BE92" s="113">
        <f t="shared" si="24"/>
        <v>0</v>
      </c>
      <c r="BF92" s="113">
        <f t="shared" si="24"/>
        <v>0</v>
      </c>
      <c r="BG92" s="113">
        <f t="shared" si="24"/>
        <v>0</v>
      </c>
      <c r="BH92" s="113">
        <f t="shared" si="24"/>
        <v>0</v>
      </c>
      <c r="BI92" s="113">
        <f t="shared" si="24"/>
        <v>0</v>
      </c>
      <c r="BJ92" s="113">
        <f t="shared" si="24"/>
        <v>0</v>
      </c>
      <c r="BK92" s="113">
        <f t="shared" si="24"/>
        <v>0</v>
      </c>
      <c r="BL92" s="113">
        <f t="shared" si="24"/>
        <v>0</v>
      </c>
      <c r="BM92" s="113">
        <f t="shared" si="24"/>
        <v>0</v>
      </c>
      <c r="BN92" s="113">
        <f t="shared" si="24"/>
        <v>0</v>
      </c>
      <c r="BO92" s="113">
        <f t="shared" si="24"/>
        <v>0</v>
      </c>
      <c r="BP92" s="113">
        <f t="shared" si="24"/>
        <v>0</v>
      </c>
      <c r="BQ92" s="113">
        <f t="shared" si="24"/>
        <v>0</v>
      </c>
      <c r="BR92" s="113">
        <f t="shared" si="24"/>
        <v>0</v>
      </c>
      <c r="BS92" s="113">
        <f t="shared" si="24"/>
        <v>0</v>
      </c>
      <c r="BT92" s="113">
        <f t="shared" ref="BT92:CB92" si="25">BS6/$A$92</f>
        <v>0</v>
      </c>
      <c r="BU92" s="113">
        <f t="shared" si="25"/>
        <v>0</v>
      </c>
      <c r="BV92" s="113">
        <f t="shared" si="25"/>
        <v>0</v>
      </c>
      <c r="BW92" s="113">
        <f t="shared" si="25"/>
        <v>0</v>
      </c>
      <c r="BX92" s="113">
        <f t="shared" si="25"/>
        <v>0</v>
      </c>
      <c r="BY92" s="113">
        <f t="shared" si="25"/>
        <v>0</v>
      </c>
      <c r="BZ92" s="113">
        <f t="shared" si="25"/>
        <v>0</v>
      </c>
      <c r="CA92" s="113">
        <f t="shared" si="25"/>
        <v>0</v>
      </c>
      <c r="CB92" s="113">
        <f t="shared" si="25"/>
        <v>0</v>
      </c>
      <c r="CC92" s="1"/>
      <c r="CD92" s="1"/>
      <c r="CE92" s="1"/>
      <c r="CF92" s="114"/>
      <c r="CG92" s="113"/>
      <c r="CH92" s="1"/>
      <c r="CI92" s="1"/>
      <c r="CJ92" s="1"/>
      <c r="CK92" s="1"/>
      <c r="CL92" s="1"/>
      <c r="CM92" s="114"/>
      <c r="CN92" s="113">
        <f t="shared" ref="CN92:CN128" si="26">SUM(H92:CL92)</f>
        <v>24.744106917550699</v>
      </c>
    </row>
    <row r="93" spans="1:93" x14ac:dyDescent="0.3">
      <c r="A93" s="107">
        <v>38.51216042258266</v>
      </c>
      <c r="B93" s="3">
        <v>29</v>
      </c>
      <c r="C93" s="1">
        <v>0</v>
      </c>
      <c r="D93" s="1">
        <v>0</v>
      </c>
      <c r="E93" s="1">
        <v>100</v>
      </c>
      <c r="F93" s="114">
        <v>0</v>
      </c>
      <c r="G93" s="121" t="s">
        <v>199</v>
      </c>
      <c r="H93" s="113">
        <f t="shared" ref="H93:AM93" si="27">G7/$A$93</f>
        <v>0</v>
      </c>
      <c r="I93" s="113">
        <f t="shared" si="27"/>
        <v>0</v>
      </c>
      <c r="J93" s="113">
        <f t="shared" si="27"/>
        <v>6.1078630079155003</v>
      </c>
      <c r="K93" s="113">
        <f t="shared" si="27"/>
        <v>2.7451069698496631</v>
      </c>
      <c r="L93" s="113">
        <f t="shared" si="27"/>
        <v>6.1764906821617416</v>
      </c>
      <c r="M93" s="113">
        <f t="shared" si="27"/>
        <v>3.2255006895733542</v>
      </c>
      <c r="N93" s="113">
        <f t="shared" si="27"/>
        <v>5.2843309169606014</v>
      </c>
      <c r="O93" s="113">
        <f t="shared" si="27"/>
        <v>5.5588416139455674</v>
      </c>
      <c r="P93" s="113">
        <f t="shared" si="27"/>
        <v>4.9411925457293933</v>
      </c>
      <c r="Q93" s="113">
        <f t="shared" si="27"/>
        <v>4.5294265002519438</v>
      </c>
      <c r="R93" s="113">
        <f t="shared" si="27"/>
        <v>4.7353095229906694</v>
      </c>
      <c r="S93" s="113">
        <f t="shared" si="27"/>
        <v>9.0588530005038876</v>
      </c>
      <c r="T93" s="113">
        <f t="shared" si="27"/>
        <v>4.8725648714831511</v>
      </c>
      <c r="U93" s="113">
        <f t="shared" si="27"/>
        <v>8.7843423035189225</v>
      </c>
      <c r="V93" s="113">
        <f t="shared" si="27"/>
        <v>6.1764906821617416</v>
      </c>
      <c r="W93" s="113">
        <f t="shared" si="27"/>
        <v>11.642089020201803</v>
      </c>
      <c r="X93" s="113">
        <f t="shared" si="27"/>
        <v>15.354059432440058</v>
      </c>
      <c r="Y93" s="113">
        <f t="shared" si="27"/>
        <v>13.503851622279988</v>
      </c>
      <c r="Z93" s="113">
        <f t="shared" si="27"/>
        <v>11.353556777967889</v>
      </c>
      <c r="AA93" s="113">
        <f t="shared" si="27"/>
        <v>11.009509602877952</v>
      </c>
      <c r="AB93" s="113">
        <f t="shared" si="27"/>
        <v>11.267544984195403</v>
      </c>
      <c r="AC93" s="113">
        <f t="shared" si="27"/>
        <v>14.105934178687376</v>
      </c>
      <c r="AD93" s="113">
        <f t="shared" si="27"/>
        <v>13.994540791431843</v>
      </c>
      <c r="AE93" s="113">
        <f t="shared" si="27"/>
        <v>14.81306147825147</v>
      </c>
      <c r="AF93" s="113">
        <f t="shared" si="27"/>
        <v>12.069901945241938</v>
      </c>
      <c r="AG93" s="113">
        <f t="shared" si="27"/>
        <v>12.435656549643209</v>
      </c>
      <c r="AH93" s="113">
        <f t="shared" si="27"/>
        <v>7.4979693902260527</v>
      </c>
      <c r="AI93" s="113">
        <f t="shared" si="27"/>
        <v>3.917723605854305</v>
      </c>
      <c r="AJ93" s="113">
        <f t="shared" si="27"/>
        <v>4.0156666960006628</v>
      </c>
      <c r="AK93" s="113">
        <f t="shared" si="27"/>
        <v>2.9872642494639079</v>
      </c>
      <c r="AL93" s="113">
        <f t="shared" si="27"/>
        <v>2.4975487987321197</v>
      </c>
      <c r="AM93" s="113">
        <f t="shared" si="27"/>
        <v>2.3996057085857618</v>
      </c>
      <c r="AN93" s="113">
        <f t="shared" ref="AN93:BE93" si="28">AM7/$A$93</f>
        <v>1.6160609874149008</v>
      </c>
      <c r="AO93" s="113">
        <f t="shared" si="28"/>
        <v>2.4975487987321197</v>
      </c>
      <c r="AP93" s="113">
        <f t="shared" si="28"/>
        <v>1.6650325324880795</v>
      </c>
      <c r="AQ93" s="113">
        <f t="shared" si="28"/>
        <v>1.4201748071221856</v>
      </c>
      <c r="AR93" s="113">
        <f t="shared" si="28"/>
        <v>1.9098902578539738</v>
      </c>
      <c r="AS93" s="113">
        <f t="shared" si="28"/>
        <v>1.1263455366831128</v>
      </c>
      <c r="AT93" s="113">
        <f t="shared" si="28"/>
        <v>0</v>
      </c>
      <c r="AU93" s="113">
        <f t="shared" si="28"/>
        <v>0</v>
      </c>
      <c r="AV93" s="113">
        <f t="shared" si="28"/>
        <v>0</v>
      </c>
      <c r="AW93" s="113">
        <f t="shared" si="28"/>
        <v>0</v>
      </c>
      <c r="AX93" s="113">
        <f t="shared" si="28"/>
        <v>0</v>
      </c>
      <c r="AY93" s="113">
        <f t="shared" si="28"/>
        <v>0</v>
      </c>
      <c r="AZ93" s="113">
        <f t="shared" si="28"/>
        <v>0</v>
      </c>
      <c r="BA93" s="113">
        <f t="shared" si="28"/>
        <v>0</v>
      </c>
      <c r="BB93" s="113">
        <f t="shared" si="28"/>
        <v>0</v>
      </c>
      <c r="BC93" s="113">
        <f t="shared" si="28"/>
        <v>0</v>
      </c>
      <c r="BD93" s="113">
        <f t="shared" si="28"/>
        <v>0</v>
      </c>
      <c r="BE93" s="113">
        <f t="shared" si="28"/>
        <v>0</v>
      </c>
      <c r="BF93" s="1"/>
      <c r="BG93" s="1"/>
      <c r="BH93" s="1"/>
      <c r="BI93" s="1"/>
      <c r="BJ93" s="1"/>
      <c r="BK93" s="114"/>
      <c r="BL93" s="113"/>
      <c r="BM93" s="1"/>
      <c r="BN93" s="1"/>
      <c r="BO93" s="1"/>
      <c r="BP93" s="1"/>
      <c r="BQ93" s="1"/>
      <c r="BR93" s="114"/>
      <c r="BS93" s="113"/>
      <c r="BT93" s="1"/>
      <c r="BU93" s="1"/>
      <c r="BV93" s="1"/>
      <c r="BW93" s="1"/>
      <c r="BX93" s="1"/>
      <c r="BY93" s="114"/>
      <c r="BZ93" s="113"/>
      <c r="CA93" s="1"/>
      <c r="CB93" s="1"/>
      <c r="CC93" s="1"/>
      <c r="CD93" s="1"/>
      <c r="CE93" s="1"/>
      <c r="CF93" s="114"/>
      <c r="CG93" s="113"/>
      <c r="CH93" s="1"/>
      <c r="CI93" s="1"/>
      <c r="CJ93" s="1"/>
      <c r="CK93" s="1"/>
      <c r="CL93" s="1"/>
      <c r="CM93" s="114"/>
      <c r="CN93" s="130">
        <f t="shared" si="26"/>
        <v>247.29685105942224</v>
      </c>
    </row>
    <row r="94" spans="1:93" x14ac:dyDescent="0.3">
      <c r="A94" s="107">
        <v>18.008819350811976</v>
      </c>
      <c r="B94" s="107" t="s">
        <v>77</v>
      </c>
      <c r="H94" s="107">
        <f t="shared" ref="H94:AM94" si="29">+G8/$A$94</f>
        <v>0</v>
      </c>
      <c r="I94" s="112">
        <f t="shared" si="29"/>
        <v>0</v>
      </c>
      <c r="J94" s="112">
        <f t="shared" si="29"/>
        <v>1.4216645467569555</v>
      </c>
      <c r="K94" s="112">
        <f t="shared" si="29"/>
        <v>2.3195579447087171</v>
      </c>
      <c r="L94" s="112">
        <f t="shared" si="29"/>
        <v>2.9181535433432249</v>
      </c>
      <c r="M94" s="112">
        <f t="shared" si="29"/>
        <v>5.3873603877105687</v>
      </c>
      <c r="N94" s="112">
        <f t="shared" si="29"/>
        <v>1.8706112457328363</v>
      </c>
      <c r="O94" s="112">
        <f t="shared" si="29"/>
        <v>4.9384136887346886</v>
      </c>
      <c r="P94" s="112">
        <f t="shared" si="29"/>
        <v>1.7209623460742094</v>
      </c>
      <c r="Q94" s="112">
        <f t="shared" si="29"/>
        <v>0.29929779931725381</v>
      </c>
      <c r="R94" s="112">
        <f t="shared" si="29"/>
        <v>0.2244733494879404</v>
      </c>
      <c r="S94" s="112">
        <f t="shared" si="29"/>
        <v>0.8978933979517616</v>
      </c>
      <c r="T94" s="112">
        <f t="shared" si="29"/>
        <v>0.4489466989758808</v>
      </c>
      <c r="U94" s="112">
        <f t="shared" si="29"/>
        <v>0.59859559863450762</v>
      </c>
      <c r="V94" s="112">
        <f t="shared" si="29"/>
        <v>1.5713134464155825</v>
      </c>
      <c r="W94" s="112">
        <f t="shared" si="29"/>
        <v>0.29929779931725381</v>
      </c>
      <c r="X94" s="112">
        <f t="shared" si="29"/>
        <v>0.67342004846382109</v>
      </c>
      <c r="Y94" s="112">
        <f t="shared" si="29"/>
        <v>0.52377114880519415</v>
      </c>
      <c r="Z94" s="112">
        <f t="shared" si="29"/>
        <v>0</v>
      </c>
      <c r="AA94" s="112">
        <f t="shared" si="29"/>
        <v>0.74824449829313455</v>
      </c>
      <c r="AB94" s="112">
        <f t="shared" si="29"/>
        <v>0.82306894812244802</v>
      </c>
      <c r="AC94" s="112">
        <f t="shared" si="29"/>
        <v>0.29929779931725381</v>
      </c>
      <c r="AD94" s="112">
        <f t="shared" si="29"/>
        <v>0.59859559863450762</v>
      </c>
      <c r="AE94" s="112">
        <f t="shared" si="29"/>
        <v>0</v>
      </c>
      <c r="AF94" s="112">
        <f t="shared" si="29"/>
        <v>0</v>
      </c>
      <c r="AG94" s="112">
        <f t="shared" si="29"/>
        <v>0</v>
      </c>
      <c r="AH94" s="112">
        <f t="shared" si="29"/>
        <v>0</v>
      </c>
      <c r="AI94" s="112">
        <f t="shared" si="29"/>
        <v>0</v>
      </c>
      <c r="AJ94" s="112">
        <f t="shared" si="29"/>
        <v>0</v>
      </c>
      <c r="AK94" s="112">
        <f t="shared" si="29"/>
        <v>0</v>
      </c>
      <c r="AL94" s="112">
        <f t="shared" si="29"/>
        <v>0</v>
      </c>
      <c r="AM94" s="112">
        <f t="shared" si="29"/>
        <v>0</v>
      </c>
      <c r="AN94" s="112">
        <f t="shared" ref="AN94:BS94" si="30">+AM8/$A$94</f>
        <v>0</v>
      </c>
      <c r="AO94" s="112">
        <f t="shared" si="30"/>
        <v>0</v>
      </c>
      <c r="AP94" s="112">
        <f t="shared" si="30"/>
        <v>0</v>
      </c>
      <c r="AQ94" s="112">
        <f t="shared" si="30"/>
        <v>0</v>
      </c>
      <c r="AR94" s="112">
        <f t="shared" si="30"/>
        <v>0</v>
      </c>
      <c r="AS94" s="112">
        <f t="shared" si="30"/>
        <v>0</v>
      </c>
      <c r="AT94" s="112">
        <f t="shared" si="30"/>
        <v>0</v>
      </c>
      <c r="AU94" s="112">
        <f t="shared" si="30"/>
        <v>0</v>
      </c>
      <c r="AV94" s="112">
        <f t="shared" si="30"/>
        <v>0</v>
      </c>
      <c r="AW94" s="112">
        <f t="shared" si="30"/>
        <v>0</v>
      </c>
      <c r="AX94" s="112">
        <f t="shared" si="30"/>
        <v>0</v>
      </c>
      <c r="AY94" s="112">
        <f t="shared" si="30"/>
        <v>0</v>
      </c>
      <c r="AZ94" s="112">
        <f t="shared" si="30"/>
        <v>0</v>
      </c>
      <c r="BA94" s="112">
        <f t="shared" si="30"/>
        <v>0</v>
      </c>
      <c r="BB94" s="112">
        <f t="shared" si="30"/>
        <v>0</v>
      </c>
      <c r="BC94" s="112">
        <f t="shared" si="30"/>
        <v>0</v>
      </c>
      <c r="BD94" s="112">
        <f t="shared" si="30"/>
        <v>0</v>
      </c>
      <c r="BE94" s="112">
        <f t="shared" si="30"/>
        <v>0</v>
      </c>
      <c r="BF94" s="112">
        <f t="shared" si="30"/>
        <v>0</v>
      </c>
      <c r="BG94" s="112">
        <f t="shared" si="30"/>
        <v>0</v>
      </c>
      <c r="BH94" s="112">
        <f t="shared" si="30"/>
        <v>0</v>
      </c>
      <c r="BI94" s="112">
        <f t="shared" si="30"/>
        <v>0</v>
      </c>
      <c r="BJ94" s="112">
        <f t="shared" si="30"/>
        <v>0</v>
      </c>
      <c r="BK94" s="112">
        <f t="shared" si="30"/>
        <v>0</v>
      </c>
      <c r="BL94" s="112">
        <f t="shared" si="30"/>
        <v>0</v>
      </c>
      <c r="BM94" s="112">
        <f t="shared" si="30"/>
        <v>0</v>
      </c>
      <c r="BN94" s="112">
        <f t="shared" si="30"/>
        <v>0</v>
      </c>
      <c r="BO94" s="112">
        <f t="shared" si="30"/>
        <v>0</v>
      </c>
      <c r="BP94" s="112">
        <f t="shared" si="30"/>
        <v>0</v>
      </c>
      <c r="BQ94" s="112">
        <f t="shared" si="30"/>
        <v>0</v>
      </c>
      <c r="BR94" s="112">
        <f t="shared" si="30"/>
        <v>0</v>
      </c>
      <c r="BS94" s="112">
        <f t="shared" si="30"/>
        <v>0</v>
      </c>
      <c r="BT94" s="112">
        <f t="shared" ref="BT94:BY94" si="31">+BS8/$A$94</f>
        <v>0</v>
      </c>
      <c r="BU94" s="112">
        <f t="shared" si="31"/>
        <v>0</v>
      </c>
      <c r="BV94" s="112">
        <f t="shared" si="31"/>
        <v>0</v>
      </c>
      <c r="BW94" s="112">
        <f t="shared" si="31"/>
        <v>0</v>
      </c>
      <c r="BX94" s="112">
        <f t="shared" si="31"/>
        <v>0</v>
      </c>
      <c r="BY94" s="112">
        <f t="shared" si="31"/>
        <v>0</v>
      </c>
      <c r="CN94" s="142">
        <f t="shared" si="26"/>
        <v>28.582939834797749</v>
      </c>
    </row>
    <row r="95" spans="1:93" x14ac:dyDescent="0.3">
      <c r="B95" s="117" t="s">
        <v>169</v>
      </c>
      <c r="C95" s="117" t="s">
        <v>46</v>
      </c>
      <c r="D95" s="117" t="s">
        <v>248</v>
      </c>
      <c r="E95" s="117" t="s">
        <v>48</v>
      </c>
      <c r="F95" s="118" t="s">
        <v>54</v>
      </c>
      <c r="G95" s="118"/>
      <c r="H95" s="115">
        <v>45327</v>
      </c>
      <c r="I95" s="116">
        <v>45328</v>
      </c>
      <c r="J95" s="116">
        <v>45329</v>
      </c>
      <c r="K95" s="116">
        <v>45330</v>
      </c>
      <c r="L95" s="116">
        <v>45331</v>
      </c>
      <c r="M95" s="116">
        <v>45332</v>
      </c>
      <c r="N95" s="119">
        <v>45333</v>
      </c>
      <c r="O95" s="115">
        <v>45334</v>
      </c>
      <c r="P95" s="116">
        <v>45335</v>
      </c>
      <c r="Q95" s="116">
        <v>45336</v>
      </c>
      <c r="R95" s="116">
        <v>45337</v>
      </c>
      <c r="S95" s="116">
        <v>45338</v>
      </c>
      <c r="T95" s="116">
        <v>45339</v>
      </c>
      <c r="U95" s="119">
        <v>45340</v>
      </c>
      <c r="V95" s="115">
        <v>45341</v>
      </c>
      <c r="W95" s="116">
        <v>45342</v>
      </c>
      <c r="X95" s="116">
        <v>45343</v>
      </c>
      <c r="Y95" s="116">
        <v>45344</v>
      </c>
      <c r="Z95" s="116">
        <v>45345</v>
      </c>
      <c r="AA95" s="116">
        <v>45346</v>
      </c>
      <c r="AB95" s="119">
        <v>45347</v>
      </c>
      <c r="AC95" s="115">
        <v>45348</v>
      </c>
      <c r="AD95" s="116">
        <v>45349</v>
      </c>
      <c r="AE95" s="116">
        <v>45350</v>
      </c>
      <c r="AF95" s="116">
        <v>45351</v>
      </c>
      <c r="AG95" s="116">
        <v>45352</v>
      </c>
      <c r="AH95" s="116">
        <v>45353</v>
      </c>
      <c r="AI95" s="119">
        <v>45354</v>
      </c>
      <c r="AJ95" s="115">
        <v>45355</v>
      </c>
      <c r="AK95" s="116">
        <v>45356</v>
      </c>
      <c r="AL95" s="116">
        <v>45357</v>
      </c>
      <c r="AM95" s="116">
        <v>45358</v>
      </c>
      <c r="AN95" s="116">
        <v>45359</v>
      </c>
      <c r="AO95" s="116">
        <v>45360</v>
      </c>
      <c r="AP95" s="119">
        <v>45361</v>
      </c>
      <c r="AQ95" s="115">
        <v>45362</v>
      </c>
      <c r="AR95" s="116">
        <v>45363</v>
      </c>
      <c r="AS95" s="116">
        <v>45364</v>
      </c>
      <c r="AT95" s="116">
        <v>45365</v>
      </c>
      <c r="AU95" s="116">
        <v>45366</v>
      </c>
      <c r="AV95" s="116">
        <v>45367</v>
      </c>
      <c r="AW95" s="119">
        <v>45368</v>
      </c>
      <c r="AX95" s="115">
        <v>45369</v>
      </c>
      <c r="AY95" s="116">
        <v>45370</v>
      </c>
      <c r="AZ95" s="116">
        <v>45371</v>
      </c>
      <c r="BA95" s="116">
        <v>45372</v>
      </c>
      <c r="BB95" s="116">
        <v>45373</v>
      </c>
      <c r="BC95" s="116">
        <v>45374</v>
      </c>
      <c r="BD95" s="119">
        <v>45375</v>
      </c>
      <c r="BE95" s="115">
        <v>45376</v>
      </c>
      <c r="BF95" s="116">
        <v>45377</v>
      </c>
      <c r="BG95" s="116">
        <v>45378</v>
      </c>
      <c r="BH95" s="116">
        <v>45379</v>
      </c>
      <c r="BI95" s="116">
        <v>45380</v>
      </c>
      <c r="BJ95" s="116">
        <v>45381</v>
      </c>
      <c r="BK95" s="119">
        <v>45382</v>
      </c>
      <c r="BL95" s="115">
        <v>45383</v>
      </c>
      <c r="BM95" s="116">
        <v>45384</v>
      </c>
      <c r="BN95" s="116">
        <v>45385</v>
      </c>
      <c r="BO95" s="116">
        <v>45386</v>
      </c>
      <c r="BP95" s="116">
        <v>45387</v>
      </c>
      <c r="BQ95" s="116">
        <v>45388</v>
      </c>
      <c r="BR95" s="119">
        <v>45389</v>
      </c>
      <c r="BS95" s="115">
        <v>45390</v>
      </c>
      <c r="BT95" s="116">
        <v>45391</v>
      </c>
      <c r="BU95" s="116">
        <v>45392</v>
      </c>
      <c r="BV95" s="116">
        <v>45393</v>
      </c>
      <c r="BW95" s="116">
        <v>45394</v>
      </c>
      <c r="BX95" s="116">
        <v>45395</v>
      </c>
      <c r="BY95" s="119">
        <v>45396</v>
      </c>
      <c r="BZ95" s="115">
        <v>45397</v>
      </c>
      <c r="CA95" s="116">
        <v>45398</v>
      </c>
      <c r="CB95" s="116">
        <v>45399</v>
      </c>
      <c r="CC95" s="116">
        <v>45400</v>
      </c>
      <c r="CD95" s="116">
        <v>45401</v>
      </c>
      <c r="CE95" s="116">
        <v>45402</v>
      </c>
      <c r="CF95" s="119">
        <v>45403</v>
      </c>
      <c r="CG95" s="115">
        <v>45404</v>
      </c>
      <c r="CH95" s="116">
        <v>45405</v>
      </c>
      <c r="CI95" s="117"/>
      <c r="CJ95" s="117"/>
      <c r="CK95" s="117"/>
      <c r="CL95" s="117"/>
      <c r="CM95" s="118"/>
      <c r="CN95" s="113" t="s">
        <v>34</v>
      </c>
    </row>
    <row r="96" spans="1:93" x14ac:dyDescent="0.3">
      <c r="A96" s="107">
        <v>44.669121856209038</v>
      </c>
      <c r="B96" s="3">
        <v>27</v>
      </c>
      <c r="C96" s="1">
        <v>72.5886</v>
      </c>
      <c r="D96" s="1">
        <v>27.4114</v>
      </c>
      <c r="E96" s="1">
        <v>0</v>
      </c>
      <c r="F96" s="114">
        <v>0</v>
      </c>
      <c r="G96" s="122" t="s">
        <v>178</v>
      </c>
      <c r="H96" s="113">
        <f t="shared" ref="H96:AM96" si="32">G11/$A$96</f>
        <v>0</v>
      </c>
      <c r="I96" s="113">
        <f t="shared" si="32"/>
        <v>0</v>
      </c>
      <c r="J96" s="113">
        <f t="shared" si="32"/>
        <v>0.93890361523125199</v>
      </c>
      <c r="K96" s="113">
        <f t="shared" si="32"/>
        <v>0.10432262391458356</v>
      </c>
      <c r="L96" s="113">
        <f t="shared" si="32"/>
        <v>0.20864524782916713</v>
      </c>
      <c r="M96" s="113">
        <f t="shared" si="32"/>
        <v>0.31296787174375068</v>
      </c>
      <c r="N96" s="113">
        <f t="shared" si="32"/>
        <v>0.41729049565833426</v>
      </c>
      <c r="O96" s="113">
        <f t="shared" si="32"/>
        <v>1.0432262391458356</v>
      </c>
      <c r="P96" s="113">
        <f t="shared" si="32"/>
        <v>2.1907751022062545</v>
      </c>
      <c r="Q96" s="113">
        <f t="shared" si="32"/>
        <v>2.2950977261208383</v>
      </c>
      <c r="R96" s="113">
        <f t="shared" si="32"/>
        <v>1.5648393587187535</v>
      </c>
      <c r="S96" s="113">
        <f t="shared" si="32"/>
        <v>2.7123882217791722</v>
      </c>
      <c r="T96" s="113">
        <f t="shared" si="32"/>
        <v>1.5648393587187535</v>
      </c>
      <c r="U96" s="113">
        <f t="shared" si="32"/>
        <v>0.73025836740208483</v>
      </c>
      <c r="V96" s="113">
        <f t="shared" si="32"/>
        <v>1.0432262391458356</v>
      </c>
      <c r="W96" s="113">
        <f t="shared" si="32"/>
        <v>2.1907751022062545</v>
      </c>
      <c r="X96" s="113">
        <f t="shared" si="32"/>
        <v>2.2950977261208383</v>
      </c>
      <c r="Y96" s="113">
        <f t="shared" si="32"/>
        <v>1.5648393587187535</v>
      </c>
      <c r="Z96" s="113">
        <f t="shared" si="32"/>
        <v>2.7123882217791722</v>
      </c>
      <c r="AA96" s="113">
        <f t="shared" si="32"/>
        <v>1.5648393587187535</v>
      </c>
      <c r="AB96" s="113">
        <f t="shared" si="32"/>
        <v>0.73025836740208483</v>
      </c>
      <c r="AC96" s="113">
        <f t="shared" si="32"/>
        <v>1.0432262391458356</v>
      </c>
      <c r="AD96" s="113">
        <f t="shared" si="32"/>
        <v>2.1907751022062545</v>
      </c>
      <c r="AE96" s="113">
        <f t="shared" si="32"/>
        <v>2.2950977261208383</v>
      </c>
      <c r="AF96" s="113">
        <f t="shared" si="32"/>
        <v>1.5648393587187535</v>
      </c>
      <c r="AG96" s="113">
        <f t="shared" si="32"/>
        <v>2.7123882217791722</v>
      </c>
      <c r="AH96" s="113">
        <f t="shared" si="32"/>
        <v>1.5648393587187535</v>
      </c>
      <c r="AI96" s="113">
        <f t="shared" si="32"/>
        <v>0.73025836740208483</v>
      </c>
      <c r="AJ96" s="113">
        <f t="shared" si="32"/>
        <v>1.0432262391458356</v>
      </c>
      <c r="AK96" s="113">
        <f t="shared" si="32"/>
        <v>2.1907751022062545</v>
      </c>
      <c r="AL96" s="113">
        <f t="shared" si="32"/>
        <v>2.2950977261208383</v>
      </c>
      <c r="AM96" s="113">
        <f t="shared" si="32"/>
        <v>1.5648393587187535</v>
      </c>
      <c r="AN96" s="113">
        <f t="shared" ref="AN96:BS96" si="33">AM11/$A$96</f>
        <v>3.3340256940667596</v>
      </c>
      <c r="AO96" s="113">
        <f t="shared" si="33"/>
        <v>1.9234763619615922</v>
      </c>
      <c r="AP96" s="113">
        <f t="shared" si="33"/>
        <v>0.89762230224874284</v>
      </c>
      <c r="AQ96" s="113">
        <f t="shared" si="33"/>
        <v>1.2823175746410613</v>
      </c>
      <c r="AR96" s="113">
        <f t="shared" si="33"/>
        <v>1.0258540597128492</v>
      </c>
      <c r="AS96" s="113">
        <f t="shared" si="33"/>
        <v>1.9234763619615922</v>
      </c>
      <c r="AT96" s="113">
        <f t="shared" si="33"/>
        <v>1.6670128470333798</v>
      </c>
      <c r="AU96" s="113">
        <f t="shared" si="33"/>
        <v>1.4746652108372207</v>
      </c>
      <c r="AV96" s="113">
        <f t="shared" si="33"/>
        <v>1.7911702015892341</v>
      </c>
      <c r="AW96" s="113">
        <f t="shared" si="33"/>
        <v>0.71646808063569356</v>
      </c>
      <c r="AX96" s="113">
        <f t="shared" si="33"/>
        <v>0.23882269354523122</v>
      </c>
      <c r="AY96" s="113">
        <f t="shared" si="33"/>
        <v>0.9552907741809249</v>
      </c>
      <c r="AZ96" s="113">
        <f t="shared" si="33"/>
        <v>0.47764538709046245</v>
      </c>
      <c r="BA96" s="113">
        <f t="shared" si="33"/>
        <v>0.71646808063569356</v>
      </c>
      <c r="BB96" s="113">
        <f t="shared" si="33"/>
        <v>0.597056733863078</v>
      </c>
      <c r="BC96" s="113">
        <f t="shared" si="33"/>
        <v>0.9552907741809249</v>
      </c>
      <c r="BD96" s="113">
        <f t="shared" si="33"/>
        <v>0.35823404031784678</v>
      </c>
      <c r="BE96" s="113">
        <f t="shared" si="33"/>
        <v>0.9552907741809249</v>
      </c>
      <c r="BF96" s="113">
        <f t="shared" si="33"/>
        <v>0.9552907741809249</v>
      </c>
      <c r="BG96" s="113">
        <f t="shared" si="33"/>
        <v>0.23882269354523122</v>
      </c>
      <c r="BH96" s="113">
        <f t="shared" si="33"/>
        <v>0</v>
      </c>
      <c r="BI96" s="113">
        <f t="shared" si="33"/>
        <v>0</v>
      </c>
      <c r="BJ96" s="113">
        <f t="shared" si="33"/>
        <v>0.76583103894720783</v>
      </c>
      <c r="BK96" s="113">
        <f t="shared" si="33"/>
        <v>0</v>
      </c>
      <c r="BL96" s="113">
        <f t="shared" si="33"/>
        <v>0.32821330240594626</v>
      </c>
      <c r="BM96" s="113">
        <f t="shared" si="33"/>
        <v>0.10940443413531541</v>
      </c>
      <c r="BN96" s="113">
        <f t="shared" si="33"/>
        <v>0.87523547308252325</v>
      </c>
      <c r="BO96" s="113">
        <f t="shared" si="33"/>
        <v>0</v>
      </c>
      <c r="BP96" s="113">
        <f t="shared" si="33"/>
        <v>0</v>
      </c>
      <c r="BQ96" s="113">
        <f t="shared" si="33"/>
        <v>0</v>
      </c>
      <c r="BR96" s="113">
        <f t="shared" si="33"/>
        <v>0</v>
      </c>
      <c r="BS96" s="113">
        <f t="shared" si="33"/>
        <v>0</v>
      </c>
      <c r="BT96" s="113">
        <f t="shared" ref="BT96:CB96" si="34">BS11/$A$96</f>
        <v>0</v>
      </c>
      <c r="BU96" s="113">
        <f t="shared" si="34"/>
        <v>0</v>
      </c>
      <c r="BV96" s="113">
        <f t="shared" si="34"/>
        <v>0</v>
      </c>
      <c r="BW96" s="113">
        <f t="shared" si="34"/>
        <v>0</v>
      </c>
      <c r="BX96" s="113">
        <f t="shared" si="34"/>
        <v>0</v>
      </c>
      <c r="BY96" s="113">
        <f t="shared" si="34"/>
        <v>0</v>
      </c>
      <c r="BZ96" s="113">
        <f t="shared" si="34"/>
        <v>0</v>
      </c>
      <c r="CA96" s="113">
        <f t="shared" si="34"/>
        <v>0</v>
      </c>
      <c r="CB96" s="113">
        <f t="shared" si="34"/>
        <v>0</v>
      </c>
      <c r="CC96" s="1"/>
      <c r="CD96" s="1"/>
      <c r="CE96" s="1"/>
      <c r="CF96" s="114"/>
      <c r="CG96" s="113"/>
      <c r="CH96" s="1"/>
      <c r="CI96" s="1"/>
      <c r="CJ96" s="1"/>
      <c r="CK96" s="1"/>
      <c r="CL96" s="1"/>
      <c r="CM96" s="114"/>
      <c r="CN96" s="113">
        <f t="shared" si="26"/>
        <v>69.9433270718242</v>
      </c>
    </row>
    <row r="97" spans="1:92" x14ac:dyDescent="0.3">
      <c r="A97" s="107">
        <v>40.821913530657625</v>
      </c>
      <c r="B97" s="1">
        <v>6</v>
      </c>
      <c r="C97" s="1">
        <v>26.6587</v>
      </c>
      <c r="D97" s="1">
        <v>73.341300000000004</v>
      </c>
      <c r="E97" s="1">
        <v>0</v>
      </c>
      <c r="F97" s="114">
        <v>0</v>
      </c>
      <c r="G97" s="122" t="s">
        <v>179</v>
      </c>
      <c r="H97" s="113">
        <f t="shared" ref="H97:AM97" si="35">G12/$A$97</f>
        <v>0</v>
      </c>
      <c r="I97" s="113">
        <f t="shared" si="35"/>
        <v>0</v>
      </c>
      <c r="J97" s="113">
        <f t="shared" si="35"/>
        <v>0</v>
      </c>
      <c r="K97" s="113">
        <f t="shared" si="35"/>
        <v>0</v>
      </c>
      <c r="L97" s="113">
        <f t="shared" si="35"/>
        <v>0.85489623052067143</v>
      </c>
      <c r="M97" s="113">
        <f t="shared" si="35"/>
        <v>0.26304499400636044</v>
      </c>
      <c r="N97" s="113">
        <f t="shared" si="35"/>
        <v>0.32880624250795054</v>
      </c>
      <c r="O97" s="113">
        <f t="shared" si="35"/>
        <v>2.8934949340699649</v>
      </c>
      <c r="P97" s="113">
        <f t="shared" si="35"/>
        <v>2.2358824490540639</v>
      </c>
      <c r="Q97" s="113">
        <f t="shared" si="35"/>
        <v>3.8799136615938163</v>
      </c>
      <c r="R97" s="113">
        <f t="shared" si="35"/>
        <v>0.13152249700318022</v>
      </c>
      <c r="S97" s="113">
        <f t="shared" si="35"/>
        <v>0.19728374550477035</v>
      </c>
      <c r="T97" s="113">
        <f t="shared" si="35"/>
        <v>0.46032873951113079</v>
      </c>
      <c r="U97" s="113">
        <f t="shared" si="35"/>
        <v>6.7734085956637813</v>
      </c>
      <c r="V97" s="113">
        <f t="shared" si="35"/>
        <v>7.1679760866733231</v>
      </c>
      <c r="W97" s="113">
        <f t="shared" si="35"/>
        <v>8.1543948141971718</v>
      </c>
      <c r="X97" s="113">
        <f t="shared" si="35"/>
        <v>5.7869898681399299</v>
      </c>
      <c r="Y97" s="113">
        <f t="shared" si="35"/>
        <v>7.6242383828053271</v>
      </c>
      <c r="Z97" s="113">
        <f t="shared" si="35"/>
        <v>6.2154117251130385</v>
      </c>
      <c r="AA97" s="113">
        <f t="shared" si="35"/>
        <v>7.1270054447962838</v>
      </c>
      <c r="AB97" s="113">
        <f t="shared" si="35"/>
        <v>7.0757339629136888</v>
      </c>
      <c r="AC97" s="113">
        <f t="shared" si="35"/>
        <v>6.2991290157646249</v>
      </c>
      <c r="AD97" s="113">
        <f t="shared" si="35"/>
        <v>6.1265501386203889</v>
      </c>
      <c r="AE97" s="113">
        <f t="shared" si="35"/>
        <v>5.3499451914713259</v>
      </c>
      <c r="AF97" s="113">
        <f t="shared" si="35"/>
        <v>3.7104458586010804</v>
      </c>
      <c r="AG97" s="113">
        <f t="shared" si="35"/>
        <v>3.9693141743174349</v>
      </c>
      <c r="AH97" s="113">
        <f t="shared" si="35"/>
        <v>2.32981484144719</v>
      </c>
      <c r="AI97" s="113">
        <f t="shared" si="35"/>
        <v>2.0029070890710607</v>
      </c>
      <c r="AJ97" s="113">
        <f t="shared" si="35"/>
        <v>2.0029070890710607</v>
      </c>
      <c r="AK97" s="113">
        <f t="shared" si="35"/>
        <v>0.56081398493989687</v>
      </c>
      <c r="AL97" s="113">
        <f t="shared" si="35"/>
        <v>0.51119602672050013</v>
      </c>
      <c r="AM97" s="113">
        <f t="shared" si="35"/>
        <v>0.44729652338043757</v>
      </c>
      <c r="AN97" s="113">
        <f t="shared" ref="AN97:BL97" si="36">AM12/$A$97</f>
        <v>0.12779900668012503</v>
      </c>
      <c r="AO97" s="113">
        <f t="shared" si="36"/>
        <v>1.0223920534410003</v>
      </c>
      <c r="AP97" s="113">
        <f t="shared" si="36"/>
        <v>1.1501910601211254</v>
      </c>
      <c r="AQ97" s="113">
        <f t="shared" si="36"/>
        <v>1.3418895701413127</v>
      </c>
      <c r="AR97" s="113">
        <f t="shared" si="36"/>
        <v>2.4281811269223756</v>
      </c>
      <c r="AS97" s="113">
        <f t="shared" si="36"/>
        <v>1.3418895701413127</v>
      </c>
      <c r="AT97" s="113">
        <f t="shared" si="36"/>
        <v>1.5974875835015629</v>
      </c>
      <c r="AU97" s="113">
        <f t="shared" si="36"/>
        <v>2.3003821202422507</v>
      </c>
      <c r="AV97" s="113">
        <f t="shared" si="36"/>
        <v>3.1949751670031259</v>
      </c>
      <c r="AW97" s="113">
        <f t="shared" si="36"/>
        <v>1.2140905634611878</v>
      </c>
      <c r="AX97" s="113">
        <f t="shared" si="36"/>
        <v>1.4057890734813754</v>
      </c>
      <c r="AY97" s="113">
        <f t="shared" si="36"/>
        <v>0.89459304676087514</v>
      </c>
      <c r="AZ97" s="113">
        <f t="shared" si="36"/>
        <v>0.70289453674068769</v>
      </c>
      <c r="BA97" s="113">
        <f t="shared" si="36"/>
        <v>3.2588746703431881</v>
      </c>
      <c r="BB97" s="113">
        <f t="shared" si="36"/>
        <v>2.0447841068820005</v>
      </c>
      <c r="BC97" s="113">
        <f t="shared" si="36"/>
        <v>2.3003821202422507</v>
      </c>
      <c r="BD97" s="113">
        <f t="shared" si="36"/>
        <v>1.2779900668012503</v>
      </c>
      <c r="BE97" s="113">
        <f t="shared" si="36"/>
        <v>1.4057890734813754</v>
      </c>
      <c r="BF97" s="113">
        <f t="shared" si="36"/>
        <v>1.0223920534410003</v>
      </c>
      <c r="BG97" s="113">
        <f t="shared" si="36"/>
        <v>1.4057890734813754</v>
      </c>
      <c r="BH97" s="113">
        <f t="shared" si="36"/>
        <v>0.63899503340062513</v>
      </c>
      <c r="BI97" s="113">
        <f t="shared" si="36"/>
        <v>1.3418895701413127</v>
      </c>
      <c r="BJ97" s="113">
        <f t="shared" si="36"/>
        <v>0.25559801336025006</v>
      </c>
      <c r="BK97" s="113">
        <f t="shared" si="36"/>
        <v>0.63899503340062513</v>
      </c>
      <c r="BL97" s="113">
        <f t="shared" si="36"/>
        <v>0.63899503340062513</v>
      </c>
      <c r="BM97" s="1"/>
      <c r="BN97" s="1"/>
      <c r="BO97" s="1"/>
      <c r="BP97" s="1"/>
      <c r="BQ97" s="1"/>
      <c r="BR97" s="114"/>
      <c r="BS97" s="113"/>
      <c r="BT97" s="1"/>
      <c r="BU97" s="1"/>
      <c r="BV97" s="1"/>
      <c r="BW97" s="1"/>
      <c r="BX97" s="1"/>
      <c r="BY97" s="114"/>
      <c r="BZ97" s="113"/>
      <c r="CA97" s="1"/>
      <c r="CB97" s="1"/>
      <c r="CC97" s="1"/>
      <c r="CD97" s="1"/>
      <c r="CE97" s="1"/>
      <c r="CF97" s="114"/>
      <c r="CG97" s="113"/>
      <c r="CH97" s="1"/>
      <c r="CI97" s="1"/>
      <c r="CJ97" s="1"/>
      <c r="CK97" s="1"/>
      <c r="CL97" s="1"/>
      <c r="CM97" s="114"/>
      <c r="CN97" s="113">
        <f t="shared" si="26"/>
        <v>135.43368063449361</v>
      </c>
    </row>
    <row r="98" spans="1:92" x14ac:dyDescent="0.3">
      <c r="B98" s="3"/>
      <c r="C98" s="1"/>
      <c r="D98" s="1"/>
      <c r="E98" s="1"/>
      <c r="F98" s="114"/>
      <c r="G98" s="125"/>
      <c r="H98" s="115">
        <v>45327</v>
      </c>
      <c r="I98" s="116">
        <v>45328</v>
      </c>
      <c r="J98" s="116">
        <v>45329</v>
      </c>
      <c r="K98" s="116">
        <v>45330</v>
      </c>
      <c r="L98" s="116">
        <v>45331</v>
      </c>
      <c r="M98" s="116">
        <v>45332</v>
      </c>
      <c r="N98" s="119">
        <v>45333</v>
      </c>
      <c r="O98" s="115">
        <v>45334</v>
      </c>
      <c r="P98" s="116">
        <v>45335</v>
      </c>
      <c r="Q98" s="116">
        <v>45336</v>
      </c>
      <c r="R98" s="116">
        <v>45337</v>
      </c>
      <c r="S98" s="116">
        <v>45338</v>
      </c>
      <c r="T98" s="116">
        <v>45339</v>
      </c>
      <c r="U98" s="119">
        <v>45340</v>
      </c>
      <c r="V98" s="115">
        <v>45341</v>
      </c>
      <c r="W98" s="116">
        <v>45342</v>
      </c>
      <c r="X98" s="116">
        <v>45343</v>
      </c>
      <c r="Y98" s="116">
        <v>45344</v>
      </c>
      <c r="Z98" s="116">
        <v>45345</v>
      </c>
      <c r="AA98" s="116">
        <v>45346</v>
      </c>
      <c r="AB98" s="119">
        <v>45347</v>
      </c>
      <c r="AC98" s="115">
        <v>45348</v>
      </c>
      <c r="AD98" s="116">
        <v>45349</v>
      </c>
      <c r="AE98" s="116">
        <v>45350</v>
      </c>
      <c r="AF98" s="116">
        <v>45351</v>
      </c>
      <c r="AG98" s="116">
        <v>45352</v>
      </c>
      <c r="AH98" s="116">
        <v>45353</v>
      </c>
      <c r="AI98" s="119">
        <v>45354</v>
      </c>
      <c r="AJ98" s="115">
        <v>45355</v>
      </c>
      <c r="AK98" s="116">
        <v>45356</v>
      </c>
      <c r="AL98" s="116">
        <v>45357</v>
      </c>
      <c r="AM98" s="116">
        <v>45358</v>
      </c>
      <c r="AN98" s="116">
        <v>45359</v>
      </c>
      <c r="AO98" s="116">
        <v>45360</v>
      </c>
      <c r="AP98" s="119">
        <v>45361</v>
      </c>
      <c r="AQ98" s="115">
        <v>45362</v>
      </c>
      <c r="AR98" s="116">
        <v>45363</v>
      </c>
      <c r="AS98" s="116">
        <v>45364</v>
      </c>
      <c r="AT98" s="116">
        <v>45365</v>
      </c>
      <c r="AU98" s="116">
        <v>45366</v>
      </c>
      <c r="AV98" s="116">
        <v>45367</v>
      </c>
      <c r="AW98" s="119">
        <v>45368</v>
      </c>
      <c r="AX98" s="115">
        <v>45369</v>
      </c>
      <c r="AY98" s="116">
        <v>45370</v>
      </c>
      <c r="AZ98" s="116">
        <v>45371</v>
      </c>
      <c r="BA98" s="116">
        <v>45372</v>
      </c>
      <c r="BB98" s="116">
        <v>45373</v>
      </c>
      <c r="BC98" s="116">
        <v>45374</v>
      </c>
      <c r="BD98" s="119">
        <v>45375</v>
      </c>
      <c r="BE98" s="115">
        <v>45376</v>
      </c>
      <c r="BF98" s="116">
        <v>45377</v>
      </c>
      <c r="BG98" s="116">
        <v>45378</v>
      </c>
      <c r="BH98" s="116">
        <v>45379</v>
      </c>
      <c r="BI98" s="116">
        <v>45380</v>
      </c>
      <c r="BJ98" s="116">
        <v>45381</v>
      </c>
      <c r="BK98" s="119">
        <v>45382</v>
      </c>
      <c r="BL98" s="115">
        <v>45383</v>
      </c>
      <c r="BM98" s="116">
        <v>45384</v>
      </c>
      <c r="BN98" s="116">
        <v>45385</v>
      </c>
      <c r="BO98" s="116">
        <v>45386</v>
      </c>
      <c r="BP98" s="116">
        <v>45387</v>
      </c>
      <c r="BQ98" s="116">
        <v>45388</v>
      </c>
      <c r="BR98" s="119">
        <v>45389</v>
      </c>
      <c r="BS98" s="115">
        <v>45390</v>
      </c>
      <c r="BT98" s="116">
        <v>45391</v>
      </c>
      <c r="BU98" s="116">
        <v>45392</v>
      </c>
      <c r="BV98" s="116">
        <v>45393</v>
      </c>
      <c r="BW98" s="116">
        <v>45394</v>
      </c>
      <c r="BX98" s="116">
        <v>45395</v>
      </c>
      <c r="BY98" s="119">
        <v>45396</v>
      </c>
      <c r="BZ98" s="115">
        <v>45397</v>
      </c>
      <c r="CA98" s="116">
        <v>45398</v>
      </c>
      <c r="CB98" s="116">
        <v>45399</v>
      </c>
      <c r="CC98" s="116">
        <v>45400</v>
      </c>
      <c r="CD98" s="116">
        <v>45401</v>
      </c>
      <c r="CE98" s="116">
        <v>45402</v>
      </c>
      <c r="CF98" s="119">
        <v>45403</v>
      </c>
      <c r="CG98" s="115">
        <v>45404</v>
      </c>
      <c r="CH98" s="116">
        <v>45405</v>
      </c>
      <c r="CI98" s="1"/>
      <c r="CJ98" s="1"/>
      <c r="CK98" s="1"/>
      <c r="CL98" s="1"/>
      <c r="CM98" s="114"/>
      <c r="CN98" s="113"/>
    </row>
    <row r="99" spans="1:92" x14ac:dyDescent="0.3">
      <c r="A99" s="107">
        <v>42.545274377668946</v>
      </c>
      <c r="B99" s="99" t="s">
        <v>276</v>
      </c>
      <c r="C99" s="1">
        <v>27.197399999999998</v>
      </c>
      <c r="D99" s="1">
        <v>0</v>
      </c>
      <c r="E99" s="1">
        <v>72.802599999999998</v>
      </c>
      <c r="F99" s="114">
        <v>0</v>
      </c>
      <c r="G99" s="122" t="s">
        <v>180</v>
      </c>
      <c r="H99" s="113">
        <f t="shared" ref="H99:I99" si="37">G16/$A$99</f>
        <v>0</v>
      </c>
      <c r="I99" s="113">
        <f t="shared" si="37"/>
        <v>0</v>
      </c>
      <c r="J99" s="113">
        <f>I16/$A$99</f>
        <v>3.0131666060493707</v>
      </c>
      <c r="K99" s="113">
        <f t="shared" ref="K99:AZ99" si="38">J16/$A$99</f>
        <v>1.5067595858224743</v>
      </c>
      <c r="L99" s="113">
        <f t="shared" si="38"/>
        <v>4.6336638530053671</v>
      </c>
      <c r="M99" s="113">
        <f t="shared" si="38"/>
        <v>2.1131371536573891</v>
      </c>
      <c r="N99" s="113">
        <f t="shared" si="38"/>
        <v>3.453380008688288</v>
      </c>
      <c r="O99" s="113">
        <f t="shared" si="38"/>
        <v>3.2227668526205995</v>
      </c>
      <c r="P99" s="113">
        <f t="shared" si="38"/>
        <v>5.2278779077928332</v>
      </c>
      <c r="Q99" s="113">
        <f t="shared" si="38"/>
        <v>5.8893144694705404</v>
      </c>
      <c r="R99" s="113">
        <f t="shared" si="38"/>
        <v>8.5978408965673232</v>
      </c>
      <c r="S99" s="113">
        <f t="shared" si="38"/>
        <v>6.1449127740782039</v>
      </c>
      <c r="T99" s="113">
        <f t="shared" si="38"/>
        <v>14.028291243392864</v>
      </c>
      <c r="U99" s="113">
        <f t="shared" si="38"/>
        <v>13.396188139267261</v>
      </c>
      <c r="V99" s="113">
        <f t="shared" si="38"/>
        <v>15.322377385869316</v>
      </c>
      <c r="W99" s="113">
        <f t="shared" si="38"/>
        <v>16.036710539070274</v>
      </c>
      <c r="X99" s="113">
        <f t="shared" si="38"/>
        <v>16.828613999391688</v>
      </c>
      <c r="Y99" s="113">
        <f t="shared" si="38"/>
        <v>13.832276524437914</v>
      </c>
      <c r="Z99" s="113">
        <f t="shared" si="38"/>
        <v>11.24120144941474</v>
      </c>
      <c r="AA99" s="113">
        <f t="shared" si="38"/>
        <v>10.797121577410982</v>
      </c>
      <c r="AB99" s="113">
        <f t="shared" si="38"/>
        <v>12.036307380562656</v>
      </c>
      <c r="AC99" s="113">
        <f t="shared" si="38"/>
        <v>12.782124641448741</v>
      </c>
      <c r="AD99" s="113">
        <f t="shared" si="38"/>
        <v>12.027892815014857</v>
      </c>
      <c r="AE99" s="113">
        <f t="shared" si="38"/>
        <v>10.241889525307943</v>
      </c>
      <c r="AF99" s="113">
        <f t="shared" si="38"/>
        <v>8.404881746107387</v>
      </c>
      <c r="AG99" s="113">
        <f t="shared" si="38"/>
        <v>8.1305857127475605</v>
      </c>
      <c r="AH99" s="113">
        <f t="shared" si="38"/>
        <v>6.3395172306508405</v>
      </c>
      <c r="AI99" s="113">
        <f t="shared" si="38"/>
        <v>6.7096405928888148</v>
      </c>
      <c r="AJ99" s="113">
        <f t="shared" si="38"/>
        <v>5.106460192768969</v>
      </c>
      <c r="AK99" s="113">
        <f t="shared" si="38"/>
        <v>3.8931585804259932</v>
      </c>
      <c r="AL99" s="113">
        <f t="shared" si="38"/>
        <v>4.0578595984003405</v>
      </c>
      <c r="AM99" s="113">
        <f t="shared" si="38"/>
        <v>2.8882056067899442</v>
      </c>
      <c r="AN99" s="113">
        <f t="shared" si="38"/>
        <v>2.1745658325936277</v>
      </c>
      <c r="AO99" s="113">
        <f t="shared" si="38"/>
        <v>1.5335134384335991</v>
      </c>
      <c r="AP99" s="113">
        <f t="shared" si="38"/>
        <v>1.7365030800877368</v>
      </c>
      <c r="AQ99" s="113">
        <f t="shared" si="38"/>
        <v>1.9109055280337439</v>
      </c>
      <c r="AR99" s="113">
        <f t="shared" si="38"/>
        <v>2.5478740373783255</v>
      </c>
      <c r="AS99" s="113">
        <f t="shared" si="38"/>
        <v>1.5924212733614533</v>
      </c>
      <c r="AT99" s="113">
        <f t="shared" si="38"/>
        <v>1.5924212733614533</v>
      </c>
      <c r="AU99" s="113">
        <f t="shared" si="38"/>
        <v>1.9109055280337439</v>
      </c>
      <c r="AV99" s="113">
        <f t="shared" si="38"/>
        <v>2.1397205995639839</v>
      </c>
      <c r="AW99" s="113">
        <f t="shared" si="38"/>
        <v>1.2838323597383903</v>
      </c>
      <c r="AX99" s="113">
        <f t="shared" si="38"/>
        <v>1.4264803997093225</v>
      </c>
      <c r="AY99" s="113">
        <f t="shared" si="38"/>
        <v>1.8544245196221192</v>
      </c>
      <c r="AZ99" s="113">
        <f t="shared" si="38"/>
        <v>0.71324019985466125</v>
      </c>
      <c r="BA99" s="113"/>
      <c r="BB99" s="113"/>
      <c r="BC99" s="113"/>
      <c r="BD99" s="113"/>
      <c r="BE99" s="113"/>
      <c r="BF99" s="113"/>
      <c r="BG99" s="113"/>
      <c r="BH99" s="1"/>
      <c r="BI99" s="1"/>
      <c r="BJ99" s="1"/>
      <c r="BK99" s="114"/>
      <c r="BL99" s="113"/>
      <c r="BM99" s="1"/>
      <c r="BN99" s="1"/>
      <c r="BO99" s="1"/>
      <c r="BP99" s="1"/>
      <c r="BQ99" s="1"/>
      <c r="BR99" s="114"/>
      <c r="BS99" s="113"/>
      <c r="BT99" s="1"/>
      <c r="BU99" s="1"/>
      <c r="BV99" s="1"/>
      <c r="BW99" s="1"/>
      <c r="BX99" s="1"/>
      <c r="BY99" s="114"/>
      <c r="BZ99" s="113"/>
      <c r="CA99" s="1"/>
      <c r="CB99" s="1"/>
      <c r="CC99" s="1"/>
      <c r="CD99" s="1"/>
      <c r="CE99" s="1"/>
      <c r="CF99" s="114"/>
      <c r="CG99" s="113"/>
      <c r="CH99" s="1"/>
      <c r="CI99" s="1"/>
      <c r="CJ99" s="1"/>
      <c r="CK99" s="1"/>
      <c r="CL99" s="1"/>
      <c r="CM99" s="114"/>
      <c r="CN99" s="113">
        <f>SUM(H99:CL99)</f>
        <v>270.3209326588937</v>
      </c>
    </row>
    <row r="100" spans="1:92" x14ac:dyDescent="0.3">
      <c r="A100" s="107">
        <v>42.731692732734004</v>
      </c>
      <c r="B100" s="98" t="s">
        <v>277</v>
      </c>
      <c r="C100" s="1">
        <v>71.935299999999998</v>
      </c>
      <c r="D100" s="1">
        <v>0</v>
      </c>
      <c r="E100" s="1">
        <v>28.064699999999998</v>
      </c>
      <c r="F100" s="114">
        <v>0</v>
      </c>
      <c r="G100" s="122" t="s">
        <v>181</v>
      </c>
      <c r="H100" s="113">
        <f t="shared" ref="H100:AM100" si="39">G19/$A$100</f>
        <v>0</v>
      </c>
      <c r="I100" s="113">
        <f t="shared" si="39"/>
        <v>0</v>
      </c>
      <c r="J100" s="113">
        <f>I19/$A$100</f>
        <v>1.2518518827367182</v>
      </c>
      <c r="K100" s="113">
        <f t="shared" si="39"/>
        <v>0.74478093341760687</v>
      </c>
      <c r="L100" s="113">
        <f t="shared" si="39"/>
        <v>1.3067467359472267</v>
      </c>
      <c r="M100" s="113">
        <f t="shared" si="39"/>
        <v>1.4663296956640604</v>
      </c>
      <c r="N100" s="113">
        <f t="shared" si="39"/>
        <v>0.6689706906485805</v>
      </c>
      <c r="O100" s="113">
        <f t="shared" si="39"/>
        <v>0.83892066303609736</v>
      </c>
      <c r="P100" s="113">
        <f t="shared" si="39"/>
        <v>1.6328044956326235</v>
      </c>
      <c r="Q100" s="113">
        <f t="shared" si="39"/>
        <v>1.4759068964213453</v>
      </c>
      <c r="R100" s="113">
        <f t="shared" si="39"/>
        <v>1.980076018266044</v>
      </c>
      <c r="S100" s="113">
        <f t="shared" si="39"/>
        <v>4.1200450705556637</v>
      </c>
      <c r="T100" s="113">
        <f t="shared" si="39"/>
        <v>3.0237159292550482</v>
      </c>
      <c r="U100" s="113">
        <f t="shared" si="39"/>
        <v>2.9588811468529532</v>
      </c>
      <c r="V100" s="113">
        <f t="shared" si="39"/>
        <v>0.21623295051267249</v>
      </c>
      <c r="W100" s="113">
        <f t="shared" si="39"/>
        <v>2.7849353112295012</v>
      </c>
      <c r="X100" s="113">
        <f t="shared" si="39"/>
        <v>6.6486249860718445</v>
      </c>
      <c r="Y100" s="113">
        <f t="shared" si="39"/>
        <v>5.364466870847818</v>
      </c>
      <c r="Z100" s="113">
        <f t="shared" si="39"/>
        <v>6.085565147780704</v>
      </c>
      <c r="AA100" s="113">
        <f t="shared" si="39"/>
        <v>5.2250796942795166</v>
      </c>
      <c r="AB100" s="113">
        <f t="shared" si="39"/>
        <v>1.0945037982118717</v>
      </c>
      <c r="AC100" s="113">
        <f t="shared" si="39"/>
        <v>4.3994278713885153</v>
      </c>
      <c r="AD100" s="113">
        <f t="shared" si="39"/>
        <v>7.1036736573617736</v>
      </c>
      <c r="AE100" s="113">
        <f t="shared" si="39"/>
        <v>6.4339131547997912</v>
      </c>
      <c r="AF100" s="113">
        <f t="shared" si="39"/>
        <v>4.6223888493116192</v>
      </c>
      <c r="AG100" s="113">
        <f t="shared" si="39"/>
        <v>3.2647840766001424</v>
      </c>
      <c r="AH100" s="113">
        <f t="shared" si="39"/>
        <v>2.4343582794770424</v>
      </c>
      <c r="AI100" s="113">
        <f t="shared" si="39"/>
        <v>2.4642599734724504</v>
      </c>
      <c r="AJ100" s="113">
        <f t="shared" si="39"/>
        <v>2.4686478174357758</v>
      </c>
      <c r="AK100" s="113">
        <f t="shared" si="39"/>
        <v>2.8602424145573999</v>
      </c>
      <c r="AL100" s="113">
        <f t="shared" si="39"/>
        <v>1.9134158927752054</v>
      </c>
      <c r="AM100" s="113">
        <f t="shared" si="39"/>
        <v>2.4063287322393205</v>
      </c>
      <c r="AN100" s="113">
        <f t="shared" ref="AN100:BS100" si="40">AM19/$A$100</f>
        <v>2.5166566808531727</v>
      </c>
      <c r="AO100" s="113">
        <f t="shared" si="40"/>
        <v>1.6826855058077061</v>
      </c>
      <c r="AP100" s="113">
        <f t="shared" si="40"/>
        <v>1.285369160157906</v>
      </c>
      <c r="AQ100" s="113">
        <f t="shared" si="40"/>
        <v>1.0332611974010855</v>
      </c>
      <c r="AR100" s="113">
        <f t="shared" si="40"/>
        <v>1.9377303987906456</v>
      </c>
      <c r="AS100" s="113">
        <f t="shared" si="40"/>
        <v>2.3530076523969905</v>
      </c>
      <c r="AT100" s="113">
        <f t="shared" si="40"/>
        <v>2.0168637020545637</v>
      </c>
      <c r="AU100" s="113">
        <f t="shared" si="40"/>
        <v>2.7451755944631557</v>
      </c>
      <c r="AV100" s="113">
        <f t="shared" si="40"/>
        <v>3.0672784441229424</v>
      </c>
      <c r="AW100" s="113">
        <f t="shared" si="40"/>
        <v>1.3081040423465491</v>
      </c>
      <c r="AX100" s="113">
        <f t="shared" si="40"/>
        <v>2.4357799409211598</v>
      </c>
      <c r="AY100" s="113">
        <f t="shared" si="40"/>
        <v>2.9319573362939888</v>
      </c>
      <c r="AZ100" s="113">
        <f t="shared" si="40"/>
        <v>1.1727829345175957</v>
      </c>
      <c r="BA100" s="113">
        <f t="shared" si="40"/>
        <v>2.2553517971492223</v>
      </c>
      <c r="BB100" s="113">
        <f t="shared" si="40"/>
        <v>1.9847095814913158</v>
      </c>
      <c r="BC100" s="113">
        <f t="shared" si="40"/>
        <v>2.4808869768641446</v>
      </c>
      <c r="BD100" s="113">
        <f t="shared" si="40"/>
        <v>1.3081040423465491</v>
      </c>
      <c r="BE100" s="113">
        <f t="shared" si="40"/>
        <v>1.9847095814913158</v>
      </c>
      <c r="BF100" s="113">
        <f t="shared" si="40"/>
        <v>1.9950063886585858</v>
      </c>
      <c r="BG100" s="113">
        <f t="shared" si="40"/>
        <v>2.8111453658370982</v>
      </c>
      <c r="BH100" s="113">
        <f t="shared" si="40"/>
        <v>1.7683011172201102</v>
      </c>
      <c r="BI100" s="113">
        <f t="shared" si="40"/>
        <v>2.9925095829878785</v>
      </c>
      <c r="BJ100" s="113">
        <f t="shared" si="40"/>
        <v>2.2217116600970614</v>
      </c>
      <c r="BK100" s="113">
        <f t="shared" si="40"/>
        <v>3.3552380172894396</v>
      </c>
      <c r="BL100" s="113">
        <f t="shared" si="40"/>
        <v>2.3577348229601469</v>
      </c>
      <c r="BM100" s="113">
        <f t="shared" si="40"/>
        <v>1.1788674114800735</v>
      </c>
      <c r="BN100" s="113">
        <f t="shared" si="40"/>
        <v>2.085688497233976</v>
      </c>
      <c r="BO100" s="113">
        <f t="shared" si="40"/>
        <v>2.5844400943986225</v>
      </c>
      <c r="BP100" s="113">
        <f t="shared" si="40"/>
        <v>3.2645559087140494</v>
      </c>
      <c r="BQ100" s="113">
        <f t="shared" si="40"/>
        <v>2.6297811486863178</v>
      </c>
      <c r="BR100" s="113">
        <f t="shared" si="40"/>
        <v>3.1738738001386593</v>
      </c>
      <c r="BS100" s="113">
        <f t="shared" si="40"/>
        <v>2.8831294086701043</v>
      </c>
      <c r="BT100" s="113">
        <f t="shared" ref="BT100:BZ100" si="41">BS19/$A$100</f>
        <v>2.4026078405584199</v>
      </c>
      <c r="BU100" s="113">
        <f t="shared" si="41"/>
        <v>1.8481598773526311</v>
      </c>
      <c r="BV100" s="113">
        <f t="shared" si="41"/>
        <v>1.5524542969762103</v>
      </c>
      <c r="BW100" s="113">
        <f t="shared" si="41"/>
        <v>1.4415647043350521</v>
      </c>
      <c r="BX100" s="113">
        <f t="shared" si="41"/>
        <v>0.92407993867631555</v>
      </c>
      <c r="BY100" s="113">
        <f t="shared" si="41"/>
        <v>0.76968633575344136</v>
      </c>
      <c r="BZ100" s="113">
        <f t="shared" si="41"/>
        <v>0.5019693494044184</v>
      </c>
      <c r="CA100" s="113"/>
      <c r="CB100" s="113"/>
      <c r="CC100" s="1"/>
      <c r="CD100" s="1"/>
      <c r="CE100" s="1"/>
      <c r="CF100" s="114"/>
      <c r="CG100" s="113"/>
      <c r="CH100" s="1"/>
      <c r="CI100" s="1"/>
      <c r="CJ100" s="1"/>
      <c r="CK100" s="1"/>
      <c r="CL100" s="1"/>
      <c r="CM100" s="114"/>
      <c r="CN100" s="113">
        <f>SUM(H100:CL100)</f>
        <v>170.50279977368561</v>
      </c>
    </row>
    <row r="101" spans="1:92" x14ac:dyDescent="0.3">
      <c r="B101" s="3"/>
      <c r="C101" s="3"/>
      <c r="D101" s="3"/>
      <c r="E101" s="3"/>
      <c r="F101" s="125"/>
      <c r="G101" s="125"/>
      <c r="H101" s="115">
        <v>45327</v>
      </c>
      <c r="I101" s="116">
        <v>45328</v>
      </c>
      <c r="J101" s="116">
        <v>45329</v>
      </c>
      <c r="K101" s="116">
        <v>45330</v>
      </c>
      <c r="L101" s="116">
        <v>45331</v>
      </c>
      <c r="M101" s="116">
        <v>45332</v>
      </c>
      <c r="N101" s="119">
        <v>45333</v>
      </c>
      <c r="O101" s="115">
        <v>45334</v>
      </c>
      <c r="P101" s="116">
        <v>45335</v>
      </c>
      <c r="Q101" s="116">
        <v>45336</v>
      </c>
      <c r="R101" s="116">
        <v>45337</v>
      </c>
      <c r="S101" s="116">
        <v>45338</v>
      </c>
      <c r="T101" s="116">
        <v>45339</v>
      </c>
      <c r="U101" s="119">
        <v>45340</v>
      </c>
      <c r="V101" s="115">
        <v>45341</v>
      </c>
      <c r="W101" s="116">
        <v>45342</v>
      </c>
      <c r="X101" s="116">
        <v>45343</v>
      </c>
      <c r="Y101" s="116">
        <v>45344</v>
      </c>
      <c r="Z101" s="116">
        <v>45345</v>
      </c>
      <c r="AA101" s="116">
        <v>45346</v>
      </c>
      <c r="AB101" s="119">
        <v>45347</v>
      </c>
      <c r="AC101" s="115">
        <v>45348</v>
      </c>
      <c r="AD101" s="116">
        <v>45349</v>
      </c>
      <c r="AE101" s="116">
        <v>45350</v>
      </c>
      <c r="AF101" s="116">
        <v>45351</v>
      </c>
      <c r="AG101" s="116">
        <v>45352</v>
      </c>
      <c r="AH101" s="116">
        <v>45353</v>
      </c>
      <c r="AI101" s="119">
        <v>45354</v>
      </c>
      <c r="AJ101" s="115">
        <v>45355</v>
      </c>
      <c r="AK101" s="116">
        <v>45356</v>
      </c>
      <c r="AL101" s="116">
        <v>45357</v>
      </c>
      <c r="AM101" s="116">
        <v>45358</v>
      </c>
      <c r="AN101" s="116">
        <v>45359</v>
      </c>
      <c r="AO101" s="116">
        <v>45360</v>
      </c>
      <c r="AP101" s="119">
        <v>45361</v>
      </c>
      <c r="AQ101" s="115">
        <v>45362</v>
      </c>
      <c r="AR101" s="116">
        <v>45363</v>
      </c>
      <c r="AS101" s="116">
        <v>45364</v>
      </c>
      <c r="AT101" s="116">
        <v>45365</v>
      </c>
      <c r="AU101" s="116">
        <v>45366</v>
      </c>
      <c r="AV101" s="116">
        <v>45367</v>
      </c>
      <c r="AW101" s="119">
        <v>45368</v>
      </c>
      <c r="AX101" s="115">
        <v>45369</v>
      </c>
      <c r="AY101" s="116">
        <v>45370</v>
      </c>
      <c r="AZ101" s="116">
        <v>45371</v>
      </c>
      <c r="BA101" s="116">
        <v>45372</v>
      </c>
      <c r="BB101" s="116">
        <v>45373</v>
      </c>
      <c r="BC101" s="116">
        <v>45374</v>
      </c>
      <c r="BD101" s="119">
        <v>45375</v>
      </c>
      <c r="BE101" s="115">
        <v>45376</v>
      </c>
      <c r="BF101" s="116">
        <v>45377</v>
      </c>
      <c r="BG101" s="116">
        <v>45378</v>
      </c>
      <c r="BH101" s="116">
        <v>45379</v>
      </c>
      <c r="BI101" s="116">
        <v>45380</v>
      </c>
      <c r="BJ101" s="116">
        <v>45381</v>
      </c>
      <c r="BK101" s="119">
        <v>45382</v>
      </c>
      <c r="BL101" s="115">
        <v>45383</v>
      </c>
      <c r="BM101" s="116">
        <v>45384</v>
      </c>
      <c r="BN101" s="116">
        <v>45385</v>
      </c>
      <c r="BO101" s="116">
        <v>45386</v>
      </c>
      <c r="BP101" s="116">
        <v>45387</v>
      </c>
      <c r="BQ101" s="116">
        <v>45388</v>
      </c>
      <c r="BR101" s="119">
        <v>45389</v>
      </c>
      <c r="BS101" s="115">
        <v>45390</v>
      </c>
      <c r="BT101" s="116">
        <v>45391</v>
      </c>
      <c r="BU101" s="116">
        <v>45392</v>
      </c>
      <c r="BV101" s="116">
        <v>45393</v>
      </c>
      <c r="BW101" s="116">
        <v>45394</v>
      </c>
      <c r="BX101" s="116">
        <v>45395</v>
      </c>
      <c r="BY101" s="119">
        <v>45396</v>
      </c>
      <c r="BZ101" s="115">
        <v>45397</v>
      </c>
      <c r="CA101" s="116">
        <v>45398</v>
      </c>
      <c r="CB101" s="116">
        <v>45399</v>
      </c>
      <c r="CC101" s="116">
        <v>45400</v>
      </c>
      <c r="CD101" s="116">
        <v>45401</v>
      </c>
      <c r="CE101" s="116">
        <v>45402</v>
      </c>
      <c r="CF101" s="119">
        <v>45403</v>
      </c>
      <c r="CG101" s="115">
        <v>45404</v>
      </c>
      <c r="CH101" s="116">
        <v>45405</v>
      </c>
      <c r="CI101" s="1"/>
      <c r="CJ101" s="1"/>
      <c r="CK101" s="1"/>
      <c r="CL101" s="1"/>
      <c r="CM101" s="114"/>
      <c r="CN101" s="113"/>
    </row>
    <row r="102" spans="1:92" x14ac:dyDescent="0.3">
      <c r="A102" s="107">
        <v>45.975953810609923</v>
      </c>
      <c r="B102" s="1">
        <v>7</v>
      </c>
      <c r="C102" s="1">
        <v>73.716099999999997</v>
      </c>
      <c r="D102" s="1">
        <v>0</v>
      </c>
      <c r="E102" s="1">
        <v>0</v>
      </c>
      <c r="F102" s="114">
        <v>26.283899999999999</v>
      </c>
      <c r="G102" s="122" t="s">
        <v>182</v>
      </c>
      <c r="H102" s="113">
        <f t="shared" ref="H102:AM102" si="42">G26/$A$102</f>
        <v>0</v>
      </c>
      <c r="I102" s="113">
        <f t="shared" si="42"/>
        <v>0</v>
      </c>
      <c r="J102" s="113">
        <f t="shared" si="42"/>
        <v>0</v>
      </c>
      <c r="K102" s="113">
        <f t="shared" si="42"/>
        <v>0</v>
      </c>
      <c r="L102" s="113">
        <f t="shared" si="42"/>
        <v>0</v>
      </c>
      <c r="M102" s="113">
        <f t="shared" si="42"/>
        <v>0.57965083464673983</v>
      </c>
      <c r="N102" s="113">
        <f t="shared" si="42"/>
        <v>1.0433715023641317</v>
      </c>
      <c r="O102" s="113">
        <f t="shared" si="42"/>
        <v>2.0867430047282634</v>
      </c>
      <c r="P102" s="113">
        <f t="shared" si="42"/>
        <v>3.2460446740217432</v>
      </c>
      <c r="Q102" s="113">
        <f t="shared" si="42"/>
        <v>7.3036005165489222</v>
      </c>
      <c r="R102" s="113">
        <f t="shared" si="42"/>
        <v>6.3761591811141374</v>
      </c>
      <c r="S102" s="113">
        <f t="shared" si="42"/>
        <v>5.3327876787500061</v>
      </c>
      <c r="T102" s="113">
        <f t="shared" si="42"/>
        <v>7.8832513511956614</v>
      </c>
      <c r="U102" s="113">
        <f t="shared" si="42"/>
        <v>7.0717401826902258</v>
      </c>
      <c r="V102" s="113">
        <f t="shared" si="42"/>
        <v>5.9124385133967454</v>
      </c>
      <c r="W102" s="113">
        <f t="shared" si="42"/>
        <v>3.7097653417391347</v>
      </c>
      <c r="X102" s="113">
        <f t="shared" si="42"/>
        <v>2.6663938393750031</v>
      </c>
      <c r="Y102" s="113">
        <f t="shared" si="42"/>
        <v>3.9416256755978307</v>
      </c>
      <c r="Z102" s="113">
        <f t="shared" si="42"/>
        <v>2.898254173233699</v>
      </c>
      <c r="AA102" s="113">
        <f t="shared" si="42"/>
        <v>1.9708128377989154</v>
      </c>
      <c r="AB102" s="113">
        <f t="shared" si="42"/>
        <v>1.7389525039402196</v>
      </c>
      <c r="AC102" s="113">
        <f t="shared" si="42"/>
        <v>1.5070921700815236</v>
      </c>
      <c r="AD102" s="113">
        <f t="shared" si="42"/>
        <v>1.7389525039402196</v>
      </c>
      <c r="AE102" s="113">
        <f t="shared" si="42"/>
        <v>1.5070921700815236</v>
      </c>
      <c r="AF102" s="113">
        <f t="shared" si="42"/>
        <v>1.9708128377989154</v>
      </c>
      <c r="AG102" s="113">
        <f t="shared" si="42"/>
        <v>2.2026731716576111</v>
      </c>
      <c r="AH102" s="113">
        <f t="shared" si="42"/>
        <v>2.4345335055163075</v>
      </c>
      <c r="AI102" s="113">
        <f t="shared" si="42"/>
        <v>1.7389525039402196</v>
      </c>
      <c r="AJ102" s="113">
        <f t="shared" si="42"/>
        <v>2.5334547811625874</v>
      </c>
      <c r="AK102" s="113">
        <f t="shared" si="42"/>
        <v>2.8149497568473194</v>
      </c>
      <c r="AL102" s="113">
        <f t="shared" si="42"/>
        <v>2.1112123176354896</v>
      </c>
      <c r="AM102" s="113">
        <f t="shared" si="42"/>
        <v>2.6742022690049536</v>
      </c>
      <c r="AN102" s="113">
        <f t="shared" ref="AN102:BS102" si="43">AM26/$A$102</f>
        <v>2.5334547811625874</v>
      </c>
      <c r="AO102" s="113">
        <f t="shared" si="43"/>
        <v>2.3927072933202216</v>
      </c>
      <c r="AP102" s="113">
        <f t="shared" si="43"/>
        <v>1.1259799027389277</v>
      </c>
      <c r="AQ102" s="113">
        <f t="shared" si="43"/>
        <v>2.5849382155193918</v>
      </c>
      <c r="AR102" s="113">
        <f t="shared" si="43"/>
        <v>2.1767900762268564</v>
      </c>
      <c r="AS102" s="113">
        <f t="shared" si="43"/>
        <v>2.5849382155193918</v>
      </c>
      <c r="AT102" s="113">
        <f t="shared" si="43"/>
        <v>2.5849382155193918</v>
      </c>
      <c r="AU102" s="113">
        <f t="shared" si="43"/>
        <v>2.9930863548119278</v>
      </c>
      <c r="AV102" s="113">
        <f t="shared" si="43"/>
        <v>2.5849382155193918</v>
      </c>
      <c r="AW102" s="113">
        <f t="shared" si="43"/>
        <v>2.5849382155193918</v>
      </c>
      <c r="AX102" s="113">
        <f t="shared" si="43"/>
        <v>2.4488888357552137</v>
      </c>
      <c r="AY102" s="113">
        <f t="shared" si="43"/>
        <v>4.8977776715104273</v>
      </c>
      <c r="AZ102" s="113">
        <f t="shared" si="43"/>
        <v>3.8093826333969982</v>
      </c>
      <c r="BA102" s="113">
        <f t="shared" si="43"/>
        <v>3.4012344941044632</v>
      </c>
      <c r="BB102" s="113">
        <f t="shared" si="43"/>
        <v>2.0407406964626778</v>
      </c>
      <c r="BC102" s="113">
        <f t="shared" si="43"/>
        <v>1.3604937976417852</v>
      </c>
      <c r="BD102" s="113">
        <f t="shared" si="43"/>
        <v>3.1291357345761064</v>
      </c>
      <c r="BE102" s="113">
        <f t="shared" si="43"/>
        <v>5.3221734345733607</v>
      </c>
      <c r="BF102" s="113">
        <f t="shared" si="43"/>
        <v>8.8702890576222675</v>
      </c>
      <c r="BG102" s="113">
        <f t="shared" si="43"/>
        <v>6.4626391705533663</v>
      </c>
      <c r="BH102" s="113">
        <f t="shared" si="43"/>
        <v>4.1817076985933541</v>
      </c>
      <c r="BI102" s="113">
        <f t="shared" si="43"/>
        <v>2.4076498870689012</v>
      </c>
      <c r="BJ102" s="113">
        <f t="shared" si="43"/>
        <v>2.0908538492966771</v>
      </c>
      <c r="BK102" s="113">
        <f t="shared" si="43"/>
        <v>1.1404657359800059</v>
      </c>
      <c r="BL102" s="113">
        <f t="shared" si="43"/>
        <v>1.7385936206842469</v>
      </c>
      <c r="BM102" s="113">
        <f t="shared" si="43"/>
        <v>0.64392356321638777</v>
      </c>
      <c r="BN102" s="113">
        <f t="shared" si="43"/>
        <v>0.64392356321638777</v>
      </c>
      <c r="BO102" s="113">
        <f t="shared" si="43"/>
        <v>0</v>
      </c>
      <c r="BP102" s="113">
        <f t="shared" si="43"/>
        <v>0</v>
      </c>
      <c r="BQ102" s="113">
        <f t="shared" si="43"/>
        <v>0</v>
      </c>
      <c r="BR102" s="113">
        <f t="shared" si="43"/>
        <v>0</v>
      </c>
      <c r="BS102" s="113">
        <f t="shared" si="43"/>
        <v>0</v>
      </c>
      <c r="BT102" s="113">
        <f t="shared" ref="BT102:CF102" si="44">BS26/$A$102</f>
        <v>0</v>
      </c>
      <c r="BU102" s="113">
        <f t="shared" si="44"/>
        <v>0</v>
      </c>
      <c r="BV102" s="113">
        <f t="shared" si="44"/>
        <v>0</v>
      </c>
      <c r="BW102" s="113">
        <f t="shared" si="44"/>
        <v>0</v>
      </c>
      <c r="BX102" s="113">
        <f t="shared" si="44"/>
        <v>0</v>
      </c>
      <c r="BY102" s="113">
        <f t="shared" si="44"/>
        <v>0</v>
      </c>
      <c r="BZ102" s="113">
        <f t="shared" si="44"/>
        <v>0</v>
      </c>
      <c r="CA102" s="113">
        <f t="shared" si="44"/>
        <v>0</v>
      </c>
      <c r="CB102" s="113">
        <f t="shared" si="44"/>
        <v>0</v>
      </c>
      <c r="CC102" s="113">
        <f t="shared" si="44"/>
        <v>0</v>
      </c>
      <c r="CD102" s="113">
        <f t="shared" si="44"/>
        <v>0</v>
      </c>
      <c r="CE102" s="113">
        <f t="shared" si="44"/>
        <v>0</v>
      </c>
      <c r="CF102" s="113">
        <f t="shared" si="44"/>
        <v>0</v>
      </c>
      <c r="CG102" s="113"/>
      <c r="CH102" s="1"/>
      <c r="CI102" s="1"/>
      <c r="CJ102" s="1"/>
      <c r="CK102" s="1"/>
      <c r="CL102" s="1"/>
      <c r="CM102" s="114"/>
      <c r="CN102" s="113">
        <f t="shared" si="26"/>
        <v>165.73210272891814</v>
      </c>
    </row>
    <row r="103" spans="1:92" x14ac:dyDescent="0.3">
      <c r="A103" s="107">
        <v>44.768744624556525</v>
      </c>
      <c r="B103" s="3">
        <v>26</v>
      </c>
      <c r="C103" s="1">
        <v>26.569099999999999</v>
      </c>
      <c r="D103" s="1">
        <v>0</v>
      </c>
      <c r="E103" s="1">
        <v>0</v>
      </c>
      <c r="F103" s="114">
        <v>73.430899999999994</v>
      </c>
      <c r="G103" s="122" t="s">
        <v>183</v>
      </c>
      <c r="H103" s="113">
        <f t="shared" ref="H103:AM103" si="45">G27/$A$103</f>
        <v>0</v>
      </c>
      <c r="I103" s="113">
        <f t="shared" si="45"/>
        <v>0</v>
      </c>
      <c r="J103" s="113">
        <f t="shared" si="45"/>
        <v>0</v>
      </c>
      <c r="K103" s="113">
        <f t="shared" si="45"/>
        <v>0</v>
      </c>
      <c r="L103" s="113">
        <f t="shared" si="45"/>
        <v>0</v>
      </c>
      <c r="M103" s="113">
        <f t="shared" si="45"/>
        <v>0</v>
      </c>
      <c r="N103" s="113">
        <f t="shared" si="45"/>
        <v>0</v>
      </c>
      <c r="O103" s="113">
        <f t="shared" si="45"/>
        <v>2.1532879871534915E-2</v>
      </c>
      <c r="P103" s="113">
        <f t="shared" si="45"/>
        <v>0.32837641804090745</v>
      </c>
      <c r="Q103" s="113">
        <f t="shared" si="45"/>
        <v>0.16687981900439558</v>
      </c>
      <c r="R103" s="113">
        <f t="shared" si="45"/>
        <v>0.12112244927738389</v>
      </c>
      <c r="S103" s="113">
        <f t="shared" si="45"/>
        <v>0.37144217778397726</v>
      </c>
      <c r="T103" s="113">
        <f t="shared" si="45"/>
        <v>8.8823129470081516E-2</v>
      </c>
      <c r="U103" s="113">
        <f t="shared" si="45"/>
        <v>0.2045623587795817</v>
      </c>
      <c r="V103" s="113">
        <f t="shared" si="45"/>
        <v>0.3499092979124423</v>
      </c>
      <c r="W103" s="113">
        <f t="shared" si="45"/>
        <v>0.26377777842630268</v>
      </c>
      <c r="X103" s="113">
        <f t="shared" si="45"/>
        <v>0.20725396876352356</v>
      </c>
      <c r="Y103" s="113">
        <f t="shared" si="45"/>
        <v>3.6233202731135741</v>
      </c>
      <c r="Z103" s="113">
        <f t="shared" si="45"/>
        <v>4.0397938677243292</v>
      </c>
      <c r="AA103" s="113">
        <f t="shared" si="45"/>
        <v>4.2063833055686324</v>
      </c>
      <c r="AB103" s="113">
        <f t="shared" si="45"/>
        <v>4.1496584627950188</v>
      </c>
      <c r="AC103" s="113">
        <f t="shared" si="45"/>
        <v>3.8176857857714173</v>
      </c>
      <c r="AD103" s="113">
        <f t="shared" si="45"/>
        <v>3.3750555497399484</v>
      </c>
      <c r="AE103" s="113">
        <f t="shared" si="45"/>
        <v>3.1537404317242141</v>
      </c>
      <c r="AF103" s="113">
        <f t="shared" si="45"/>
        <v>2.655781416188812</v>
      </c>
      <c r="AG103" s="113">
        <f t="shared" si="45"/>
        <v>2.4344662981730778</v>
      </c>
      <c r="AH103" s="113">
        <f t="shared" si="45"/>
        <v>4.0390009037871515</v>
      </c>
      <c r="AI103" s="113">
        <f t="shared" si="45"/>
        <v>2.8770965342045467</v>
      </c>
      <c r="AJ103" s="113">
        <f t="shared" si="45"/>
        <v>3.1537404317242141</v>
      </c>
      <c r="AK103" s="113">
        <f t="shared" si="45"/>
        <v>1.2172331490865389</v>
      </c>
      <c r="AL103" s="113">
        <f t="shared" si="45"/>
        <v>1.4938770466062066</v>
      </c>
      <c r="AM103" s="113">
        <f t="shared" si="45"/>
        <v>1.6598633851180076</v>
      </c>
      <c r="AN103" s="113">
        <f t="shared" ref="AN103:BS103" si="46">AM27/$A$103</f>
        <v>2.4671788527082055</v>
      </c>
      <c r="AO103" s="113">
        <f t="shared" si="46"/>
        <v>2.4123526559813562</v>
      </c>
      <c r="AP103" s="113">
        <f t="shared" si="46"/>
        <v>3.2347456068840916</v>
      </c>
      <c r="AQ103" s="113">
        <f t="shared" si="46"/>
        <v>2.1930478690739603</v>
      </c>
      <c r="AR103" s="113">
        <f t="shared" si="46"/>
        <v>4.0907445928145485</v>
      </c>
      <c r="AS103" s="113">
        <f t="shared" si="46"/>
        <v>2.6432503522801696</v>
      </c>
      <c r="AT103" s="113">
        <f t="shared" si="46"/>
        <v>2.3915122234915822</v>
      </c>
      <c r="AU103" s="113">
        <f t="shared" si="46"/>
        <v>3.2725956742516389</v>
      </c>
      <c r="AV103" s="113">
        <f t="shared" si="46"/>
        <v>3.6502028674345204</v>
      </c>
      <c r="AW103" s="113">
        <f t="shared" si="46"/>
        <v>1.5733633049286726</v>
      </c>
      <c r="AX103" s="113">
        <f t="shared" si="46"/>
        <v>2.8320539488716103</v>
      </c>
      <c r="AY103" s="113">
        <f t="shared" si="46"/>
        <v>2.5173812878858763</v>
      </c>
      <c r="AZ103" s="113">
        <f t="shared" si="46"/>
        <v>1.4474942405343787</v>
      </c>
      <c r="BA103" s="113">
        <f t="shared" si="46"/>
        <v>2.4544467556887293</v>
      </c>
      <c r="BB103" s="113">
        <f t="shared" si="46"/>
        <v>1.9509704981115541</v>
      </c>
      <c r="BC103" s="113">
        <f t="shared" si="46"/>
        <v>2.6606062108488242</v>
      </c>
      <c r="BD103" s="113">
        <f t="shared" si="46"/>
        <v>1.4965909936024637</v>
      </c>
      <c r="BE103" s="113">
        <f t="shared" si="46"/>
        <v>1.8291667699585668</v>
      </c>
      <c r="BF103" s="113">
        <f t="shared" si="46"/>
        <v>4.1017679083919374</v>
      </c>
      <c r="BG103" s="113">
        <f t="shared" si="46"/>
        <v>2.4943183226707726</v>
      </c>
      <c r="BH103" s="113">
        <f t="shared" si="46"/>
        <v>1.9501887026805336</v>
      </c>
      <c r="BI103" s="113">
        <f t="shared" si="46"/>
        <v>2.7302641837527468</v>
      </c>
      <c r="BJ103" s="113">
        <f t="shared" si="46"/>
        <v>2.6745445065333033</v>
      </c>
      <c r="BK103" s="113">
        <f t="shared" si="46"/>
        <v>4.011816759799955</v>
      </c>
      <c r="BL103" s="113">
        <f t="shared" si="46"/>
        <v>2.1596316986509141</v>
      </c>
      <c r="BM103" s="113">
        <f t="shared" si="46"/>
        <v>1.1826554540231198</v>
      </c>
      <c r="BN103" s="113">
        <f t="shared" si="46"/>
        <v>2.0053722916044201</v>
      </c>
      <c r="BO103" s="113">
        <f t="shared" si="46"/>
        <v>1.748273279860264</v>
      </c>
      <c r="BP103" s="113">
        <f t="shared" si="46"/>
        <v>2.6224099197903956</v>
      </c>
      <c r="BQ103" s="113">
        <f t="shared" si="46"/>
        <v>1.2340752563719513</v>
      </c>
      <c r="BR103" s="113">
        <f t="shared" si="46"/>
        <v>1.59401387281377</v>
      </c>
      <c r="BS103" s="113">
        <f t="shared" si="46"/>
        <v>2.0567920939532516</v>
      </c>
      <c r="BT103" s="113">
        <f t="shared" ref="BT103:CG103" si="47">BS27/$A$103</f>
        <v>0.82271683758130076</v>
      </c>
      <c r="BU103" s="113">
        <f t="shared" si="47"/>
        <v>0.82271683758130076</v>
      </c>
      <c r="BV103" s="113">
        <f t="shared" si="47"/>
        <v>1.079815849325457</v>
      </c>
      <c r="BW103" s="113">
        <f t="shared" si="47"/>
        <v>0.82271683758130076</v>
      </c>
      <c r="BX103" s="113">
        <f t="shared" si="47"/>
        <v>1.1312356516742885</v>
      </c>
      <c r="BY103" s="113">
        <f t="shared" si="47"/>
        <v>1.2594947763862734</v>
      </c>
      <c r="BZ103" s="113">
        <f t="shared" si="47"/>
        <v>1.4312440640753108</v>
      </c>
      <c r="CA103" s="113">
        <f t="shared" si="47"/>
        <v>1.2594947763862734</v>
      </c>
      <c r="CB103" s="113">
        <f t="shared" si="47"/>
        <v>1.202245013823261</v>
      </c>
      <c r="CC103" s="113">
        <f t="shared" si="47"/>
        <v>7.395784777453536E-2</v>
      </c>
      <c r="CD103" s="113">
        <f t="shared" si="47"/>
        <v>0</v>
      </c>
      <c r="CE103" s="113">
        <f t="shared" si="47"/>
        <v>0</v>
      </c>
      <c r="CF103" s="113">
        <f t="shared" si="47"/>
        <v>0</v>
      </c>
      <c r="CG103" s="113">
        <f t="shared" si="47"/>
        <v>0</v>
      </c>
      <c r="CH103" s="1"/>
      <c r="CI103" s="1"/>
      <c r="CJ103" s="1"/>
      <c r="CK103" s="1"/>
      <c r="CL103" s="1"/>
      <c r="CM103" s="114"/>
      <c r="CN103" s="113">
        <f t="shared" si="26"/>
        <v>135.60984456709326</v>
      </c>
    </row>
    <row r="104" spans="1:92" x14ac:dyDescent="0.3">
      <c r="B104" s="3"/>
      <c r="C104" s="3"/>
      <c r="D104" s="3"/>
      <c r="E104" s="3"/>
      <c r="F104" s="125"/>
      <c r="G104" s="125"/>
      <c r="H104" s="115">
        <v>45327</v>
      </c>
      <c r="I104" s="116">
        <v>45328</v>
      </c>
      <c r="J104" s="116">
        <v>45329</v>
      </c>
      <c r="K104" s="116">
        <v>45330</v>
      </c>
      <c r="L104" s="116">
        <v>45331</v>
      </c>
      <c r="M104" s="116">
        <v>45332</v>
      </c>
      <c r="N104" s="119">
        <v>45333</v>
      </c>
      <c r="O104" s="115">
        <v>45334</v>
      </c>
      <c r="P104" s="116">
        <v>45335</v>
      </c>
      <c r="Q104" s="116">
        <v>45336</v>
      </c>
      <c r="R104" s="116">
        <v>45337</v>
      </c>
      <c r="S104" s="116">
        <v>45338</v>
      </c>
      <c r="T104" s="116">
        <v>45339</v>
      </c>
      <c r="U104" s="119">
        <v>45340</v>
      </c>
      <c r="V104" s="115">
        <v>45341</v>
      </c>
      <c r="W104" s="116">
        <v>45342</v>
      </c>
      <c r="X104" s="116">
        <v>45343</v>
      </c>
      <c r="Y104" s="116">
        <v>45344</v>
      </c>
      <c r="Z104" s="116">
        <v>45345</v>
      </c>
      <c r="AA104" s="116">
        <v>45346</v>
      </c>
      <c r="AB104" s="119">
        <v>45347</v>
      </c>
      <c r="AC104" s="115">
        <v>45348</v>
      </c>
      <c r="AD104" s="116">
        <v>45349</v>
      </c>
      <c r="AE104" s="116">
        <v>45350</v>
      </c>
      <c r="AF104" s="116">
        <v>45351</v>
      </c>
      <c r="AG104" s="116">
        <v>45352</v>
      </c>
      <c r="AH104" s="116">
        <v>45353</v>
      </c>
      <c r="AI104" s="119">
        <v>45354</v>
      </c>
      <c r="AJ104" s="115">
        <v>45355</v>
      </c>
      <c r="AK104" s="116">
        <v>45356</v>
      </c>
      <c r="AL104" s="116">
        <v>45357</v>
      </c>
      <c r="AM104" s="116">
        <v>45358</v>
      </c>
      <c r="AN104" s="116">
        <v>45359</v>
      </c>
      <c r="AO104" s="116">
        <v>45360</v>
      </c>
      <c r="AP104" s="119">
        <v>45361</v>
      </c>
      <c r="AQ104" s="115">
        <v>45362</v>
      </c>
      <c r="AR104" s="116">
        <v>45363</v>
      </c>
      <c r="AS104" s="116">
        <v>45364</v>
      </c>
      <c r="AT104" s="116">
        <v>45365</v>
      </c>
      <c r="AU104" s="116">
        <v>45366</v>
      </c>
      <c r="AV104" s="116">
        <v>45367</v>
      </c>
      <c r="AW104" s="119">
        <v>45368</v>
      </c>
      <c r="AX104" s="115">
        <v>45369</v>
      </c>
      <c r="AY104" s="116">
        <v>45370</v>
      </c>
      <c r="AZ104" s="116">
        <v>45371</v>
      </c>
      <c r="BA104" s="116">
        <v>45372</v>
      </c>
      <c r="BB104" s="116">
        <v>45373</v>
      </c>
      <c r="BC104" s="116">
        <v>45374</v>
      </c>
      <c r="BD104" s="119">
        <v>45375</v>
      </c>
      <c r="BE104" s="115">
        <v>45376</v>
      </c>
      <c r="BF104" s="116">
        <v>45377</v>
      </c>
      <c r="BG104" s="116">
        <v>45378</v>
      </c>
      <c r="BH104" s="116">
        <v>45379</v>
      </c>
      <c r="BI104" s="116">
        <v>45380</v>
      </c>
      <c r="BJ104" s="116">
        <v>45381</v>
      </c>
      <c r="BK104" s="119">
        <v>45382</v>
      </c>
      <c r="BL104" s="115">
        <v>45383</v>
      </c>
      <c r="BM104" s="116">
        <v>45384</v>
      </c>
      <c r="BN104" s="116">
        <v>45385</v>
      </c>
      <c r="BO104" s="116">
        <v>45386</v>
      </c>
      <c r="BP104" s="116">
        <v>45387</v>
      </c>
      <c r="BQ104" s="116">
        <v>45388</v>
      </c>
      <c r="BR104" s="119">
        <v>45389</v>
      </c>
      <c r="BS104" s="115">
        <v>45390</v>
      </c>
      <c r="BT104" s="116">
        <v>45391</v>
      </c>
      <c r="BU104" s="116">
        <v>45392</v>
      </c>
      <c r="BV104" s="116">
        <v>45393</v>
      </c>
      <c r="BW104" s="116">
        <v>45394</v>
      </c>
      <c r="BX104" s="116">
        <v>45395</v>
      </c>
      <c r="BY104" s="119">
        <v>45396</v>
      </c>
      <c r="BZ104" s="115">
        <v>45397</v>
      </c>
      <c r="CA104" s="116">
        <v>45398</v>
      </c>
      <c r="CB104" s="116">
        <v>45399</v>
      </c>
      <c r="CC104" s="116">
        <v>45400</v>
      </c>
      <c r="CD104" s="116">
        <v>45401</v>
      </c>
      <c r="CE104" s="116">
        <v>45402</v>
      </c>
      <c r="CF104" s="119">
        <v>45403</v>
      </c>
      <c r="CG104" s="115">
        <v>45404</v>
      </c>
      <c r="CH104" s="116">
        <v>45405</v>
      </c>
      <c r="CI104" s="1"/>
      <c r="CJ104" s="1"/>
      <c r="CK104" s="1"/>
      <c r="CL104" s="1"/>
      <c r="CM104" s="114"/>
      <c r="CN104" s="113"/>
    </row>
    <row r="105" spans="1:92" x14ac:dyDescent="0.3">
      <c r="A105" s="107">
        <v>38.754742592645485</v>
      </c>
      <c r="B105" s="3">
        <v>31</v>
      </c>
      <c r="C105" s="1">
        <v>0</v>
      </c>
      <c r="D105" s="1">
        <v>26.537199999999999</v>
      </c>
      <c r="E105" s="1">
        <v>73.462800000000001</v>
      </c>
      <c r="F105" s="114">
        <v>0</v>
      </c>
      <c r="G105" s="122" t="s">
        <v>184</v>
      </c>
      <c r="H105" s="113">
        <f t="shared" ref="H105:AM105" si="48">G29/$A$105</f>
        <v>0</v>
      </c>
      <c r="I105" s="113">
        <f t="shared" si="48"/>
        <v>0</v>
      </c>
      <c r="J105" s="113">
        <f t="shared" si="48"/>
        <v>3.4424560989167197</v>
      </c>
      <c r="K105" s="113">
        <f t="shared" si="48"/>
        <v>1.8958453878092076</v>
      </c>
      <c r="L105" s="113">
        <f t="shared" si="48"/>
        <v>1.596501379207754</v>
      </c>
      <c r="M105" s="113">
        <f t="shared" si="48"/>
        <v>1.7960640516087234</v>
      </c>
      <c r="N105" s="113">
        <f t="shared" si="48"/>
        <v>2.2450800645109039</v>
      </c>
      <c r="O105" s="113">
        <f t="shared" si="48"/>
        <v>2.6940960774130844</v>
      </c>
      <c r="P105" s="113">
        <f t="shared" si="48"/>
        <v>3.3925654308164774</v>
      </c>
      <c r="Q105" s="113">
        <f t="shared" si="48"/>
        <v>2.6940960774130844</v>
      </c>
      <c r="R105" s="113">
        <f t="shared" si="48"/>
        <v>3.5921281032174468</v>
      </c>
      <c r="S105" s="113">
        <f t="shared" si="48"/>
        <v>4.8892854738237466</v>
      </c>
      <c r="T105" s="113">
        <f t="shared" si="48"/>
        <v>0.8980320258043617</v>
      </c>
      <c r="U105" s="113">
        <f t="shared" si="48"/>
        <v>1.0975946982053308</v>
      </c>
      <c r="V105" s="113">
        <f t="shared" si="48"/>
        <v>1.4967200430072694</v>
      </c>
      <c r="W105" s="113">
        <f t="shared" si="48"/>
        <v>6.2862241806305308</v>
      </c>
      <c r="X105" s="113">
        <f t="shared" si="48"/>
        <v>2.4945334050121155</v>
      </c>
      <c r="Y105" s="113">
        <f t="shared" si="48"/>
        <v>4.6897228014227776</v>
      </c>
      <c r="Z105" s="113">
        <f t="shared" si="48"/>
        <v>3.9912534480193851</v>
      </c>
      <c r="AA105" s="113">
        <f t="shared" si="48"/>
        <v>4.8892854738237466</v>
      </c>
      <c r="AB105" s="113">
        <f t="shared" si="48"/>
        <v>2.6940960774130844</v>
      </c>
      <c r="AC105" s="113">
        <f t="shared" si="48"/>
        <v>3.9912534480193851</v>
      </c>
      <c r="AD105" s="113">
        <f t="shared" si="48"/>
        <v>5.7873174996281085</v>
      </c>
      <c r="AE105" s="113">
        <f t="shared" si="48"/>
        <v>5.8828928989781453</v>
      </c>
      <c r="AF105" s="113">
        <f t="shared" si="48"/>
        <v>5.7988515718498865</v>
      </c>
      <c r="AG105" s="113">
        <f t="shared" si="48"/>
        <v>9.076463329851995</v>
      </c>
      <c r="AH105" s="113">
        <f t="shared" si="48"/>
        <v>6.6392648431324783</v>
      </c>
      <c r="AI105" s="113">
        <f t="shared" si="48"/>
        <v>11.345579162314994</v>
      </c>
      <c r="AJ105" s="113">
        <f t="shared" si="48"/>
        <v>10.421124563904144</v>
      </c>
      <c r="AK105" s="113">
        <f t="shared" si="48"/>
        <v>8.0679674043128848</v>
      </c>
      <c r="AL105" s="113">
        <f t="shared" si="48"/>
        <v>11.544135506267084</v>
      </c>
      <c r="AM105" s="113">
        <f t="shared" si="48"/>
        <v>13.852962607520501</v>
      </c>
      <c r="AN105" s="113">
        <f t="shared" ref="AN105:BS105" si="49">AM29/$A$105</f>
        <v>13.468158090644932</v>
      </c>
      <c r="AO105" s="113">
        <f t="shared" si="49"/>
        <v>15.007376158147212</v>
      </c>
      <c r="AP105" s="113">
        <f t="shared" si="49"/>
        <v>7.9174051863843022</v>
      </c>
      <c r="AQ105" s="113">
        <f t="shared" si="49"/>
        <v>8.7629533130855393</v>
      </c>
      <c r="AR105" s="113">
        <f t="shared" si="49"/>
        <v>10.530917578006305</v>
      </c>
      <c r="AS105" s="113">
        <f t="shared" si="49"/>
        <v>6.918121036646478</v>
      </c>
      <c r="AT105" s="113">
        <f t="shared" si="49"/>
        <v>5.1501567717257108</v>
      </c>
      <c r="AU105" s="113">
        <f t="shared" si="49"/>
        <v>5.3807608062805938</v>
      </c>
      <c r="AV105" s="113">
        <f t="shared" si="49"/>
        <v>6.7643850136098891</v>
      </c>
      <c r="AW105" s="113">
        <f t="shared" si="49"/>
        <v>3.766532564396416</v>
      </c>
      <c r="AX105" s="113">
        <f t="shared" si="49"/>
        <v>3.459060518323239</v>
      </c>
      <c r="AY105" s="113">
        <f t="shared" si="49"/>
        <v>2.6135123916220029</v>
      </c>
      <c r="AZ105" s="113">
        <f t="shared" si="49"/>
        <v>1.6910962534024723</v>
      </c>
      <c r="BA105" s="113">
        <f t="shared" si="49"/>
        <v>3.3053244952866501</v>
      </c>
      <c r="BB105" s="113">
        <f t="shared" si="49"/>
        <v>2.2291723340305318</v>
      </c>
      <c r="BC105" s="113">
        <f t="shared" si="49"/>
        <v>1.4495000157905931</v>
      </c>
      <c r="BD105" s="113">
        <f t="shared" si="49"/>
        <v>0.19326666877207907</v>
      </c>
      <c r="BE105" s="113">
        <f t="shared" si="49"/>
        <v>0</v>
      </c>
      <c r="BF105" s="113">
        <f t="shared" si="49"/>
        <v>0</v>
      </c>
      <c r="BG105" s="113">
        <f t="shared" si="49"/>
        <v>0</v>
      </c>
      <c r="BH105" s="113">
        <f t="shared" si="49"/>
        <v>0</v>
      </c>
      <c r="BI105" s="113">
        <f t="shared" si="49"/>
        <v>0</v>
      </c>
      <c r="BJ105" s="113">
        <f t="shared" si="49"/>
        <v>0</v>
      </c>
      <c r="BK105" s="113">
        <f t="shared" si="49"/>
        <v>0</v>
      </c>
      <c r="BL105" s="113">
        <f t="shared" si="49"/>
        <v>0</v>
      </c>
      <c r="BM105" s="113">
        <f t="shared" si="49"/>
        <v>0</v>
      </c>
      <c r="BN105" s="113">
        <f t="shared" si="49"/>
        <v>0</v>
      </c>
      <c r="BO105" s="113">
        <f t="shared" si="49"/>
        <v>0</v>
      </c>
      <c r="BP105" s="113">
        <f t="shared" si="49"/>
        <v>0</v>
      </c>
      <c r="BQ105" s="113">
        <f t="shared" si="49"/>
        <v>0</v>
      </c>
      <c r="BR105" s="113">
        <f t="shared" si="49"/>
        <v>0</v>
      </c>
      <c r="BS105" s="113">
        <f t="shared" si="49"/>
        <v>0</v>
      </c>
      <c r="BT105" s="113">
        <f t="shared" ref="BT105:CB105" si="50">BS29/$A$105</f>
        <v>0</v>
      </c>
      <c r="BU105" s="113">
        <f t="shared" si="50"/>
        <v>0</v>
      </c>
      <c r="BV105" s="113">
        <f t="shared" si="50"/>
        <v>0</v>
      </c>
      <c r="BW105" s="113">
        <f t="shared" si="50"/>
        <v>0</v>
      </c>
      <c r="BX105" s="113">
        <f t="shared" si="50"/>
        <v>0</v>
      </c>
      <c r="BY105" s="113">
        <f t="shared" si="50"/>
        <v>0</v>
      </c>
      <c r="BZ105" s="113">
        <f t="shared" si="50"/>
        <v>0</v>
      </c>
      <c r="CA105" s="113">
        <f t="shared" si="50"/>
        <v>0</v>
      </c>
      <c r="CB105" s="113">
        <f t="shared" si="50"/>
        <v>0</v>
      </c>
      <c r="CC105" s="1"/>
      <c r="CD105" s="1"/>
      <c r="CE105" s="1"/>
      <c r="CF105" s="114"/>
      <c r="CG105" s="113"/>
      <c r="CH105" s="1"/>
      <c r="CI105" s="1"/>
      <c r="CJ105" s="1"/>
      <c r="CK105" s="1"/>
      <c r="CL105" s="1"/>
      <c r="CM105" s="114"/>
      <c r="CN105" s="113">
        <f t="shared" si="26"/>
        <v>247.79109233001029</v>
      </c>
    </row>
    <row r="106" spans="1:92" x14ac:dyDescent="0.3">
      <c r="A106" s="107">
        <v>42.058452493582628</v>
      </c>
      <c r="B106" s="3">
        <v>15</v>
      </c>
      <c r="C106" s="1">
        <v>0</v>
      </c>
      <c r="D106" s="1">
        <v>72.6785</v>
      </c>
      <c r="E106" s="1">
        <v>0</v>
      </c>
      <c r="F106" s="114">
        <v>27.3215</v>
      </c>
      <c r="G106" s="122" t="s">
        <v>185</v>
      </c>
      <c r="H106" s="113">
        <f t="shared" ref="H106:AM106" si="51">G30/$A$106</f>
        <v>0</v>
      </c>
      <c r="I106" s="113">
        <f t="shared" si="51"/>
        <v>0</v>
      </c>
      <c r="J106" s="113">
        <f t="shared" si="51"/>
        <v>0.54031945192152353</v>
      </c>
      <c r="K106" s="113">
        <f t="shared" si="51"/>
        <v>0.21612778076860942</v>
      </c>
      <c r="L106" s="113">
        <f t="shared" si="51"/>
        <v>0.14408518717907293</v>
      </c>
      <c r="M106" s="113">
        <f t="shared" si="51"/>
        <v>0.12607453878168884</v>
      </c>
      <c r="N106" s="113">
        <f t="shared" si="51"/>
        <v>0.12607453878168884</v>
      </c>
      <c r="O106" s="113">
        <f t="shared" si="51"/>
        <v>0.10806389038430471</v>
      </c>
      <c r="P106" s="113">
        <f t="shared" si="51"/>
        <v>0.14408518717907293</v>
      </c>
      <c r="Q106" s="113">
        <f t="shared" si="51"/>
        <v>0.10806389038430471</v>
      </c>
      <c r="R106" s="113">
        <f t="shared" si="51"/>
        <v>0.10806389038430471</v>
      </c>
      <c r="S106" s="113">
        <f t="shared" si="51"/>
        <v>0.14408518717907293</v>
      </c>
      <c r="T106" s="113">
        <f t="shared" si="51"/>
        <v>0.14408518717907293</v>
      </c>
      <c r="U106" s="113">
        <f t="shared" si="51"/>
        <v>3.6021296794768232E-2</v>
      </c>
      <c r="V106" s="113">
        <f t="shared" si="51"/>
        <v>7.2042593589536463E-2</v>
      </c>
      <c r="W106" s="113">
        <f t="shared" si="51"/>
        <v>7.2042593589536463E-2</v>
      </c>
      <c r="X106" s="113">
        <f t="shared" si="51"/>
        <v>0</v>
      </c>
      <c r="Y106" s="113">
        <f t="shared" si="51"/>
        <v>3.6021296794768232E-2</v>
      </c>
      <c r="Z106" s="113">
        <f t="shared" si="51"/>
        <v>7.2042593589536463E-2</v>
      </c>
      <c r="AA106" s="113">
        <f t="shared" si="51"/>
        <v>0.75644723269013292</v>
      </c>
      <c r="AB106" s="113">
        <f t="shared" si="51"/>
        <v>0.32397768325116305</v>
      </c>
      <c r="AC106" s="113">
        <f t="shared" si="51"/>
        <v>1.0259293302953498</v>
      </c>
      <c r="AD106" s="113">
        <f t="shared" si="51"/>
        <v>1.2419144524627916</v>
      </c>
      <c r="AE106" s="113">
        <f t="shared" si="51"/>
        <v>5.3996280541860509E-2</v>
      </c>
      <c r="AF106" s="113">
        <f t="shared" si="51"/>
        <v>5.3996280541860509E-2</v>
      </c>
      <c r="AG106" s="113">
        <f t="shared" si="51"/>
        <v>0.16198884162558153</v>
      </c>
      <c r="AH106" s="113">
        <f t="shared" si="51"/>
        <v>5.3996280541860509E-2</v>
      </c>
      <c r="AI106" s="113">
        <f t="shared" si="51"/>
        <v>0.10799256108372102</v>
      </c>
      <c r="AJ106" s="113">
        <f t="shared" si="51"/>
        <v>1.1879181719209311</v>
      </c>
      <c r="AK106" s="113">
        <f t="shared" si="51"/>
        <v>0.91793676921162848</v>
      </c>
      <c r="AL106" s="113">
        <f t="shared" si="51"/>
        <v>1.6767616452545513</v>
      </c>
      <c r="AM106" s="113">
        <f t="shared" si="51"/>
        <v>1.6314437629503744</v>
      </c>
      <c r="AN106" s="113">
        <f t="shared" ref="AN106:BS106" si="52">AM30/$A$106</f>
        <v>1.6314437629503744</v>
      </c>
      <c r="AO106" s="113">
        <f t="shared" si="52"/>
        <v>1.450172233733666</v>
      </c>
      <c r="AP106" s="113">
        <f t="shared" si="52"/>
        <v>1.359536469125312</v>
      </c>
      <c r="AQ106" s="113">
        <f t="shared" si="52"/>
        <v>1.359536469125312</v>
      </c>
      <c r="AR106" s="113">
        <f t="shared" si="52"/>
        <v>1.6314437629503744</v>
      </c>
      <c r="AS106" s="113">
        <f t="shared" si="52"/>
        <v>0.9063576460835413</v>
      </c>
      <c r="AT106" s="113">
        <f t="shared" si="52"/>
        <v>0.8157218814751872</v>
      </c>
      <c r="AU106" s="113">
        <f t="shared" si="52"/>
        <v>0.8157218814751872</v>
      </c>
      <c r="AV106" s="113">
        <f t="shared" si="52"/>
        <v>1.0876291753002496</v>
      </c>
      <c r="AW106" s="113">
        <f t="shared" si="52"/>
        <v>0.3625430584334165</v>
      </c>
      <c r="AX106" s="113">
        <f t="shared" si="52"/>
        <v>0.6344503522584789</v>
      </c>
      <c r="AY106" s="113">
        <f t="shared" si="52"/>
        <v>0.39288178761501663</v>
      </c>
      <c r="AZ106" s="113">
        <f t="shared" si="52"/>
        <v>0.21826765978612039</v>
      </c>
      <c r="BA106" s="113">
        <f t="shared" si="52"/>
        <v>0.34922825565779259</v>
      </c>
      <c r="BB106" s="113">
        <f t="shared" si="52"/>
        <v>0.30557472370056854</v>
      </c>
      <c r="BC106" s="113">
        <f t="shared" si="52"/>
        <v>0.30557472370056854</v>
      </c>
      <c r="BD106" s="113">
        <f t="shared" si="52"/>
        <v>0.21826765978612039</v>
      </c>
      <c r="BE106" s="113">
        <f t="shared" si="52"/>
        <v>0.30557472370056854</v>
      </c>
      <c r="BF106" s="113">
        <f t="shared" si="52"/>
        <v>0.26192119174334444</v>
      </c>
      <c r="BG106" s="113">
        <f t="shared" si="52"/>
        <v>0.30557472370056854</v>
      </c>
      <c r="BH106" s="113">
        <f t="shared" si="52"/>
        <v>0.30557472370056854</v>
      </c>
      <c r="BI106" s="113">
        <f t="shared" si="52"/>
        <v>0.34922825565779259</v>
      </c>
      <c r="BJ106" s="113">
        <f t="shared" si="52"/>
        <v>0.34922825565779259</v>
      </c>
      <c r="BK106" s="113">
        <f t="shared" si="52"/>
        <v>0.39288178761501663</v>
      </c>
      <c r="BL106" s="113">
        <f t="shared" si="52"/>
        <v>0.21826765978612039</v>
      </c>
      <c r="BM106" s="113">
        <f t="shared" si="52"/>
        <v>0.21826765978612039</v>
      </c>
      <c r="BN106" s="113">
        <f t="shared" si="52"/>
        <v>0.32740148967918059</v>
      </c>
      <c r="BO106" s="113">
        <f t="shared" si="52"/>
        <v>0.24009442576473242</v>
      </c>
      <c r="BP106" s="113">
        <f t="shared" si="52"/>
        <v>0.17461412782889629</v>
      </c>
      <c r="BQ106" s="113">
        <f t="shared" si="52"/>
        <v>4.3653531957224073E-2</v>
      </c>
      <c r="BR106" s="113">
        <f t="shared" si="52"/>
        <v>0</v>
      </c>
      <c r="BS106" s="113">
        <f t="shared" si="52"/>
        <v>0</v>
      </c>
      <c r="BT106" s="113">
        <f t="shared" ref="BT106:BZ106" si="53">BS30/$A$106</f>
        <v>0</v>
      </c>
      <c r="BU106" s="113">
        <f t="shared" si="53"/>
        <v>0</v>
      </c>
      <c r="BV106" s="113">
        <f t="shared" si="53"/>
        <v>0</v>
      </c>
      <c r="BW106" s="113">
        <f t="shared" si="53"/>
        <v>0</v>
      </c>
      <c r="BX106" s="113">
        <f t="shared" si="53"/>
        <v>0</v>
      </c>
      <c r="BY106" s="113">
        <f t="shared" si="53"/>
        <v>0</v>
      </c>
      <c r="BZ106" s="113">
        <f t="shared" si="53"/>
        <v>0</v>
      </c>
      <c r="CA106" s="1"/>
      <c r="CB106" s="1"/>
      <c r="CC106" s="1"/>
      <c r="CD106" s="1"/>
      <c r="CE106" s="1"/>
      <c r="CF106" s="114"/>
      <c r="CG106" s="113"/>
      <c r="CH106" s="1"/>
      <c r="CI106" s="1"/>
      <c r="CJ106" s="1"/>
      <c r="CK106" s="1"/>
      <c r="CL106" s="1"/>
      <c r="CM106" s="114"/>
      <c r="CN106" s="113">
        <f t="shared" si="26"/>
        <v>28.728232456587893</v>
      </c>
    </row>
    <row r="107" spans="1:92" x14ac:dyDescent="0.3">
      <c r="B107" s="3"/>
      <c r="C107" s="3"/>
      <c r="D107" s="3"/>
      <c r="E107" s="3"/>
      <c r="F107" s="125"/>
      <c r="G107" s="125"/>
      <c r="H107" s="115">
        <v>45327</v>
      </c>
      <c r="I107" s="116">
        <v>45328</v>
      </c>
      <c r="J107" s="116">
        <v>45329</v>
      </c>
      <c r="K107" s="116">
        <v>45330</v>
      </c>
      <c r="L107" s="116">
        <v>45331</v>
      </c>
      <c r="M107" s="116">
        <v>45332</v>
      </c>
      <c r="N107" s="119">
        <v>45333</v>
      </c>
      <c r="O107" s="115">
        <v>45334</v>
      </c>
      <c r="P107" s="116">
        <v>45335</v>
      </c>
      <c r="Q107" s="116">
        <v>45336</v>
      </c>
      <c r="R107" s="116">
        <v>45337</v>
      </c>
      <c r="S107" s="116">
        <v>45338</v>
      </c>
      <c r="T107" s="116">
        <v>45339</v>
      </c>
      <c r="U107" s="119">
        <v>45340</v>
      </c>
      <c r="V107" s="115">
        <v>45341</v>
      </c>
      <c r="W107" s="116">
        <v>45342</v>
      </c>
      <c r="X107" s="116">
        <v>45343</v>
      </c>
      <c r="Y107" s="116">
        <v>45344</v>
      </c>
      <c r="Z107" s="116">
        <v>45345</v>
      </c>
      <c r="AA107" s="116">
        <v>45346</v>
      </c>
      <c r="AB107" s="119">
        <v>45347</v>
      </c>
      <c r="AC107" s="115">
        <v>45348</v>
      </c>
      <c r="AD107" s="116">
        <v>45349</v>
      </c>
      <c r="AE107" s="116">
        <v>45350</v>
      </c>
      <c r="AF107" s="116">
        <v>45351</v>
      </c>
      <c r="AG107" s="116">
        <v>45352</v>
      </c>
      <c r="AH107" s="116">
        <v>45353</v>
      </c>
      <c r="AI107" s="119">
        <v>45354</v>
      </c>
      <c r="AJ107" s="115">
        <v>45355</v>
      </c>
      <c r="AK107" s="116">
        <v>45356</v>
      </c>
      <c r="AL107" s="116">
        <v>45357</v>
      </c>
      <c r="AM107" s="116">
        <v>45358</v>
      </c>
      <c r="AN107" s="116">
        <v>45359</v>
      </c>
      <c r="AO107" s="116">
        <v>45360</v>
      </c>
      <c r="AP107" s="119">
        <v>45361</v>
      </c>
      <c r="AQ107" s="115">
        <v>45362</v>
      </c>
      <c r="AR107" s="116">
        <v>45363</v>
      </c>
      <c r="AS107" s="116">
        <v>45364</v>
      </c>
      <c r="AT107" s="116">
        <v>45365</v>
      </c>
      <c r="AU107" s="116">
        <v>45366</v>
      </c>
      <c r="AV107" s="116">
        <v>45367</v>
      </c>
      <c r="AW107" s="119">
        <v>45368</v>
      </c>
      <c r="AX107" s="115">
        <v>45369</v>
      </c>
      <c r="AY107" s="116">
        <v>45370</v>
      </c>
      <c r="AZ107" s="116">
        <v>45371</v>
      </c>
      <c r="BA107" s="116">
        <v>45372</v>
      </c>
      <c r="BB107" s="116">
        <v>45373</v>
      </c>
      <c r="BC107" s="116">
        <v>45374</v>
      </c>
      <c r="BD107" s="119">
        <v>45375</v>
      </c>
      <c r="BE107" s="115">
        <v>45376</v>
      </c>
      <c r="BF107" s="116">
        <v>45377</v>
      </c>
      <c r="BG107" s="116">
        <v>45378</v>
      </c>
      <c r="BH107" s="116">
        <v>45379</v>
      </c>
      <c r="BI107" s="116">
        <v>45380</v>
      </c>
      <c r="BJ107" s="116">
        <v>45381</v>
      </c>
      <c r="BK107" s="119">
        <v>45382</v>
      </c>
      <c r="BL107" s="115">
        <v>45383</v>
      </c>
      <c r="BM107" s="116">
        <v>45384</v>
      </c>
      <c r="BN107" s="116">
        <v>45385</v>
      </c>
      <c r="BO107" s="116">
        <v>45386</v>
      </c>
      <c r="BP107" s="116">
        <v>45387</v>
      </c>
      <c r="BQ107" s="116">
        <v>45388</v>
      </c>
      <c r="BR107" s="119">
        <v>45389</v>
      </c>
      <c r="BS107" s="115">
        <v>45390</v>
      </c>
      <c r="BT107" s="116">
        <v>45391</v>
      </c>
      <c r="BU107" s="116">
        <v>45392</v>
      </c>
      <c r="BV107" s="116">
        <v>45393</v>
      </c>
      <c r="BW107" s="116">
        <v>45394</v>
      </c>
      <c r="BX107" s="116">
        <v>45395</v>
      </c>
      <c r="BY107" s="119">
        <v>45396</v>
      </c>
      <c r="BZ107" s="115">
        <v>45397</v>
      </c>
      <c r="CA107" s="116">
        <v>45398</v>
      </c>
      <c r="CB107" s="116">
        <v>45399</v>
      </c>
      <c r="CC107" s="116">
        <v>45400</v>
      </c>
      <c r="CD107" s="116">
        <v>45401</v>
      </c>
      <c r="CE107" s="116">
        <v>45402</v>
      </c>
      <c r="CF107" s="119">
        <v>45403</v>
      </c>
      <c r="CG107" s="115">
        <v>45404</v>
      </c>
      <c r="CH107" s="116">
        <v>45405</v>
      </c>
      <c r="CI107" s="1"/>
      <c r="CJ107" s="1"/>
      <c r="CK107" s="1"/>
      <c r="CL107" s="1"/>
      <c r="CM107" s="114"/>
      <c r="CN107" s="113"/>
    </row>
    <row r="108" spans="1:92" x14ac:dyDescent="0.3">
      <c r="A108" s="107">
        <v>41.567900133795774</v>
      </c>
      <c r="B108" s="3">
        <v>19</v>
      </c>
      <c r="C108" s="1">
        <v>0</v>
      </c>
      <c r="D108" s="1">
        <v>0</v>
      </c>
      <c r="E108" s="1">
        <v>27.988800000000001</v>
      </c>
      <c r="F108" s="114">
        <v>72.011200000000002</v>
      </c>
      <c r="G108" s="122" t="s">
        <v>186</v>
      </c>
      <c r="H108" s="113">
        <f t="shared" ref="H108:AM108" si="54">G32/$A$108</f>
        <v>0</v>
      </c>
      <c r="I108" s="113">
        <f t="shared" si="54"/>
        <v>0</v>
      </c>
      <c r="J108" s="113">
        <f t="shared" si="54"/>
        <v>0</v>
      </c>
      <c r="K108" s="113">
        <f t="shared" si="54"/>
        <v>0</v>
      </c>
      <c r="L108" s="113">
        <f t="shared" si="54"/>
        <v>0</v>
      </c>
      <c r="M108" s="113">
        <f t="shared" si="54"/>
        <v>0</v>
      </c>
      <c r="N108" s="113">
        <f t="shared" si="54"/>
        <v>0.90601160700394956</v>
      </c>
      <c r="O108" s="113">
        <f t="shared" si="54"/>
        <v>8.7116500673456692</v>
      </c>
      <c r="P108" s="113">
        <f t="shared" si="54"/>
        <v>7.3874792571091268</v>
      </c>
      <c r="Q108" s="113">
        <f t="shared" si="54"/>
        <v>6.5511608506439423</v>
      </c>
      <c r="R108" s="113">
        <f t="shared" si="54"/>
        <v>7.5268656581866571</v>
      </c>
      <c r="S108" s="113">
        <f t="shared" si="54"/>
        <v>9.4085820727333225</v>
      </c>
      <c r="T108" s="113">
        <f t="shared" si="54"/>
        <v>4.8785240377135741</v>
      </c>
      <c r="U108" s="113">
        <f t="shared" si="54"/>
        <v>8.1541044630355461</v>
      </c>
      <c r="V108" s="113">
        <f t="shared" si="54"/>
        <v>0</v>
      </c>
      <c r="W108" s="113">
        <f t="shared" si="54"/>
        <v>5.9936152463338201</v>
      </c>
      <c r="X108" s="113">
        <f t="shared" si="54"/>
        <v>8.1541044630355461</v>
      </c>
      <c r="Y108" s="113">
        <f t="shared" si="54"/>
        <v>6.2990913458993161</v>
      </c>
      <c r="Z108" s="113">
        <f t="shared" si="54"/>
        <v>5.6691822113093844</v>
      </c>
      <c r="AA108" s="113">
        <f t="shared" si="54"/>
        <v>6.1018237434078157</v>
      </c>
      <c r="AB108" s="113">
        <f t="shared" si="54"/>
        <v>5.1102773851040455</v>
      </c>
      <c r="AC108" s="113">
        <f t="shared" si="54"/>
        <v>3.8136398396298854</v>
      </c>
      <c r="AD108" s="113">
        <f t="shared" si="54"/>
        <v>4.3475494171780689</v>
      </c>
      <c r="AE108" s="113">
        <f t="shared" si="54"/>
        <v>4.8051861979336543</v>
      </c>
      <c r="AF108" s="113">
        <f t="shared" si="54"/>
        <v>3.7373670428372874</v>
      </c>
      <c r="AG108" s="113">
        <f t="shared" si="54"/>
        <v>4.5742989034321706</v>
      </c>
      <c r="AH108" s="113">
        <f t="shared" si="54"/>
        <v>3.3592507572080006</v>
      </c>
      <c r="AI108" s="113">
        <f t="shared" si="54"/>
        <v>3.1448304961096172</v>
      </c>
      <c r="AJ108" s="113">
        <f t="shared" si="54"/>
        <v>3.5021975979402562</v>
      </c>
      <c r="AK108" s="113">
        <f t="shared" si="54"/>
        <v>2.7159899739128517</v>
      </c>
      <c r="AL108" s="113">
        <f t="shared" si="54"/>
        <v>2.2871494517160853</v>
      </c>
      <c r="AM108" s="113">
        <f t="shared" si="54"/>
        <v>2.4300962924483405</v>
      </c>
      <c r="AN108" s="113">
        <f t="shared" ref="AN108:BX108" si="55">AM32/$A$108</f>
        <v>1.6438886684209364</v>
      </c>
      <c r="AO108" s="113">
        <f t="shared" si="55"/>
        <v>2.1442026109838301</v>
      </c>
      <c r="AP108" s="113">
        <f t="shared" si="55"/>
        <v>1.6438886684209364</v>
      </c>
      <c r="AQ108" s="113">
        <f t="shared" si="55"/>
        <v>1.5009418276886812</v>
      </c>
      <c r="AR108" s="113">
        <f t="shared" si="55"/>
        <v>2.001255770251575</v>
      </c>
      <c r="AS108" s="113">
        <f t="shared" si="55"/>
        <v>1.2150481462241702</v>
      </c>
      <c r="AT108" s="113">
        <f t="shared" si="55"/>
        <v>1.1333384618507094</v>
      </c>
      <c r="AU108" s="113">
        <f t="shared" si="55"/>
        <v>1.2526372473086789</v>
      </c>
      <c r="AV108" s="113">
        <f t="shared" si="55"/>
        <v>1.610533603682587</v>
      </c>
      <c r="AW108" s="113">
        <f t="shared" si="55"/>
        <v>1.0140396763927402</v>
      </c>
      <c r="AX108" s="113">
        <f t="shared" si="55"/>
        <v>1.2526372473086789</v>
      </c>
      <c r="AY108" s="113">
        <f t="shared" si="55"/>
        <v>1.4315854254956331</v>
      </c>
      <c r="AZ108" s="113">
        <f t="shared" si="55"/>
        <v>0</v>
      </c>
      <c r="BA108" s="113">
        <f t="shared" si="55"/>
        <v>0</v>
      </c>
      <c r="BB108" s="113">
        <f t="shared" si="55"/>
        <v>0</v>
      </c>
      <c r="BC108" s="113">
        <f t="shared" si="55"/>
        <v>0</v>
      </c>
      <c r="BD108" s="113">
        <f t="shared" si="55"/>
        <v>0</v>
      </c>
      <c r="BE108" s="113">
        <f t="shared" si="55"/>
        <v>0</v>
      </c>
      <c r="BF108" s="113">
        <f t="shared" si="55"/>
        <v>0</v>
      </c>
      <c r="BG108" s="113">
        <f t="shared" si="55"/>
        <v>0</v>
      </c>
      <c r="BH108" s="113">
        <f t="shared" si="55"/>
        <v>0</v>
      </c>
      <c r="BI108" s="113">
        <f t="shared" si="55"/>
        <v>0</v>
      </c>
      <c r="BJ108" s="113">
        <f t="shared" si="55"/>
        <v>0</v>
      </c>
      <c r="BK108" s="113">
        <f t="shared" si="55"/>
        <v>0</v>
      </c>
      <c r="BL108" s="113">
        <f t="shared" si="55"/>
        <v>0</v>
      </c>
      <c r="BM108" s="113">
        <f t="shared" si="55"/>
        <v>0</v>
      </c>
      <c r="BN108" s="113">
        <f t="shared" si="55"/>
        <v>0</v>
      </c>
      <c r="BO108" s="113">
        <f t="shared" si="55"/>
        <v>0</v>
      </c>
      <c r="BP108" s="113">
        <f t="shared" si="55"/>
        <v>0</v>
      </c>
      <c r="BQ108" s="113">
        <f t="shared" si="55"/>
        <v>0</v>
      </c>
      <c r="BR108" s="113">
        <f t="shared" si="55"/>
        <v>0</v>
      </c>
      <c r="BS108" s="113">
        <f t="shared" si="55"/>
        <v>0</v>
      </c>
      <c r="BT108" s="113">
        <f t="shared" si="55"/>
        <v>0</v>
      </c>
      <c r="BU108" s="113">
        <f t="shared" si="55"/>
        <v>0</v>
      </c>
      <c r="BV108" s="113">
        <f t="shared" si="55"/>
        <v>0</v>
      </c>
      <c r="BW108" s="113">
        <f t="shared" si="55"/>
        <v>0</v>
      </c>
      <c r="BX108" s="113">
        <f t="shared" si="55"/>
        <v>0</v>
      </c>
      <c r="BY108" s="114"/>
      <c r="BZ108" s="113"/>
      <c r="CA108" s="1"/>
      <c r="CB108" s="1"/>
      <c r="CC108" s="1"/>
      <c r="CD108" s="1"/>
      <c r="CE108" s="1"/>
      <c r="CF108" s="114"/>
      <c r="CG108" s="113"/>
      <c r="CH108" s="1"/>
      <c r="CI108" s="1"/>
      <c r="CJ108" s="1"/>
      <c r="CK108" s="1"/>
      <c r="CL108" s="1"/>
      <c r="CM108" s="114"/>
      <c r="CN108" s="113">
        <f t="shared" si="26"/>
        <v>147.41402573323714</v>
      </c>
    </row>
    <row r="109" spans="1:92" x14ac:dyDescent="0.3">
      <c r="A109" s="107">
        <v>39.95065019703992</v>
      </c>
      <c r="B109" s="3">
        <v>30</v>
      </c>
      <c r="C109" s="1">
        <v>0</v>
      </c>
      <c r="D109" s="1">
        <v>0</v>
      </c>
      <c r="E109" s="1">
        <v>74.203400000000002</v>
      </c>
      <c r="F109" s="114">
        <v>25.796600000000002</v>
      </c>
      <c r="G109" s="122" t="s">
        <v>187</v>
      </c>
      <c r="H109" s="113">
        <f t="shared" ref="H109:AM109" si="56">G33/$A$109</f>
        <v>0</v>
      </c>
      <c r="I109" s="113">
        <f t="shared" si="56"/>
        <v>0</v>
      </c>
      <c r="J109" s="113">
        <f t="shared" si="56"/>
        <v>2.9214793607701486</v>
      </c>
      <c r="K109" s="113">
        <f t="shared" si="56"/>
        <v>1.3664984106828115</v>
      </c>
      <c r="L109" s="113">
        <f t="shared" si="56"/>
        <v>2.9214793607701486</v>
      </c>
      <c r="M109" s="113">
        <f t="shared" si="56"/>
        <v>2.6387555516633601</v>
      </c>
      <c r="N109" s="113">
        <f t="shared" si="56"/>
        <v>2.9214793607701486</v>
      </c>
      <c r="O109" s="113">
        <f t="shared" si="56"/>
        <v>3.1099619001746746</v>
      </c>
      <c r="P109" s="113">
        <f t="shared" si="56"/>
        <v>2.073307933449783</v>
      </c>
      <c r="Q109" s="113">
        <f t="shared" si="56"/>
        <v>1.97906666374752</v>
      </c>
      <c r="R109" s="113">
        <f t="shared" si="56"/>
        <v>1.97906666374752</v>
      </c>
      <c r="S109" s="113">
        <f t="shared" si="56"/>
        <v>5.7958380866891659</v>
      </c>
      <c r="T109" s="113">
        <f t="shared" si="56"/>
        <v>1.9319460288963888</v>
      </c>
      <c r="U109" s="113">
        <f t="shared" si="56"/>
        <v>3.6754095183882516</v>
      </c>
      <c r="V109" s="113">
        <f t="shared" si="56"/>
        <v>4.7120634851131431</v>
      </c>
      <c r="W109" s="113">
        <f t="shared" si="56"/>
        <v>8.7173174474593136</v>
      </c>
      <c r="X109" s="113">
        <f t="shared" si="56"/>
        <v>3.6754095183882516</v>
      </c>
      <c r="Y109" s="113">
        <f t="shared" si="56"/>
        <v>4.0523745971973035</v>
      </c>
      <c r="Z109" s="113">
        <f t="shared" si="56"/>
        <v>3.8638920577927776</v>
      </c>
      <c r="AA109" s="113">
        <f t="shared" si="56"/>
        <v>4.8534253896665378</v>
      </c>
      <c r="AB109" s="113">
        <f t="shared" si="56"/>
        <v>3.8638920577927776</v>
      </c>
      <c r="AC109" s="113">
        <f t="shared" si="56"/>
        <v>4.9947872942199316</v>
      </c>
      <c r="AD109" s="113">
        <f t="shared" si="56"/>
        <v>6.5026476094561376</v>
      </c>
      <c r="AE109" s="113">
        <f t="shared" si="56"/>
        <v>8.4168842895306533</v>
      </c>
      <c r="AF109" s="113">
        <f t="shared" si="56"/>
        <v>9.159550550371593</v>
      </c>
      <c r="AG109" s="113">
        <f t="shared" si="56"/>
        <v>12.377771014015666</v>
      </c>
      <c r="AH109" s="113">
        <f t="shared" si="56"/>
        <v>8.6025508547408887</v>
      </c>
      <c r="AI109" s="113">
        <f t="shared" si="56"/>
        <v>9.654661390932219</v>
      </c>
      <c r="AJ109" s="113">
        <f t="shared" si="56"/>
        <v>10.892438492333786</v>
      </c>
      <c r="AK109" s="113">
        <f t="shared" si="56"/>
        <v>10.149772231492847</v>
      </c>
      <c r="AL109" s="113">
        <f t="shared" si="56"/>
        <v>9.1001772989150833</v>
      </c>
      <c r="AM109" s="113">
        <f t="shared" si="56"/>
        <v>9.8001909372931646</v>
      </c>
      <c r="AN109" s="113">
        <f t="shared" ref="AN109:BE109" si="57">AM33/$A$109</f>
        <v>10.266866696211887</v>
      </c>
      <c r="AO109" s="113">
        <f t="shared" si="57"/>
        <v>9.8001909372931646</v>
      </c>
      <c r="AP109" s="113">
        <f t="shared" si="57"/>
        <v>7.1222870866087318</v>
      </c>
      <c r="AQ109" s="113">
        <f t="shared" si="57"/>
        <v>6.4274298098664167</v>
      </c>
      <c r="AR109" s="113">
        <f t="shared" si="57"/>
        <v>10.683430629913097</v>
      </c>
      <c r="AS109" s="113">
        <f t="shared" si="57"/>
        <v>4.0822865008611027</v>
      </c>
      <c r="AT109" s="113">
        <f t="shared" si="57"/>
        <v>4.0822865008611027</v>
      </c>
      <c r="AU109" s="113">
        <f t="shared" si="57"/>
        <v>4.2733722519652391</v>
      </c>
      <c r="AV109" s="113">
        <f t="shared" si="57"/>
        <v>3.5611435433043659</v>
      </c>
      <c r="AW109" s="113">
        <f t="shared" si="57"/>
        <v>1.7805717716521829</v>
      </c>
      <c r="AX109" s="113">
        <f t="shared" si="57"/>
        <v>1.2594288140954464</v>
      </c>
      <c r="AY109" s="113">
        <f t="shared" si="57"/>
        <v>0.69485727674231534</v>
      </c>
      <c r="AZ109" s="113">
        <f t="shared" si="57"/>
        <v>0</v>
      </c>
      <c r="BA109" s="113">
        <f t="shared" si="57"/>
        <v>0</v>
      </c>
      <c r="BB109" s="113">
        <f t="shared" si="57"/>
        <v>0</v>
      </c>
      <c r="BC109" s="113">
        <f t="shared" si="57"/>
        <v>0</v>
      </c>
      <c r="BD109" s="113">
        <f t="shared" si="57"/>
        <v>0</v>
      </c>
      <c r="BE109" s="113">
        <f t="shared" si="57"/>
        <v>0</v>
      </c>
      <c r="BF109" s="1"/>
      <c r="BG109" s="1"/>
      <c r="BH109" s="1"/>
      <c r="BI109" s="1"/>
      <c r="BJ109" s="1"/>
      <c r="BK109" s="114"/>
      <c r="BL109" s="113"/>
      <c r="BM109" s="1"/>
      <c r="BN109" s="1"/>
      <c r="BO109" s="1"/>
      <c r="BP109" s="1"/>
      <c r="BQ109" s="1"/>
      <c r="BR109" s="114"/>
      <c r="BS109" s="113"/>
      <c r="BT109" s="1"/>
      <c r="BU109" s="1"/>
      <c r="BV109" s="1"/>
      <c r="BW109" s="1"/>
      <c r="BX109" s="1"/>
      <c r="BY109" s="114"/>
      <c r="BZ109" s="113"/>
      <c r="CA109" s="1"/>
      <c r="CB109" s="1"/>
      <c r="CC109" s="1"/>
      <c r="CD109" s="1"/>
      <c r="CE109" s="1"/>
      <c r="CF109" s="114"/>
      <c r="CG109" s="113"/>
      <c r="CH109" s="1"/>
      <c r="CI109" s="1"/>
      <c r="CJ109" s="1"/>
      <c r="CK109" s="1"/>
      <c r="CL109" s="1"/>
      <c r="CM109" s="114"/>
      <c r="CN109" s="113">
        <f t="shared" si="26"/>
        <v>230.73824717583702</v>
      </c>
    </row>
    <row r="110" spans="1:92" s="13" customFormat="1" x14ac:dyDescent="0.3">
      <c r="B110" s="2"/>
      <c r="G110" s="2"/>
      <c r="CN110" s="113"/>
    </row>
    <row r="111" spans="1:92" s="13" customFormat="1" x14ac:dyDescent="0.3">
      <c r="B111" s="2"/>
      <c r="G111" s="2"/>
      <c r="CN111" s="113"/>
    </row>
    <row r="112" spans="1:92" x14ac:dyDescent="0.3">
      <c r="B112" s="117" t="s">
        <v>169</v>
      </c>
      <c r="C112" s="117" t="s">
        <v>46</v>
      </c>
      <c r="D112" s="117" t="s">
        <v>248</v>
      </c>
      <c r="E112" s="117" t="s">
        <v>48</v>
      </c>
      <c r="F112" s="118" t="s">
        <v>54</v>
      </c>
      <c r="G112" s="118"/>
      <c r="H112" s="115">
        <v>45327</v>
      </c>
      <c r="I112" s="116">
        <v>45328</v>
      </c>
      <c r="J112" s="116">
        <v>45329</v>
      </c>
      <c r="K112" s="116">
        <v>45330</v>
      </c>
      <c r="L112" s="116">
        <v>45331</v>
      </c>
      <c r="M112" s="116">
        <v>45332</v>
      </c>
      <c r="N112" s="119">
        <v>45333</v>
      </c>
      <c r="O112" s="115">
        <v>45334</v>
      </c>
      <c r="P112" s="116">
        <v>45335</v>
      </c>
      <c r="Q112" s="116">
        <v>45336</v>
      </c>
      <c r="R112" s="116">
        <v>45337</v>
      </c>
      <c r="S112" s="116">
        <v>45338</v>
      </c>
      <c r="T112" s="116">
        <v>45339</v>
      </c>
      <c r="U112" s="119">
        <v>45340</v>
      </c>
      <c r="V112" s="115">
        <v>45341</v>
      </c>
      <c r="W112" s="116">
        <v>45342</v>
      </c>
      <c r="X112" s="116">
        <v>45343</v>
      </c>
      <c r="Y112" s="116">
        <v>45344</v>
      </c>
      <c r="Z112" s="116">
        <v>45345</v>
      </c>
      <c r="AA112" s="116">
        <v>45346</v>
      </c>
      <c r="AB112" s="119">
        <v>45347</v>
      </c>
      <c r="AC112" s="115">
        <v>45348</v>
      </c>
      <c r="AD112" s="116">
        <v>45349</v>
      </c>
      <c r="AE112" s="116">
        <v>45350</v>
      </c>
      <c r="AF112" s="116">
        <v>45351</v>
      </c>
      <c r="AG112" s="116">
        <v>45352</v>
      </c>
      <c r="AH112" s="116">
        <v>45353</v>
      </c>
      <c r="AI112" s="119">
        <v>45354</v>
      </c>
      <c r="AJ112" s="115">
        <v>45355</v>
      </c>
      <c r="AK112" s="116">
        <v>45356</v>
      </c>
      <c r="AL112" s="116">
        <v>45357</v>
      </c>
      <c r="AM112" s="116">
        <v>45358</v>
      </c>
      <c r="AN112" s="116">
        <v>45359</v>
      </c>
      <c r="AO112" s="116">
        <v>45360</v>
      </c>
      <c r="AP112" s="119">
        <v>45361</v>
      </c>
      <c r="AQ112" s="115">
        <v>45362</v>
      </c>
      <c r="AR112" s="116">
        <v>45363</v>
      </c>
      <c r="AS112" s="116">
        <v>45364</v>
      </c>
      <c r="AT112" s="116">
        <v>45365</v>
      </c>
      <c r="AU112" s="116">
        <v>45366</v>
      </c>
      <c r="AV112" s="116">
        <v>45367</v>
      </c>
      <c r="AW112" s="119">
        <v>45368</v>
      </c>
      <c r="AX112" s="115">
        <v>45369</v>
      </c>
      <c r="AY112" s="116">
        <v>45370</v>
      </c>
      <c r="AZ112" s="116">
        <v>45371</v>
      </c>
      <c r="BA112" s="116">
        <v>45372</v>
      </c>
      <c r="BB112" s="116">
        <v>45373</v>
      </c>
      <c r="BC112" s="116">
        <v>45374</v>
      </c>
      <c r="BD112" s="119">
        <v>45375</v>
      </c>
      <c r="BE112" s="115">
        <v>45376</v>
      </c>
      <c r="BF112" s="116">
        <v>45377</v>
      </c>
      <c r="BG112" s="116">
        <v>45378</v>
      </c>
      <c r="BH112" s="116">
        <v>45379</v>
      </c>
      <c r="BI112" s="116">
        <v>45380</v>
      </c>
      <c r="BJ112" s="116">
        <v>45381</v>
      </c>
      <c r="BK112" s="119">
        <v>45382</v>
      </c>
      <c r="BL112" s="115">
        <v>45383</v>
      </c>
      <c r="BM112" s="116">
        <v>45384</v>
      </c>
      <c r="BN112" s="116">
        <v>45385</v>
      </c>
      <c r="BO112" s="116">
        <v>45386</v>
      </c>
      <c r="BP112" s="116">
        <v>45387</v>
      </c>
      <c r="BQ112" s="116">
        <v>45388</v>
      </c>
      <c r="BR112" s="119">
        <v>45389</v>
      </c>
      <c r="BS112" s="115">
        <v>45390</v>
      </c>
      <c r="BT112" s="116">
        <v>45391</v>
      </c>
      <c r="BU112" s="116">
        <v>45392</v>
      </c>
      <c r="BV112" s="116">
        <v>45393</v>
      </c>
      <c r="BW112" s="116">
        <v>45394</v>
      </c>
      <c r="BX112" s="116">
        <v>45395</v>
      </c>
      <c r="BY112" s="119">
        <v>45396</v>
      </c>
      <c r="BZ112" s="115">
        <v>45397</v>
      </c>
      <c r="CA112" s="116">
        <v>45398</v>
      </c>
      <c r="CB112" s="116">
        <v>45399</v>
      </c>
      <c r="CC112" s="116">
        <v>45400</v>
      </c>
      <c r="CD112" s="116">
        <v>45401</v>
      </c>
      <c r="CE112" s="116">
        <v>45402</v>
      </c>
      <c r="CF112" s="119">
        <v>45403</v>
      </c>
      <c r="CG112" s="115">
        <v>45404</v>
      </c>
      <c r="CH112" s="116">
        <v>45405</v>
      </c>
      <c r="CI112" s="117"/>
      <c r="CJ112" s="117"/>
      <c r="CK112" s="117"/>
      <c r="CL112" s="117"/>
      <c r="CM112" s="118"/>
      <c r="CN112" s="113" t="s">
        <v>34</v>
      </c>
    </row>
    <row r="113" spans="1:92" x14ac:dyDescent="0.3">
      <c r="A113" s="107">
        <v>42.739043905736629</v>
      </c>
      <c r="B113" s="1">
        <v>8</v>
      </c>
      <c r="C113" s="1">
        <v>46.627800000000001</v>
      </c>
      <c r="D113" s="1">
        <v>47.356999999999999</v>
      </c>
      <c r="E113" s="1">
        <v>6.0151300000000001</v>
      </c>
      <c r="F113" s="114">
        <v>0</v>
      </c>
      <c r="G113" s="123" t="s">
        <v>173</v>
      </c>
      <c r="H113" s="113">
        <f t="shared" ref="H113:AM113" si="58">G46/$A$113</f>
        <v>0</v>
      </c>
      <c r="I113" s="113">
        <f t="shared" si="58"/>
        <v>0</v>
      </c>
      <c r="J113" s="113">
        <f t="shared" si="58"/>
        <v>0.59739286766246502</v>
      </c>
      <c r="K113" s="113">
        <f t="shared" si="58"/>
        <v>0.50548627263747026</v>
      </c>
      <c r="L113" s="113">
        <f t="shared" si="58"/>
        <v>0.64334616517496224</v>
      </c>
      <c r="M113" s="113">
        <f t="shared" si="58"/>
        <v>0.62036951641871352</v>
      </c>
      <c r="N113" s="113">
        <f t="shared" si="58"/>
        <v>0.73525276019995678</v>
      </c>
      <c r="O113" s="113">
        <f t="shared" si="58"/>
        <v>0.82715935522495154</v>
      </c>
      <c r="P113" s="113">
        <f t="shared" si="58"/>
        <v>1.0799024915436866</v>
      </c>
      <c r="Q113" s="113">
        <f t="shared" si="58"/>
        <v>1.056925842787438</v>
      </c>
      <c r="R113" s="113">
        <f t="shared" si="58"/>
        <v>1.2177623840811787</v>
      </c>
      <c r="S113" s="113">
        <f t="shared" si="58"/>
        <v>1.240739032837427</v>
      </c>
      <c r="T113" s="113">
        <f t="shared" si="58"/>
        <v>1.5853887641811568</v>
      </c>
      <c r="U113" s="113">
        <f t="shared" si="58"/>
        <v>1.5394354666686598</v>
      </c>
      <c r="V113" s="113">
        <f t="shared" si="58"/>
        <v>1.6543187104499031</v>
      </c>
      <c r="W113" s="113">
        <f t="shared" si="58"/>
        <v>1.7002720079624003</v>
      </c>
      <c r="X113" s="113">
        <f t="shared" si="58"/>
        <v>1.6772953592061517</v>
      </c>
      <c r="Y113" s="113">
        <f t="shared" si="58"/>
        <v>1.5394354666686598</v>
      </c>
      <c r="Z113" s="113">
        <f t="shared" si="58"/>
        <v>1.6772953592061517</v>
      </c>
      <c r="AA113" s="113">
        <f t="shared" si="58"/>
        <v>1.5394354666686598</v>
      </c>
      <c r="AB113" s="113">
        <f t="shared" si="58"/>
        <v>1.4245522228874166</v>
      </c>
      <c r="AC113" s="113">
        <f t="shared" si="58"/>
        <v>3.6762638009997843E-2</v>
      </c>
      <c r="AD113" s="113">
        <f t="shared" si="58"/>
        <v>1.5624121154249084</v>
      </c>
      <c r="AE113" s="113">
        <f t="shared" si="58"/>
        <v>3.8119242994608125</v>
      </c>
      <c r="AF113" s="113">
        <f t="shared" si="58"/>
        <v>3.5396439923564689</v>
      </c>
      <c r="AG113" s="113">
        <f t="shared" si="58"/>
        <v>3.8119242994608125</v>
      </c>
      <c r="AH113" s="113">
        <f t="shared" si="58"/>
        <v>3.2930544798899666</v>
      </c>
      <c r="AI113" s="113">
        <f t="shared" si="58"/>
        <v>3.2146484208449677</v>
      </c>
      <c r="AJ113" s="113">
        <f t="shared" si="58"/>
        <v>2.5089938894399744</v>
      </c>
      <c r="AK113" s="113">
        <f t="shared" si="58"/>
        <v>2.9010241846649709</v>
      </c>
      <c r="AL113" s="113">
        <f t="shared" si="58"/>
        <v>1.5453083168090043</v>
      </c>
      <c r="AM113" s="113">
        <f t="shared" si="58"/>
        <v>1.6336116491980903</v>
      </c>
      <c r="AN113" s="113">
        <f t="shared" ref="AN113:BS113" si="59">AM46/$A$113</f>
        <v>1.5894599830035472</v>
      </c>
      <c r="AO113" s="113">
        <f t="shared" si="59"/>
        <v>1.6336116491980903</v>
      </c>
      <c r="AP113" s="113">
        <f t="shared" si="59"/>
        <v>1.6336116491980903</v>
      </c>
      <c r="AQ113" s="113">
        <f t="shared" si="59"/>
        <v>1.5894599830035472</v>
      </c>
      <c r="AR113" s="113">
        <f t="shared" si="59"/>
        <v>1.6336116491980903</v>
      </c>
      <c r="AS113" s="113">
        <f t="shared" si="59"/>
        <v>1.5894599830035472</v>
      </c>
      <c r="AT113" s="113">
        <f t="shared" si="59"/>
        <v>1.6115358161008186</v>
      </c>
      <c r="AU113" s="113">
        <f t="shared" si="59"/>
        <v>1.6115358161008186</v>
      </c>
      <c r="AV113" s="113">
        <f t="shared" si="59"/>
        <v>1.6336116491980903</v>
      </c>
      <c r="AW113" s="113">
        <f t="shared" si="59"/>
        <v>1.7219149815871762</v>
      </c>
      <c r="AX113" s="113">
        <f t="shared" si="59"/>
        <v>1.5453083168090043</v>
      </c>
      <c r="AY113" s="113">
        <f t="shared" si="59"/>
        <v>1.6336116491980903</v>
      </c>
      <c r="AZ113" s="113">
        <f t="shared" si="59"/>
        <v>1.5453083168090043</v>
      </c>
      <c r="BA113" s="113">
        <f t="shared" si="59"/>
        <v>1.5453083168090043</v>
      </c>
      <c r="BB113" s="113">
        <f t="shared" si="59"/>
        <v>1.5894599830035472</v>
      </c>
      <c r="BC113" s="113">
        <f t="shared" si="59"/>
        <v>1.6336116491980903</v>
      </c>
      <c r="BD113" s="113">
        <f t="shared" si="59"/>
        <v>1.5894599830035472</v>
      </c>
      <c r="BE113" s="113">
        <f t="shared" si="59"/>
        <v>1.5894599830035472</v>
      </c>
      <c r="BF113" s="113">
        <f t="shared" si="59"/>
        <v>1.5453083168090043</v>
      </c>
      <c r="BG113" s="113">
        <f t="shared" si="59"/>
        <v>1.6336116491980903</v>
      </c>
      <c r="BH113" s="113">
        <f t="shared" si="59"/>
        <v>1.7219149815871762</v>
      </c>
      <c r="BI113" s="113">
        <f t="shared" si="59"/>
        <v>1.5453083168090043</v>
      </c>
      <c r="BJ113" s="113">
        <f t="shared" si="59"/>
        <v>1.6777633153926332</v>
      </c>
      <c r="BK113" s="113">
        <f t="shared" si="59"/>
        <v>1.6336116491980903</v>
      </c>
      <c r="BL113" s="113">
        <f t="shared" si="59"/>
        <v>2.82037193592486</v>
      </c>
      <c r="BM113" s="113">
        <f t="shared" si="59"/>
        <v>2.9009539912369986</v>
      </c>
      <c r="BN113" s="113">
        <f t="shared" si="59"/>
        <v>2.82037193592486</v>
      </c>
      <c r="BO113" s="113">
        <f t="shared" si="59"/>
        <v>2.5786257699884434</v>
      </c>
      <c r="BP113" s="113">
        <f t="shared" si="59"/>
        <v>2.9815360465491376</v>
      </c>
      <c r="BQ113" s="113">
        <f t="shared" si="59"/>
        <v>2.659207825300582</v>
      </c>
      <c r="BR113" s="113">
        <f t="shared" si="59"/>
        <v>2.2562975487398877</v>
      </c>
      <c r="BS113" s="113">
        <f t="shared" si="59"/>
        <v>2.7600991791060245</v>
      </c>
      <c r="BT113" s="113">
        <f t="shared" ref="BT113:CH113" si="60">BS46/$A$113</f>
        <v>2.1686493550118762</v>
      </c>
      <c r="BU113" s="113">
        <f t="shared" si="60"/>
        <v>1.7743494722824442</v>
      </c>
      <c r="BV113" s="113">
        <f t="shared" si="60"/>
        <v>1.8729244429648024</v>
      </c>
      <c r="BW113" s="113">
        <f t="shared" si="60"/>
        <v>2.0700743843295184</v>
      </c>
      <c r="BX113" s="113">
        <f t="shared" si="60"/>
        <v>1.9714994136471604</v>
      </c>
      <c r="BY113" s="113">
        <f t="shared" si="60"/>
        <v>1.4786245602353703</v>
      </c>
      <c r="BZ113" s="113">
        <f t="shared" si="60"/>
        <v>1.6757745016000865</v>
      </c>
      <c r="CA113" s="113">
        <f t="shared" si="60"/>
        <v>1.8729244429648024</v>
      </c>
      <c r="CB113" s="113">
        <f t="shared" si="60"/>
        <v>1.5771995309177282</v>
      </c>
      <c r="CC113" s="113">
        <f t="shared" si="60"/>
        <v>0.2241510133247068</v>
      </c>
      <c r="CD113" s="113">
        <f t="shared" si="60"/>
        <v>0.20173591199223612</v>
      </c>
      <c r="CE113" s="113">
        <f t="shared" si="60"/>
        <v>0.36538019040486652</v>
      </c>
      <c r="CF113" s="113">
        <f t="shared" si="60"/>
        <v>0</v>
      </c>
      <c r="CG113" s="113">
        <f t="shared" si="60"/>
        <v>0</v>
      </c>
      <c r="CH113" s="113">
        <f t="shared" si="60"/>
        <v>0</v>
      </c>
      <c r="CI113" s="1"/>
      <c r="CJ113" s="1"/>
      <c r="CK113" s="1"/>
      <c r="CL113" s="1"/>
      <c r="CM113" s="114"/>
      <c r="CN113" s="113">
        <f t="shared" si="26"/>
        <v>128.42868483689338</v>
      </c>
    </row>
    <row r="114" spans="1:92" x14ac:dyDescent="0.3">
      <c r="B114" s="117"/>
      <c r="C114" s="117"/>
      <c r="D114" s="117"/>
      <c r="E114" s="117"/>
      <c r="F114" s="118"/>
      <c r="G114" s="118"/>
      <c r="H114" s="115">
        <v>45327</v>
      </c>
      <c r="I114" s="116">
        <v>45328</v>
      </c>
      <c r="J114" s="116">
        <v>45329</v>
      </c>
      <c r="K114" s="116">
        <v>45330</v>
      </c>
      <c r="L114" s="116">
        <v>45331</v>
      </c>
      <c r="M114" s="116">
        <v>45332</v>
      </c>
      <c r="N114" s="119">
        <v>45333</v>
      </c>
      <c r="O114" s="115">
        <v>45334</v>
      </c>
      <c r="P114" s="116">
        <v>45335</v>
      </c>
      <c r="Q114" s="116">
        <v>45336</v>
      </c>
      <c r="R114" s="116">
        <v>45337</v>
      </c>
      <c r="S114" s="116">
        <v>45338</v>
      </c>
      <c r="T114" s="116">
        <v>45339</v>
      </c>
      <c r="U114" s="119">
        <v>45340</v>
      </c>
      <c r="V114" s="115">
        <v>45341</v>
      </c>
      <c r="W114" s="116">
        <v>45342</v>
      </c>
      <c r="X114" s="116">
        <v>45343</v>
      </c>
      <c r="Y114" s="116">
        <v>45344</v>
      </c>
      <c r="Z114" s="116">
        <v>45345</v>
      </c>
      <c r="AA114" s="116">
        <v>45346</v>
      </c>
      <c r="AB114" s="119">
        <v>45347</v>
      </c>
      <c r="AC114" s="115">
        <v>45348</v>
      </c>
      <c r="AD114" s="116">
        <v>45349</v>
      </c>
      <c r="AE114" s="116">
        <v>45350</v>
      </c>
      <c r="AF114" s="116">
        <v>45351</v>
      </c>
      <c r="AG114" s="116">
        <v>45352</v>
      </c>
      <c r="AH114" s="116">
        <v>45353</v>
      </c>
      <c r="AI114" s="119">
        <v>45354</v>
      </c>
      <c r="AJ114" s="115">
        <v>45355</v>
      </c>
      <c r="AK114" s="116">
        <v>45356</v>
      </c>
      <c r="AL114" s="116">
        <v>45357</v>
      </c>
      <c r="AM114" s="116">
        <v>45358</v>
      </c>
      <c r="AN114" s="116">
        <v>45359</v>
      </c>
      <c r="AO114" s="116">
        <v>45360</v>
      </c>
      <c r="AP114" s="119">
        <v>45361</v>
      </c>
      <c r="AQ114" s="115">
        <v>45362</v>
      </c>
      <c r="AR114" s="116">
        <v>45363</v>
      </c>
      <c r="AS114" s="116">
        <v>45364</v>
      </c>
      <c r="AT114" s="116">
        <v>45365</v>
      </c>
      <c r="AU114" s="116">
        <v>45366</v>
      </c>
      <c r="AV114" s="116">
        <v>45367</v>
      </c>
      <c r="AW114" s="119">
        <v>45368</v>
      </c>
      <c r="AX114" s="115">
        <v>45369</v>
      </c>
      <c r="AY114" s="116">
        <v>45370</v>
      </c>
      <c r="AZ114" s="116">
        <v>45371</v>
      </c>
      <c r="BA114" s="116">
        <v>45372</v>
      </c>
      <c r="BB114" s="116">
        <v>45373</v>
      </c>
      <c r="BC114" s="116">
        <v>45374</v>
      </c>
      <c r="BD114" s="119">
        <v>45375</v>
      </c>
      <c r="BE114" s="115">
        <v>45376</v>
      </c>
      <c r="BF114" s="116">
        <v>45377</v>
      </c>
      <c r="BG114" s="116">
        <v>45378</v>
      </c>
      <c r="BH114" s="116">
        <v>45379</v>
      </c>
      <c r="BI114" s="116">
        <v>45380</v>
      </c>
      <c r="BJ114" s="116">
        <v>45381</v>
      </c>
      <c r="BK114" s="119">
        <v>45382</v>
      </c>
      <c r="BL114" s="115">
        <v>45383</v>
      </c>
      <c r="BM114" s="116">
        <v>45384</v>
      </c>
      <c r="BN114" s="116">
        <v>45385</v>
      </c>
      <c r="BO114" s="116">
        <v>45386</v>
      </c>
      <c r="BP114" s="116">
        <v>45387</v>
      </c>
      <c r="BQ114" s="116">
        <v>45388</v>
      </c>
      <c r="BR114" s="119">
        <v>45389</v>
      </c>
      <c r="BS114" s="115">
        <v>45390</v>
      </c>
      <c r="BT114" s="116">
        <v>45391</v>
      </c>
      <c r="BU114" s="116">
        <v>45392</v>
      </c>
      <c r="BV114" s="116">
        <v>45393</v>
      </c>
      <c r="BW114" s="116">
        <v>45394</v>
      </c>
      <c r="BX114" s="116">
        <v>45395</v>
      </c>
      <c r="BY114" s="119">
        <v>45396</v>
      </c>
      <c r="BZ114" s="115">
        <v>45397</v>
      </c>
      <c r="CA114" s="116">
        <v>45398</v>
      </c>
      <c r="CB114" s="116">
        <v>45399</v>
      </c>
      <c r="CC114" s="116">
        <v>45400</v>
      </c>
      <c r="CD114" s="116">
        <v>45401</v>
      </c>
      <c r="CE114" s="116">
        <v>45402</v>
      </c>
      <c r="CF114" s="119">
        <v>45403</v>
      </c>
      <c r="CG114" s="115">
        <v>45404</v>
      </c>
      <c r="CH114" s="116">
        <v>45405</v>
      </c>
      <c r="CI114" s="117"/>
      <c r="CJ114" s="117"/>
      <c r="CK114" s="117"/>
      <c r="CL114" s="117"/>
      <c r="CM114" s="118"/>
      <c r="CN114" s="113"/>
    </row>
    <row r="115" spans="1:92" x14ac:dyDescent="0.3">
      <c r="A115" s="107">
        <v>42.793367943414857</v>
      </c>
      <c r="B115" s="1">
        <v>1</v>
      </c>
      <c r="C115" s="1">
        <v>4.4064600000000002E-2</v>
      </c>
      <c r="D115" s="1">
        <v>27.802199999999999</v>
      </c>
      <c r="E115" s="1">
        <v>0</v>
      </c>
      <c r="F115" s="114">
        <v>72.153700000000001</v>
      </c>
      <c r="G115" s="123" t="s">
        <v>174</v>
      </c>
      <c r="H115" s="113">
        <f t="shared" ref="H115:AM115" si="61">G48/$A$115</f>
        <v>0</v>
      </c>
      <c r="I115" s="113">
        <f t="shared" si="61"/>
        <v>0</v>
      </c>
      <c r="J115" s="113">
        <f t="shared" si="61"/>
        <v>0.24133412480307526</v>
      </c>
      <c r="K115" s="113">
        <f t="shared" si="61"/>
        <v>0.34752113971642834</v>
      </c>
      <c r="L115" s="113">
        <f t="shared" si="61"/>
        <v>0.38613459968492037</v>
      </c>
      <c r="M115" s="113">
        <f t="shared" si="61"/>
        <v>0.25098748979519819</v>
      </c>
      <c r="N115" s="113">
        <f t="shared" si="61"/>
        <v>0.43440142464553544</v>
      </c>
      <c r="O115" s="113">
        <f t="shared" si="61"/>
        <v>0.45370815462978148</v>
      </c>
      <c r="P115" s="113">
        <f t="shared" si="61"/>
        <v>0.38613459968492037</v>
      </c>
      <c r="Q115" s="113">
        <f t="shared" si="61"/>
        <v>0.42474805965341245</v>
      </c>
      <c r="R115" s="113">
        <f t="shared" si="61"/>
        <v>0.51162834458251949</v>
      </c>
      <c r="S115" s="113">
        <f t="shared" si="61"/>
        <v>1.2314431542214996</v>
      </c>
      <c r="T115" s="113">
        <f t="shared" si="61"/>
        <v>0.40155755028961948</v>
      </c>
      <c r="U115" s="113">
        <f t="shared" si="61"/>
        <v>0.96373812069508658</v>
      </c>
      <c r="V115" s="113">
        <f t="shared" si="61"/>
        <v>1.3117546642794236</v>
      </c>
      <c r="W115" s="113">
        <f t="shared" si="61"/>
        <v>1.5526891944531951</v>
      </c>
      <c r="X115" s="113">
        <f t="shared" si="61"/>
        <v>0.95035286901876614</v>
      </c>
      <c r="Y115" s="113">
        <f t="shared" si="61"/>
        <v>1.1971855093934862</v>
      </c>
      <c r="Z115" s="113">
        <f t="shared" si="61"/>
        <v>0.91214134049027518</v>
      </c>
      <c r="AA115" s="113">
        <f t="shared" si="61"/>
        <v>1.2114377178386468</v>
      </c>
      <c r="AB115" s="113">
        <f t="shared" si="61"/>
        <v>1.1544288840580046</v>
      </c>
      <c r="AC115" s="113">
        <f t="shared" si="61"/>
        <v>0.93173316137963835</v>
      </c>
      <c r="AD115" s="113">
        <f t="shared" si="61"/>
        <v>1.1937831130176615</v>
      </c>
      <c r="AE115" s="113">
        <f t="shared" si="61"/>
        <v>1.1792247823711048</v>
      </c>
      <c r="AF115" s="113">
        <f t="shared" si="61"/>
        <v>0.94856988245643492</v>
      </c>
      <c r="AG115" s="113">
        <f t="shared" si="61"/>
        <v>1.1090970933336777</v>
      </c>
      <c r="AH115" s="113">
        <f t="shared" si="61"/>
        <v>0.94856988245643492</v>
      </c>
      <c r="AI115" s="113">
        <f t="shared" si="61"/>
        <v>0.97775664807047913</v>
      </c>
      <c r="AJ115" s="113">
        <f t="shared" si="61"/>
        <v>1.1054049324313406</v>
      </c>
      <c r="AK115" s="113">
        <f t="shared" si="61"/>
        <v>0.77226919936984062</v>
      </c>
      <c r="AL115" s="113">
        <f t="shared" si="61"/>
        <v>0.87040590142968044</v>
      </c>
      <c r="AM115" s="113">
        <f t="shared" si="61"/>
        <v>0.79537090992712178</v>
      </c>
      <c r="AN115" s="113">
        <f t="shared" ref="AN115:BX115" si="62">AM48/$A$115</f>
        <v>0.82538490652814522</v>
      </c>
      <c r="AO115" s="113">
        <f t="shared" si="62"/>
        <v>0.840391904828657</v>
      </c>
      <c r="AP115" s="113">
        <f t="shared" si="62"/>
        <v>0.89929822889581679</v>
      </c>
      <c r="AQ115" s="113">
        <f t="shared" si="62"/>
        <v>0.71943858311665343</v>
      </c>
      <c r="AR115" s="113">
        <f t="shared" si="62"/>
        <v>0.9742397479704682</v>
      </c>
      <c r="AS115" s="113">
        <f t="shared" si="62"/>
        <v>0.55456724115242029</v>
      </c>
      <c r="AT115" s="113">
        <f t="shared" si="62"/>
        <v>0.50960232970762953</v>
      </c>
      <c r="AU115" s="113">
        <f t="shared" si="62"/>
        <v>0.58454384878228094</v>
      </c>
      <c r="AV115" s="113">
        <f t="shared" si="62"/>
        <v>0.79438010219130473</v>
      </c>
      <c r="AW115" s="113">
        <f t="shared" si="62"/>
        <v>0.28477777248367531</v>
      </c>
      <c r="AX115" s="113">
        <f t="shared" si="62"/>
        <v>0.46463741826283861</v>
      </c>
      <c r="AY115" s="113">
        <f t="shared" si="62"/>
        <v>0.20190044427969694</v>
      </c>
      <c r="AZ115" s="113">
        <f t="shared" si="62"/>
        <v>0.10768023694917171</v>
      </c>
      <c r="BA115" s="113">
        <f t="shared" si="62"/>
        <v>0.17498038504240401</v>
      </c>
      <c r="BB115" s="113">
        <f t="shared" si="62"/>
        <v>0.1278702813771414</v>
      </c>
      <c r="BC115" s="113">
        <f t="shared" si="62"/>
        <v>0.18844041466105046</v>
      </c>
      <c r="BD115" s="113">
        <f t="shared" si="62"/>
        <v>0.10768023694917171</v>
      </c>
      <c r="BE115" s="113">
        <f t="shared" si="62"/>
        <v>0.18844041466105046</v>
      </c>
      <c r="BF115" s="113">
        <f t="shared" si="62"/>
        <v>0.43072094779668685</v>
      </c>
      <c r="BG115" s="113">
        <f t="shared" si="62"/>
        <v>0.14806032580511108</v>
      </c>
      <c r="BH115" s="113">
        <f t="shared" si="62"/>
        <v>0.25895134065289738</v>
      </c>
      <c r="BI115" s="113">
        <f t="shared" si="62"/>
        <v>0.32957443355823302</v>
      </c>
      <c r="BJ115" s="113">
        <f t="shared" si="62"/>
        <v>0.25895134065289738</v>
      </c>
      <c r="BK115" s="113">
        <f t="shared" si="62"/>
        <v>0.44727958840045912</v>
      </c>
      <c r="BL115" s="113">
        <f t="shared" si="62"/>
        <v>0.20009876323178433</v>
      </c>
      <c r="BM115" s="113">
        <f t="shared" si="62"/>
        <v>0.22363979420022956</v>
      </c>
      <c r="BN115" s="113">
        <f t="shared" si="62"/>
        <v>0.2942628871055652</v>
      </c>
      <c r="BO115" s="113">
        <f t="shared" si="62"/>
        <v>0</v>
      </c>
      <c r="BP115" s="113">
        <f t="shared" si="62"/>
        <v>0</v>
      </c>
      <c r="BQ115" s="113">
        <f t="shared" si="62"/>
        <v>0</v>
      </c>
      <c r="BR115" s="113">
        <f t="shared" si="62"/>
        <v>0</v>
      </c>
      <c r="BS115" s="113">
        <f t="shared" si="62"/>
        <v>0</v>
      </c>
      <c r="BT115" s="113">
        <f t="shared" si="62"/>
        <v>0</v>
      </c>
      <c r="BU115" s="113">
        <f t="shared" si="62"/>
        <v>0</v>
      </c>
      <c r="BV115" s="113">
        <f t="shared" si="62"/>
        <v>0</v>
      </c>
      <c r="BW115" s="113">
        <f t="shared" si="62"/>
        <v>0</v>
      </c>
      <c r="BX115" s="113">
        <f t="shared" si="62"/>
        <v>0</v>
      </c>
      <c r="BY115" s="114"/>
      <c r="BZ115" s="113"/>
      <c r="CA115" s="1"/>
      <c r="CB115" s="1"/>
      <c r="CC115" s="1"/>
      <c r="CD115" s="1"/>
      <c r="CE115" s="1"/>
      <c r="CF115" s="114"/>
      <c r="CG115" s="113"/>
      <c r="CH115" s="1"/>
      <c r="CI115" s="1"/>
      <c r="CJ115" s="1"/>
      <c r="CK115" s="1"/>
      <c r="CL115" s="1"/>
      <c r="CM115" s="114"/>
      <c r="CN115" s="113">
        <f t="shared" si="26"/>
        <v>36.295306367420672</v>
      </c>
    </row>
    <row r="116" spans="1:92" x14ac:dyDescent="0.3">
      <c r="A116" s="107">
        <v>43.281591658802093</v>
      </c>
      <c r="B116" s="3">
        <v>14</v>
      </c>
      <c r="C116" s="1">
        <v>6.4521899999999999</v>
      </c>
      <c r="D116" s="1">
        <v>47.085299999999997</v>
      </c>
      <c r="E116" s="1">
        <v>0</v>
      </c>
      <c r="F116" s="114">
        <v>46.462499999999999</v>
      </c>
      <c r="G116" s="123" t="s">
        <v>175</v>
      </c>
      <c r="H116" s="113">
        <f t="shared" ref="H116:AM116" si="63">G49/$A$116</f>
        <v>0</v>
      </c>
      <c r="I116" s="113">
        <f t="shared" si="63"/>
        <v>0</v>
      </c>
      <c r="J116" s="113">
        <f t="shared" si="63"/>
        <v>2.5877052046264754E-2</v>
      </c>
      <c r="K116" s="113">
        <f t="shared" si="63"/>
        <v>6.2844269255214399E-2</v>
      </c>
      <c r="L116" s="113">
        <f t="shared" si="63"/>
        <v>8.1327877859689215E-2</v>
      </c>
      <c r="M116" s="113">
        <f t="shared" si="63"/>
        <v>0.18113936432385325</v>
      </c>
      <c r="N116" s="113">
        <f t="shared" si="63"/>
        <v>0.1192192754988626</v>
      </c>
      <c r="O116" s="113">
        <f t="shared" si="63"/>
        <v>0.10165984732461153</v>
      </c>
      <c r="P116" s="113">
        <f t="shared" si="63"/>
        <v>1.2507973465201891</v>
      </c>
      <c r="Q116" s="113">
        <f t="shared" si="63"/>
        <v>0.80933945951306352</v>
      </c>
      <c r="R116" s="113">
        <f t="shared" si="63"/>
        <v>1.2753227846872515</v>
      </c>
      <c r="S116" s="113">
        <f t="shared" si="63"/>
        <v>2.9293285006586807</v>
      </c>
      <c r="T116" s="113">
        <f t="shared" si="63"/>
        <v>4.4801494715956292</v>
      </c>
      <c r="U116" s="113">
        <f t="shared" si="63"/>
        <v>4.2216793097728038</v>
      </c>
      <c r="V116" s="113">
        <f t="shared" si="63"/>
        <v>4.0062875082537834</v>
      </c>
      <c r="W116" s="113">
        <f t="shared" si="63"/>
        <v>5.019454961652694</v>
      </c>
      <c r="X116" s="113">
        <f t="shared" si="63"/>
        <v>4.765305343341165</v>
      </c>
      <c r="Y116" s="113">
        <f t="shared" si="63"/>
        <v>4.9381732928145157</v>
      </c>
      <c r="Z116" s="113">
        <f t="shared" si="63"/>
        <v>4.6638303321025978</v>
      </c>
      <c r="AA116" s="113">
        <f t="shared" si="63"/>
        <v>5.4879682307546194</v>
      </c>
      <c r="AB116" s="113">
        <f t="shared" si="63"/>
        <v>5.2593028878065109</v>
      </c>
      <c r="AC116" s="113">
        <f t="shared" si="63"/>
        <v>4.9544157638756978</v>
      </c>
      <c r="AD116" s="113">
        <f t="shared" si="63"/>
        <v>4.49708507797948</v>
      </c>
      <c r="AE116" s="113">
        <f t="shared" si="63"/>
        <v>5.0306375448584006</v>
      </c>
      <c r="AF116" s="113">
        <f t="shared" si="63"/>
        <v>4.3853516639654293</v>
      </c>
      <c r="AG116" s="113">
        <f t="shared" si="63"/>
        <v>3.2690803313196835</v>
      </c>
      <c r="AH116" s="113">
        <f t="shared" si="63"/>
        <v>1.2757386658808521</v>
      </c>
      <c r="AI116" s="113">
        <f t="shared" si="63"/>
        <v>4.4650853305829816</v>
      </c>
      <c r="AJ116" s="113">
        <f t="shared" si="63"/>
        <v>3.8356260395575923</v>
      </c>
      <c r="AK116" s="113">
        <f t="shared" si="63"/>
        <v>2.9745671327181338</v>
      </c>
      <c r="AL116" s="113">
        <f t="shared" si="63"/>
        <v>2.8962890502781824</v>
      </c>
      <c r="AM116" s="113">
        <f t="shared" si="63"/>
        <v>2.7397328853982805</v>
      </c>
      <c r="AN116" s="113">
        <f t="shared" ref="AN116:BE116" si="64">AM49/$A$116</f>
        <v>2.3483424731985258</v>
      </c>
      <c r="AO116" s="113">
        <f t="shared" si="64"/>
        <v>2.1917863083186249</v>
      </c>
      <c r="AP116" s="113">
        <f t="shared" si="64"/>
        <v>2.1135082258786735</v>
      </c>
      <c r="AQ116" s="113">
        <f t="shared" si="64"/>
        <v>1.6438397312389681</v>
      </c>
      <c r="AR116" s="113">
        <f t="shared" si="64"/>
        <v>2.030886495416671</v>
      </c>
      <c r="AS116" s="113">
        <f t="shared" si="64"/>
        <v>1.4216205467916696</v>
      </c>
      <c r="AT116" s="113">
        <f t="shared" si="64"/>
        <v>1.4216205467916696</v>
      </c>
      <c r="AU116" s="113">
        <f t="shared" si="64"/>
        <v>1.4893167633055586</v>
      </c>
      <c r="AV116" s="113">
        <f t="shared" si="64"/>
        <v>2.4370637945000051</v>
      </c>
      <c r="AW116" s="113">
        <f t="shared" si="64"/>
        <v>0.81235459816666833</v>
      </c>
      <c r="AX116" s="113">
        <f t="shared" si="64"/>
        <v>1.4216205467916696</v>
      </c>
      <c r="AY116" s="113">
        <f t="shared" si="64"/>
        <v>1.4216205467916696</v>
      </c>
      <c r="AZ116" s="113">
        <f t="shared" si="64"/>
        <v>0.74465838165277931</v>
      </c>
      <c r="BA116" s="113">
        <f t="shared" si="64"/>
        <v>1.2185318972500025</v>
      </c>
      <c r="BB116" s="113">
        <f t="shared" si="64"/>
        <v>1.0154432477083355</v>
      </c>
      <c r="BC116" s="113">
        <f t="shared" si="64"/>
        <v>1.0361679938561028</v>
      </c>
      <c r="BD116" s="113">
        <f t="shared" si="64"/>
        <v>0.63321377402317403</v>
      </c>
      <c r="BE116" s="113">
        <f t="shared" si="64"/>
        <v>0</v>
      </c>
      <c r="BF116" s="1"/>
      <c r="BG116" s="1"/>
      <c r="BH116" s="1"/>
      <c r="BI116" s="1"/>
      <c r="BJ116" s="1"/>
      <c r="BK116" s="114"/>
      <c r="BL116" s="113"/>
      <c r="BM116" s="1"/>
      <c r="BN116" s="1"/>
      <c r="BO116" s="1"/>
      <c r="BP116" s="1"/>
      <c r="BQ116" s="1"/>
      <c r="BR116" s="114"/>
      <c r="BS116" s="113"/>
      <c r="BT116" s="1"/>
      <c r="BU116" s="1"/>
      <c r="BV116" s="1"/>
      <c r="BW116" s="1"/>
      <c r="BX116" s="1"/>
      <c r="BY116" s="114"/>
      <c r="BZ116" s="113"/>
      <c r="CA116" s="1"/>
      <c r="CB116" s="1"/>
      <c r="CC116" s="1"/>
      <c r="CD116" s="1"/>
      <c r="CE116" s="1"/>
      <c r="CF116" s="114"/>
      <c r="CG116" s="113"/>
      <c r="CH116" s="1"/>
      <c r="CI116" s="1"/>
      <c r="CJ116" s="1"/>
      <c r="CK116" s="1"/>
      <c r="CL116" s="1"/>
      <c r="CM116" s="114"/>
      <c r="CN116" s="113">
        <f t="shared" si="26"/>
        <v>115.40421247387748</v>
      </c>
    </row>
    <row r="117" spans="1:92" x14ac:dyDescent="0.3">
      <c r="A117" s="107">
        <v>40.700052412751205</v>
      </c>
      <c r="B117" s="3">
        <v>16</v>
      </c>
      <c r="C117" s="1">
        <v>47.869199999999999</v>
      </c>
      <c r="D117" s="1">
        <v>4.8092300000000003</v>
      </c>
      <c r="E117" s="1">
        <v>0</v>
      </c>
      <c r="F117" s="114">
        <v>47.321599999999997</v>
      </c>
      <c r="G117" s="123" t="s">
        <v>176</v>
      </c>
      <c r="H117" s="113">
        <f t="shared" ref="H117:AM117" si="65">G50/$A$117</f>
        <v>0</v>
      </c>
      <c r="I117" s="113">
        <f t="shared" si="65"/>
        <v>0</v>
      </c>
      <c r="J117" s="113">
        <f t="shared" si="65"/>
        <v>2.1705377453598325</v>
      </c>
      <c r="K117" s="113">
        <f t="shared" si="65"/>
        <v>1.3812512925017113</v>
      </c>
      <c r="L117" s="113">
        <f t="shared" si="65"/>
        <v>0.98660806607265106</v>
      </c>
      <c r="M117" s="113">
        <f t="shared" si="65"/>
        <v>0.98660806607265106</v>
      </c>
      <c r="N117" s="113">
        <f t="shared" si="65"/>
        <v>1.8416683900022817</v>
      </c>
      <c r="O117" s="113">
        <f t="shared" si="65"/>
        <v>3.0913719403609732</v>
      </c>
      <c r="P117" s="113">
        <f t="shared" si="65"/>
        <v>3.6175629089330541</v>
      </c>
      <c r="Q117" s="113">
        <f t="shared" si="65"/>
        <v>0.85506032392963094</v>
      </c>
      <c r="R117" s="113">
        <f t="shared" si="65"/>
        <v>3.9464322642906042</v>
      </c>
      <c r="S117" s="113">
        <f t="shared" si="65"/>
        <v>1.8416683900022817</v>
      </c>
      <c r="T117" s="113">
        <f t="shared" si="65"/>
        <v>3.5517890378615435</v>
      </c>
      <c r="U117" s="113">
        <f t="shared" si="65"/>
        <v>3.0913719403609732</v>
      </c>
      <c r="V117" s="113">
        <f t="shared" si="65"/>
        <v>4.9330403303632551</v>
      </c>
      <c r="W117" s="113">
        <f t="shared" si="65"/>
        <v>4.5776353826421516</v>
      </c>
      <c r="X117" s="113">
        <f t="shared" si="65"/>
        <v>4.3561368963852729</v>
      </c>
      <c r="Y117" s="113">
        <f t="shared" si="65"/>
        <v>4.4249943015694004</v>
      </c>
      <c r="Z117" s="113">
        <f t="shared" si="65"/>
        <v>4.1836309760292503</v>
      </c>
      <c r="AA117" s="113">
        <f t="shared" si="65"/>
        <v>4.827266510802982</v>
      </c>
      <c r="AB117" s="113">
        <f t="shared" si="65"/>
        <v>4.8627824355821625</v>
      </c>
      <c r="AC117" s="113">
        <f t="shared" si="65"/>
        <v>4.7803623943011102</v>
      </c>
      <c r="AD117" s="113">
        <f t="shared" si="65"/>
        <v>5.9342429722358601</v>
      </c>
      <c r="AE117" s="113">
        <f t="shared" si="65"/>
        <v>5.0276225181442706</v>
      </c>
      <c r="AF117" s="113">
        <f t="shared" si="65"/>
        <v>4.5331022704579489</v>
      </c>
      <c r="AG117" s="113">
        <f t="shared" si="65"/>
        <v>5.0810991077547074</v>
      </c>
      <c r="AH117" s="113">
        <f t="shared" si="65"/>
        <v>4.0157073593545265</v>
      </c>
      <c r="AI117" s="113">
        <f t="shared" si="65"/>
        <v>6.3923504904010837</v>
      </c>
      <c r="AJ117" s="113">
        <f t="shared" si="65"/>
        <v>4.4993185301802772</v>
      </c>
      <c r="AK117" s="113">
        <f t="shared" si="65"/>
        <v>4.0084837814333376</v>
      </c>
      <c r="AL117" s="113">
        <f t="shared" si="65"/>
        <v>3.5176490326863985</v>
      </c>
      <c r="AM117" s="113">
        <f t="shared" si="65"/>
        <v>3.9266779899755146</v>
      </c>
      <c r="AN117" s="113">
        <f t="shared" ref="AN117:BS117" si="66">AM50/$A$117</f>
        <v>3.2421579869675687</v>
      </c>
      <c r="AO117" s="113">
        <f t="shared" si="66"/>
        <v>3.4632142133517214</v>
      </c>
      <c r="AP117" s="113">
        <f t="shared" si="66"/>
        <v>3.389528804557004</v>
      </c>
      <c r="AQ117" s="113">
        <f t="shared" si="66"/>
        <v>3.0211017605834165</v>
      </c>
      <c r="AR117" s="113">
        <f t="shared" si="66"/>
        <v>4.1263828925041786</v>
      </c>
      <c r="AS117" s="113">
        <f t="shared" si="66"/>
        <v>2.652674716609829</v>
      </c>
      <c r="AT117" s="113">
        <f t="shared" si="66"/>
        <v>2.4316184902256763</v>
      </c>
      <c r="AU117" s="113">
        <f t="shared" si="66"/>
        <v>2.652674716609829</v>
      </c>
      <c r="AV117" s="113">
        <f t="shared" si="66"/>
        <v>3.4632142133517214</v>
      </c>
      <c r="AW117" s="113">
        <f t="shared" si="66"/>
        <v>1.4737081758943495</v>
      </c>
      <c r="AX117" s="113">
        <f t="shared" si="66"/>
        <v>2.2842476726362415</v>
      </c>
      <c r="AY117" s="113">
        <f t="shared" si="66"/>
        <v>2.1895917748764391</v>
      </c>
      <c r="AZ117" s="113">
        <f t="shared" si="66"/>
        <v>1.1279715203908927</v>
      </c>
      <c r="BA117" s="113">
        <f t="shared" si="66"/>
        <v>1.8578354453497055</v>
      </c>
      <c r="BB117" s="113">
        <f t="shared" si="66"/>
        <v>1.3933765840122794</v>
      </c>
      <c r="BC117" s="113">
        <f t="shared" si="66"/>
        <v>1.7251329135390125</v>
      </c>
      <c r="BD117" s="113">
        <f t="shared" si="66"/>
        <v>1.1279715203908927</v>
      </c>
      <c r="BE117" s="113">
        <f t="shared" si="66"/>
        <v>1.4597278499176258</v>
      </c>
      <c r="BF117" s="113">
        <f t="shared" si="66"/>
        <v>0.64866009832775551</v>
      </c>
      <c r="BG117" s="113">
        <f t="shared" si="66"/>
        <v>0</v>
      </c>
      <c r="BH117" s="113">
        <f t="shared" si="66"/>
        <v>0</v>
      </c>
      <c r="BI117" s="113">
        <f t="shared" si="66"/>
        <v>0</v>
      </c>
      <c r="BJ117" s="113">
        <f t="shared" si="66"/>
        <v>0</v>
      </c>
      <c r="BK117" s="113">
        <f t="shared" si="66"/>
        <v>0</v>
      </c>
      <c r="BL117" s="113">
        <f t="shared" si="66"/>
        <v>0</v>
      </c>
      <c r="BM117" s="113">
        <f t="shared" si="66"/>
        <v>0</v>
      </c>
      <c r="BN117" s="113">
        <f t="shared" si="66"/>
        <v>0</v>
      </c>
      <c r="BO117" s="113">
        <f t="shared" si="66"/>
        <v>0</v>
      </c>
      <c r="BP117" s="113">
        <f t="shared" si="66"/>
        <v>0</v>
      </c>
      <c r="BQ117" s="113">
        <f t="shared" si="66"/>
        <v>0</v>
      </c>
      <c r="BR117" s="113">
        <f t="shared" si="66"/>
        <v>0</v>
      </c>
      <c r="BS117" s="113">
        <f t="shared" si="66"/>
        <v>0</v>
      </c>
      <c r="BT117" s="113">
        <f t="shared" ref="BT117:BZ117" si="67">BS50/$A$117</f>
        <v>0</v>
      </c>
      <c r="BU117" s="113">
        <f t="shared" si="67"/>
        <v>0</v>
      </c>
      <c r="BV117" s="113">
        <f t="shared" si="67"/>
        <v>0</v>
      </c>
      <c r="BW117" s="113">
        <f t="shared" si="67"/>
        <v>0</v>
      </c>
      <c r="BX117" s="113">
        <f t="shared" si="67"/>
        <v>0</v>
      </c>
      <c r="BY117" s="113">
        <f t="shared" si="67"/>
        <v>0</v>
      </c>
      <c r="BZ117" s="113">
        <f t="shared" si="67"/>
        <v>0</v>
      </c>
      <c r="CA117" s="1"/>
      <c r="CB117" s="1"/>
      <c r="CC117" s="1"/>
      <c r="CD117" s="1"/>
      <c r="CE117" s="1"/>
      <c r="CF117" s="114"/>
      <c r="CG117" s="113"/>
      <c r="CH117" s="1"/>
      <c r="CI117" s="1"/>
      <c r="CJ117" s="1"/>
      <c r="CK117" s="1"/>
      <c r="CL117" s="1"/>
      <c r="CM117" s="114"/>
      <c r="CN117" s="113">
        <f t="shared" si="26"/>
        <v>154.97482499614384</v>
      </c>
    </row>
    <row r="118" spans="1:92" x14ac:dyDescent="0.3">
      <c r="B118" s="117"/>
      <c r="C118" s="117"/>
      <c r="D118" s="117"/>
      <c r="E118" s="117"/>
      <c r="F118" s="118"/>
      <c r="G118" s="118"/>
      <c r="H118" s="115">
        <v>45327</v>
      </c>
      <c r="I118" s="116">
        <v>45328</v>
      </c>
      <c r="J118" s="116">
        <v>45329</v>
      </c>
      <c r="K118" s="116">
        <v>45330</v>
      </c>
      <c r="L118" s="116">
        <v>45331</v>
      </c>
      <c r="M118" s="116">
        <v>45332</v>
      </c>
      <c r="N118" s="119">
        <v>45333</v>
      </c>
      <c r="O118" s="115">
        <v>45334</v>
      </c>
      <c r="P118" s="116">
        <v>45335</v>
      </c>
      <c r="Q118" s="116">
        <v>45336</v>
      </c>
      <c r="R118" s="116">
        <v>45337</v>
      </c>
      <c r="S118" s="116">
        <v>45338</v>
      </c>
      <c r="T118" s="116">
        <v>45339</v>
      </c>
      <c r="U118" s="119">
        <v>45340</v>
      </c>
      <c r="V118" s="115">
        <v>45341</v>
      </c>
      <c r="W118" s="116">
        <v>45342</v>
      </c>
      <c r="X118" s="116">
        <v>45343</v>
      </c>
      <c r="Y118" s="116">
        <v>45344</v>
      </c>
      <c r="Z118" s="116">
        <v>45345</v>
      </c>
      <c r="AA118" s="116">
        <v>45346</v>
      </c>
      <c r="AB118" s="119">
        <v>45347</v>
      </c>
      <c r="AC118" s="115">
        <v>45348</v>
      </c>
      <c r="AD118" s="116">
        <v>45349</v>
      </c>
      <c r="AE118" s="116">
        <v>45350</v>
      </c>
      <c r="AF118" s="116">
        <v>45351</v>
      </c>
      <c r="AG118" s="116">
        <v>45352</v>
      </c>
      <c r="AH118" s="116">
        <v>45353</v>
      </c>
      <c r="AI118" s="119">
        <v>45354</v>
      </c>
      <c r="AJ118" s="115">
        <v>45355</v>
      </c>
      <c r="AK118" s="116">
        <v>45356</v>
      </c>
      <c r="AL118" s="116">
        <v>45357</v>
      </c>
      <c r="AM118" s="116">
        <v>45358</v>
      </c>
      <c r="AN118" s="116">
        <v>45359</v>
      </c>
      <c r="AO118" s="116">
        <v>45360</v>
      </c>
      <c r="AP118" s="119">
        <v>45361</v>
      </c>
      <c r="AQ118" s="115">
        <v>45362</v>
      </c>
      <c r="AR118" s="116">
        <v>45363</v>
      </c>
      <c r="AS118" s="116">
        <v>45364</v>
      </c>
      <c r="AT118" s="116">
        <v>45365</v>
      </c>
      <c r="AU118" s="116">
        <v>45366</v>
      </c>
      <c r="AV118" s="116">
        <v>45367</v>
      </c>
      <c r="AW118" s="119">
        <v>45368</v>
      </c>
      <c r="AX118" s="115">
        <v>45369</v>
      </c>
      <c r="AY118" s="116">
        <v>45370</v>
      </c>
      <c r="AZ118" s="116">
        <v>45371</v>
      </c>
      <c r="BA118" s="116">
        <v>45372</v>
      </c>
      <c r="BB118" s="116">
        <v>45373</v>
      </c>
      <c r="BC118" s="116">
        <v>45374</v>
      </c>
      <c r="BD118" s="119">
        <v>45375</v>
      </c>
      <c r="BE118" s="115">
        <v>45376</v>
      </c>
      <c r="BF118" s="116">
        <v>45377</v>
      </c>
      <c r="BG118" s="116">
        <v>45378</v>
      </c>
      <c r="BH118" s="116">
        <v>45379</v>
      </c>
      <c r="BI118" s="116">
        <v>45380</v>
      </c>
      <c r="BJ118" s="116">
        <v>45381</v>
      </c>
      <c r="BK118" s="119">
        <v>45382</v>
      </c>
      <c r="BL118" s="115">
        <v>45383</v>
      </c>
      <c r="BM118" s="116">
        <v>45384</v>
      </c>
      <c r="BN118" s="116">
        <v>45385</v>
      </c>
      <c r="BO118" s="116">
        <v>45386</v>
      </c>
      <c r="BP118" s="116">
        <v>45387</v>
      </c>
      <c r="BQ118" s="116">
        <v>45388</v>
      </c>
      <c r="BR118" s="119">
        <v>45389</v>
      </c>
      <c r="BS118" s="115">
        <v>45390</v>
      </c>
      <c r="BT118" s="116">
        <v>45391</v>
      </c>
      <c r="BU118" s="116">
        <v>45392</v>
      </c>
      <c r="BV118" s="116">
        <v>45393</v>
      </c>
      <c r="BW118" s="116">
        <v>45394</v>
      </c>
      <c r="BX118" s="116">
        <v>45395</v>
      </c>
      <c r="BY118" s="119">
        <v>45396</v>
      </c>
      <c r="BZ118" s="115">
        <v>45397</v>
      </c>
      <c r="CA118" s="116">
        <v>45398</v>
      </c>
      <c r="CB118" s="116">
        <v>45399</v>
      </c>
      <c r="CC118" s="116">
        <v>45400</v>
      </c>
      <c r="CD118" s="116">
        <v>45401</v>
      </c>
      <c r="CE118" s="116">
        <v>45402</v>
      </c>
      <c r="CF118" s="119">
        <v>45403</v>
      </c>
      <c r="CG118" s="115">
        <v>45404</v>
      </c>
      <c r="CH118" s="116">
        <v>45405</v>
      </c>
      <c r="CI118" s="117"/>
      <c r="CJ118" s="117"/>
      <c r="CK118" s="117"/>
      <c r="CL118" s="117"/>
      <c r="CM118" s="118"/>
      <c r="CN118" s="113"/>
    </row>
    <row r="119" spans="1:92" x14ac:dyDescent="0.3">
      <c r="A119" s="107">
        <v>39.328123960246664</v>
      </c>
      <c r="B119" s="1">
        <v>11</v>
      </c>
      <c r="C119" s="1">
        <v>0</v>
      </c>
      <c r="D119" s="1">
        <v>46.060200000000002</v>
      </c>
      <c r="E119" s="1">
        <v>46.857700000000001</v>
      </c>
      <c r="F119" s="114">
        <v>7.0820999999999996</v>
      </c>
      <c r="G119" s="123" t="s">
        <v>226</v>
      </c>
      <c r="H119" s="113">
        <f t="shared" ref="H119:AM119" si="68">G52/$A$119</f>
        <v>0</v>
      </c>
      <c r="I119" s="113">
        <f t="shared" si="68"/>
        <v>0</v>
      </c>
      <c r="J119" s="113">
        <f t="shared" si="68"/>
        <v>0.41661026131227735</v>
      </c>
      <c r="K119" s="113">
        <f t="shared" si="68"/>
        <v>2.1587986267999826</v>
      </c>
      <c r="L119" s="113">
        <f t="shared" si="68"/>
        <v>0.41661026131227735</v>
      </c>
      <c r="M119" s="113">
        <f t="shared" si="68"/>
        <v>0.45448392143157529</v>
      </c>
      <c r="N119" s="113">
        <f t="shared" si="68"/>
        <v>0.45448392143157529</v>
      </c>
      <c r="O119" s="113">
        <f t="shared" si="68"/>
        <v>2.651156208350856</v>
      </c>
      <c r="P119" s="113">
        <f t="shared" si="68"/>
        <v>2.8026508488280477</v>
      </c>
      <c r="Q119" s="113">
        <f t="shared" si="68"/>
        <v>2.5375352279929619</v>
      </c>
      <c r="R119" s="113">
        <f t="shared" si="68"/>
        <v>1.28770444405613</v>
      </c>
      <c r="S119" s="113">
        <f t="shared" si="68"/>
        <v>2.2724196071578766</v>
      </c>
      <c r="T119" s="113">
        <f t="shared" si="68"/>
        <v>2.5754088881122601</v>
      </c>
      <c r="U119" s="113">
        <f t="shared" si="68"/>
        <v>4.5069655541964551</v>
      </c>
      <c r="V119" s="113">
        <f t="shared" si="68"/>
        <v>4.6963338547929441</v>
      </c>
      <c r="W119" s="113">
        <f t="shared" si="68"/>
        <v>4.9614494756280312</v>
      </c>
      <c r="X119" s="113">
        <f t="shared" si="68"/>
        <v>5.2265650964631156</v>
      </c>
      <c r="Y119" s="113">
        <f t="shared" si="68"/>
        <v>4.5827128744350514</v>
      </c>
      <c r="Z119" s="113">
        <f t="shared" si="68"/>
        <v>4.6963338547929441</v>
      </c>
      <c r="AA119" s="113">
        <f t="shared" si="68"/>
        <v>4.5478904658862911</v>
      </c>
      <c r="AB119" s="113">
        <f t="shared" si="68"/>
        <v>4.3825126307631539</v>
      </c>
      <c r="AC119" s="113">
        <f t="shared" si="68"/>
        <v>3.8863791253937401</v>
      </c>
      <c r="AD119" s="113">
        <f t="shared" si="68"/>
        <v>3.6796568314898179</v>
      </c>
      <c r="AE119" s="113">
        <f t="shared" si="68"/>
        <v>3.1835233261204041</v>
      </c>
      <c r="AF119" s="113">
        <f t="shared" si="68"/>
        <v>2.3152896917239296</v>
      </c>
      <c r="AG119" s="113">
        <f t="shared" si="68"/>
        <v>1.9018451039160855</v>
      </c>
      <c r="AH119" s="113">
        <f t="shared" si="68"/>
        <v>1.94318956269687</v>
      </c>
      <c r="AI119" s="113">
        <f t="shared" si="68"/>
        <v>1.4057115985466719</v>
      </c>
      <c r="AJ119" s="113">
        <f t="shared" si="68"/>
        <v>2.4393230680662836</v>
      </c>
      <c r="AK119" s="113">
        <f t="shared" si="68"/>
        <v>1.4884005161082408</v>
      </c>
      <c r="AL119" s="113">
        <f t="shared" si="68"/>
        <v>1.4470560573274565</v>
      </c>
      <c r="AM119" s="113">
        <f t="shared" si="68"/>
        <v>1.4057115985466719</v>
      </c>
      <c r="AN119" s="113">
        <f t="shared" ref="AN119:BW119" si="69">AM52/$A$119</f>
        <v>1.3250568486987944</v>
      </c>
      <c r="AO119" s="113">
        <f t="shared" si="69"/>
        <v>1.5735050078298185</v>
      </c>
      <c r="AP119" s="113">
        <f t="shared" si="69"/>
        <v>1.6149130343516558</v>
      </c>
      <c r="AQ119" s="113">
        <f t="shared" si="69"/>
        <v>1.6563210608734931</v>
      </c>
      <c r="AR119" s="113">
        <f t="shared" si="69"/>
        <v>1.6149130343516558</v>
      </c>
      <c r="AS119" s="113">
        <f t="shared" si="69"/>
        <v>1.7391371139171676</v>
      </c>
      <c r="AT119" s="113">
        <f t="shared" si="69"/>
        <v>1.9461772465263545</v>
      </c>
      <c r="AU119" s="113">
        <f t="shared" si="69"/>
        <v>2.1532173791355413</v>
      </c>
      <c r="AV119" s="113">
        <f t="shared" si="69"/>
        <v>1.7391371139171676</v>
      </c>
      <c r="AW119" s="113">
        <f t="shared" si="69"/>
        <v>1.6977290873953306</v>
      </c>
      <c r="AX119" s="113">
        <f t="shared" si="69"/>
        <v>1.987585273048192</v>
      </c>
      <c r="AY119" s="113">
        <f t="shared" si="69"/>
        <v>1.8219531669608424</v>
      </c>
      <c r="AZ119" s="113">
        <f t="shared" si="69"/>
        <v>2.3602575117447278</v>
      </c>
      <c r="BA119" s="113">
        <f t="shared" si="69"/>
        <v>1.7391371139171676</v>
      </c>
      <c r="BB119" s="113">
        <f t="shared" si="69"/>
        <v>2.1118093526137036</v>
      </c>
      <c r="BC119" s="113">
        <f t="shared" si="69"/>
        <v>2.1946254056573782</v>
      </c>
      <c r="BD119" s="113">
        <f t="shared" si="69"/>
        <v>1.7805451404390054</v>
      </c>
      <c r="BE119" s="113">
        <f t="shared" si="69"/>
        <v>1.987585273048192</v>
      </c>
      <c r="BF119" s="113">
        <f t="shared" si="69"/>
        <v>2.0289932995700291</v>
      </c>
      <c r="BG119" s="113">
        <f t="shared" si="69"/>
        <v>2.0704013260918663</v>
      </c>
      <c r="BH119" s="113">
        <f t="shared" si="69"/>
        <v>1.328680209938808</v>
      </c>
      <c r="BI119" s="113">
        <f t="shared" si="69"/>
        <v>1.652748553826322</v>
      </c>
      <c r="BJ119" s="113">
        <f t="shared" si="69"/>
        <v>1.1666460379950507</v>
      </c>
      <c r="BK119" s="113">
        <f t="shared" si="69"/>
        <v>1.5231212162713164</v>
      </c>
      <c r="BL119" s="113">
        <f t="shared" si="69"/>
        <v>1.1666460379950507</v>
      </c>
      <c r="BM119" s="113">
        <f t="shared" si="69"/>
        <v>1.4583075474938136</v>
      </c>
      <c r="BN119" s="113">
        <f t="shared" si="69"/>
        <v>1.5555280506600677</v>
      </c>
      <c r="BO119" s="113">
        <f t="shared" si="69"/>
        <v>1.5231212162713164</v>
      </c>
      <c r="BP119" s="113">
        <f t="shared" si="69"/>
        <v>1.3610870443275593</v>
      </c>
      <c r="BQ119" s="113">
        <f t="shared" si="69"/>
        <v>1.6851553882150736</v>
      </c>
      <c r="BR119" s="113">
        <f t="shared" si="69"/>
        <v>1.814782725770079</v>
      </c>
      <c r="BS119" s="113">
        <f t="shared" si="69"/>
        <v>1.263866541161305</v>
      </c>
      <c r="BT119" s="113">
        <f t="shared" si="69"/>
        <v>1.101832369217548</v>
      </c>
      <c r="BU119" s="113">
        <f t="shared" si="69"/>
        <v>1.0694255348287964</v>
      </c>
      <c r="BV119" s="113">
        <f t="shared" si="69"/>
        <v>0</v>
      </c>
      <c r="BW119" s="113">
        <f t="shared" si="69"/>
        <v>0</v>
      </c>
      <c r="BX119" s="1"/>
      <c r="BY119" s="114"/>
      <c r="BZ119" s="113"/>
      <c r="CA119" s="1"/>
      <c r="CB119" s="1"/>
      <c r="CC119" s="1"/>
      <c r="CD119" s="1"/>
      <c r="CE119" s="1"/>
      <c r="CF119" s="114"/>
      <c r="CG119" s="113"/>
      <c r="CH119" s="1"/>
      <c r="CI119" s="1"/>
      <c r="CJ119" s="1"/>
      <c r="CK119" s="1"/>
      <c r="CL119" s="1"/>
      <c r="CM119" s="114"/>
      <c r="CN119" s="113">
        <f t="shared" si="26"/>
        <v>137.53866076774023</v>
      </c>
    </row>
    <row r="120" spans="1:92" x14ac:dyDescent="0.3">
      <c r="A120" s="107">
        <v>39.185214519557441</v>
      </c>
      <c r="B120" s="3">
        <v>28</v>
      </c>
      <c r="C120" s="1">
        <v>0</v>
      </c>
      <c r="D120" s="1">
        <v>72.453699999999998</v>
      </c>
      <c r="E120" s="1">
        <v>27.3537</v>
      </c>
      <c r="F120" s="114">
        <v>0.19259899999999999</v>
      </c>
      <c r="G120" s="123" t="s">
        <v>227</v>
      </c>
      <c r="H120" s="113">
        <f t="shared" ref="H120:AM120" si="70">G53/$A$120</f>
        <v>0</v>
      </c>
      <c r="I120" s="113">
        <f t="shared" si="70"/>
        <v>0</v>
      </c>
      <c r="J120" s="113">
        <f t="shared" si="70"/>
        <v>0.48518300162708211</v>
      </c>
      <c r="K120" s="113">
        <f t="shared" si="70"/>
        <v>2.30461925772864</v>
      </c>
      <c r="L120" s="113">
        <f t="shared" si="70"/>
        <v>1.2129575040677054</v>
      </c>
      <c r="M120" s="113">
        <f t="shared" si="70"/>
        <v>3.8208161378132721</v>
      </c>
      <c r="N120" s="113">
        <f t="shared" si="70"/>
        <v>3.9421118882200421</v>
      </c>
      <c r="O120" s="113">
        <f t="shared" si="70"/>
        <v>4.5485906402538951</v>
      </c>
      <c r="P120" s="113">
        <f t="shared" si="70"/>
        <v>3.8814640130166569</v>
      </c>
      <c r="Q120" s="113">
        <f t="shared" si="70"/>
        <v>3.5782246369997308</v>
      </c>
      <c r="R120" s="113">
        <f t="shared" si="70"/>
        <v>3.2749852609828047</v>
      </c>
      <c r="S120" s="113">
        <f t="shared" si="70"/>
        <v>3.517576761796346</v>
      </c>
      <c r="T120" s="113">
        <f t="shared" si="70"/>
        <v>4.4879427650505104</v>
      </c>
      <c r="U120" s="113">
        <f t="shared" si="70"/>
        <v>6.246731145948683</v>
      </c>
      <c r="V120" s="113">
        <f t="shared" si="70"/>
        <v>0</v>
      </c>
      <c r="W120" s="113">
        <f t="shared" si="70"/>
        <v>6.428674771558839</v>
      </c>
      <c r="X120" s="113">
        <f t="shared" si="70"/>
        <v>5.7009002691182156</v>
      </c>
      <c r="Y120" s="113">
        <f t="shared" si="70"/>
        <v>6.0781088714246474</v>
      </c>
      <c r="Z120" s="113">
        <f t="shared" si="70"/>
        <v>4.4895122345750247</v>
      </c>
      <c r="AA120" s="113">
        <f t="shared" si="70"/>
        <v>6.3811185689745722</v>
      </c>
      <c r="AB120" s="113">
        <f t="shared" si="70"/>
        <v>5.0188573014406748</v>
      </c>
      <c r="AC120" s="113">
        <f t="shared" si="70"/>
        <v>2.3660327278220326</v>
      </c>
      <c r="AD120" s="113">
        <f t="shared" si="70"/>
        <v>3.6565960339067769</v>
      </c>
      <c r="AE120" s="113">
        <f t="shared" si="70"/>
        <v>0.93207349883898238</v>
      </c>
      <c r="AF120" s="113">
        <f t="shared" si="70"/>
        <v>1.0037714602881349</v>
      </c>
      <c r="AG120" s="113">
        <f t="shared" si="70"/>
        <v>0.50188573014406745</v>
      </c>
      <c r="AH120" s="113">
        <f t="shared" si="70"/>
        <v>0.57358369159321998</v>
      </c>
      <c r="AI120" s="113">
        <f t="shared" si="70"/>
        <v>2.0864247140766543</v>
      </c>
      <c r="AJ120" s="113">
        <f t="shared" si="70"/>
        <v>0.60396504881166313</v>
      </c>
      <c r="AK120" s="113">
        <f t="shared" si="70"/>
        <v>2.3060483681899866</v>
      </c>
      <c r="AL120" s="113">
        <f t="shared" si="70"/>
        <v>1.0981182705666603</v>
      </c>
      <c r="AM120" s="113">
        <f t="shared" si="70"/>
        <v>1.2628360111516592</v>
      </c>
      <c r="AN120" s="113">
        <f t="shared" ref="AN120:BE120" si="71">AM53/$A$120</f>
        <v>1.4275537517366585</v>
      </c>
      <c r="AO120" s="113">
        <f t="shared" si="71"/>
        <v>1.1530241840949933</v>
      </c>
      <c r="AP120" s="113">
        <f t="shared" si="71"/>
        <v>1.0981182705666603</v>
      </c>
      <c r="AQ120" s="113">
        <f t="shared" si="71"/>
        <v>0.9883064435099943</v>
      </c>
      <c r="AR120" s="113">
        <f t="shared" si="71"/>
        <v>0.6588709623399962</v>
      </c>
      <c r="AS120" s="113">
        <f t="shared" si="71"/>
        <v>0.71377687586832927</v>
      </c>
      <c r="AT120" s="113">
        <f t="shared" si="71"/>
        <v>0.6588709623399962</v>
      </c>
      <c r="AU120" s="113">
        <f t="shared" si="71"/>
        <v>0</v>
      </c>
      <c r="AV120" s="113">
        <f t="shared" si="71"/>
        <v>0</v>
      </c>
      <c r="AW120" s="113">
        <f t="shared" si="71"/>
        <v>0</v>
      </c>
      <c r="AX120" s="113">
        <f t="shared" si="71"/>
        <v>0</v>
      </c>
      <c r="AY120" s="113">
        <f t="shared" si="71"/>
        <v>0</v>
      </c>
      <c r="AZ120" s="113">
        <f t="shared" si="71"/>
        <v>0</v>
      </c>
      <c r="BA120" s="113">
        <f t="shared" si="71"/>
        <v>0</v>
      </c>
      <c r="BB120" s="113">
        <f t="shared" si="71"/>
        <v>0</v>
      </c>
      <c r="BC120" s="113">
        <f t="shared" si="71"/>
        <v>0</v>
      </c>
      <c r="BD120" s="113">
        <f t="shared" si="71"/>
        <v>0</v>
      </c>
      <c r="BE120" s="113">
        <f t="shared" si="71"/>
        <v>0</v>
      </c>
      <c r="BF120" s="1"/>
      <c r="BG120" s="1"/>
      <c r="BH120" s="1"/>
      <c r="BI120" s="1"/>
      <c r="BJ120" s="1"/>
      <c r="BK120" s="114"/>
      <c r="BL120" s="113"/>
      <c r="BM120" s="1"/>
      <c r="BN120" s="1"/>
      <c r="BO120" s="1"/>
      <c r="BP120" s="1"/>
      <c r="BQ120" s="1"/>
      <c r="BR120" s="114"/>
      <c r="BS120" s="113"/>
      <c r="BT120" s="1"/>
      <c r="BU120" s="1"/>
      <c r="BV120" s="1"/>
      <c r="BW120" s="1"/>
      <c r="BX120" s="1"/>
      <c r="BY120" s="114"/>
      <c r="BZ120" s="113"/>
      <c r="CA120" s="1"/>
      <c r="CB120" s="1"/>
      <c r="CC120" s="1"/>
      <c r="CD120" s="1"/>
      <c r="CE120" s="1"/>
      <c r="CF120" s="114"/>
      <c r="CG120" s="113"/>
      <c r="CH120" s="1"/>
      <c r="CI120" s="1"/>
      <c r="CJ120" s="1"/>
      <c r="CK120" s="1"/>
      <c r="CL120" s="1"/>
      <c r="CM120" s="114"/>
      <c r="CN120" s="113">
        <f t="shared" si="26"/>
        <v>98.488232036443804</v>
      </c>
    </row>
    <row r="121" spans="1:92" s="13" customFormat="1" x14ac:dyDescent="0.3">
      <c r="B121" s="2"/>
      <c r="G121" s="2"/>
      <c r="CN121" s="113"/>
    </row>
    <row r="122" spans="1:92" s="13" customFormat="1" x14ac:dyDescent="0.3">
      <c r="B122" s="2"/>
      <c r="G122" s="2"/>
      <c r="CN122" s="113"/>
    </row>
    <row r="123" spans="1:92" x14ac:dyDescent="0.3">
      <c r="B123" s="117" t="s">
        <v>169</v>
      </c>
      <c r="C123" s="117" t="s">
        <v>46</v>
      </c>
      <c r="D123" s="117" t="s">
        <v>248</v>
      </c>
      <c r="E123" s="117" t="s">
        <v>48</v>
      </c>
      <c r="F123" s="118" t="s">
        <v>54</v>
      </c>
      <c r="G123" s="118"/>
      <c r="H123" s="115">
        <v>45327</v>
      </c>
      <c r="I123" s="116">
        <v>45328</v>
      </c>
      <c r="J123" s="116">
        <v>45329</v>
      </c>
      <c r="K123" s="116">
        <v>45330</v>
      </c>
      <c r="L123" s="116">
        <v>45331</v>
      </c>
      <c r="M123" s="116">
        <v>45332</v>
      </c>
      <c r="N123" s="119">
        <v>45333</v>
      </c>
      <c r="O123" s="115">
        <v>45334</v>
      </c>
      <c r="P123" s="116">
        <v>45335</v>
      </c>
      <c r="Q123" s="116">
        <v>45336</v>
      </c>
      <c r="R123" s="116">
        <v>45337</v>
      </c>
      <c r="S123" s="116">
        <v>45338</v>
      </c>
      <c r="T123" s="116">
        <v>45339</v>
      </c>
      <c r="U123" s="119">
        <v>45340</v>
      </c>
      <c r="V123" s="115">
        <v>45341</v>
      </c>
      <c r="W123" s="116">
        <v>45342</v>
      </c>
      <c r="X123" s="116">
        <v>45343</v>
      </c>
      <c r="Y123" s="116">
        <v>45344</v>
      </c>
      <c r="Z123" s="116">
        <v>45345</v>
      </c>
      <c r="AA123" s="116">
        <v>45346</v>
      </c>
      <c r="AB123" s="119">
        <v>45347</v>
      </c>
      <c r="AC123" s="115">
        <v>45348</v>
      </c>
      <c r="AD123" s="116">
        <v>45349</v>
      </c>
      <c r="AE123" s="116">
        <v>45350</v>
      </c>
      <c r="AF123" s="116">
        <v>45351</v>
      </c>
      <c r="AG123" s="116">
        <v>45352</v>
      </c>
      <c r="AH123" s="116">
        <v>45353</v>
      </c>
      <c r="AI123" s="119">
        <v>45354</v>
      </c>
      <c r="AJ123" s="115">
        <v>45355</v>
      </c>
      <c r="AK123" s="116">
        <v>45356</v>
      </c>
      <c r="AL123" s="116">
        <v>45357</v>
      </c>
      <c r="AM123" s="116">
        <v>45358</v>
      </c>
      <c r="AN123" s="116">
        <v>45359</v>
      </c>
      <c r="AO123" s="116">
        <v>45360</v>
      </c>
      <c r="AP123" s="119">
        <v>45361</v>
      </c>
      <c r="AQ123" s="115">
        <v>45362</v>
      </c>
      <c r="AR123" s="116">
        <v>45363</v>
      </c>
      <c r="AS123" s="116">
        <v>45364</v>
      </c>
      <c r="AT123" s="116">
        <v>45365</v>
      </c>
      <c r="AU123" s="116">
        <v>45366</v>
      </c>
      <c r="AV123" s="116">
        <v>45367</v>
      </c>
      <c r="AW123" s="119">
        <v>45368</v>
      </c>
      <c r="AX123" s="115">
        <v>45369</v>
      </c>
      <c r="AY123" s="116">
        <v>45370</v>
      </c>
      <c r="AZ123" s="116">
        <v>45371</v>
      </c>
      <c r="BA123" s="116">
        <v>45372</v>
      </c>
      <c r="BB123" s="116">
        <v>45373</v>
      </c>
      <c r="BC123" s="116">
        <v>45374</v>
      </c>
      <c r="BD123" s="119">
        <v>45375</v>
      </c>
      <c r="BE123" s="115">
        <v>45376</v>
      </c>
      <c r="BF123" s="116">
        <v>45377</v>
      </c>
      <c r="BG123" s="116">
        <v>45378</v>
      </c>
      <c r="BH123" s="116">
        <v>45379</v>
      </c>
      <c r="BI123" s="116">
        <v>45380</v>
      </c>
      <c r="BJ123" s="116">
        <v>45381</v>
      </c>
      <c r="BK123" s="119">
        <v>45382</v>
      </c>
      <c r="BL123" s="115">
        <v>45383</v>
      </c>
      <c r="BM123" s="116">
        <v>45384</v>
      </c>
      <c r="BN123" s="116">
        <v>45385</v>
      </c>
      <c r="BO123" s="116">
        <v>45386</v>
      </c>
      <c r="BP123" s="116">
        <v>45387</v>
      </c>
      <c r="BQ123" s="116">
        <v>45388</v>
      </c>
      <c r="BR123" s="119">
        <v>45389</v>
      </c>
      <c r="BS123" s="115">
        <v>45390</v>
      </c>
      <c r="BT123" s="116">
        <v>45391</v>
      </c>
      <c r="BU123" s="116">
        <v>45392</v>
      </c>
      <c r="BV123" s="116">
        <v>45393</v>
      </c>
      <c r="BW123" s="116">
        <v>45394</v>
      </c>
      <c r="BX123" s="116">
        <v>45395</v>
      </c>
      <c r="BY123" s="119">
        <v>45396</v>
      </c>
      <c r="BZ123" s="115">
        <v>45397</v>
      </c>
      <c r="CA123" s="116">
        <v>45398</v>
      </c>
      <c r="CB123" s="116">
        <v>45399</v>
      </c>
      <c r="CC123" s="116">
        <v>45400</v>
      </c>
      <c r="CD123" s="116">
        <v>45401</v>
      </c>
      <c r="CE123" s="116">
        <v>45402</v>
      </c>
      <c r="CF123" s="119">
        <v>45403</v>
      </c>
      <c r="CG123" s="115">
        <v>45404</v>
      </c>
      <c r="CH123" s="116">
        <v>45405</v>
      </c>
      <c r="CI123" s="117"/>
      <c r="CJ123" s="117"/>
      <c r="CK123" s="117"/>
      <c r="CL123" s="117"/>
      <c r="CM123" s="118"/>
      <c r="CN123" s="113" t="s">
        <v>34</v>
      </c>
    </row>
    <row r="124" spans="1:92" x14ac:dyDescent="0.3">
      <c r="A124" s="107">
        <v>42.940420387750855</v>
      </c>
      <c r="B124" s="101" t="s">
        <v>189</v>
      </c>
      <c r="C124" s="1">
        <v>2.0130699999999999</v>
      </c>
      <c r="D124" s="1">
        <v>31.355499999999999</v>
      </c>
      <c r="E124" s="1">
        <v>33.126300000000001</v>
      </c>
      <c r="F124" s="114">
        <v>33.505099999999999</v>
      </c>
      <c r="G124" s="124" t="s">
        <v>188</v>
      </c>
      <c r="H124" s="113">
        <f>G66/$A$124</f>
        <v>0</v>
      </c>
      <c r="I124" s="113">
        <f t="shared" ref="I124:BE124" si="72">H66/$A$124</f>
        <v>0</v>
      </c>
      <c r="J124" s="113">
        <f t="shared" si="72"/>
        <v>1.697060702758922</v>
      </c>
      <c r="K124" s="113">
        <f t="shared" si="72"/>
        <v>0.94450635633668367</v>
      </c>
      <c r="L124" s="113">
        <f t="shared" si="72"/>
        <v>0.94281797044419979</v>
      </c>
      <c r="M124" s="113">
        <f t="shared" si="72"/>
        <v>1.4929115602763612</v>
      </c>
      <c r="N124" s="113">
        <f t="shared" si="72"/>
        <v>2.3077615241109308</v>
      </c>
      <c r="O124" s="113">
        <f t="shared" si="72"/>
        <v>3.8027981218036939</v>
      </c>
      <c r="P124" s="113">
        <f t="shared" si="72"/>
        <v>4.1344786193719667</v>
      </c>
      <c r="Q124" s="113">
        <f t="shared" si="72"/>
        <v>3.7097913472091153</v>
      </c>
      <c r="R124" s="113">
        <f t="shared" si="72"/>
        <v>4.5701112897343679</v>
      </c>
      <c r="S124" s="113">
        <f t="shared" si="72"/>
        <v>4.8247548144428309</v>
      </c>
      <c r="T124" s="113">
        <f t="shared" si="72"/>
        <v>9.1415674661624031</v>
      </c>
      <c r="U124" s="113">
        <f t="shared" si="72"/>
        <v>9.165216512697814</v>
      </c>
      <c r="V124" s="113">
        <f t="shared" si="72"/>
        <v>5.6172773303543826</v>
      </c>
      <c r="W124" s="113">
        <f t="shared" si="72"/>
        <v>4.8893035537185794</v>
      </c>
      <c r="X124" s="113">
        <f t="shared" si="72"/>
        <v>3.7606874488370217</v>
      </c>
      <c r="Y124" s="113">
        <f t="shared" si="72"/>
        <v>3.9683996677547553</v>
      </c>
      <c r="Z124" s="113">
        <f t="shared" si="72"/>
        <v>3.3541823461301248</v>
      </c>
      <c r="AA124" s="113">
        <f t="shared" si="72"/>
        <v>3.3750251788718209</v>
      </c>
      <c r="AB124" s="113">
        <f t="shared" si="72"/>
        <v>2.753582730031424</v>
      </c>
      <c r="AC124" s="113">
        <f t="shared" si="72"/>
        <v>2.1208164516707475</v>
      </c>
      <c r="AD124" s="113">
        <f t="shared" si="72"/>
        <v>2.1427363581714416</v>
      </c>
      <c r="AE124" s="113">
        <f t="shared" si="72"/>
        <v>2.5175580263028334</v>
      </c>
      <c r="AF124" s="113">
        <f t="shared" si="72"/>
        <v>1.7351716477665031</v>
      </c>
      <c r="AG124" s="113">
        <f t="shared" si="72"/>
        <v>1.9659856433096694</v>
      </c>
      <c r="AH124" s="113">
        <f t="shared" si="72"/>
        <v>1.2649212445878661</v>
      </c>
      <c r="AI124" s="113">
        <f t="shared" si="72"/>
        <v>1.2974372280689759</v>
      </c>
      <c r="AJ124" s="113">
        <f t="shared" si="72"/>
        <v>2.5556456832291392</v>
      </c>
      <c r="AK124" s="113">
        <f t="shared" si="72"/>
        <v>1.1971179959538465</v>
      </c>
      <c r="AL124" s="113">
        <f t="shared" si="72"/>
        <v>0.61627831681752432</v>
      </c>
      <c r="AM124" s="113">
        <f t="shared" si="72"/>
        <v>0.56371711737840946</v>
      </c>
      <c r="AN124" s="113">
        <f t="shared" si="72"/>
        <v>0.44940174841662206</v>
      </c>
      <c r="AO124" s="113">
        <f t="shared" si="72"/>
        <v>0</v>
      </c>
      <c r="AP124" s="113">
        <f t="shared" si="72"/>
        <v>0</v>
      </c>
      <c r="AQ124" s="113">
        <f t="shared" si="72"/>
        <v>0</v>
      </c>
      <c r="AR124" s="113">
        <f t="shared" si="72"/>
        <v>0</v>
      </c>
      <c r="AS124" s="113">
        <f t="shared" si="72"/>
        <v>0</v>
      </c>
      <c r="AT124" s="113">
        <f t="shared" si="72"/>
        <v>0</v>
      </c>
      <c r="AU124" s="113">
        <f t="shared" si="72"/>
        <v>0</v>
      </c>
      <c r="AV124" s="113">
        <f t="shared" si="72"/>
        <v>0</v>
      </c>
      <c r="AW124" s="113">
        <f t="shared" si="72"/>
        <v>0</v>
      </c>
      <c r="AX124" s="113">
        <f t="shared" si="72"/>
        <v>0</v>
      </c>
      <c r="AY124" s="113">
        <f t="shared" si="72"/>
        <v>0</v>
      </c>
      <c r="AZ124" s="113">
        <f t="shared" si="72"/>
        <v>0</v>
      </c>
      <c r="BA124" s="113">
        <f t="shared" si="72"/>
        <v>0</v>
      </c>
      <c r="BB124" s="113">
        <f t="shared" si="72"/>
        <v>0</v>
      </c>
      <c r="BC124" s="113">
        <f t="shared" si="72"/>
        <v>0</v>
      </c>
      <c r="BD124" s="113">
        <f t="shared" si="72"/>
        <v>0</v>
      </c>
      <c r="BE124" s="113">
        <f t="shared" si="72"/>
        <v>0</v>
      </c>
      <c r="BF124" s="1"/>
      <c r="BG124" s="1"/>
      <c r="BH124" s="1"/>
      <c r="BI124" s="1"/>
      <c r="BJ124" s="1"/>
      <c r="BK124" s="114"/>
      <c r="BL124" s="113"/>
      <c r="BM124" s="1"/>
      <c r="BN124" s="1"/>
      <c r="BO124" s="1"/>
      <c r="BP124" s="1"/>
      <c r="BQ124" s="1"/>
      <c r="BR124" s="114"/>
      <c r="BS124" s="113"/>
      <c r="BT124" s="1"/>
      <c r="BU124" s="1"/>
      <c r="BV124" s="1"/>
      <c r="BW124" s="1"/>
      <c r="BX124" s="1"/>
      <c r="BY124" s="114"/>
      <c r="BZ124" s="113"/>
      <c r="CA124" s="1"/>
      <c r="CB124" s="1"/>
      <c r="CC124" s="1"/>
      <c r="CD124" s="1"/>
      <c r="CE124" s="1"/>
      <c r="CF124" s="114"/>
      <c r="CG124" s="113"/>
      <c r="CH124" s="1"/>
      <c r="CI124" s="1"/>
      <c r="CJ124" s="1"/>
      <c r="CK124" s="1"/>
      <c r="CL124" s="1"/>
      <c r="CM124" s="114"/>
      <c r="CN124" s="113">
        <f t="shared" si="26"/>
        <v>92.879022002720973</v>
      </c>
    </row>
    <row r="125" spans="1:92" x14ac:dyDescent="0.3">
      <c r="A125" s="107">
        <v>40.725158020389721</v>
      </c>
      <c r="B125" s="3">
        <v>21</v>
      </c>
      <c r="C125" s="1">
        <v>5.5069600000000003</v>
      </c>
      <c r="D125" s="1">
        <v>2.4822700000000002</v>
      </c>
      <c r="E125" s="1">
        <v>47.348799999999997</v>
      </c>
      <c r="F125" s="114">
        <v>44.661900000000003</v>
      </c>
      <c r="G125" s="124" t="s">
        <v>190</v>
      </c>
      <c r="H125" s="113">
        <f>G67/$A$125</f>
        <v>0</v>
      </c>
      <c r="I125" s="113">
        <f t="shared" ref="I125:BE125" si="73">H67/$A$125</f>
        <v>0</v>
      </c>
      <c r="J125" s="113">
        <f t="shared" si="73"/>
        <v>2.2008263284116847</v>
      </c>
      <c r="K125" s="113">
        <f t="shared" si="73"/>
        <v>1.7793914995668945</v>
      </c>
      <c r="L125" s="113">
        <f t="shared" si="73"/>
        <v>1.7793914995668945</v>
      </c>
      <c r="M125" s="113">
        <f t="shared" si="73"/>
        <v>1.732565407473029</v>
      </c>
      <c r="N125" s="113">
        <f t="shared" si="73"/>
        <v>1.4516088549098347</v>
      </c>
      <c r="O125" s="113">
        <f t="shared" si="73"/>
        <v>1.4984349470037004</v>
      </c>
      <c r="P125" s="113">
        <f t="shared" si="73"/>
        <v>1.9198697758484913</v>
      </c>
      <c r="Q125" s="113">
        <f t="shared" si="73"/>
        <v>2.7627394335380728</v>
      </c>
      <c r="R125" s="113">
        <f t="shared" si="73"/>
        <v>3.6524351833215203</v>
      </c>
      <c r="S125" s="113">
        <f t="shared" si="73"/>
        <v>4.354826564729505</v>
      </c>
      <c r="T125" s="113">
        <f t="shared" si="73"/>
        <v>4.6357831172926982</v>
      </c>
      <c r="U125" s="113">
        <f t="shared" si="73"/>
        <v>3.5119569070399232</v>
      </c>
      <c r="V125" s="113">
        <f t="shared" si="73"/>
        <v>3.9333917358847144</v>
      </c>
      <c r="W125" s="113">
        <f t="shared" si="73"/>
        <v>4.7762613935742957</v>
      </c>
      <c r="X125" s="113">
        <f t="shared" si="73"/>
        <v>5.4318266828884152</v>
      </c>
      <c r="Y125" s="113">
        <f t="shared" si="73"/>
        <v>5.6877250146955571</v>
      </c>
      <c r="Z125" s="113">
        <f t="shared" si="73"/>
        <v>5.5443369891149965</v>
      </c>
      <c r="AA125" s="113">
        <f t="shared" si="73"/>
        <v>5.9267050573298237</v>
      </c>
      <c r="AB125" s="113">
        <f t="shared" si="73"/>
        <v>5.6399290061687042</v>
      </c>
      <c r="AC125" s="113">
        <f t="shared" si="73"/>
        <v>3.5050569952001873</v>
      </c>
      <c r="AD125" s="113">
        <f t="shared" si="73"/>
        <v>3.4424666917144693</v>
      </c>
      <c r="AE125" s="113">
        <f t="shared" si="73"/>
        <v>4.7714977533717731</v>
      </c>
      <c r="AF125" s="113">
        <f t="shared" si="73"/>
        <v>5.2827296555187484</v>
      </c>
      <c r="AG125" s="113">
        <f t="shared" si="73"/>
        <v>4.6010871193227816</v>
      </c>
      <c r="AH125" s="113">
        <f t="shared" si="73"/>
        <v>4.3880738267615413</v>
      </c>
      <c r="AI125" s="113">
        <f t="shared" si="73"/>
        <v>4.3454711682492935</v>
      </c>
      <c r="AJ125" s="113">
        <f t="shared" si="73"/>
        <v>4.4306764852737892</v>
      </c>
      <c r="AK125" s="113">
        <f t="shared" si="73"/>
        <v>3.57862331502883</v>
      </c>
      <c r="AL125" s="113">
        <f t="shared" si="73"/>
        <v>3.2378020469308466</v>
      </c>
      <c r="AM125" s="113">
        <f t="shared" si="73"/>
        <v>3.2378020469308466</v>
      </c>
      <c r="AN125" s="113">
        <f t="shared" si="73"/>
        <v>3.2804047054430949</v>
      </c>
      <c r="AO125" s="113">
        <f t="shared" si="73"/>
        <v>3.57862331502883</v>
      </c>
      <c r="AP125" s="113">
        <f t="shared" si="73"/>
        <v>3.1099940713941026</v>
      </c>
      <c r="AQ125" s="113">
        <f t="shared" si="73"/>
        <v>3.0247887543696068</v>
      </c>
      <c r="AR125" s="113">
        <f t="shared" si="73"/>
        <v>2.3005435596613908</v>
      </c>
      <c r="AS125" s="113">
        <f t="shared" si="73"/>
        <v>2.1301329256123989</v>
      </c>
      <c r="AT125" s="113">
        <f t="shared" si="73"/>
        <v>2.0449276085879027</v>
      </c>
      <c r="AU125" s="113">
        <f t="shared" si="73"/>
        <v>1.9171196330511588</v>
      </c>
      <c r="AV125" s="113">
        <f t="shared" si="73"/>
        <v>2.0023249500756553</v>
      </c>
      <c r="AW125" s="113">
        <f t="shared" si="73"/>
        <v>1.789311657514415</v>
      </c>
      <c r="AX125" s="113">
        <f t="shared" si="73"/>
        <v>2.0449276085879027</v>
      </c>
      <c r="AY125" s="113">
        <f t="shared" si="73"/>
        <v>2.0023249500756553</v>
      </c>
      <c r="AZ125" s="113">
        <f t="shared" si="73"/>
        <v>1.704106340489919</v>
      </c>
      <c r="BA125" s="113">
        <f t="shared" si="73"/>
        <v>1.0224638042939513</v>
      </c>
      <c r="BB125" s="113">
        <f t="shared" si="73"/>
        <v>1.1502717798306954</v>
      </c>
      <c r="BC125" s="113">
        <f t="shared" si="73"/>
        <v>1.0650664628061994</v>
      </c>
      <c r="BD125" s="113">
        <f t="shared" si="73"/>
        <v>0</v>
      </c>
      <c r="BE125" s="113">
        <f t="shared" si="73"/>
        <v>0</v>
      </c>
      <c r="BF125" s="1"/>
      <c r="BG125" s="1"/>
      <c r="BH125" s="1"/>
      <c r="BI125" s="1"/>
      <c r="BJ125" s="1"/>
      <c r="BK125" s="114"/>
      <c r="BL125" s="113"/>
      <c r="BM125" s="1"/>
      <c r="BN125" s="1"/>
      <c r="BO125" s="1"/>
      <c r="BP125" s="1"/>
      <c r="BQ125" s="1"/>
      <c r="BR125" s="114"/>
      <c r="BS125" s="113"/>
      <c r="BT125" s="1"/>
      <c r="BU125" s="1"/>
      <c r="BV125" s="1"/>
      <c r="BW125" s="1"/>
      <c r="BX125" s="1"/>
      <c r="BY125" s="114"/>
      <c r="BZ125" s="113"/>
      <c r="CA125" s="1"/>
      <c r="CB125" s="1"/>
      <c r="CC125" s="1"/>
      <c r="CD125" s="1"/>
      <c r="CE125" s="1"/>
      <c r="CF125" s="114"/>
      <c r="CG125" s="113"/>
      <c r="CH125" s="1"/>
      <c r="CI125" s="1"/>
      <c r="CJ125" s="1"/>
      <c r="CK125" s="1"/>
      <c r="CL125" s="1"/>
      <c r="CM125" s="114"/>
      <c r="CN125" s="113">
        <f t="shared" si="26"/>
        <v>147.20862462948475</v>
      </c>
    </row>
    <row r="126" spans="1:92" x14ac:dyDescent="0.3">
      <c r="A126" s="107">
        <v>41.1994063894305</v>
      </c>
      <c r="B126" s="129" t="s">
        <v>191</v>
      </c>
      <c r="C126" s="1">
        <v>32.387099999999997</v>
      </c>
      <c r="D126" s="1">
        <v>32.2241</v>
      </c>
      <c r="E126" s="1">
        <v>33.130400000000002</v>
      </c>
      <c r="F126" s="114">
        <v>2.2583199999999999</v>
      </c>
      <c r="G126" s="124" t="s">
        <v>192</v>
      </c>
      <c r="H126" s="113">
        <f>G70/$A$126</f>
        <v>0</v>
      </c>
      <c r="I126" s="113">
        <f t="shared" ref="I126:BT126" si="74">H70/$A$126</f>
        <v>0</v>
      </c>
      <c r="J126" s="113">
        <f t="shared" si="74"/>
        <v>2.3980928042047382E-2</v>
      </c>
      <c r="K126" s="113">
        <f t="shared" si="74"/>
        <v>1.7449765979745651</v>
      </c>
      <c r="L126" s="113">
        <f t="shared" si="74"/>
        <v>1.864687060629806</v>
      </c>
      <c r="M126" s="113">
        <f t="shared" si="74"/>
        <v>2.1041079859402876</v>
      </c>
      <c r="N126" s="113">
        <f t="shared" si="74"/>
        <v>2.1129430646926206</v>
      </c>
      <c r="O126" s="113">
        <f t="shared" si="74"/>
        <v>2.7547969727330064</v>
      </c>
      <c r="P126" s="113">
        <f t="shared" si="74"/>
        <v>2.6033384798358643</v>
      </c>
      <c r="Q126" s="113">
        <f t="shared" si="74"/>
        <v>2.6738249322995342</v>
      </c>
      <c r="R126" s="113">
        <f t="shared" si="74"/>
        <v>3.0722772751520138</v>
      </c>
      <c r="S126" s="113">
        <f t="shared" si="74"/>
        <v>3.4717005057794759</v>
      </c>
      <c r="T126" s="113">
        <f t="shared" si="74"/>
        <v>4.073359659935619</v>
      </c>
      <c r="U126" s="113">
        <f t="shared" si="74"/>
        <v>3.0181017373080365</v>
      </c>
      <c r="V126" s="113">
        <f t="shared" si="74"/>
        <v>2.834409770281503</v>
      </c>
      <c r="W126" s="113">
        <f t="shared" si="74"/>
        <v>6.25438622984883</v>
      </c>
      <c r="X126" s="113">
        <f t="shared" si="74"/>
        <v>7.4735664171848812</v>
      </c>
      <c r="Y126" s="113">
        <f t="shared" si="74"/>
        <v>8.8315471480517509</v>
      </c>
      <c r="Z126" s="113">
        <f t="shared" si="74"/>
        <v>7.8477526337114138</v>
      </c>
      <c r="AA126" s="113">
        <f t="shared" si="74"/>
        <v>4.1855578784319389</v>
      </c>
      <c r="AB126" s="113">
        <f t="shared" si="74"/>
        <v>4.1003260678857352</v>
      </c>
      <c r="AC126" s="113">
        <f t="shared" si="74"/>
        <v>3.5945906258977804</v>
      </c>
      <c r="AD126" s="113">
        <f t="shared" si="74"/>
        <v>6.7498788058107273</v>
      </c>
      <c r="AE126" s="113">
        <f t="shared" si="74"/>
        <v>3.0966951026928027</v>
      </c>
      <c r="AF126" s="113">
        <f t="shared" si="74"/>
        <v>2.3140139228913252</v>
      </c>
      <c r="AG126" s="113">
        <f t="shared" si="74"/>
        <v>1.5313327430898476</v>
      </c>
      <c r="AH126" s="113">
        <f t="shared" si="74"/>
        <v>2.2459546898651093</v>
      </c>
      <c r="AI126" s="113">
        <f t="shared" si="74"/>
        <v>1.4292438935505243</v>
      </c>
      <c r="AJ126" s="113">
        <f t="shared" si="74"/>
        <v>1.1910365779587704</v>
      </c>
      <c r="AK126" s="113">
        <f t="shared" si="74"/>
        <v>0.78268117980147767</v>
      </c>
      <c r="AL126" s="113">
        <f t="shared" si="74"/>
        <v>1.1899321931147286</v>
      </c>
      <c r="AM126" s="113">
        <f t="shared" si="74"/>
        <v>1.1332687553473606</v>
      </c>
      <c r="AN126" s="113">
        <f t="shared" si="74"/>
        <v>1.1899321931147286</v>
      </c>
      <c r="AO126" s="113">
        <f t="shared" si="74"/>
        <v>1.0766053175799926</v>
      </c>
      <c r="AP126" s="113">
        <f t="shared" si="74"/>
        <v>1.1332687553473606</v>
      </c>
      <c r="AQ126" s="113">
        <f t="shared" si="74"/>
        <v>1.1899321931147286</v>
      </c>
      <c r="AR126" s="113">
        <f t="shared" si="74"/>
        <v>2.2098740729273532</v>
      </c>
      <c r="AS126" s="113">
        <f t="shared" si="74"/>
        <v>1.3032590686494645</v>
      </c>
      <c r="AT126" s="113">
        <f t="shared" si="74"/>
        <v>0.56510522942808405</v>
      </c>
      <c r="AU126" s="113">
        <f t="shared" si="74"/>
        <v>0.58528755905051577</v>
      </c>
      <c r="AV126" s="113">
        <f t="shared" si="74"/>
        <v>0.68619920716267369</v>
      </c>
      <c r="AW126" s="113">
        <f t="shared" si="74"/>
        <v>0.4440112516934947</v>
      </c>
      <c r="AX126" s="113">
        <f t="shared" si="74"/>
        <v>0.66601687754024208</v>
      </c>
      <c r="AY126" s="113">
        <f t="shared" si="74"/>
        <v>0.68619920716267369</v>
      </c>
      <c r="AZ126" s="113">
        <f t="shared" si="74"/>
        <v>0.4440112516934947</v>
      </c>
      <c r="BA126" s="113">
        <f t="shared" si="74"/>
        <v>0.68619920716267369</v>
      </c>
      <c r="BB126" s="113">
        <f t="shared" si="74"/>
        <v>1.694077806371151</v>
      </c>
      <c r="BC126" s="113">
        <f t="shared" si="74"/>
        <v>1.694077806371151</v>
      </c>
      <c r="BD126" s="113">
        <f t="shared" si="74"/>
        <v>1.5246700257340358</v>
      </c>
      <c r="BE126" s="113">
        <f t="shared" si="74"/>
        <v>1.9764241074330093</v>
      </c>
      <c r="BF126" s="113">
        <f t="shared" si="74"/>
        <v>2.3717089289196114</v>
      </c>
      <c r="BG126" s="113">
        <f t="shared" si="74"/>
        <v>2.2023011482824963</v>
      </c>
      <c r="BH126" s="113">
        <f t="shared" si="74"/>
        <v>1.1839612332985912</v>
      </c>
      <c r="BI126" s="113">
        <f t="shared" si="74"/>
        <v>1.5658842117820078</v>
      </c>
      <c r="BJ126" s="113">
        <f t="shared" si="74"/>
        <v>1.0693843397535663</v>
      </c>
      <c r="BK126" s="113">
        <f t="shared" si="74"/>
        <v>1.6804611053270329</v>
      </c>
      <c r="BL126" s="113">
        <f t="shared" si="74"/>
        <v>1.0992027305426912</v>
      </c>
      <c r="BM126" s="113">
        <f t="shared" si="74"/>
        <v>1.0992027305426912</v>
      </c>
      <c r="BN126" s="113">
        <f t="shared" si="74"/>
        <v>1.1515457177113908</v>
      </c>
      <c r="BO126" s="113">
        <f t="shared" si="74"/>
        <v>1.2038887048800904</v>
      </c>
      <c r="BP126" s="113">
        <f t="shared" si="74"/>
        <v>0.83748779469919321</v>
      </c>
      <c r="BQ126" s="113">
        <f t="shared" si="74"/>
        <v>0.88983078186789277</v>
      </c>
      <c r="BR126" s="113">
        <f t="shared" si="74"/>
        <v>1.0468597433739917</v>
      </c>
      <c r="BS126" s="113">
        <f t="shared" si="74"/>
        <v>0.68045883319309453</v>
      </c>
      <c r="BT126" s="113">
        <f t="shared" si="74"/>
        <v>0.5757728588556954</v>
      </c>
      <c r="BU126" s="113">
        <f>BT70/$A$126</f>
        <v>0.62811584602439496</v>
      </c>
      <c r="BV126" s="113">
        <f>BU70/$A$126</f>
        <v>0</v>
      </c>
      <c r="BW126" s="113">
        <f>BV70/$A$126</f>
        <v>0</v>
      </c>
      <c r="BX126" s="1"/>
      <c r="BY126" s="114"/>
      <c r="BZ126" s="113"/>
      <c r="CA126" s="1"/>
      <c r="CB126" s="1"/>
      <c r="CC126" s="1"/>
      <c r="CD126" s="1"/>
      <c r="CE126" s="1"/>
      <c r="CF126" s="114"/>
      <c r="CG126" s="113"/>
      <c r="CH126" s="1"/>
      <c r="CI126" s="1"/>
      <c r="CJ126" s="1"/>
      <c r="CK126" s="1"/>
      <c r="CL126" s="1"/>
      <c r="CM126" s="114"/>
      <c r="CN126" s="113">
        <f t="shared" si="26"/>
        <v>135.34548768233063</v>
      </c>
    </row>
    <row r="127" spans="1:92" x14ac:dyDescent="0.3">
      <c r="A127" s="107">
        <v>42.952740986715007</v>
      </c>
      <c r="B127" s="78" t="s">
        <v>193</v>
      </c>
      <c r="C127" s="1">
        <v>33.091999999999999</v>
      </c>
      <c r="D127" s="1">
        <v>33.281999999999996</v>
      </c>
      <c r="E127" s="1">
        <v>1.8381700000000001</v>
      </c>
      <c r="F127" s="114">
        <v>31.787800000000001</v>
      </c>
      <c r="G127" s="124" t="s">
        <v>194</v>
      </c>
      <c r="H127" s="113">
        <f>G73/$A$127</f>
        <v>0</v>
      </c>
      <c r="I127" s="113">
        <f t="shared" ref="I127:BT127" si="75">H73/$A$127</f>
        <v>0</v>
      </c>
      <c r="J127" s="113">
        <f t="shared" si="75"/>
        <v>2.6350821251432373</v>
      </c>
      <c r="K127" s="113">
        <f t="shared" si="75"/>
        <v>3.0090105318301963</v>
      </c>
      <c r="L127" s="113">
        <f t="shared" si="75"/>
        <v>5.5854642681407194</v>
      </c>
      <c r="M127" s="113">
        <f t="shared" si="75"/>
        <v>6.5495761978731712</v>
      </c>
      <c r="N127" s="113">
        <f t="shared" si="75"/>
        <v>6.2507186696895722</v>
      </c>
      <c r="O127" s="113">
        <f t="shared" si="75"/>
        <v>6.2940220761142127</v>
      </c>
      <c r="P127" s="113">
        <f t="shared" si="75"/>
        <v>8.16370485200129</v>
      </c>
      <c r="Q127" s="113">
        <f t="shared" si="75"/>
        <v>4.3022865538931701</v>
      </c>
      <c r="R127" s="113">
        <f t="shared" si="75"/>
        <v>7.4841207479500902</v>
      </c>
      <c r="S127" s="113">
        <f t="shared" si="75"/>
        <v>7.147186487934504</v>
      </c>
      <c r="T127" s="113">
        <f t="shared" si="75"/>
        <v>7.3792729571794631</v>
      </c>
      <c r="U127" s="113">
        <f t="shared" si="75"/>
        <v>2.8505864163097301</v>
      </c>
      <c r="V127" s="113">
        <f t="shared" si="75"/>
        <v>2.2623701716743891</v>
      </c>
      <c r="W127" s="113">
        <f t="shared" si="75"/>
        <v>6.9355992925373346</v>
      </c>
      <c r="X127" s="113">
        <f t="shared" si="75"/>
        <v>6.2015425297861073</v>
      </c>
      <c r="Y127" s="113">
        <f t="shared" si="75"/>
        <v>5.0971485164989945</v>
      </c>
      <c r="Z127" s="113">
        <f t="shared" si="75"/>
        <v>5.1949129409230101</v>
      </c>
      <c r="AA127" s="113">
        <f t="shared" si="75"/>
        <v>7.0049604073709952</v>
      </c>
      <c r="AB127" s="113">
        <f t="shared" si="75"/>
        <v>7.3509802342453003</v>
      </c>
      <c r="AC127" s="113">
        <f t="shared" si="75"/>
        <v>6.6641788957899939</v>
      </c>
      <c r="AD127" s="113">
        <f t="shared" si="75"/>
        <v>6.7072087457493161</v>
      </c>
      <c r="AE127" s="113">
        <f t="shared" si="75"/>
        <v>6.1858683263584791</v>
      </c>
      <c r="AF127" s="113">
        <f t="shared" si="75"/>
        <v>4.7684093097422648</v>
      </c>
      <c r="AG127" s="113">
        <f t="shared" si="75"/>
        <v>4.0377050687787515</v>
      </c>
      <c r="AH127" s="113">
        <f t="shared" si="75"/>
        <v>4.8976501887287069</v>
      </c>
      <c r="AI127" s="113">
        <f t="shared" si="75"/>
        <v>3.8118929371851027</v>
      </c>
      <c r="AJ127" s="113">
        <f t="shared" si="75"/>
        <v>3.4029376622369223</v>
      </c>
      <c r="AK127" s="113">
        <f t="shared" si="75"/>
        <v>2.6315258910941171</v>
      </c>
      <c r="AL127" s="113">
        <f t="shared" si="75"/>
        <v>2.3090435609377207</v>
      </c>
      <c r="AM127" s="113">
        <f t="shared" si="75"/>
        <v>2.3864192981701349</v>
      </c>
      <c r="AN127" s="113">
        <f t="shared" si="75"/>
        <v>2.618546509867377</v>
      </c>
      <c r="AO127" s="113">
        <f t="shared" si="75"/>
        <v>2.5086128969819859</v>
      </c>
      <c r="AP127" s="113">
        <f t="shared" si="75"/>
        <v>2.4996600341106983</v>
      </c>
      <c r="AQ127" s="113">
        <f t="shared" si="75"/>
        <v>2.5752140016911076</v>
      </c>
      <c r="AR127" s="113">
        <f t="shared" si="75"/>
        <v>2.7033199123639999</v>
      </c>
      <c r="AS127" s="113">
        <f t="shared" si="75"/>
        <v>1.8708782758440168</v>
      </c>
      <c r="AT127" s="113">
        <f t="shared" si="75"/>
        <v>3.3660424615210909</v>
      </c>
      <c r="AU127" s="113">
        <f t="shared" si="75"/>
        <v>1.7920218414886957</v>
      </c>
      <c r="AV127" s="113">
        <f t="shared" si="75"/>
        <v>3.3817737043819123</v>
      </c>
      <c r="AW127" s="113">
        <f t="shared" si="75"/>
        <v>3.9809624734516253</v>
      </c>
      <c r="AX127" s="113">
        <f t="shared" si="75"/>
        <v>4.7200561673748807</v>
      </c>
      <c r="AY127" s="113">
        <f t="shared" si="75"/>
        <v>2.6016558532216369</v>
      </c>
      <c r="AZ127" s="113">
        <f t="shared" si="75"/>
        <v>1.296367792156087</v>
      </c>
      <c r="BA127" s="113">
        <f t="shared" si="75"/>
        <v>2.1694738882629507</v>
      </c>
      <c r="BB127" s="113">
        <f t="shared" si="75"/>
        <v>2.9118933303624206</v>
      </c>
      <c r="BC127" s="113">
        <f t="shared" si="75"/>
        <v>3.2714093855724053</v>
      </c>
      <c r="BD127" s="113">
        <f t="shared" si="75"/>
        <v>2.3993404758936161</v>
      </c>
      <c r="BE127" s="113">
        <f t="shared" si="75"/>
        <v>2.6813131677818003</v>
      </c>
      <c r="BF127" s="113">
        <f t="shared" si="75"/>
        <v>2.9553410814751424</v>
      </c>
      <c r="BG127" s="113">
        <f t="shared" si="75"/>
        <v>3.8496844718511225</v>
      </c>
      <c r="BH127" s="113">
        <f t="shared" si="75"/>
        <v>2.5682877848032954</v>
      </c>
      <c r="BI127" s="113">
        <f t="shared" si="75"/>
        <v>2.7998329614679482</v>
      </c>
      <c r="BJ127" s="113">
        <f t="shared" si="75"/>
        <v>1.6725707917504051</v>
      </c>
      <c r="BK127" s="113">
        <f t="shared" si="75"/>
        <v>2.7981159581218105</v>
      </c>
      <c r="BL127" s="113">
        <f t="shared" si="75"/>
        <v>1.439052516325275</v>
      </c>
      <c r="BM127" s="113">
        <f t="shared" si="75"/>
        <v>1.2606645991869978</v>
      </c>
      <c r="BN127" s="113">
        <f t="shared" si="75"/>
        <v>1.6248672004793909</v>
      </c>
      <c r="BO127" s="113">
        <f t="shared" si="75"/>
        <v>0</v>
      </c>
      <c r="BP127" s="113">
        <f t="shared" si="75"/>
        <v>0</v>
      </c>
      <c r="BQ127" s="113">
        <f t="shared" si="75"/>
        <v>0</v>
      </c>
      <c r="BR127" s="113">
        <f t="shared" si="75"/>
        <v>0</v>
      </c>
      <c r="BS127" s="113">
        <f t="shared" si="75"/>
        <v>0</v>
      </c>
      <c r="BT127" s="113">
        <f t="shared" si="75"/>
        <v>0</v>
      </c>
      <c r="BU127" s="113">
        <f t="shared" ref="BU127:CB127" si="76">BT73/$A$127</f>
        <v>0</v>
      </c>
      <c r="BV127" s="113">
        <f t="shared" si="76"/>
        <v>0</v>
      </c>
      <c r="BW127" s="113">
        <f t="shared" si="76"/>
        <v>0</v>
      </c>
      <c r="BX127" s="113">
        <f t="shared" si="76"/>
        <v>0</v>
      </c>
      <c r="BY127" s="113">
        <f t="shared" si="76"/>
        <v>0</v>
      </c>
      <c r="BZ127" s="113">
        <f t="shared" si="76"/>
        <v>0</v>
      </c>
      <c r="CA127" s="113">
        <f t="shared" si="76"/>
        <v>0</v>
      </c>
      <c r="CB127" s="113">
        <f t="shared" si="76"/>
        <v>0</v>
      </c>
      <c r="CC127" s="1"/>
      <c r="CD127" s="1"/>
      <c r="CE127" s="1"/>
      <c r="CF127" s="114"/>
      <c r="CG127" s="113"/>
      <c r="CH127" s="1"/>
      <c r="CI127" s="1"/>
      <c r="CJ127" s="1"/>
      <c r="CK127" s="1"/>
      <c r="CL127" s="1"/>
      <c r="CM127" s="114"/>
      <c r="CN127" s="113">
        <f t="shared" si="26"/>
        <v>225.81834539965669</v>
      </c>
    </row>
    <row r="128" spans="1:92" x14ac:dyDescent="0.3">
      <c r="A128" s="107">
        <v>42.724146175015932</v>
      </c>
      <c r="B128" s="85" t="s">
        <v>195</v>
      </c>
      <c r="C128" s="1">
        <v>33.561</v>
      </c>
      <c r="D128" s="1">
        <v>1.4806999999999999</v>
      </c>
      <c r="E128" s="1">
        <v>32.657699999999998</v>
      </c>
      <c r="F128" s="114">
        <v>32.300600000000003</v>
      </c>
      <c r="G128" s="124" t="s">
        <v>196</v>
      </c>
      <c r="H128" s="113">
        <f>G76/$A$128</f>
        <v>0</v>
      </c>
      <c r="I128" s="113">
        <f t="shared" ref="I128:BE128" si="77">H76/$A$128</f>
        <v>0</v>
      </c>
      <c r="J128" s="113">
        <f t="shared" si="77"/>
        <v>0.51287157173929954</v>
      </c>
      <c r="K128" s="113">
        <f t="shared" si="77"/>
        <v>0</v>
      </c>
      <c r="L128" s="113">
        <f t="shared" si="77"/>
        <v>0.22687404823243107</v>
      </c>
      <c r="M128" s="113">
        <f t="shared" si="77"/>
        <v>0.24728405236517426</v>
      </c>
      <c r="N128" s="113">
        <f t="shared" si="77"/>
        <v>0.36862644218762153</v>
      </c>
      <c r="O128" s="113">
        <f t="shared" si="77"/>
        <v>0.22438131263594355</v>
      </c>
      <c r="P128" s="113">
        <f t="shared" si="77"/>
        <v>0.23506613704717894</v>
      </c>
      <c r="Q128" s="113">
        <f t="shared" si="77"/>
        <v>0.23506613704717894</v>
      </c>
      <c r="R128" s="113">
        <f t="shared" si="77"/>
        <v>0.24575096145841435</v>
      </c>
      <c r="S128" s="113">
        <f t="shared" si="77"/>
        <v>0.5293142642889006</v>
      </c>
      <c r="T128" s="113">
        <f t="shared" si="77"/>
        <v>1.3294882422534176</v>
      </c>
      <c r="U128" s="113">
        <f t="shared" si="77"/>
        <v>0.39533850321571007</v>
      </c>
      <c r="V128" s="113">
        <f t="shared" si="77"/>
        <v>1.7966538098984346</v>
      </c>
      <c r="W128" s="113">
        <f t="shared" si="77"/>
        <v>0.74632269699157106</v>
      </c>
      <c r="X128" s="113">
        <f t="shared" si="77"/>
        <v>1.9374699651319391</v>
      </c>
      <c r="Y128" s="113">
        <f t="shared" si="77"/>
        <v>1.4650380546774417</v>
      </c>
      <c r="Z128" s="113">
        <f t="shared" si="77"/>
        <v>1.4198996453081811</v>
      </c>
      <c r="AA128" s="113">
        <f t="shared" si="77"/>
        <v>1.5590247193506417</v>
      </c>
      <c r="AB128" s="113">
        <f t="shared" si="77"/>
        <v>1.9045436195886638</v>
      </c>
      <c r="AC128" s="113">
        <f t="shared" si="77"/>
        <v>1.9260185952673239</v>
      </c>
      <c r="AD128" s="113">
        <f t="shared" si="77"/>
        <v>1.9878513113426386</v>
      </c>
      <c r="AE128" s="113">
        <f t="shared" si="77"/>
        <v>2.0288117554163776</v>
      </c>
      <c r="AF128" s="113">
        <f t="shared" si="77"/>
        <v>1.5782117616531832</v>
      </c>
      <c r="AG128" s="113">
        <f t="shared" si="77"/>
        <v>1.7503451021270668</v>
      </c>
      <c r="AH128" s="113">
        <f t="shared" si="77"/>
        <v>1.2609263103659885</v>
      </c>
      <c r="AI128" s="113">
        <f t="shared" si="77"/>
        <v>1.3477624518023157</v>
      </c>
      <c r="AJ128" s="113">
        <f t="shared" si="77"/>
        <v>1.3693427543371659</v>
      </c>
      <c r="AK128" s="113">
        <f t="shared" si="77"/>
        <v>0.75699581841878527</v>
      </c>
      <c r="AL128" s="113">
        <f t="shared" si="77"/>
        <v>0.50507153288925744</v>
      </c>
      <c r="AM128" s="113">
        <f t="shared" si="77"/>
        <v>0.47192868214159178</v>
      </c>
      <c r="AN128" s="113">
        <f t="shared" si="77"/>
        <v>0.60294943974946258</v>
      </c>
      <c r="AO128" s="113">
        <f t="shared" si="77"/>
        <v>0.52403036700338812</v>
      </c>
      <c r="AP128" s="113">
        <f t="shared" si="77"/>
        <v>0.46168271963114654</v>
      </c>
      <c r="AQ128" s="113">
        <f t="shared" si="77"/>
        <v>0.35355885026049594</v>
      </c>
      <c r="AR128" s="113">
        <f t="shared" si="77"/>
        <v>0.38276364688507203</v>
      </c>
      <c r="AS128" s="113">
        <f t="shared" si="77"/>
        <v>0.31963189958341887</v>
      </c>
      <c r="AT128" s="113">
        <f t="shared" si="77"/>
        <v>0.11758573195168426</v>
      </c>
      <c r="AU128" s="113">
        <f t="shared" si="77"/>
        <v>0.14205082004772765</v>
      </c>
      <c r="AV128" s="113">
        <f t="shared" si="77"/>
        <v>0.25896363041820047</v>
      </c>
      <c r="AW128" s="113">
        <f t="shared" si="77"/>
        <v>0.12948181520910024</v>
      </c>
      <c r="AX128" s="113">
        <f t="shared" si="77"/>
        <v>0</v>
      </c>
      <c r="AY128" s="113">
        <f t="shared" si="77"/>
        <v>0</v>
      </c>
      <c r="AZ128" s="113">
        <f t="shared" si="77"/>
        <v>0</v>
      </c>
      <c r="BA128" s="113">
        <f t="shared" si="77"/>
        <v>0</v>
      </c>
      <c r="BB128" s="113">
        <f t="shared" si="77"/>
        <v>0</v>
      </c>
      <c r="BC128" s="113">
        <f t="shared" si="77"/>
        <v>0</v>
      </c>
      <c r="BD128" s="113">
        <f t="shared" si="77"/>
        <v>0</v>
      </c>
      <c r="BE128" s="113">
        <f t="shared" si="77"/>
        <v>0</v>
      </c>
      <c r="BF128" s="1"/>
      <c r="BG128" s="1"/>
      <c r="BH128" s="1"/>
      <c r="BI128" s="1"/>
      <c r="BJ128" s="1"/>
      <c r="BK128" s="114"/>
      <c r="BL128" s="113"/>
      <c r="BM128" s="1"/>
      <c r="BN128" s="1"/>
      <c r="BO128" s="1"/>
      <c r="BP128" s="1"/>
      <c r="BQ128" s="1"/>
      <c r="BR128" s="114"/>
      <c r="BS128" s="113"/>
      <c r="BT128" s="1"/>
      <c r="BU128" s="1"/>
      <c r="BV128" s="1"/>
      <c r="BW128" s="1"/>
      <c r="BX128" s="1"/>
      <c r="BY128" s="114"/>
      <c r="BZ128" s="113"/>
      <c r="CA128" s="1"/>
      <c r="CB128" s="1"/>
      <c r="CC128" s="1"/>
      <c r="CD128" s="1"/>
      <c r="CE128" s="1"/>
      <c r="CF128" s="114"/>
      <c r="CG128" s="113"/>
      <c r="CH128" s="1"/>
      <c r="CI128" s="1"/>
      <c r="CJ128" s="1"/>
      <c r="CK128" s="1"/>
      <c r="CL128" s="1"/>
      <c r="CM128" s="114"/>
      <c r="CN128" s="113">
        <f t="shared" si="26"/>
        <v>33.654979179919529</v>
      </c>
    </row>
  </sheetData>
  <mergeCells count="24">
    <mergeCell ref="CG88:CM88"/>
    <mergeCell ref="H88:N88"/>
    <mergeCell ref="O88:U88"/>
    <mergeCell ref="V88:AB88"/>
    <mergeCell ref="AC88:AI88"/>
    <mergeCell ref="AJ88:AP88"/>
    <mergeCell ref="AQ88:AW88"/>
    <mergeCell ref="AX88:BD88"/>
    <mergeCell ref="BE88:BK88"/>
    <mergeCell ref="BL88:BR88"/>
    <mergeCell ref="BS88:BY88"/>
    <mergeCell ref="BZ88:CF88"/>
    <mergeCell ref="CF2:CL2"/>
    <mergeCell ref="G2:M2"/>
    <mergeCell ref="N2:T2"/>
    <mergeCell ref="U2:AA2"/>
    <mergeCell ref="AB2:AH2"/>
    <mergeCell ref="AI2:AO2"/>
    <mergeCell ref="AP2:AV2"/>
    <mergeCell ref="AW2:BC2"/>
    <mergeCell ref="BD2:BJ2"/>
    <mergeCell ref="BK2:BQ2"/>
    <mergeCell ref="BR2:BX2"/>
    <mergeCell ref="BY2:CE2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90F1-05C2-4892-B8B5-DE265835598C}">
  <dimension ref="A1:CM33"/>
  <sheetViews>
    <sheetView zoomScale="80" zoomScaleNormal="80" workbookViewId="0">
      <selection activeCell="G34" sqref="G34"/>
    </sheetView>
  </sheetViews>
  <sheetFormatPr baseColWidth="10" defaultRowHeight="14.4" x14ac:dyDescent="0.3"/>
  <cols>
    <col min="1" max="5" width="11.5546875" style="202"/>
    <col min="6" max="6" width="16.5546875" style="202" customWidth="1"/>
    <col min="7" max="16384" width="11.5546875" style="202"/>
  </cols>
  <sheetData>
    <row r="1" spans="1:91" x14ac:dyDescent="0.3">
      <c r="G1" s="202" t="s">
        <v>92</v>
      </c>
      <c r="I1" s="22" t="s">
        <v>294</v>
      </c>
    </row>
    <row r="2" spans="1:91" ht="15" thickBot="1" x14ac:dyDescent="0.35">
      <c r="A2" s="22" t="s">
        <v>293</v>
      </c>
      <c r="F2" s="120"/>
      <c r="G2" s="242" t="s">
        <v>60</v>
      </c>
      <c r="H2" s="243"/>
      <c r="I2" s="243"/>
      <c r="J2" s="243"/>
      <c r="K2" s="243"/>
      <c r="L2" s="243"/>
      <c r="M2" s="244"/>
      <c r="N2" s="242" t="s">
        <v>61</v>
      </c>
      <c r="O2" s="243"/>
      <c r="P2" s="243"/>
      <c r="Q2" s="243"/>
      <c r="R2" s="243"/>
      <c r="S2" s="243"/>
      <c r="T2" s="244"/>
      <c r="U2" s="242" t="s">
        <v>62</v>
      </c>
      <c r="V2" s="243"/>
      <c r="W2" s="243"/>
      <c r="X2" s="243"/>
      <c r="Y2" s="243"/>
      <c r="Z2" s="243"/>
      <c r="AA2" s="244"/>
      <c r="AB2" s="242" t="s">
        <v>63</v>
      </c>
      <c r="AC2" s="243"/>
      <c r="AD2" s="243"/>
      <c r="AE2" s="243"/>
      <c r="AF2" s="243"/>
      <c r="AG2" s="243"/>
      <c r="AH2" s="244"/>
      <c r="AI2" s="242" t="s">
        <v>64</v>
      </c>
      <c r="AJ2" s="243"/>
      <c r="AK2" s="243"/>
      <c r="AL2" s="243"/>
      <c r="AM2" s="243"/>
      <c r="AN2" s="243"/>
      <c r="AO2" s="244"/>
      <c r="AP2" s="242" t="s">
        <v>65</v>
      </c>
      <c r="AQ2" s="243"/>
      <c r="AR2" s="243"/>
      <c r="AS2" s="243"/>
      <c r="AT2" s="243"/>
      <c r="AU2" s="243"/>
      <c r="AV2" s="244"/>
      <c r="AW2" s="242" t="s">
        <v>86</v>
      </c>
      <c r="AX2" s="243"/>
      <c r="AY2" s="243"/>
      <c r="AZ2" s="243"/>
      <c r="BA2" s="243"/>
      <c r="BB2" s="243"/>
      <c r="BC2" s="244"/>
      <c r="BD2" s="242" t="s">
        <v>87</v>
      </c>
      <c r="BE2" s="243"/>
      <c r="BF2" s="243"/>
      <c r="BG2" s="243"/>
      <c r="BH2" s="243"/>
      <c r="BI2" s="243"/>
      <c r="BJ2" s="244"/>
      <c r="BK2" s="242" t="s">
        <v>93</v>
      </c>
      <c r="BL2" s="243"/>
      <c r="BM2" s="243"/>
      <c r="BN2" s="243"/>
      <c r="BO2" s="243"/>
      <c r="BP2" s="243"/>
      <c r="BQ2" s="244"/>
      <c r="BR2" s="242" t="s">
        <v>95</v>
      </c>
      <c r="BS2" s="243"/>
      <c r="BT2" s="243"/>
      <c r="BU2" s="243"/>
      <c r="BV2" s="243"/>
      <c r="BW2" s="243"/>
      <c r="BX2" s="244"/>
      <c r="BY2" s="242" t="s">
        <v>101</v>
      </c>
      <c r="BZ2" s="243"/>
      <c r="CA2" s="243"/>
      <c r="CB2" s="243"/>
      <c r="CC2" s="243"/>
      <c r="CD2" s="243"/>
      <c r="CE2" s="244"/>
      <c r="CF2" s="242" t="s">
        <v>102</v>
      </c>
      <c r="CG2" s="243"/>
      <c r="CH2" s="243"/>
      <c r="CI2" s="243"/>
      <c r="CJ2" s="243"/>
      <c r="CK2" s="243"/>
      <c r="CL2" s="244"/>
      <c r="CM2" s="113"/>
    </row>
    <row r="3" spans="1:91" ht="15" thickTop="1" x14ac:dyDescent="0.3">
      <c r="A3" s="1" t="s">
        <v>169</v>
      </c>
      <c r="B3" s="1" t="s">
        <v>46</v>
      </c>
      <c r="C3" s="1" t="s">
        <v>248</v>
      </c>
      <c r="D3" s="1" t="s">
        <v>48</v>
      </c>
      <c r="E3" s="114" t="s">
        <v>54</v>
      </c>
      <c r="F3" s="114"/>
      <c r="G3" s="115">
        <v>45327</v>
      </c>
      <c r="H3" s="173">
        <v>0</v>
      </c>
      <c r="I3" s="173">
        <v>1</v>
      </c>
      <c r="J3" s="173">
        <v>2</v>
      </c>
      <c r="K3" s="173">
        <v>3</v>
      </c>
      <c r="L3" s="173">
        <v>4</v>
      </c>
      <c r="M3" s="173">
        <v>5</v>
      </c>
      <c r="N3" s="173">
        <v>6</v>
      </c>
      <c r="O3" s="173">
        <v>7</v>
      </c>
      <c r="P3" s="173">
        <v>8</v>
      </c>
      <c r="Q3" s="173">
        <v>9</v>
      </c>
      <c r="R3" s="173">
        <v>10</v>
      </c>
      <c r="S3" s="173">
        <v>11</v>
      </c>
      <c r="T3" s="173">
        <v>12</v>
      </c>
      <c r="U3" s="173">
        <v>13</v>
      </c>
      <c r="V3" s="173">
        <v>14</v>
      </c>
      <c r="W3" s="173">
        <v>15</v>
      </c>
      <c r="X3" s="173">
        <v>16</v>
      </c>
      <c r="Y3" s="173">
        <v>17</v>
      </c>
      <c r="Z3" s="173">
        <v>18</v>
      </c>
      <c r="AA3" s="173">
        <v>19</v>
      </c>
      <c r="AB3" s="173">
        <v>20</v>
      </c>
      <c r="AC3" s="173">
        <v>21</v>
      </c>
      <c r="AD3" s="173">
        <v>22</v>
      </c>
      <c r="AE3" s="173">
        <v>23</v>
      </c>
      <c r="AF3" s="173">
        <v>24</v>
      </c>
      <c r="AG3" s="173">
        <v>25</v>
      </c>
      <c r="AH3" s="173">
        <v>26</v>
      </c>
      <c r="AI3" s="173">
        <v>27</v>
      </c>
      <c r="AJ3" s="173">
        <v>28</v>
      </c>
      <c r="AK3" s="173">
        <v>29</v>
      </c>
      <c r="AL3" s="173">
        <v>30</v>
      </c>
      <c r="AM3" s="173">
        <v>31</v>
      </c>
      <c r="AN3" s="173">
        <v>32</v>
      </c>
      <c r="AO3" s="173">
        <v>33</v>
      </c>
      <c r="AP3" s="173">
        <v>34</v>
      </c>
      <c r="AQ3" s="173">
        <v>35</v>
      </c>
      <c r="AR3" s="173">
        <v>36</v>
      </c>
      <c r="AS3" s="173">
        <v>37</v>
      </c>
      <c r="AT3" s="173">
        <v>38</v>
      </c>
      <c r="AU3" s="173">
        <v>39</v>
      </c>
      <c r="AV3" s="173">
        <v>40</v>
      </c>
      <c r="AW3" s="173">
        <v>41</v>
      </c>
      <c r="AX3" s="173">
        <v>42</v>
      </c>
      <c r="AY3" s="173">
        <v>43</v>
      </c>
      <c r="AZ3" s="173">
        <v>44</v>
      </c>
      <c r="BA3" s="173">
        <v>45</v>
      </c>
      <c r="BB3" s="173">
        <v>46</v>
      </c>
      <c r="BC3" s="173">
        <v>47</v>
      </c>
      <c r="BD3" s="173">
        <v>48</v>
      </c>
      <c r="BE3" s="173">
        <v>49</v>
      </c>
      <c r="BF3" s="173">
        <v>50</v>
      </c>
      <c r="BG3" s="173">
        <v>51</v>
      </c>
      <c r="BH3" s="173">
        <v>52</v>
      </c>
      <c r="BI3" s="173">
        <v>53</v>
      </c>
      <c r="BJ3" s="173">
        <v>54</v>
      </c>
      <c r="BK3" s="173">
        <v>55</v>
      </c>
      <c r="BL3" s="173">
        <v>56</v>
      </c>
      <c r="BM3" s="173">
        <v>57</v>
      </c>
      <c r="BN3" s="173">
        <v>58</v>
      </c>
      <c r="BO3" s="173">
        <v>59</v>
      </c>
      <c r="BP3" s="173">
        <v>60</v>
      </c>
      <c r="BQ3" s="173">
        <v>61</v>
      </c>
      <c r="BR3" s="173">
        <v>62</v>
      </c>
      <c r="BS3" s="173">
        <v>63</v>
      </c>
      <c r="BT3" s="173">
        <v>64</v>
      </c>
      <c r="BU3" s="173">
        <v>65</v>
      </c>
      <c r="BV3" s="173">
        <v>66</v>
      </c>
      <c r="BW3" s="173">
        <v>67</v>
      </c>
      <c r="BX3" s="173">
        <v>68</v>
      </c>
      <c r="BY3" s="173">
        <v>69</v>
      </c>
      <c r="BZ3" s="173">
        <v>70</v>
      </c>
      <c r="CA3" s="173">
        <v>71</v>
      </c>
      <c r="CB3" s="173">
        <v>72</v>
      </c>
      <c r="CC3" s="173">
        <v>73</v>
      </c>
      <c r="CD3" s="173">
        <v>74</v>
      </c>
      <c r="CE3" s="173">
        <v>75</v>
      </c>
      <c r="CF3" s="173">
        <v>76</v>
      </c>
      <c r="CG3" s="173">
        <v>77</v>
      </c>
      <c r="CH3" s="117"/>
      <c r="CI3" s="117"/>
      <c r="CJ3" s="117"/>
      <c r="CK3" s="117"/>
      <c r="CL3" s="118"/>
      <c r="CM3" s="113" t="s">
        <v>34</v>
      </c>
    </row>
    <row r="4" spans="1:91" x14ac:dyDescent="0.3">
      <c r="A4" s="1">
        <v>9</v>
      </c>
      <c r="B4" s="1">
        <v>100</v>
      </c>
      <c r="C4" s="1">
        <v>0</v>
      </c>
      <c r="D4" s="1">
        <v>0</v>
      </c>
      <c r="E4" s="114">
        <v>0</v>
      </c>
      <c r="F4" s="121" t="s">
        <v>177</v>
      </c>
      <c r="G4" s="113"/>
      <c r="H4" s="1">
        <v>0</v>
      </c>
      <c r="I4" s="1">
        <v>0</v>
      </c>
      <c r="J4" s="1">
        <v>0</v>
      </c>
      <c r="K4" s="1">
        <v>1.9042225660276599</v>
      </c>
      <c r="L4" s="1">
        <v>3.9444610296287244</v>
      </c>
      <c r="M4" s="114">
        <v>5.5086438517228737</v>
      </c>
      <c r="N4" s="113">
        <v>5.5086438517228737</v>
      </c>
      <c r="O4" s="1">
        <v>4.5565325687090441</v>
      </c>
      <c r="P4" s="1">
        <v>4.0804769272021284</v>
      </c>
      <c r="Q4" s="1">
        <v>5.7126676980829805</v>
      </c>
      <c r="R4" s="1">
        <v>11.561351293739365</v>
      </c>
      <c r="S4" s="1">
        <v>4.2164928247755329</v>
      </c>
      <c r="T4" s="114">
        <v>10.133184369218618</v>
      </c>
      <c r="U4" s="113">
        <v>6.3927471859500011</v>
      </c>
      <c r="V4" s="1">
        <v>11.901391037672875</v>
      </c>
      <c r="W4" s="1">
        <v>7.4128664177505339</v>
      </c>
      <c r="X4" s="1">
        <v>6.4023293933913434</v>
      </c>
      <c r="Y4" s="1">
        <v>7.4576584142800257</v>
      </c>
      <c r="Z4" s="1">
        <v>7.4550002627750462</v>
      </c>
      <c r="AA4" s="114">
        <v>4.4987070551228721</v>
      </c>
      <c r="AB4" s="113">
        <v>3.8560346186767473</v>
      </c>
      <c r="AC4" s="1">
        <v>5.269913978858221</v>
      </c>
      <c r="AD4" s="1">
        <v>4.1433936583885655</v>
      </c>
      <c r="AE4" s="1">
        <v>4.2770515183365836</v>
      </c>
      <c r="AF4" s="1">
        <v>4.4802286148221198</v>
      </c>
      <c r="AG4" s="1">
        <v>3.9531428954312817</v>
      </c>
      <c r="AH4" s="114">
        <v>4.7437714745175388</v>
      </c>
      <c r="AI4" s="113">
        <v>4.5394582326306807</v>
      </c>
      <c r="AJ4" s="1">
        <v>2.7511868076549577</v>
      </c>
      <c r="AK4" s="1">
        <v>1.9258307653584705</v>
      </c>
      <c r="AL4" s="1">
        <v>2.2009494461239663</v>
      </c>
      <c r="AM4" s="1">
        <v>3.4957264695177597</v>
      </c>
      <c r="AN4" s="1">
        <v>2.6890203611675072</v>
      </c>
      <c r="AO4" s="114">
        <v>1.3445101805837536</v>
      </c>
      <c r="AP4" s="113">
        <v>2.1512162889340058</v>
      </c>
      <c r="AQ4" s="1">
        <v>2.285667306992381</v>
      </c>
      <c r="AR4" s="1">
        <v>0.6722550902918768</v>
      </c>
      <c r="AS4" s="1">
        <v>0.13445101805837537</v>
      </c>
      <c r="AT4" s="1"/>
      <c r="AU4" s="1"/>
      <c r="AV4" s="114"/>
      <c r="AW4" s="113"/>
      <c r="AX4" s="1"/>
      <c r="AY4" s="1"/>
      <c r="AZ4" s="1"/>
      <c r="BA4" s="1"/>
      <c r="BB4" s="1"/>
      <c r="BC4" s="114"/>
      <c r="BD4" s="113"/>
      <c r="BE4" s="1"/>
      <c r="BF4" s="1"/>
      <c r="BG4" s="1"/>
      <c r="BH4" s="1"/>
      <c r="BI4" s="1"/>
      <c r="BJ4" s="114"/>
      <c r="BK4" s="113"/>
      <c r="BL4" s="1"/>
      <c r="BM4" s="1"/>
      <c r="BN4" s="1"/>
      <c r="BO4" s="1"/>
      <c r="BP4" s="1"/>
      <c r="BQ4" s="114"/>
      <c r="BR4" s="113"/>
      <c r="BS4" s="1"/>
      <c r="BT4" s="1"/>
      <c r="BU4" s="1"/>
      <c r="BV4" s="1"/>
      <c r="BW4" s="1"/>
      <c r="BX4" s="114"/>
      <c r="BY4" s="113"/>
      <c r="BZ4" s="1"/>
      <c r="CA4" s="1"/>
      <c r="CB4" s="1"/>
      <c r="CC4" s="1"/>
      <c r="CD4" s="1"/>
      <c r="CE4" s="114"/>
      <c r="CF4" s="113"/>
      <c r="CG4" s="1"/>
      <c r="CH4" s="1"/>
      <c r="CI4" s="1"/>
      <c r="CJ4" s="1"/>
      <c r="CK4" s="1"/>
      <c r="CL4" s="114"/>
      <c r="CM4" s="113">
        <f>SUM(G4:CL4)</f>
        <v>163.56118547411728</v>
      </c>
    </row>
    <row r="5" spans="1:91" x14ac:dyDescent="0.3">
      <c r="A5" s="1">
        <v>2</v>
      </c>
      <c r="B5" s="1">
        <v>0</v>
      </c>
      <c r="C5" s="1">
        <v>100</v>
      </c>
      <c r="D5" s="1">
        <v>0</v>
      </c>
      <c r="E5" s="114">
        <v>0</v>
      </c>
      <c r="F5" s="121" t="s">
        <v>233</v>
      </c>
      <c r="G5" s="113"/>
      <c r="H5" s="1">
        <v>0</v>
      </c>
      <c r="I5" s="1">
        <v>0</v>
      </c>
      <c r="J5" s="1">
        <v>0</v>
      </c>
      <c r="K5" s="1">
        <v>1.1033249450371619E-2</v>
      </c>
      <c r="L5" s="1">
        <v>1.1033249450371619E-2</v>
      </c>
      <c r="M5" s="114">
        <v>5.5166247251858092E-2</v>
      </c>
      <c r="N5" s="113">
        <v>0.98259329587907251</v>
      </c>
      <c r="O5" s="1">
        <v>0.88433396629116545</v>
      </c>
      <c r="P5" s="1">
        <v>0.68781530711535077</v>
      </c>
      <c r="Q5" s="1">
        <v>0.49129664793953626</v>
      </c>
      <c r="R5" s="1">
        <v>0.19651865917581451</v>
      </c>
      <c r="S5" s="1">
        <v>0.49129664793953626</v>
      </c>
      <c r="T5" s="114">
        <v>0.29477798876372174</v>
      </c>
      <c r="U5" s="113">
        <v>0.57525079892972031</v>
      </c>
      <c r="V5" s="1">
        <v>0.57525079892972031</v>
      </c>
      <c r="W5" s="1">
        <v>0.46020063914377629</v>
      </c>
      <c r="X5" s="1">
        <v>0.46020063914377629</v>
      </c>
      <c r="Y5" s="1">
        <v>0.23010031957188815</v>
      </c>
      <c r="Z5" s="1">
        <v>0.46020063914377629</v>
      </c>
      <c r="AA5" s="114">
        <v>0.34515047935783216</v>
      </c>
      <c r="AB5" s="113">
        <v>0.11839818030881545</v>
      </c>
      <c r="AC5" s="1">
        <v>0.15786424041175393</v>
      </c>
      <c r="AD5" s="1">
        <v>0.35519454092644637</v>
      </c>
      <c r="AE5" s="1">
        <v>2.4863617864851246</v>
      </c>
      <c r="AF5" s="1">
        <v>0.78932120205876966</v>
      </c>
      <c r="AG5" s="1">
        <v>0.16070498509782663</v>
      </c>
      <c r="AH5" s="114">
        <v>0.14284887564251256</v>
      </c>
      <c r="AI5" s="113">
        <v>0.1785610945531407</v>
      </c>
      <c r="AJ5" s="1">
        <v>1.1070787862294724</v>
      </c>
      <c r="AK5" s="1">
        <v>0.37497829856159548</v>
      </c>
      <c r="AL5" s="1">
        <v>0.340179176157205</v>
      </c>
      <c r="AM5" s="1">
        <v>0.48597025165314994</v>
      </c>
      <c r="AN5" s="1">
        <v>0.29158215099188994</v>
      </c>
      <c r="AO5" s="114">
        <v>0.340179176157205</v>
      </c>
      <c r="AP5" s="113">
        <v>0.340179176157205</v>
      </c>
      <c r="AQ5" s="1">
        <v>0.340179176157205</v>
      </c>
      <c r="AR5" s="1">
        <v>0.33853052968760922</v>
      </c>
      <c r="AS5" s="1">
        <v>0.2633015230903627</v>
      </c>
      <c r="AT5" s="1">
        <v>0.2633015230903627</v>
      </c>
      <c r="AU5" s="1">
        <v>0.22568701979173947</v>
      </c>
      <c r="AV5" s="114">
        <v>0.30091602638898596</v>
      </c>
      <c r="AW5" s="113">
        <v>0.15700187148919614</v>
      </c>
      <c r="AX5" s="1">
        <v>0.23550280723379421</v>
      </c>
      <c r="AY5" s="1">
        <v>7.8500935744598072E-2</v>
      </c>
      <c r="AZ5" s="1">
        <v>0.15700187148919614</v>
      </c>
      <c r="BA5" s="1">
        <v>7.8500935744598072E-2</v>
      </c>
      <c r="BB5" s="1"/>
      <c r="BC5" s="114"/>
      <c r="BD5" s="113"/>
      <c r="BE5" s="1"/>
      <c r="BF5" s="1"/>
      <c r="BG5" s="113"/>
      <c r="BH5" s="1"/>
      <c r="BI5" s="1"/>
      <c r="BJ5" s="1"/>
      <c r="BK5" s="1"/>
      <c r="BL5" s="1"/>
      <c r="BM5" s="114"/>
      <c r="BN5" s="113"/>
      <c r="BO5" s="1"/>
      <c r="BP5" s="1"/>
      <c r="BQ5" s="114"/>
      <c r="BR5" s="113"/>
      <c r="BS5" s="1"/>
      <c r="BT5" s="1"/>
      <c r="BU5" s="1"/>
      <c r="BV5" s="1"/>
      <c r="BW5" s="1"/>
      <c r="BX5" s="114"/>
      <c r="BY5" s="113"/>
      <c r="BZ5" s="1"/>
      <c r="CA5" s="1"/>
      <c r="CB5" s="1"/>
      <c r="CC5" s="1"/>
      <c r="CD5" s="1"/>
      <c r="CE5" s="114"/>
      <c r="CF5" s="113"/>
      <c r="CG5" s="1"/>
      <c r="CH5" s="1"/>
      <c r="CI5" s="1"/>
      <c r="CJ5" s="1"/>
      <c r="CK5" s="1"/>
      <c r="CL5" s="114"/>
      <c r="CM5" s="113">
        <f>SUM(G5:CL5)</f>
        <v>17.320045714777045</v>
      </c>
    </row>
    <row r="6" spans="1:91" x14ac:dyDescent="0.3">
      <c r="A6" s="1">
        <v>13</v>
      </c>
      <c r="B6" s="1">
        <v>0</v>
      </c>
      <c r="C6" s="1">
        <v>0</v>
      </c>
      <c r="D6" s="1">
        <v>0</v>
      </c>
      <c r="E6" s="114">
        <v>100</v>
      </c>
      <c r="F6" s="121" t="s">
        <v>198</v>
      </c>
      <c r="G6" s="113"/>
      <c r="H6" s="1">
        <v>0</v>
      </c>
      <c r="I6" s="1">
        <v>1.2717620256378441</v>
      </c>
      <c r="J6" s="1">
        <v>0.93262548546775237</v>
      </c>
      <c r="K6" s="1">
        <v>0.84784135042522946</v>
      </c>
      <c r="L6" s="1">
        <v>1.1869778905953214</v>
      </c>
      <c r="M6" s="114">
        <v>1.0174096205102754</v>
      </c>
      <c r="N6" s="113">
        <v>0.59525811665488815</v>
      </c>
      <c r="O6" s="1">
        <v>2.0258372941300107</v>
      </c>
      <c r="P6" s="1">
        <v>1.2004961742992653</v>
      </c>
      <c r="Q6" s="1">
        <v>1.0504341525118572</v>
      </c>
      <c r="R6" s="1">
        <v>0.82534111983074498</v>
      </c>
      <c r="S6" s="1">
        <v>0.90037213072444899</v>
      </c>
      <c r="T6" s="114">
        <v>0.67527909804333675</v>
      </c>
      <c r="U6" s="113">
        <v>0.52521707625592862</v>
      </c>
      <c r="V6" s="1">
        <v>1.0243502158347835</v>
      </c>
      <c r="W6" s="1">
        <v>0.91053352518647424</v>
      </c>
      <c r="X6" s="1">
        <v>0.91053352518647424</v>
      </c>
      <c r="Y6" s="1">
        <v>0.56908345324154641</v>
      </c>
      <c r="Z6" s="1">
        <v>0.51217510791739174</v>
      </c>
      <c r="AA6" s="114">
        <v>0.45526676259323712</v>
      </c>
      <c r="AB6" s="113">
        <v>0.47744944961078328</v>
      </c>
      <c r="AC6" s="1">
        <v>0.60927539740830694</v>
      </c>
      <c r="AD6" s="1">
        <v>0.5538867249166427</v>
      </c>
      <c r="AE6" s="1">
        <v>0.33233203494998559</v>
      </c>
      <c r="AF6" s="1">
        <v>0.44310937993331417</v>
      </c>
      <c r="AG6" s="1">
        <v>0.27694336245832135</v>
      </c>
      <c r="AH6" s="114">
        <v>0.33233203494998559</v>
      </c>
      <c r="AI6" s="113">
        <v>0.39969663662903671</v>
      </c>
      <c r="AJ6" s="1">
        <v>0.35528589922581039</v>
      </c>
      <c r="AK6" s="1">
        <v>0.2664644244193578</v>
      </c>
      <c r="AL6" s="1">
        <v>0.19075296300364311</v>
      </c>
      <c r="AM6" s="1">
        <v>0.61040948161165787</v>
      </c>
      <c r="AN6" s="1">
        <v>0.41965651860801478</v>
      </c>
      <c r="AO6" s="114">
        <v>0.41965651860801478</v>
      </c>
      <c r="AP6" s="113">
        <v>0.38150592600728622</v>
      </c>
      <c r="AQ6" s="1">
        <v>0.34335533340655761</v>
      </c>
      <c r="AR6" s="1">
        <v>0.30518205912176194</v>
      </c>
      <c r="AS6" s="1">
        <v>0.20345470608117464</v>
      </c>
      <c r="AT6" s="1">
        <v>0.20345470608117464</v>
      </c>
      <c r="AU6" s="1">
        <v>0.18310923547305719</v>
      </c>
      <c r="AV6" s="114"/>
      <c r="AW6" s="113"/>
      <c r="AX6" s="1"/>
      <c r="AY6" s="1"/>
      <c r="AZ6" s="1"/>
      <c r="BA6" s="1"/>
      <c r="BB6" s="1"/>
      <c r="BC6" s="114"/>
      <c r="BD6" s="113"/>
      <c r="BE6" s="1"/>
      <c r="BF6" s="1"/>
      <c r="BG6" s="1"/>
      <c r="BH6" s="1"/>
      <c r="BI6" s="1"/>
      <c r="BJ6" s="114"/>
      <c r="BK6" s="113"/>
      <c r="BL6" s="1"/>
      <c r="BM6" s="1"/>
      <c r="BN6" s="1"/>
      <c r="BO6" s="1"/>
      <c r="BP6" s="1"/>
      <c r="BQ6" s="114"/>
      <c r="BR6" s="113"/>
      <c r="BS6" s="1"/>
      <c r="BT6" s="1"/>
      <c r="BU6" s="1"/>
      <c r="BV6" s="1"/>
      <c r="BW6" s="1"/>
      <c r="BX6" s="114"/>
      <c r="BY6" s="113"/>
      <c r="BZ6" s="1"/>
      <c r="CA6" s="1"/>
      <c r="CB6" s="1"/>
      <c r="CC6" s="1"/>
      <c r="CD6" s="1"/>
      <c r="CE6" s="114"/>
      <c r="CF6" s="113"/>
      <c r="CG6" s="1"/>
      <c r="CH6" s="1"/>
      <c r="CI6" s="1"/>
      <c r="CJ6" s="1"/>
      <c r="CK6" s="1"/>
      <c r="CL6" s="114"/>
      <c r="CM6" s="113">
        <f>SUM(G6:CL6)</f>
        <v>24.744106917550699</v>
      </c>
    </row>
    <row r="7" spans="1:91" x14ac:dyDescent="0.3">
      <c r="A7" s="3">
        <v>29</v>
      </c>
      <c r="B7" s="1">
        <v>0</v>
      </c>
      <c r="C7" s="1">
        <v>0</v>
      </c>
      <c r="D7" s="1">
        <v>100</v>
      </c>
      <c r="E7" s="114">
        <v>0</v>
      </c>
      <c r="F7" s="121" t="s">
        <v>199</v>
      </c>
      <c r="G7" s="113"/>
      <c r="H7" s="1">
        <v>0</v>
      </c>
      <c r="I7" s="1">
        <v>6.1078630079155003</v>
      </c>
      <c r="J7" s="1">
        <v>2.7451069698496631</v>
      </c>
      <c r="K7" s="1">
        <v>6.1764906821617416</v>
      </c>
      <c r="L7" s="1">
        <v>3.2255006895733542</v>
      </c>
      <c r="M7" s="114">
        <v>5.2843309169606014</v>
      </c>
      <c r="N7" s="113">
        <v>5.5588416139455674</v>
      </c>
      <c r="O7" s="1">
        <v>4.9411925457293933</v>
      </c>
      <c r="P7" s="1">
        <v>4.5294265002519438</v>
      </c>
      <c r="Q7" s="1">
        <v>4.7353095229906694</v>
      </c>
      <c r="R7" s="1">
        <v>9.0588530005038876</v>
      </c>
      <c r="S7" s="1">
        <v>4.8725648714831511</v>
      </c>
      <c r="T7" s="114">
        <v>8.7843423035189225</v>
      </c>
      <c r="U7" s="113">
        <v>6.1764906821617416</v>
      </c>
      <c r="V7" s="1">
        <v>11.642089020201803</v>
      </c>
      <c r="W7" s="1">
        <v>15.354059432440058</v>
      </c>
      <c r="X7" s="1">
        <v>13.503851622279988</v>
      </c>
      <c r="Y7" s="1">
        <v>11.353556777967889</v>
      </c>
      <c r="Z7" s="1">
        <v>11.009509602877952</v>
      </c>
      <c r="AA7" s="114">
        <v>11.267544984195403</v>
      </c>
      <c r="AB7" s="113">
        <v>14.105934178687376</v>
      </c>
      <c r="AC7" s="1">
        <v>13.994540791431843</v>
      </c>
      <c r="AD7" s="1">
        <v>14.81306147825147</v>
      </c>
      <c r="AE7" s="1">
        <v>12.069901945241938</v>
      </c>
      <c r="AF7" s="1">
        <v>12.435656549643209</v>
      </c>
      <c r="AG7" s="1">
        <v>7.4979693902260527</v>
      </c>
      <c r="AH7" s="114">
        <v>3.917723605854305</v>
      </c>
      <c r="AI7" s="113">
        <v>4.0156666960006628</v>
      </c>
      <c r="AJ7" s="1">
        <v>2.9872642494639079</v>
      </c>
      <c r="AK7" s="1">
        <v>2.4975487987321197</v>
      </c>
      <c r="AL7" s="1">
        <v>2.3996057085857618</v>
      </c>
      <c r="AM7" s="1">
        <v>1.6160609874149008</v>
      </c>
      <c r="AN7" s="1">
        <v>2.4975487987321197</v>
      </c>
      <c r="AO7" s="114">
        <v>1.6650325324880795</v>
      </c>
      <c r="AP7" s="113">
        <v>1.4201748071221856</v>
      </c>
      <c r="AQ7" s="1">
        <v>1.9098902578539738</v>
      </c>
      <c r="AR7" s="1">
        <v>1.1263455366831128</v>
      </c>
      <c r="AS7" s="1"/>
      <c r="AT7" s="1"/>
      <c r="AU7" s="1"/>
      <c r="AV7" s="114"/>
      <c r="AW7" s="113"/>
      <c r="AX7" s="1"/>
      <c r="AY7" s="1"/>
      <c r="AZ7" s="1"/>
      <c r="BA7" s="1"/>
      <c r="BB7" s="1"/>
      <c r="BC7" s="114"/>
      <c r="BD7" s="113"/>
      <c r="BE7" s="1"/>
      <c r="BF7" s="1"/>
      <c r="BG7" s="1"/>
      <c r="BH7" s="1"/>
      <c r="BI7" s="1"/>
      <c r="BJ7" s="114"/>
      <c r="BK7" s="113"/>
      <c r="BL7" s="1"/>
      <c r="BM7" s="1"/>
      <c r="BN7" s="1"/>
      <c r="BO7" s="1"/>
      <c r="BP7" s="1"/>
      <c r="BQ7" s="114"/>
      <c r="BR7" s="113"/>
      <c r="BS7" s="1"/>
      <c r="BT7" s="1"/>
      <c r="BU7" s="1"/>
      <c r="BV7" s="1"/>
      <c r="BW7" s="1"/>
      <c r="BX7" s="114"/>
      <c r="BY7" s="113"/>
      <c r="BZ7" s="1"/>
      <c r="CA7" s="1"/>
      <c r="CB7" s="1"/>
      <c r="CC7" s="1"/>
      <c r="CD7" s="1"/>
      <c r="CE7" s="114"/>
      <c r="CF7" s="113"/>
      <c r="CG7" s="1"/>
      <c r="CH7" s="1"/>
      <c r="CI7" s="1"/>
      <c r="CJ7" s="1"/>
      <c r="CK7" s="1"/>
      <c r="CL7" s="114"/>
      <c r="CM7" s="113">
        <f>SUM(G7:CL7)</f>
        <v>247.29685105942224</v>
      </c>
    </row>
    <row r="8" spans="1:91" s="13" customFormat="1" x14ac:dyDescent="0.3">
      <c r="A8" s="2"/>
      <c r="F8" s="2"/>
      <c r="CM8" s="113"/>
    </row>
    <row r="9" spans="1:91" s="13" customFormat="1" x14ac:dyDescent="0.3">
      <c r="A9" s="18" t="s">
        <v>218</v>
      </c>
      <c r="M9" s="182" t="s">
        <v>219</v>
      </c>
      <c r="CC9" s="181" t="s">
        <v>219</v>
      </c>
      <c r="CD9" s="181">
        <v>75</v>
      </c>
      <c r="CM9" s="113"/>
    </row>
    <row r="10" spans="1:91" x14ac:dyDescent="0.3">
      <c r="A10" s="1" t="s">
        <v>169</v>
      </c>
      <c r="B10" s="1" t="s">
        <v>46</v>
      </c>
      <c r="C10" s="1" t="s">
        <v>248</v>
      </c>
      <c r="D10" s="1" t="s">
        <v>48</v>
      </c>
      <c r="E10" s="114" t="s">
        <v>54</v>
      </c>
      <c r="F10" s="114"/>
      <c r="G10" s="115">
        <v>45327</v>
      </c>
      <c r="H10" s="173">
        <v>0</v>
      </c>
      <c r="I10" s="173">
        <v>1</v>
      </c>
      <c r="J10" s="173">
        <v>2</v>
      </c>
      <c r="K10" s="173">
        <v>3</v>
      </c>
      <c r="L10" s="173">
        <v>4</v>
      </c>
      <c r="M10" s="173">
        <v>5</v>
      </c>
      <c r="N10" s="173">
        <v>6</v>
      </c>
      <c r="O10" s="173">
        <v>7</v>
      </c>
      <c r="P10" s="173">
        <v>8</v>
      </c>
      <c r="Q10" s="173">
        <v>9</v>
      </c>
      <c r="R10" s="173">
        <v>10</v>
      </c>
      <c r="S10" s="173">
        <v>11</v>
      </c>
      <c r="T10" s="173">
        <v>12</v>
      </c>
      <c r="U10" s="173">
        <v>13</v>
      </c>
      <c r="V10" s="173">
        <v>14</v>
      </c>
      <c r="W10" s="173">
        <v>15</v>
      </c>
      <c r="X10" s="173">
        <v>16</v>
      </c>
      <c r="Y10" s="173">
        <v>17</v>
      </c>
      <c r="Z10" s="173">
        <v>18</v>
      </c>
      <c r="AA10" s="173">
        <v>19</v>
      </c>
      <c r="AB10" s="173">
        <v>20</v>
      </c>
      <c r="AC10" s="173">
        <v>21</v>
      </c>
      <c r="AD10" s="173">
        <v>22</v>
      </c>
      <c r="AE10" s="173">
        <v>23</v>
      </c>
      <c r="AF10" s="173">
        <v>24</v>
      </c>
      <c r="AG10" s="173">
        <v>25</v>
      </c>
      <c r="AH10" s="173">
        <v>26</v>
      </c>
      <c r="AI10" s="173">
        <v>27</v>
      </c>
      <c r="AJ10" s="173">
        <v>28</v>
      </c>
      <c r="AK10" s="173">
        <v>29</v>
      </c>
      <c r="AL10" s="173">
        <v>30</v>
      </c>
      <c r="AM10" s="173">
        <v>31</v>
      </c>
      <c r="AN10" s="173">
        <v>32</v>
      </c>
      <c r="AO10" s="173">
        <v>33</v>
      </c>
      <c r="AP10" s="173">
        <v>34</v>
      </c>
      <c r="AQ10" s="173">
        <v>35</v>
      </c>
      <c r="AR10" s="173">
        <v>36</v>
      </c>
      <c r="AS10" s="173">
        <v>37</v>
      </c>
      <c r="AT10" s="173">
        <v>38</v>
      </c>
      <c r="AU10" s="173">
        <v>39</v>
      </c>
      <c r="AV10" s="173">
        <v>40</v>
      </c>
      <c r="AW10" s="173">
        <v>41</v>
      </c>
      <c r="AX10" s="173">
        <v>42</v>
      </c>
      <c r="AY10" s="173">
        <v>43</v>
      </c>
      <c r="AZ10" s="173">
        <v>44</v>
      </c>
      <c r="BA10" s="173">
        <v>45</v>
      </c>
      <c r="BB10" s="173">
        <v>46</v>
      </c>
      <c r="BC10" s="173">
        <v>47</v>
      </c>
      <c r="BD10" s="173">
        <v>48</v>
      </c>
      <c r="BE10" s="173">
        <v>49</v>
      </c>
      <c r="BF10" s="173">
        <v>50</v>
      </c>
      <c r="BG10" s="173">
        <v>51</v>
      </c>
      <c r="BH10" s="173">
        <v>52</v>
      </c>
      <c r="BI10" s="173">
        <v>53</v>
      </c>
      <c r="BJ10" s="173">
        <v>54</v>
      </c>
      <c r="BK10" s="173">
        <v>55</v>
      </c>
      <c r="BL10" s="173">
        <v>56</v>
      </c>
      <c r="BM10" s="173">
        <v>57</v>
      </c>
      <c r="BN10" s="173">
        <v>58</v>
      </c>
      <c r="BO10" s="173">
        <v>59</v>
      </c>
      <c r="BP10" s="173">
        <v>60</v>
      </c>
      <c r="BQ10" s="173">
        <v>61</v>
      </c>
      <c r="BR10" s="173">
        <v>62</v>
      </c>
      <c r="BS10" s="173">
        <v>63</v>
      </c>
      <c r="BT10" s="173">
        <v>64</v>
      </c>
      <c r="BU10" s="173">
        <v>65</v>
      </c>
      <c r="BV10" s="173">
        <v>66</v>
      </c>
      <c r="BW10" s="173">
        <v>67</v>
      </c>
      <c r="BX10" s="173">
        <v>68</v>
      </c>
      <c r="BY10" s="173">
        <v>69</v>
      </c>
      <c r="BZ10" s="173">
        <v>70</v>
      </c>
      <c r="CA10" s="173">
        <v>71</v>
      </c>
      <c r="CB10" s="173">
        <v>72</v>
      </c>
      <c r="CC10" s="173">
        <v>73</v>
      </c>
      <c r="CD10" s="173">
        <v>74</v>
      </c>
      <c r="CE10" s="173">
        <v>75</v>
      </c>
      <c r="CF10" s="173">
        <v>76</v>
      </c>
      <c r="CG10" s="173">
        <v>77</v>
      </c>
      <c r="CH10" s="117"/>
      <c r="CI10" s="117"/>
      <c r="CJ10" s="117"/>
      <c r="CK10" s="117"/>
      <c r="CL10" s="118"/>
      <c r="CM10" s="113" t="s">
        <v>34</v>
      </c>
    </row>
    <row r="11" spans="1:91" x14ac:dyDescent="0.3">
      <c r="A11" s="1">
        <v>6</v>
      </c>
      <c r="B11" s="1">
        <v>26.6587</v>
      </c>
      <c r="C11" s="1">
        <v>73.341300000000004</v>
      </c>
      <c r="D11" s="1">
        <v>0</v>
      </c>
      <c r="E11" s="114">
        <v>0</v>
      </c>
      <c r="F11" s="122" t="s">
        <v>235</v>
      </c>
      <c r="G11" s="113"/>
      <c r="H11" s="1">
        <v>0</v>
      </c>
      <c r="I11" s="1">
        <v>0</v>
      </c>
      <c r="J11" s="1">
        <v>0</v>
      </c>
      <c r="K11" s="1">
        <v>0.85489623052067143</v>
      </c>
      <c r="L11" s="1">
        <v>0.26304499400636044</v>
      </c>
      <c r="M11" s="114">
        <v>0.32880624250795054</v>
      </c>
      <c r="N11" s="113">
        <v>2.8934949340699649</v>
      </c>
      <c r="O11" s="1">
        <v>2.2358824490540639</v>
      </c>
      <c r="P11" s="1">
        <v>3.8799136615938163</v>
      </c>
      <c r="Q11" s="1">
        <v>0.13152249700318022</v>
      </c>
      <c r="R11" s="1">
        <v>0.19728374550477035</v>
      </c>
      <c r="S11" s="1">
        <v>0.46032873951113079</v>
      </c>
      <c r="T11" s="114">
        <v>6.7734085956637813</v>
      </c>
      <c r="U11" s="113">
        <v>7.1679760866733231</v>
      </c>
      <c r="V11" s="1">
        <v>8.1543948141971718</v>
      </c>
      <c r="W11" s="1">
        <v>5.7869898681399299</v>
      </c>
      <c r="X11" s="1">
        <v>7.6242383828053271</v>
      </c>
      <c r="Y11" s="1">
        <v>6.2154117251130385</v>
      </c>
      <c r="Z11" s="1">
        <v>7.1270054447962838</v>
      </c>
      <c r="AA11" s="114">
        <v>7.0757339629136888</v>
      </c>
      <c r="AB11" s="113">
        <v>6.2991290157646249</v>
      </c>
      <c r="AC11" s="1">
        <v>6.1265501386203889</v>
      </c>
      <c r="AD11" s="1">
        <v>5.3499451914713259</v>
      </c>
      <c r="AE11" s="1">
        <v>3.7104458586010804</v>
      </c>
      <c r="AF11" s="1">
        <v>3.9693141743174349</v>
      </c>
      <c r="AG11" s="1">
        <v>2.32981484144719</v>
      </c>
      <c r="AH11" s="114">
        <v>2.0029070890710607</v>
      </c>
      <c r="AI11" s="113">
        <v>2.0029070890710607</v>
      </c>
      <c r="AJ11" s="1">
        <v>0.56081398493989687</v>
      </c>
      <c r="AK11" s="1">
        <v>0.51119602672050013</v>
      </c>
      <c r="AL11" s="1">
        <v>0.44729652338043757</v>
      </c>
      <c r="AM11" s="1">
        <v>0.12779900668012503</v>
      </c>
      <c r="AN11" s="1">
        <v>1.0223920534410003</v>
      </c>
      <c r="AO11" s="114">
        <v>1.1501910601211254</v>
      </c>
      <c r="AP11" s="113">
        <v>1.3418895701413127</v>
      </c>
      <c r="AQ11" s="1">
        <v>2.4281811269223756</v>
      </c>
      <c r="AR11" s="1">
        <v>1.3418895701413127</v>
      </c>
      <c r="AS11" s="1">
        <v>1.5974875835015629</v>
      </c>
      <c r="AT11" s="1">
        <v>2.3003821202422507</v>
      </c>
      <c r="AU11" s="1">
        <v>3.1949751670031259</v>
      </c>
      <c r="AV11" s="114">
        <v>1.2140905634611878</v>
      </c>
      <c r="AW11" s="113">
        <v>1.4057890734813754</v>
      </c>
      <c r="AX11" s="1">
        <v>0.89459304676087514</v>
      </c>
      <c r="AY11" s="1">
        <v>0.70289453674068769</v>
      </c>
      <c r="AZ11" s="1">
        <v>3.2588746703431881</v>
      </c>
      <c r="BA11" s="1">
        <v>2.0447841068820005</v>
      </c>
      <c r="BB11" s="1">
        <v>2.3003821202422507</v>
      </c>
      <c r="BC11" s="114">
        <v>1.2779900668012503</v>
      </c>
      <c r="BD11" s="113">
        <v>1.4057890734813754</v>
      </c>
      <c r="BE11" s="1">
        <v>1.0223920534410003</v>
      </c>
      <c r="BF11" s="1">
        <v>1.4057890734813754</v>
      </c>
      <c r="BG11" s="1">
        <v>0.63899503340062513</v>
      </c>
      <c r="BH11" s="1">
        <v>1.3418895701413127</v>
      </c>
      <c r="BI11" s="1">
        <v>0.25559801336025006</v>
      </c>
      <c r="BJ11" s="114">
        <v>0.63899503340062513</v>
      </c>
      <c r="BK11" s="113">
        <v>0.63899503340062513</v>
      </c>
      <c r="BL11" s="1"/>
      <c r="BM11" s="1"/>
      <c r="BN11" s="1"/>
      <c r="BO11" s="1"/>
      <c r="BP11" s="1"/>
      <c r="BQ11" s="114"/>
      <c r="BR11" s="113"/>
      <c r="BS11" s="1"/>
      <c r="BT11" s="1"/>
      <c r="BU11" s="1"/>
      <c r="BV11" s="1"/>
      <c r="BW11" s="1"/>
      <c r="BX11" s="114"/>
      <c r="BY11" s="113"/>
      <c r="BZ11" s="1"/>
      <c r="CA11" s="1"/>
      <c r="CB11" s="1"/>
      <c r="CC11" s="1"/>
      <c r="CD11" s="1"/>
      <c r="CE11" s="114"/>
      <c r="CF11" s="113"/>
      <c r="CG11" s="1"/>
      <c r="CH11" s="1"/>
      <c r="CI11" s="1"/>
      <c r="CJ11" s="1"/>
      <c r="CK11" s="1"/>
      <c r="CL11" s="114"/>
      <c r="CM11" s="113">
        <f>SUM(G11:CL11)</f>
        <v>135.43368063449361</v>
      </c>
    </row>
    <row r="12" spans="1:91" x14ac:dyDescent="0.3">
      <c r="A12" s="3">
        <v>27</v>
      </c>
      <c r="B12" s="1">
        <v>72.5886</v>
      </c>
      <c r="C12" s="1">
        <v>27.4114</v>
      </c>
      <c r="D12" s="1">
        <v>0</v>
      </c>
      <c r="E12" s="114">
        <v>0</v>
      </c>
      <c r="F12" s="122" t="s">
        <v>234</v>
      </c>
      <c r="G12" s="113"/>
      <c r="H12" s="1">
        <v>0</v>
      </c>
      <c r="I12" s="1">
        <v>0.93890361523125199</v>
      </c>
      <c r="J12" s="1">
        <v>0.10432262391458356</v>
      </c>
      <c r="K12" s="1">
        <v>0.20864524782916713</v>
      </c>
      <c r="L12" s="1">
        <v>0.31296787174375068</v>
      </c>
      <c r="M12" s="114">
        <v>0.41729049565833426</v>
      </c>
      <c r="N12" s="113">
        <v>1.0432262391458356</v>
      </c>
      <c r="O12" s="1">
        <v>2.1907751022062545</v>
      </c>
      <c r="P12" s="1">
        <v>2.2950977261208383</v>
      </c>
      <c r="Q12" s="1">
        <v>1.5648393587187535</v>
      </c>
      <c r="R12" s="1">
        <v>2.7123882217791722</v>
      </c>
      <c r="S12" s="1">
        <v>1.5648393587187535</v>
      </c>
      <c r="T12" s="114">
        <v>0.73025836740208483</v>
      </c>
      <c r="U12" s="113">
        <v>1.0432262391458356</v>
      </c>
      <c r="V12" s="1">
        <v>2.1907751022062545</v>
      </c>
      <c r="W12" s="1">
        <v>2.2950977261208383</v>
      </c>
      <c r="X12" s="1">
        <v>1.5648393587187535</v>
      </c>
      <c r="Y12" s="1">
        <v>2.7123882217791722</v>
      </c>
      <c r="Z12" s="1">
        <v>1.5648393587187535</v>
      </c>
      <c r="AA12" s="114">
        <v>0.73025836740208483</v>
      </c>
      <c r="AB12" s="113">
        <v>1.0432262391458356</v>
      </c>
      <c r="AC12" s="1">
        <v>2.1907751022062545</v>
      </c>
      <c r="AD12" s="1">
        <v>2.2950977261208383</v>
      </c>
      <c r="AE12" s="1">
        <v>1.5648393587187535</v>
      </c>
      <c r="AF12" s="1">
        <v>2.7123882217791722</v>
      </c>
      <c r="AG12" s="1">
        <v>1.5648393587187535</v>
      </c>
      <c r="AH12" s="114">
        <v>0.73025836740208483</v>
      </c>
      <c r="AI12" s="113">
        <v>1.0432262391458356</v>
      </c>
      <c r="AJ12" s="1">
        <v>2.1907751022062545</v>
      </c>
      <c r="AK12" s="1">
        <v>2.2950977261208383</v>
      </c>
      <c r="AL12" s="1">
        <v>1.5648393587187535</v>
      </c>
      <c r="AM12" s="1">
        <v>3.3340256940667596</v>
      </c>
      <c r="AN12" s="1">
        <v>1.9234763619615922</v>
      </c>
      <c r="AO12" s="114">
        <v>0.89762230224874284</v>
      </c>
      <c r="AP12" s="113">
        <v>1.2823175746410613</v>
      </c>
      <c r="AQ12" s="1">
        <v>1.0258540597128492</v>
      </c>
      <c r="AR12" s="1">
        <v>1.9234763619615922</v>
      </c>
      <c r="AS12" s="1">
        <v>1.6670128470333798</v>
      </c>
      <c r="AT12" s="1">
        <v>1.4746652108372207</v>
      </c>
      <c r="AU12" s="1">
        <v>1.7911702015892341</v>
      </c>
      <c r="AV12" s="114">
        <v>0.71646808063569356</v>
      </c>
      <c r="AW12" s="113">
        <v>0.23882269354523122</v>
      </c>
      <c r="AX12" s="1">
        <v>0.9552907741809249</v>
      </c>
      <c r="AY12" s="1">
        <v>0.47764538709046245</v>
      </c>
      <c r="AZ12" s="1">
        <v>0.71646808063569356</v>
      </c>
      <c r="BA12" s="1">
        <v>0.597056733863078</v>
      </c>
      <c r="BB12" s="1">
        <v>0.9552907741809249</v>
      </c>
      <c r="BC12" s="114">
        <v>0.35823404031784678</v>
      </c>
      <c r="BD12" s="113">
        <v>0.9552907741809249</v>
      </c>
      <c r="BE12" s="1">
        <v>0.9552907741809249</v>
      </c>
      <c r="BF12" s="1">
        <v>0.23882269354523122</v>
      </c>
      <c r="BG12" s="1">
        <v>0</v>
      </c>
      <c r="BH12" s="1">
        <v>0</v>
      </c>
      <c r="BI12" s="1">
        <v>0.76583103894720783</v>
      </c>
      <c r="BJ12" s="114">
        <v>0</v>
      </c>
      <c r="BK12" s="113">
        <v>0.32821330240594626</v>
      </c>
      <c r="BL12" s="1">
        <v>0.10940443413531541</v>
      </c>
      <c r="BM12" s="1">
        <v>0.87523547308252325</v>
      </c>
      <c r="BN12" s="1">
        <v>0</v>
      </c>
      <c r="BO12" s="1">
        <v>0</v>
      </c>
      <c r="BP12" s="1">
        <v>0</v>
      </c>
      <c r="BQ12" s="114"/>
      <c r="BR12" s="113"/>
      <c r="BS12" s="1"/>
      <c r="BT12" s="1"/>
      <c r="BU12" s="1"/>
      <c r="BV12" s="1"/>
      <c r="BW12" s="1"/>
      <c r="BX12" s="114"/>
      <c r="BY12" s="113"/>
      <c r="BZ12" s="1"/>
      <c r="CA12" s="1"/>
      <c r="CB12" s="1"/>
      <c r="CC12" s="1"/>
      <c r="CD12" s="1"/>
      <c r="CE12" s="114"/>
      <c r="CF12" s="113"/>
      <c r="CG12" s="1"/>
      <c r="CH12" s="1"/>
      <c r="CI12" s="1"/>
      <c r="CJ12" s="1"/>
      <c r="CK12" s="1"/>
      <c r="CL12" s="114"/>
      <c r="CM12" s="113">
        <f>SUM(G12:CL12)</f>
        <v>69.9433270718242</v>
      </c>
    </row>
    <row r="13" spans="1:91" s="38" customFormat="1" x14ac:dyDescent="0.3">
      <c r="A13" s="3" t="s">
        <v>276</v>
      </c>
      <c r="B13" s="1">
        <v>27.197399999999998</v>
      </c>
      <c r="C13" s="1">
        <v>0</v>
      </c>
      <c r="D13" s="1">
        <v>72.802599999999998</v>
      </c>
      <c r="E13" s="114">
        <v>0</v>
      </c>
      <c r="F13" s="122" t="s">
        <v>180</v>
      </c>
      <c r="G13" s="176"/>
      <c r="H13" s="177">
        <v>0</v>
      </c>
      <c r="I13" s="177">
        <v>3.0131666060493707</v>
      </c>
      <c r="J13" s="177">
        <v>1.5067595858224743</v>
      </c>
      <c r="K13" s="177">
        <v>4.6336638530053671</v>
      </c>
      <c r="L13" s="177">
        <v>2.1131371536573891</v>
      </c>
      <c r="M13" s="178">
        <v>3.453380008688288</v>
      </c>
      <c r="N13" s="176">
        <v>3.2227668526205995</v>
      </c>
      <c r="O13" s="177">
        <v>5.2278779077928332</v>
      </c>
      <c r="P13" s="177">
        <v>5.8893144694705404</v>
      </c>
      <c r="Q13" s="177">
        <v>8.5978408965673232</v>
      </c>
      <c r="R13" s="177">
        <v>6.1449127740782039</v>
      </c>
      <c r="S13" s="177">
        <v>14.028291243392864</v>
      </c>
      <c r="T13" s="178">
        <v>13.396188139267261</v>
      </c>
      <c r="U13" s="176">
        <v>15.322377385869316</v>
      </c>
      <c r="V13" s="177">
        <v>16.036710539070274</v>
      </c>
      <c r="W13" s="177">
        <v>16.828613999391688</v>
      </c>
      <c r="X13" s="177">
        <v>13.832276524437914</v>
      </c>
      <c r="Y13" s="177">
        <v>11.24120144941474</v>
      </c>
      <c r="Z13" s="177">
        <v>10.797121577410982</v>
      </c>
      <c r="AA13" s="178">
        <v>12.036307380562656</v>
      </c>
      <c r="AB13" s="176">
        <v>12.782124641448741</v>
      </c>
      <c r="AC13" s="177">
        <v>12.027892815014857</v>
      </c>
      <c r="AD13" s="177">
        <v>10.241889525307943</v>
      </c>
      <c r="AE13" s="177">
        <v>8.404881746107387</v>
      </c>
      <c r="AF13" s="177">
        <v>8.1305857127475605</v>
      </c>
      <c r="AG13" s="177">
        <v>6.3395172306508405</v>
      </c>
      <c r="AH13" s="178">
        <v>6.7096405928888148</v>
      </c>
      <c r="AI13" s="176">
        <v>5.106460192768969</v>
      </c>
      <c r="AJ13" s="177">
        <v>3.8931585804259932</v>
      </c>
      <c r="AK13" s="177">
        <v>4.0578595984003405</v>
      </c>
      <c r="AL13" s="177">
        <v>2.8882056067899442</v>
      </c>
      <c r="AM13" s="177">
        <v>2.1745658325936277</v>
      </c>
      <c r="AN13" s="177">
        <v>1.5335134384335991</v>
      </c>
      <c r="AO13" s="178">
        <v>1.7365030800877368</v>
      </c>
      <c r="AP13" s="176">
        <v>1.9109055280337439</v>
      </c>
      <c r="AQ13" s="177">
        <v>2.5478740373783255</v>
      </c>
      <c r="AR13" s="177">
        <v>1.5924212733614533</v>
      </c>
      <c r="AS13" s="177">
        <v>1.5924212733614533</v>
      </c>
      <c r="AT13" s="177">
        <v>1.9109055280337439</v>
      </c>
      <c r="AU13" s="177">
        <v>2.1397205995639839</v>
      </c>
      <c r="AV13" s="178">
        <v>1.2838323597383903</v>
      </c>
      <c r="AW13" s="176">
        <v>1.4264803997093225</v>
      </c>
      <c r="AX13" s="177">
        <v>1.8544245196221192</v>
      </c>
      <c r="AY13" s="177">
        <v>0.71324019985466125</v>
      </c>
      <c r="AZ13" s="177"/>
      <c r="BA13" s="177"/>
      <c r="BB13" s="177"/>
      <c r="BC13" s="178"/>
      <c r="BD13" s="176"/>
      <c r="BE13" s="177"/>
      <c r="BF13" s="177"/>
      <c r="BG13" s="177"/>
      <c r="BH13" s="177"/>
      <c r="BI13" s="177"/>
      <c r="BJ13" s="178"/>
      <c r="BK13" s="176"/>
      <c r="BL13" s="177"/>
      <c r="BM13" s="177"/>
      <c r="BN13" s="177"/>
      <c r="BO13" s="177"/>
      <c r="BP13" s="177"/>
      <c r="BQ13" s="178"/>
      <c r="BR13" s="176"/>
      <c r="BS13" s="177"/>
      <c r="BT13" s="177"/>
      <c r="BU13" s="177"/>
      <c r="BV13" s="177"/>
      <c r="BW13" s="177"/>
      <c r="BX13" s="178"/>
      <c r="BY13" s="176"/>
      <c r="BZ13" s="177"/>
      <c r="CA13" s="177"/>
      <c r="CB13" s="177"/>
      <c r="CC13" s="177"/>
      <c r="CD13" s="177"/>
      <c r="CE13" s="179"/>
      <c r="CF13" s="176"/>
      <c r="CG13" s="177"/>
      <c r="CH13" s="3"/>
      <c r="CI13" s="3"/>
      <c r="CJ13" s="3"/>
      <c r="CK13" s="3"/>
      <c r="CL13" s="125"/>
      <c r="CM13" s="113">
        <f t="shared" ref="CM13:CM14" si="0">SUM(G13:CL13)</f>
        <v>270.3209326588937</v>
      </c>
    </row>
    <row r="14" spans="1:91" s="38" customFormat="1" x14ac:dyDescent="0.3">
      <c r="A14" s="3" t="s">
        <v>277</v>
      </c>
      <c r="B14" s="3">
        <v>71.935299999999998</v>
      </c>
      <c r="C14" s="3">
        <v>0</v>
      </c>
      <c r="D14" s="3">
        <v>28.064699999999998</v>
      </c>
      <c r="E14" s="125">
        <v>0</v>
      </c>
      <c r="F14" s="122" t="s">
        <v>181</v>
      </c>
      <c r="G14" s="176"/>
      <c r="H14" s="177">
        <v>0</v>
      </c>
      <c r="I14" s="177">
        <v>1.2518518827367182</v>
      </c>
      <c r="J14" s="177">
        <v>0.74478093341760687</v>
      </c>
      <c r="K14" s="177">
        <v>1.3067467359472267</v>
      </c>
      <c r="L14" s="177">
        <v>1.4663296956640604</v>
      </c>
      <c r="M14" s="178">
        <v>0.6689706906485805</v>
      </c>
      <c r="N14" s="176">
        <v>0.83892066303609736</v>
      </c>
      <c r="O14" s="177">
        <v>1.6328044956326235</v>
      </c>
      <c r="P14" s="177">
        <v>1.4759068964213453</v>
      </c>
      <c r="Q14" s="177">
        <v>1.980076018266044</v>
      </c>
      <c r="R14" s="177">
        <v>4.1200450705556637</v>
      </c>
      <c r="S14" s="177">
        <v>3.0237159292550482</v>
      </c>
      <c r="T14" s="178">
        <v>2.9588811468529532</v>
      </c>
      <c r="U14" s="176">
        <v>0.21623295051267249</v>
      </c>
      <c r="V14" s="177">
        <v>2.7849353112295012</v>
      </c>
      <c r="W14" s="177">
        <v>6.6486249860718445</v>
      </c>
      <c r="X14" s="177">
        <v>5.364466870847818</v>
      </c>
      <c r="Y14" s="177">
        <v>6.085565147780704</v>
      </c>
      <c r="Z14" s="177">
        <v>5.2250796942795166</v>
      </c>
      <c r="AA14" s="178">
        <v>1.0945037982118717</v>
      </c>
      <c r="AB14" s="176">
        <v>4.3994278713885153</v>
      </c>
      <c r="AC14" s="177">
        <v>7.1036736573617736</v>
      </c>
      <c r="AD14" s="177">
        <v>6.4339131547997912</v>
      </c>
      <c r="AE14" s="177">
        <v>4.6223888493116192</v>
      </c>
      <c r="AF14" s="177">
        <v>3.2647840766001424</v>
      </c>
      <c r="AG14" s="177">
        <v>2.4343582794770424</v>
      </c>
      <c r="AH14" s="178">
        <v>2.4642599734724504</v>
      </c>
      <c r="AI14" s="176">
        <v>2.4686478174357758</v>
      </c>
      <c r="AJ14" s="177">
        <v>2.8602424145573999</v>
      </c>
      <c r="AK14" s="177">
        <v>1.9134158927752054</v>
      </c>
      <c r="AL14" s="177">
        <v>2.4063287322393205</v>
      </c>
      <c r="AM14" s="177">
        <v>2.5166566808531727</v>
      </c>
      <c r="AN14" s="177">
        <v>1.6826855058077061</v>
      </c>
      <c r="AO14" s="178">
        <v>1.285369160157906</v>
      </c>
      <c r="AP14" s="176">
        <v>1.0332611974010855</v>
      </c>
      <c r="AQ14" s="177">
        <v>1.9377303987906456</v>
      </c>
      <c r="AR14" s="177">
        <v>2.3530076523969905</v>
      </c>
      <c r="AS14" s="177">
        <v>2.0168637020545637</v>
      </c>
      <c r="AT14" s="177">
        <v>2.7451755944631557</v>
      </c>
      <c r="AU14" s="177">
        <v>3.0672784441229424</v>
      </c>
      <c r="AV14" s="178">
        <v>1.3081040423465491</v>
      </c>
      <c r="AW14" s="176">
        <v>2.4357799409211598</v>
      </c>
      <c r="AX14" s="177">
        <v>2.9319573362939888</v>
      </c>
      <c r="AY14" s="177">
        <v>1.1727829345175957</v>
      </c>
      <c r="AZ14" s="177">
        <v>2.2553517971492223</v>
      </c>
      <c r="BA14" s="177">
        <v>1.9847095814913158</v>
      </c>
      <c r="BB14" s="177">
        <v>2.4808869768641446</v>
      </c>
      <c r="BC14" s="178">
        <v>1.3081040423465491</v>
      </c>
      <c r="BD14" s="176">
        <v>1.9847095814913158</v>
      </c>
      <c r="BE14" s="177">
        <v>1.9950063886585858</v>
      </c>
      <c r="BF14" s="177">
        <v>2.8111453658370982</v>
      </c>
      <c r="BG14" s="177">
        <v>1.7683011172201102</v>
      </c>
      <c r="BH14" s="177">
        <v>2.9925095829878785</v>
      </c>
      <c r="BI14" s="177">
        <v>2.2217116600970614</v>
      </c>
      <c r="BJ14" s="178">
        <v>3.3552380172894396</v>
      </c>
      <c r="BK14" s="176">
        <v>2.3577348229601469</v>
      </c>
      <c r="BL14" s="177">
        <v>1.1788674114800735</v>
      </c>
      <c r="BM14" s="177">
        <v>2.085688497233976</v>
      </c>
      <c r="BN14" s="177">
        <v>2.5844400943986225</v>
      </c>
      <c r="BO14" s="177">
        <v>3.2645559087140494</v>
      </c>
      <c r="BP14" s="177">
        <v>2.6297811486863178</v>
      </c>
      <c r="BQ14" s="178">
        <v>3.1738738001386593</v>
      </c>
      <c r="BR14" s="176">
        <v>2.8831294086701043</v>
      </c>
      <c r="BS14" s="177">
        <v>2.4026078405584199</v>
      </c>
      <c r="BT14" s="177">
        <v>1.8481598773526311</v>
      </c>
      <c r="BU14" s="177">
        <v>1.5524542969762103</v>
      </c>
      <c r="BV14" s="177">
        <v>1.4415647043350521</v>
      </c>
      <c r="BW14" s="177">
        <v>0.92407993867631555</v>
      </c>
      <c r="BX14" s="178">
        <v>0.76968633575344136</v>
      </c>
      <c r="BY14" s="176">
        <v>0.5019693494044184</v>
      </c>
      <c r="BZ14" s="177"/>
      <c r="CA14" s="177"/>
      <c r="CB14" s="177"/>
      <c r="CC14" s="177"/>
      <c r="CD14" s="177"/>
      <c r="CE14" s="179"/>
      <c r="CF14" s="176"/>
      <c r="CG14" s="177"/>
      <c r="CH14" s="3"/>
      <c r="CI14" s="3"/>
      <c r="CJ14" s="3"/>
      <c r="CK14" s="3"/>
      <c r="CL14" s="125"/>
      <c r="CM14" s="113">
        <f t="shared" si="0"/>
        <v>170.50279977368561</v>
      </c>
    </row>
    <row r="15" spans="1:91" x14ac:dyDescent="0.3">
      <c r="A15" s="3">
        <v>26</v>
      </c>
      <c r="B15" s="1">
        <v>26.569099999999999</v>
      </c>
      <c r="C15" s="1">
        <v>0</v>
      </c>
      <c r="D15" s="1">
        <v>0</v>
      </c>
      <c r="E15" s="114">
        <v>73.430899999999994</v>
      </c>
      <c r="F15" s="122" t="s">
        <v>183</v>
      </c>
      <c r="G15" s="113"/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14">
        <v>0</v>
      </c>
      <c r="N15" s="113">
        <v>2.1532879871534915E-2</v>
      </c>
      <c r="O15" s="1">
        <v>0.32837641804090745</v>
      </c>
      <c r="P15" s="1">
        <v>0.16687981900439558</v>
      </c>
      <c r="Q15" s="1">
        <v>0.12112244927738389</v>
      </c>
      <c r="R15" s="1">
        <v>0.37144217778397726</v>
      </c>
      <c r="S15" s="1">
        <v>8.8823129470081516E-2</v>
      </c>
      <c r="T15" s="114">
        <v>0.2045623587795817</v>
      </c>
      <c r="U15" s="113">
        <v>0.3499092979124423</v>
      </c>
      <c r="V15" s="1">
        <v>0.26377777842630268</v>
      </c>
      <c r="W15" s="1">
        <v>0.20725396876352356</v>
      </c>
      <c r="X15" s="1">
        <v>3.6233202731135741</v>
      </c>
      <c r="Y15" s="1">
        <v>4.0397938677243292</v>
      </c>
      <c r="Z15" s="1">
        <v>4.2063833055686324</v>
      </c>
      <c r="AA15" s="114">
        <v>4.1496584627950188</v>
      </c>
      <c r="AB15" s="113">
        <v>3.8176857857714173</v>
      </c>
      <c r="AC15" s="1">
        <v>3.3750555497399484</v>
      </c>
      <c r="AD15" s="1">
        <v>3.1537404317242141</v>
      </c>
      <c r="AE15" s="1">
        <v>2.655781416188812</v>
      </c>
      <c r="AF15" s="1">
        <v>2.4344662981730778</v>
      </c>
      <c r="AG15" s="1">
        <v>4.0390009037871515</v>
      </c>
      <c r="AH15" s="114">
        <v>2.8770965342045467</v>
      </c>
      <c r="AI15" s="113">
        <v>3.1537404317242141</v>
      </c>
      <c r="AJ15" s="1">
        <v>1.2172331490865389</v>
      </c>
      <c r="AK15" s="1">
        <v>1.4938770466062066</v>
      </c>
      <c r="AL15" s="1">
        <v>1.6598633851180076</v>
      </c>
      <c r="AM15" s="1">
        <v>2.4671788527082055</v>
      </c>
      <c r="AN15" s="1">
        <v>2.4123526559813562</v>
      </c>
      <c r="AO15" s="114">
        <v>3.2347456068840916</v>
      </c>
      <c r="AP15" s="113">
        <v>2.1930478690739603</v>
      </c>
      <c r="AQ15" s="1">
        <v>4.0907445928145485</v>
      </c>
      <c r="AR15" s="1">
        <v>2.6432503522801696</v>
      </c>
      <c r="AS15" s="1">
        <v>2.3915122234915822</v>
      </c>
      <c r="AT15" s="1">
        <v>3.2725956742516389</v>
      </c>
      <c r="AU15" s="1">
        <v>3.6502028674345204</v>
      </c>
      <c r="AV15" s="114">
        <v>1.5733633049286726</v>
      </c>
      <c r="AW15" s="113">
        <v>2.8320539488716103</v>
      </c>
      <c r="AX15" s="1">
        <v>2.5173812878858763</v>
      </c>
      <c r="AY15" s="1">
        <v>1.4474942405343787</v>
      </c>
      <c r="AZ15" s="1">
        <v>2.4544467556887293</v>
      </c>
      <c r="BA15" s="1">
        <v>1.9509704981115541</v>
      </c>
      <c r="BB15" s="1">
        <v>2.6606062108488242</v>
      </c>
      <c r="BC15" s="114">
        <v>1.4965909936024637</v>
      </c>
      <c r="BD15" s="113">
        <v>1.8291667699585668</v>
      </c>
      <c r="BE15" s="1">
        <v>4.1017679083919374</v>
      </c>
      <c r="BF15" s="1">
        <v>2.4943183226707726</v>
      </c>
      <c r="BG15" s="1">
        <v>1.9501887026805336</v>
      </c>
      <c r="BH15" s="1">
        <v>2.7302641837527468</v>
      </c>
      <c r="BI15" s="1">
        <v>2.6745445065333033</v>
      </c>
      <c r="BJ15" s="114">
        <v>4.011816759799955</v>
      </c>
      <c r="BK15" s="113">
        <v>2.1596316986509141</v>
      </c>
      <c r="BL15" s="1">
        <v>1.1826554540231198</v>
      </c>
      <c r="BM15" s="1">
        <v>2.0053722916044201</v>
      </c>
      <c r="BN15" s="1">
        <v>1.748273279860264</v>
      </c>
      <c r="BO15" s="1">
        <v>2.6224099197903956</v>
      </c>
      <c r="BP15" s="1">
        <v>1.2340752563719513</v>
      </c>
      <c r="BQ15" s="114">
        <v>1.59401387281377</v>
      </c>
      <c r="BR15" s="113">
        <v>2.0567920939532516</v>
      </c>
      <c r="BS15" s="1">
        <v>0.82271683758130076</v>
      </c>
      <c r="BT15" s="1">
        <v>0.82271683758130076</v>
      </c>
      <c r="BU15" s="1">
        <v>1.079815849325457</v>
      </c>
      <c r="BV15" s="1">
        <v>0.82271683758130076</v>
      </c>
      <c r="BW15" s="1">
        <v>1.1312356516742885</v>
      </c>
      <c r="BX15" s="114">
        <v>1.2594947763862734</v>
      </c>
      <c r="BY15" s="113">
        <v>1.4312440640753108</v>
      </c>
      <c r="BZ15" s="1">
        <v>1.2594947763862734</v>
      </c>
      <c r="CA15" s="1">
        <v>1.202245013823261</v>
      </c>
      <c r="CB15" s="1">
        <v>7.395784777453536E-2</v>
      </c>
      <c r="CC15" s="1"/>
      <c r="CD15" s="1"/>
      <c r="CE15" s="114"/>
      <c r="CF15" s="113"/>
      <c r="CG15" s="1"/>
      <c r="CH15" s="1"/>
      <c r="CI15" s="1"/>
      <c r="CJ15" s="1"/>
      <c r="CK15" s="1"/>
      <c r="CL15" s="114"/>
      <c r="CM15" s="113">
        <f>SUM(G15:CL15)</f>
        <v>135.60984456709326</v>
      </c>
    </row>
    <row r="16" spans="1:91" x14ac:dyDescent="0.3">
      <c r="A16" s="1">
        <v>7</v>
      </c>
      <c r="B16" s="1">
        <v>73.716099999999997</v>
      </c>
      <c r="C16" s="1">
        <v>0</v>
      </c>
      <c r="D16" s="1">
        <v>0</v>
      </c>
      <c r="E16" s="114">
        <v>26.283899999999999</v>
      </c>
      <c r="F16" s="122" t="s">
        <v>182</v>
      </c>
      <c r="G16" s="113"/>
      <c r="H16" s="1">
        <v>0</v>
      </c>
      <c r="I16" s="1">
        <v>0</v>
      </c>
      <c r="J16" s="1">
        <v>0</v>
      </c>
      <c r="K16" s="1">
        <v>0</v>
      </c>
      <c r="L16" s="1">
        <v>0.57965083464673983</v>
      </c>
      <c r="M16" s="114">
        <v>1.0433715023641317</v>
      </c>
      <c r="N16" s="113">
        <v>2.0867430047282634</v>
      </c>
      <c r="O16" s="1">
        <v>3.2460446740217432</v>
      </c>
      <c r="P16" s="1">
        <v>7.3036005165489222</v>
      </c>
      <c r="Q16" s="1">
        <v>6.3761591811141374</v>
      </c>
      <c r="R16" s="1">
        <v>5.3327876787500061</v>
      </c>
      <c r="S16" s="1">
        <v>7.8832513511956614</v>
      </c>
      <c r="T16" s="114">
        <v>7.0717401826902258</v>
      </c>
      <c r="U16" s="113">
        <v>5.9124385133967454</v>
      </c>
      <c r="V16" s="1">
        <v>3.7097653417391347</v>
      </c>
      <c r="W16" s="1">
        <v>2.6663938393750031</v>
      </c>
      <c r="X16" s="1">
        <v>3.9416256755978307</v>
      </c>
      <c r="Y16" s="1">
        <v>2.898254173233699</v>
      </c>
      <c r="Z16" s="1">
        <v>1.9708128377989154</v>
      </c>
      <c r="AA16" s="114">
        <v>1.7389525039402196</v>
      </c>
      <c r="AB16" s="113">
        <v>1.5070921700815236</v>
      </c>
      <c r="AC16" s="1">
        <v>1.7389525039402196</v>
      </c>
      <c r="AD16" s="1">
        <v>1.5070921700815236</v>
      </c>
      <c r="AE16" s="1">
        <v>1.9708128377989154</v>
      </c>
      <c r="AF16" s="1">
        <v>2.2026731716576111</v>
      </c>
      <c r="AG16" s="1">
        <v>2.4345335055163075</v>
      </c>
      <c r="AH16" s="114">
        <v>1.7389525039402196</v>
      </c>
      <c r="AI16" s="113">
        <v>2.5334547811625874</v>
      </c>
      <c r="AJ16" s="1">
        <v>2.8149497568473194</v>
      </c>
      <c r="AK16" s="1">
        <v>2.1112123176354896</v>
      </c>
      <c r="AL16" s="1">
        <v>2.6742022690049536</v>
      </c>
      <c r="AM16" s="1">
        <v>2.5334547811625874</v>
      </c>
      <c r="AN16" s="1">
        <v>2.3927072933202216</v>
      </c>
      <c r="AO16" s="114">
        <v>1.1259799027389277</v>
      </c>
      <c r="AP16" s="113">
        <v>2.5849382155193918</v>
      </c>
      <c r="AQ16" s="1">
        <v>2.1767900762268564</v>
      </c>
      <c r="AR16" s="1">
        <v>2.5849382155193918</v>
      </c>
      <c r="AS16" s="1">
        <v>2.5849382155193918</v>
      </c>
      <c r="AT16" s="1">
        <v>2.9930863548119278</v>
      </c>
      <c r="AU16" s="1">
        <v>2.5849382155193918</v>
      </c>
      <c r="AV16" s="114">
        <v>2.5849382155193918</v>
      </c>
      <c r="AW16" s="113">
        <v>2.4488888357552137</v>
      </c>
      <c r="AX16" s="1">
        <v>4.8977776715104273</v>
      </c>
      <c r="AY16" s="1">
        <v>3.8093826333969982</v>
      </c>
      <c r="AZ16" s="1">
        <v>3.4012344941044632</v>
      </c>
      <c r="BA16" s="1">
        <v>2.0407406964626778</v>
      </c>
      <c r="BB16" s="1">
        <v>1.3604937976417852</v>
      </c>
      <c r="BC16" s="114">
        <v>3.1291357345761064</v>
      </c>
      <c r="BD16" s="113">
        <v>5.3221734345733607</v>
      </c>
      <c r="BE16" s="1">
        <v>8.8702890576222675</v>
      </c>
      <c r="BF16" s="1">
        <v>6.4626391705533663</v>
      </c>
      <c r="BG16" s="1">
        <v>4.1817076985933541</v>
      </c>
      <c r="BH16" s="1">
        <v>2.4076498870689012</v>
      </c>
      <c r="BI16" s="1">
        <v>2.0908538492966771</v>
      </c>
      <c r="BJ16" s="114">
        <v>1.1404657359800059</v>
      </c>
      <c r="BK16" s="113">
        <v>1.7385936206842469</v>
      </c>
      <c r="BL16" s="1">
        <v>0.64392356321638777</v>
      </c>
      <c r="BM16" s="1">
        <v>0.64392356321638777</v>
      </c>
      <c r="BN16" s="1"/>
      <c r="BO16" s="1"/>
      <c r="BP16" s="1"/>
      <c r="BQ16" s="114"/>
      <c r="BR16" s="113"/>
      <c r="BS16" s="1"/>
      <c r="BT16" s="1"/>
      <c r="BU16" s="1"/>
      <c r="BV16" s="1"/>
      <c r="BW16" s="1"/>
      <c r="BX16" s="114"/>
      <c r="BY16" s="113"/>
      <c r="BZ16" s="1"/>
      <c r="CA16" s="1"/>
      <c r="CB16" s="1"/>
      <c r="CC16" s="1"/>
      <c r="CD16" s="1"/>
      <c r="CE16" s="114"/>
      <c r="CF16" s="113"/>
      <c r="CG16" s="1"/>
      <c r="CH16" s="1"/>
      <c r="CI16" s="1"/>
      <c r="CJ16" s="1"/>
      <c r="CK16" s="1"/>
      <c r="CL16" s="114"/>
      <c r="CM16" s="113">
        <f>SUM(G16:CL16)</f>
        <v>165.73210272891814</v>
      </c>
    </row>
    <row r="17" spans="1:91" s="13" customFormat="1" x14ac:dyDescent="0.3">
      <c r="A17" s="2"/>
      <c r="F17" s="2"/>
      <c r="CM17" s="113"/>
    </row>
    <row r="18" spans="1:91" s="13" customFormat="1" x14ac:dyDescent="0.3">
      <c r="A18" s="2"/>
      <c r="F18" s="2"/>
      <c r="CM18" s="113"/>
    </row>
    <row r="19" spans="1:91" s="13" customFormat="1" x14ac:dyDescent="0.3">
      <c r="A19" s="18" t="s">
        <v>217</v>
      </c>
      <c r="F19" s="2"/>
      <c r="CM19" s="113"/>
    </row>
    <row r="20" spans="1:91" x14ac:dyDescent="0.3">
      <c r="A20" s="1" t="s">
        <v>169</v>
      </c>
      <c r="B20" s="1" t="s">
        <v>46</v>
      </c>
      <c r="C20" s="1" t="s">
        <v>248</v>
      </c>
      <c r="D20" s="1" t="s">
        <v>48</v>
      </c>
      <c r="E20" s="114" t="s">
        <v>54</v>
      </c>
      <c r="F20" s="114"/>
      <c r="G20" s="115">
        <v>45327</v>
      </c>
      <c r="H20" s="173">
        <v>0</v>
      </c>
      <c r="I20" s="173">
        <v>1</v>
      </c>
      <c r="J20" s="173">
        <v>2</v>
      </c>
      <c r="K20" s="173">
        <v>3</v>
      </c>
      <c r="L20" s="173">
        <v>4</v>
      </c>
      <c r="M20" s="173">
        <v>5</v>
      </c>
      <c r="N20" s="173">
        <v>6</v>
      </c>
      <c r="O20" s="173">
        <v>7</v>
      </c>
      <c r="P20" s="173">
        <v>8</v>
      </c>
      <c r="Q20" s="173">
        <v>9</v>
      </c>
      <c r="R20" s="173">
        <v>10</v>
      </c>
      <c r="S20" s="173">
        <v>11</v>
      </c>
      <c r="T20" s="173">
        <v>12</v>
      </c>
      <c r="U20" s="173">
        <v>13</v>
      </c>
      <c r="V20" s="173">
        <v>14</v>
      </c>
      <c r="W20" s="173">
        <v>15</v>
      </c>
      <c r="X20" s="173">
        <v>16</v>
      </c>
      <c r="Y20" s="173">
        <v>17</v>
      </c>
      <c r="Z20" s="173">
        <v>18</v>
      </c>
      <c r="AA20" s="173">
        <v>19</v>
      </c>
      <c r="AB20" s="173">
        <v>20</v>
      </c>
      <c r="AC20" s="173">
        <v>21</v>
      </c>
      <c r="AD20" s="173">
        <v>22</v>
      </c>
      <c r="AE20" s="173">
        <v>23</v>
      </c>
      <c r="AF20" s="173">
        <v>24</v>
      </c>
      <c r="AG20" s="173">
        <v>25</v>
      </c>
      <c r="AH20" s="173">
        <v>26</v>
      </c>
      <c r="AI20" s="173">
        <v>27</v>
      </c>
      <c r="AJ20" s="173">
        <v>28</v>
      </c>
      <c r="AK20" s="173">
        <v>29</v>
      </c>
      <c r="AL20" s="173">
        <v>30</v>
      </c>
      <c r="AM20" s="173">
        <v>31</v>
      </c>
      <c r="AN20" s="173">
        <v>32</v>
      </c>
      <c r="AO20" s="173">
        <v>33</v>
      </c>
      <c r="AP20" s="173">
        <v>34</v>
      </c>
      <c r="AQ20" s="173">
        <v>35</v>
      </c>
      <c r="AR20" s="173">
        <v>36</v>
      </c>
      <c r="AS20" s="173">
        <v>37</v>
      </c>
      <c r="AT20" s="173">
        <v>38</v>
      </c>
      <c r="AU20" s="173">
        <v>39</v>
      </c>
      <c r="AV20" s="173">
        <v>40</v>
      </c>
      <c r="AW20" s="173">
        <v>41</v>
      </c>
      <c r="AX20" s="173">
        <v>42</v>
      </c>
      <c r="AY20" s="173">
        <v>43</v>
      </c>
      <c r="AZ20" s="173">
        <v>44</v>
      </c>
      <c r="BA20" s="173">
        <v>45</v>
      </c>
      <c r="BB20" s="173">
        <v>46</v>
      </c>
      <c r="BC20" s="173">
        <v>47</v>
      </c>
      <c r="BD20" s="173">
        <v>48</v>
      </c>
      <c r="BE20" s="173">
        <v>49</v>
      </c>
      <c r="BF20" s="173">
        <v>50</v>
      </c>
      <c r="BG20" s="173">
        <v>51</v>
      </c>
      <c r="BH20" s="173">
        <v>52</v>
      </c>
      <c r="BI20" s="173">
        <v>53</v>
      </c>
      <c r="BJ20" s="173">
        <v>54</v>
      </c>
      <c r="BK20" s="173">
        <v>55</v>
      </c>
      <c r="BL20" s="173">
        <v>56</v>
      </c>
      <c r="BM20" s="173">
        <v>57</v>
      </c>
      <c r="BN20" s="173">
        <v>58</v>
      </c>
      <c r="BO20" s="173">
        <v>59</v>
      </c>
      <c r="BP20" s="173">
        <v>60</v>
      </c>
      <c r="BQ20" s="173">
        <v>61</v>
      </c>
      <c r="BR20" s="173">
        <v>62</v>
      </c>
      <c r="BS20" s="173">
        <v>63</v>
      </c>
      <c r="BT20" s="173">
        <v>64</v>
      </c>
      <c r="BU20" s="173">
        <v>65</v>
      </c>
      <c r="BV20" s="173">
        <v>66</v>
      </c>
      <c r="BW20" s="173">
        <v>67</v>
      </c>
      <c r="BX20" s="173">
        <v>68</v>
      </c>
      <c r="BY20" s="173">
        <v>69</v>
      </c>
      <c r="BZ20" s="173">
        <v>70</v>
      </c>
      <c r="CA20" s="173">
        <v>71</v>
      </c>
      <c r="CB20" s="173">
        <v>72</v>
      </c>
      <c r="CC20" s="173">
        <v>73</v>
      </c>
      <c r="CD20" s="173">
        <v>74</v>
      </c>
      <c r="CE20" s="173">
        <v>75</v>
      </c>
      <c r="CF20" s="173">
        <v>76</v>
      </c>
      <c r="CG20" s="173">
        <v>77</v>
      </c>
      <c r="CH20" s="117"/>
      <c r="CI20" s="117"/>
      <c r="CJ20" s="117"/>
      <c r="CK20" s="117"/>
      <c r="CL20" s="118"/>
      <c r="CM20" s="113" t="s">
        <v>34</v>
      </c>
    </row>
    <row r="21" spans="1:91" x14ac:dyDescent="0.3">
      <c r="A21" s="1">
        <v>8</v>
      </c>
      <c r="B21" s="1">
        <v>46.627800000000001</v>
      </c>
      <c r="C21" s="1">
        <v>47.356999999999999</v>
      </c>
      <c r="D21" s="1">
        <v>6.0151300000000001</v>
      </c>
      <c r="E21" s="114">
        <v>0</v>
      </c>
      <c r="F21" s="123" t="s">
        <v>238</v>
      </c>
      <c r="G21" s="113"/>
      <c r="H21" s="1">
        <v>0</v>
      </c>
      <c r="I21" s="1">
        <v>0.59739286766246502</v>
      </c>
      <c r="J21" s="1">
        <v>0.50548627263747026</v>
      </c>
      <c r="K21" s="1">
        <v>0.64334616517496224</v>
      </c>
      <c r="L21" s="1">
        <v>0.62036951641871352</v>
      </c>
      <c r="M21" s="114">
        <v>0.73525276019995678</v>
      </c>
      <c r="N21" s="113">
        <v>0.82715935522495154</v>
      </c>
      <c r="O21" s="1">
        <v>1.0799024915436866</v>
      </c>
      <c r="P21" s="1">
        <v>1.056925842787438</v>
      </c>
      <c r="Q21" s="1">
        <v>1.2177623840811787</v>
      </c>
      <c r="R21" s="1">
        <v>1.240739032837427</v>
      </c>
      <c r="S21" s="1">
        <v>1.5853887641811568</v>
      </c>
      <c r="T21" s="114">
        <v>1.5394354666686598</v>
      </c>
      <c r="U21" s="113">
        <v>1.6543187104499031</v>
      </c>
      <c r="V21" s="1">
        <v>1.7002720079624003</v>
      </c>
      <c r="W21" s="1">
        <v>1.6772953592061517</v>
      </c>
      <c r="X21" s="1">
        <v>1.5394354666686598</v>
      </c>
      <c r="Y21" s="1">
        <v>1.6772953592061517</v>
      </c>
      <c r="Z21" s="1">
        <v>1.5394354666686598</v>
      </c>
      <c r="AA21" s="114">
        <v>1.4245522228874166</v>
      </c>
      <c r="AB21" s="113">
        <v>3.6762638009997843E-2</v>
      </c>
      <c r="AC21" s="1">
        <v>1.5624121154249084</v>
      </c>
      <c r="AD21" s="1">
        <v>3.8119242994608125</v>
      </c>
      <c r="AE21" s="1">
        <v>3.5396439923564689</v>
      </c>
      <c r="AF21" s="1">
        <v>3.8119242994608125</v>
      </c>
      <c r="AG21" s="1">
        <v>3.2930544798899666</v>
      </c>
      <c r="AH21" s="114">
        <v>3.2146484208449677</v>
      </c>
      <c r="AI21" s="113">
        <v>2.5089938894399744</v>
      </c>
      <c r="AJ21" s="1">
        <v>2.9010241846649709</v>
      </c>
      <c r="AK21" s="1">
        <v>1.5453083168090043</v>
      </c>
      <c r="AL21" s="1">
        <v>1.6336116491980903</v>
      </c>
      <c r="AM21" s="1">
        <v>1.5894599830035472</v>
      </c>
      <c r="AN21" s="1">
        <v>1.6336116491980903</v>
      </c>
      <c r="AO21" s="114">
        <v>1.6336116491980903</v>
      </c>
      <c r="AP21" s="113">
        <v>1.5894599830035472</v>
      </c>
      <c r="AQ21" s="1">
        <v>1.6336116491980903</v>
      </c>
      <c r="AR21" s="1">
        <v>1.5894599830035472</v>
      </c>
      <c r="AS21" s="1">
        <v>1.6115358161008186</v>
      </c>
      <c r="AT21" s="1">
        <v>1.6115358161008186</v>
      </c>
      <c r="AU21" s="1">
        <v>1.6336116491980903</v>
      </c>
      <c r="AV21" s="114">
        <v>1.7219149815871762</v>
      </c>
      <c r="AW21" s="113">
        <v>1.5453083168090043</v>
      </c>
      <c r="AX21" s="1">
        <v>1.6336116491980903</v>
      </c>
      <c r="AY21" s="1">
        <v>1.5453083168090043</v>
      </c>
      <c r="AZ21" s="1">
        <v>1.5453083168090043</v>
      </c>
      <c r="BA21" s="1">
        <v>1.5894599830035472</v>
      </c>
      <c r="BB21" s="1">
        <v>1.6336116491980903</v>
      </c>
      <c r="BC21" s="114">
        <v>1.5894599830035472</v>
      </c>
      <c r="BD21" s="113">
        <v>1.5894599830035472</v>
      </c>
      <c r="BE21" s="1">
        <v>1.5453083168090043</v>
      </c>
      <c r="BF21" s="1">
        <v>1.6336116491980903</v>
      </c>
      <c r="BG21" s="1">
        <v>1.7219149815871762</v>
      </c>
      <c r="BH21" s="1">
        <v>1.5453083168090043</v>
      </c>
      <c r="BI21" s="1">
        <v>1.6777633153926332</v>
      </c>
      <c r="BJ21" s="114">
        <v>1.6336116491980903</v>
      </c>
      <c r="BK21" s="113">
        <v>2.82037193592486</v>
      </c>
      <c r="BL21" s="1">
        <v>2.9009539912369986</v>
      </c>
      <c r="BM21" s="1">
        <v>2.82037193592486</v>
      </c>
      <c r="BN21" s="1">
        <v>2.5786257699884434</v>
      </c>
      <c r="BO21" s="1">
        <v>2.9815360465491376</v>
      </c>
      <c r="BP21" s="1">
        <v>2.659207825300582</v>
      </c>
      <c r="BQ21" s="114">
        <v>2.2562975487398877</v>
      </c>
      <c r="BR21" s="113">
        <v>2.7600991791060245</v>
      </c>
      <c r="BS21" s="1">
        <v>2.1686493550118762</v>
      </c>
      <c r="BT21" s="1">
        <v>1.7743494722824442</v>
      </c>
      <c r="BU21" s="1">
        <v>1.8729244429648024</v>
      </c>
      <c r="BV21" s="1">
        <v>2.0700743843295184</v>
      </c>
      <c r="BW21" s="1">
        <v>1.9714994136471604</v>
      </c>
      <c r="BX21" s="114">
        <v>1.4786245602353703</v>
      </c>
      <c r="BY21" s="113">
        <v>1.6757745016000865</v>
      </c>
      <c r="BZ21" s="1">
        <v>1.8729244429648024</v>
      </c>
      <c r="CA21" s="1">
        <v>1.5771995309177282</v>
      </c>
      <c r="CB21" s="1">
        <v>0.2241510133247068</v>
      </c>
      <c r="CC21" s="1">
        <v>0.20173591199223612</v>
      </c>
      <c r="CD21" s="1">
        <v>0.36538019040486652</v>
      </c>
      <c r="CE21" s="114"/>
      <c r="CF21" s="113"/>
      <c r="CG21" s="1"/>
      <c r="CH21" s="1"/>
      <c r="CI21" s="1"/>
      <c r="CJ21" s="1"/>
      <c r="CK21" s="1"/>
      <c r="CL21" s="114"/>
      <c r="CM21" s="113">
        <f>SUM(G21:CL21)</f>
        <v>128.42868483689338</v>
      </c>
    </row>
    <row r="22" spans="1:91" x14ac:dyDescent="0.3">
      <c r="A22" s="1">
        <v>1</v>
      </c>
      <c r="B22" s="1">
        <v>4.4064600000000002E-2</v>
      </c>
      <c r="C22" s="1">
        <v>27.802199999999999</v>
      </c>
      <c r="D22" s="1">
        <v>0</v>
      </c>
      <c r="E22" s="114">
        <v>72.153700000000001</v>
      </c>
      <c r="F22" s="123" t="s">
        <v>239</v>
      </c>
      <c r="G22" s="113"/>
      <c r="H22" s="1">
        <v>0</v>
      </c>
      <c r="I22" s="1">
        <v>0.24133412480307526</v>
      </c>
      <c r="J22" s="1">
        <v>0.34752113971642834</v>
      </c>
      <c r="K22" s="1">
        <v>0.38613459968492037</v>
      </c>
      <c r="L22" s="1">
        <v>0.25098748979519819</v>
      </c>
      <c r="M22" s="114">
        <v>0.43440142464553544</v>
      </c>
      <c r="N22" s="113">
        <v>0.45370815462978148</v>
      </c>
      <c r="O22" s="1">
        <v>0.38613459968492037</v>
      </c>
      <c r="P22" s="1">
        <v>0.42474805965341245</v>
      </c>
      <c r="Q22" s="1">
        <v>0.51162834458251949</v>
      </c>
      <c r="R22" s="1">
        <v>1.2314431542214996</v>
      </c>
      <c r="S22" s="1">
        <v>0.40155755028961948</v>
      </c>
      <c r="T22" s="114">
        <v>0.96373812069508658</v>
      </c>
      <c r="U22" s="113">
        <v>1.3117546642794236</v>
      </c>
      <c r="V22" s="1">
        <v>1.5526891944531951</v>
      </c>
      <c r="W22" s="1">
        <v>0.95035286901876614</v>
      </c>
      <c r="X22" s="1">
        <v>1.1971855093934862</v>
      </c>
      <c r="Y22" s="1">
        <v>0.91214134049027518</v>
      </c>
      <c r="Z22" s="1">
        <v>1.2114377178386468</v>
      </c>
      <c r="AA22" s="114">
        <v>1.1544288840580046</v>
      </c>
      <c r="AB22" s="113">
        <v>0.93173316137963835</v>
      </c>
      <c r="AC22" s="1">
        <v>1.1937831130176615</v>
      </c>
      <c r="AD22" s="1">
        <v>1.1792247823711048</v>
      </c>
      <c r="AE22" s="1">
        <v>0.94856988245643492</v>
      </c>
      <c r="AF22" s="1">
        <v>1.1090970933336777</v>
      </c>
      <c r="AG22" s="1">
        <v>0.94856988245643492</v>
      </c>
      <c r="AH22" s="114">
        <v>0.97775664807047913</v>
      </c>
      <c r="AI22" s="113">
        <v>1.1054049324313406</v>
      </c>
      <c r="AJ22" s="1">
        <v>0.77226919936984062</v>
      </c>
      <c r="AK22" s="1">
        <v>0.87040590142968044</v>
      </c>
      <c r="AL22" s="1">
        <v>0.79537090992712178</v>
      </c>
      <c r="AM22" s="1">
        <v>0.82538490652814522</v>
      </c>
      <c r="AN22" s="1">
        <v>0.840391904828657</v>
      </c>
      <c r="AO22" s="114">
        <v>0.89929822889581679</v>
      </c>
      <c r="AP22" s="113">
        <v>0.71943858311665343</v>
      </c>
      <c r="AQ22" s="1">
        <v>0.9742397479704682</v>
      </c>
      <c r="AR22" s="1">
        <v>0.55456724115242029</v>
      </c>
      <c r="AS22" s="1">
        <v>0.50960232970762953</v>
      </c>
      <c r="AT22" s="1">
        <v>0.58454384878228094</v>
      </c>
      <c r="AU22" s="1">
        <v>0.79438010219130473</v>
      </c>
      <c r="AV22" s="114">
        <v>0.28477777248367531</v>
      </c>
      <c r="AW22" s="113">
        <v>0.46463741826283861</v>
      </c>
      <c r="AX22" s="1">
        <v>0.20190044427969694</v>
      </c>
      <c r="AY22" s="1">
        <v>0.10768023694917171</v>
      </c>
      <c r="AZ22" s="1">
        <v>0.17498038504240401</v>
      </c>
      <c r="BA22" s="1">
        <v>0.1278702813771414</v>
      </c>
      <c r="BB22" s="1">
        <v>0.18844041466105046</v>
      </c>
      <c r="BC22" s="114">
        <v>0.10768023694917171</v>
      </c>
      <c r="BD22" s="113">
        <v>0.18844041466105046</v>
      </c>
      <c r="BE22" s="1">
        <v>0.43072094779668685</v>
      </c>
      <c r="BF22" s="1">
        <v>0.14806032580511108</v>
      </c>
      <c r="BG22" s="1">
        <v>0.25895134065289738</v>
      </c>
      <c r="BH22" s="1">
        <v>0.32957443355823302</v>
      </c>
      <c r="BI22" s="1">
        <v>0.25895134065289738</v>
      </c>
      <c r="BJ22" s="114">
        <v>0.44727958840045912</v>
      </c>
      <c r="BK22" s="113">
        <v>0.20009876323178433</v>
      </c>
      <c r="BL22" s="1">
        <v>0.22363979420022956</v>
      </c>
      <c r="BM22" s="1">
        <v>0.2942628871055652</v>
      </c>
      <c r="BN22" s="1"/>
      <c r="BO22" s="1"/>
      <c r="BP22" s="1"/>
      <c r="BQ22" s="114"/>
      <c r="BR22" s="113"/>
      <c r="BS22" s="1"/>
      <c r="BT22" s="1"/>
      <c r="BU22" s="1"/>
      <c r="BV22" s="1"/>
      <c r="BW22" s="1"/>
      <c r="BX22" s="114"/>
      <c r="BY22" s="113"/>
      <c r="BZ22" s="1"/>
      <c r="CA22" s="1"/>
      <c r="CB22" s="1"/>
      <c r="CC22" s="1"/>
      <c r="CD22" s="1"/>
      <c r="CE22" s="114"/>
      <c r="CF22" s="113"/>
      <c r="CG22" s="1"/>
      <c r="CH22" s="1"/>
      <c r="CI22" s="1"/>
      <c r="CJ22" s="1"/>
      <c r="CK22" s="1"/>
      <c r="CL22" s="114"/>
      <c r="CM22" s="113">
        <f>SUM(G22:CL22)</f>
        <v>36.295306367420672</v>
      </c>
    </row>
    <row r="23" spans="1:91" x14ac:dyDescent="0.3">
      <c r="A23" s="3">
        <v>14</v>
      </c>
      <c r="B23" s="1">
        <v>6.4521899999999999</v>
      </c>
      <c r="C23" s="1">
        <v>47.085299999999997</v>
      </c>
      <c r="D23" s="1">
        <v>0</v>
      </c>
      <c r="E23" s="114">
        <v>46.462499999999999</v>
      </c>
      <c r="F23" s="123" t="s">
        <v>240</v>
      </c>
      <c r="G23" s="113"/>
      <c r="H23" s="1">
        <v>0</v>
      </c>
      <c r="I23" s="1">
        <v>2.5877052046264754E-2</v>
      </c>
      <c r="J23" s="1">
        <v>6.2844269255214399E-2</v>
      </c>
      <c r="K23" s="1">
        <v>8.1327877859689215E-2</v>
      </c>
      <c r="L23" s="1">
        <v>0.18113936432385325</v>
      </c>
      <c r="M23" s="114">
        <v>0.1192192754988626</v>
      </c>
      <c r="N23" s="113">
        <v>0.10165984732461153</v>
      </c>
      <c r="O23" s="1">
        <v>1.2507973465201891</v>
      </c>
      <c r="P23" s="1">
        <v>0.80933945951306352</v>
      </c>
      <c r="Q23" s="1">
        <v>1.2753227846872515</v>
      </c>
      <c r="R23" s="1">
        <v>2.9293285006586807</v>
      </c>
      <c r="S23" s="1">
        <v>4.4801494715956292</v>
      </c>
      <c r="T23" s="114">
        <v>4.2216793097728038</v>
      </c>
      <c r="U23" s="113">
        <v>4.0062875082537834</v>
      </c>
      <c r="V23" s="1">
        <v>5.019454961652694</v>
      </c>
      <c r="W23" s="1">
        <v>4.765305343341165</v>
      </c>
      <c r="X23" s="1">
        <v>4.9381732928145157</v>
      </c>
      <c r="Y23" s="1">
        <v>4.6638303321025978</v>
      </c>
      <c r="Z23" s="1">
        <v>5.4879682307546194</v>
      </c>
      <c r="AA23" s="114">
        <v>5.2593028878065109</v>
      </c>
      <c r="AB23" s="113">
        <v>4.9544157638756978</v>
      </c>
      <c r="AC23" s="1">
        <v>4.49708507797948</v>
      </c>
      <c r="AD23" s="1">
        <v>5.0306375448584006</v>
      </c>
      <c r="AE23" s="1">
        <v>4.3853516639654293</v>
      </c>
      <c r="AF23" s="1">
        <v>3.2690803313196835</v>
      </c>
      <c r="AG23" s="1">
        <v>1.2757386658808521</v>
      </c>
      <c r="AH23" s="114">
        <v>4.4650853305829816</v>
      </c>
      <c r="AI23" s="113">
        <v>3.8356260395575923</v>
      </c>
      <c r="AJ23" s="1">
        <v>2.9745671327181338</v>
      </c>
      <c r="AK23" s="1">
        <v>2.8962890502781824</v>
      </c>
      <c r="AL23" s="1">
        <v>2.7397328853982805</v>
      </c>
      <c r="AM23" s="1">
        <v>2.3483424731985258</v>
      </c>
      <c r="AN23" s="1">
        <v>2.1917863083186249</v>
      </c>
      <c r="AO23" s="114">
        <v>2.1135082258786735</v>
      </c>
      <c r="AP23" s="113">
        <v>1.6438397312389681</v>
      </c>
      <c r="AQ23" s="1">
        <v>2.030886495416671</v>
      </c>
      <c r="AR23" s="1">
        <v>1.4216205467916696</v>
      </c>
      <c r="AS23" s="1">
        <v>1.4216205467916696</v>
      </c>
      <c r="AT23" s="1">
        <v>1.4893167633055586</v>
      </c>
      <c r="AU23" s="1">
        <v>2.4370637945000051</v>
      </c>
      <c r="AV23" s="114">
        <v>0.81235459816666833</v>
      </c>
      <c r="AW23" s="113">
        <v>1.4216205467916696</v>
      </c>
      <c r="AX23" s="1">
        <v>1.4216205467916696</v>
      </c>
      <c r="AY23" s="1">
        <v>0.74465838165277931</v>
      </c>
      <c r="AZ23" s="1">
        <v>1.2185318972500025</v>
      </c>
      <c r="BA23" s="1">
        <v>1.0154432477083355</v>
      </c>
      <c r="BB23" s="1">
        <v>1.0361679938561028</v>
      </c>
      <c r="BC23" s="114">
        <v>0.63321377402317403</v>
      </c>
      <c r="BD23" s="113"/>
      <c r="BE23" s="1"/>
      <c r="BF23" s="1"/>
      <c r="BG23" s="1"/>
      <c r="BH23" s="1"/>
      <c r="BI23" s="1"/>
      <c r="BJ23" s="114"/>
      <c r="BK23" s="113"/>
      <c r="BL23" s="1"/>
      <c r="BM23" s="1"/>
      <c r="BN23" s="1"/>
      <c r="BO23" s="1"/>
      <c r="BP23" s="1"/>
      <c r="BQ23" s="114"/>
      <c r="BR23" s="113"/>
      <c r="BS23" s="1"/>
      <c r="BT23" s="1"/>
      <c r="BU23" s="1"/>
      <c r="BV23" s="1"/>
      <c r="BW23" s="1"/>
      <c r="BX23" s="114"/>
      <c r="BY23" s="113"/>
      <c r="BZ23" s="1"/>
      <c r="CA23" s="1"/>
      <c r="CB23" s="1"/>
      <c r="CC23" s="1"/>
      <c r="CD23" s="1"/>
      <c r="CE23" s="114"/>
      <c r="CF23" s="113"/>
      <c r="CG23" s="1"/>
      <c r="CH23" s="1"/>
      <c r="CI23" s="1"/>
      <c r="CJ23" s="1"/>
      <c r="CK23" s="1"/>
      <c r="CL23" s="114"/>
      <c r="CM23" s="113">
        <f>SUM(G23:CL23)</f>
        <v>115.40421247387748</v>
      </c>
    </row>
    <row r="24" spans="1:91" x14ac:dyDescent="0.3">
      <c r="A24" s="3">
        <v>16</v>
      </c>
      <c r="B24" s="1">
        <v>47.869199999999999</v>
      </c>
      <c r="C24" s="1">
        <v>4.8092300000000003</v>
      </c>
      <c r="D24" s="1">
        <v>0</v>
      </c>
      <c r="E24" s="114">
        <v>47.321599999999997</v>
      </c>
      <c r="F24" s="123" t="s">
        <v>241</v>
      </c>
      <c r="G24" s="113"/>
      <c r="H24" s="1">
        <v>0</v>
      </c>
      <c r="I24" s="1">
        <v>2.1705377453598325</v>
      </c>
      <c r="J24" s="1">
        <v>1.3812512925017113</v>
      </c>
      <c r="K24" s="1">
        <v>0.98660806607265106</v>
      </c>
      <c r="L24" s="1">
        <v>0.98660806607265106</v>
      </c>
      <c r="M24" s="114">
        <v>1.8416683900022817</v>
      </c>
      <c r="N24" s="113">
        <v>3.0913719403609732</v>
      </c>
      <c r="O24" s="1">
        <v>3.6175629089330541</v>
      </c>
      <c r="P24" s="1">
        <v>0.85506032392963094</v>
      </c>
      <c r="Q24" s="1">
        <v>3.9464322642906042</v>
      </c>
      <c r="R24" s="1">
        <v>1.8416683900022817</v>
      </c>
      <c r="S24" s="1">
        <v>3.5517890378615435</v>
      </c>
      <c r="T24" s="114">
        <v>3.0913719403609732</v>
      </c>
      <c r="U24" s="113">
        <v>4.9330403303632551</v>
      </c>
      <c r="V24" s="1">
        <v>4.5776353826421516</v>
      </c>
      <c r="W24" s="1">
        <v>4.3561368963852729</v>
      </c>
      <c r="X24" s="1">
        <v>4.4249943015694004</v>
      </c>
      <c r="Y24" s="1">
        <v>4.1836309760292503</v>
      </c>
      <c r="Z24" s="1">
        <v>4.827266510802982</v>
      </c>
      <c r="AA24" s="114">
        <v>4.8627824355821625</v>
      </c>
      <c r="AB24" s="113">
        <v>4.7803623943011102</v>
      </c>
      <c r="AC24" s="1">
        <v>5.9342429722358601</v>
      </c>
      <c r="AD24" s="1">
        <v>5.0276225181442706</v>
      </c>
      <c r="AE24" s="1">
        <v>4.5331022704579489</v>
      </c>
      <c r="AF24" s="1">
        <v>5.0810991077547074</v>
      </c>
      <c r="AG24" s="1">
        <v>4.0157073593545265</v>
      </c>
      <c r="AH24" s="114">
        <v>6.3923504904010837</v>
      </c>
      <c r="AI24" s="113">
        <v>4.4993185301802772</v>
      </c>
      <c r="AJ24" s="1">
        <v>4.0084837814333376</v>
      </c>
      <c r="AK24" s="1">
        <v>3.5176490326863985</v>
      </c>
      <c r="AL24" s="1">
        <v>3.9266779899755146</v>
      </c>
      <c r="AM24" s="1">
        <v>3.2421579869675687</v>
      </c>
      <c r="AN24" s="1">
        <v>3.4632142133517214</v>
      </c>
      <c r="AO24" s="114">
        <v>3.389528804557004</v>
      </c>
      <c r="AP24" s="113">
        <v>3.0211017605834165</v>
      </c>
      <c r="AQ24" s="1">
        <v>4.1263828925041786</v>
      </c>
      <c r="AR24" s="1">
        <v>2.652674716609829</v>
      </c>
      <c r="AS24" s="1">
        <v>2.4316184902256763</v>
      </c>
      <c r="AT24" s="1">
        <v>2.652674716609829</v>
      </c>
      <c r="AU24" s="1">
        <v>3.4632142133517214</v>
      </c>
      <c r="AV24" s="114">
        <v>1.4737081758943495</v>
      </c>
      <c r="AW24" s="113">
        <v>2.2842476726362415</v>
      </c>
      <c r="AX24" s="1">
        <v>2.1895917748764391</v>
      </c>
      <c r="AY24" s="1">
        <v>1.1279715203908927</v>
      </c>
      <c r="AZ24" s="1">
        <v>1.8578354453497055</v>
      </c>
      <c r="BA24" s="1">
        <v>1.3933765840122794</v>
      </c>
      <c r="BB24" s="1">
        <v>1.7251329135390125</v>
      </c>
      <c r="BC24" s="114">
        <v>1.1279715203908927</v>
      </c>
      <c r="BD24" s="113">
        <v>1.4597278499176258</v>
      </c>
      <c r="BE24" s="1">
        <v>0.64866009832775551</v>
      </c>
      <c r="BF24" s="1"/>
      <c r="BG24" s="1"/>
      <c r="BH24" s="1"/>
      <c r="BI24" s="1"/>
      <c r="BJ24" s="114"/>
      <c r="BK24" s="113"/>
      <c r="BL24" s="1"/>
      <c r="BM24" s="1"/>
      <c r="BN24" s="1"/>
      <c r="BO24" s="1"/>
      <c r="BP24" s="1"/>
      <c r="BQ24" s="114"/>
      <c r="BR24" s="113"/>
      <c r="BS24" s="1"/>
      <c r="BT24" s="1"/>
      <c r="BU24" s="1"/>
      <c r="BV24" s="1"/>
      <c r="BW24" s="1"/>
      <c r="BX24" s="114"/>
      <c r="BY24" s="113"/>
      <c r="BZ24" s="1"/>
      <c r="CA24" s="1"/>
      <c r="CB24" s="1"/>
      <c r="CC24" s="1"/>
      <c r="CD24" s="1"/>
      <c r="CE24" s="114"/>
      <c r="CF24" s="113"/>
      <c r="CG24" s="1"/>
      <c r="CH24" s="1"/>
      <c r="CI24" s="1"/>
      <c r="CJ24" s="1"/>
      <c r="CK24" s="1"/>
      <c r="CL24" s="114"/>
      <c r="CM24" s="113">
        <f>SUM(G24:CL24)</f>
        <v>154.97482499614384</v>
      </c>
    </row>
    <row r="25" spans="1:91" s="13" customFormat="1" x14ac:dyDescent="0.3">
      <c r="A25" s="2"/>
      <c r="F25" s="2"/>
      <c r="CM25" s="113"/>
    </row>
    <row r="26" spans="1:91" s="13" customFormat="1" x14ac:dyDescent="0.3">
      <c r="A26" s="18" t="s">
        <v>216</v>
      </c>
      <c r="F26" s="2"/>
      <c r="CM26" s="113"/>
    </row>
    <row r="27" spans="1:91" x14ac:dyDescent="0.3">
      <c r="A27" s="1" t="s">
        <v>169</v>
      </c>
      <c r="B27" s="1" t="s">
        <v>46</v>
      </c>
      <c r="C27" s="1" t="s">
        <v>248</v>
      </c>
      <c r="D27" s="1" t="s">
        <v>48</v>
      </c>
      <c r="E27" s="114" t="s">
        <v>54</v>
      </c>
      <c r="F27" s="114"/>
      <c r="G27" s="115">
        <v>45327</v>
      </c>
      <c r="H27" s="173">
        <v>0</v>
      </c>
      <c r="I27" s="173">
        <v>1</v>
      </c>
      <c r="J27" s="173">
        <v>2</v>
      </c>
      <c r="K27" s="173">
        <v>3</v>
      </c>
      <c r="L27" s="173">
        <v>4</v>
      </c>
      <c r="M27" s="173">
        <v>5</v>
      </c>
      <c r="N27" s="173">
        <v>6</v>
      </c>
      <c r="O27" s="173">
        <v>7</v>
      </c>
      <c r="P27" s="173">
        <v>8</v>
      </c>
      <c r="Q27" s="173">
        <v>9</v>
      </c>
      <c r="R27" s="173">
        <v>10</v>
      </c>
      <c r="S27" s="173">
        <v>11</v>
      </c>
      <c r="T27" s="173">
        <v>12</v>
      </c>
      <c r="U27" s="173">
        <v>13</v>
      </c>
      <c r="V27" s="173">
        <v>14</v>
      </c>
      <c r="W27" s="173">
        <v>15</v>
      </c>
      <c r="X27" s="173">
        <v>16</v>
      </c>
      <c r="Y27" s="173">
        <v>17</v>
      </c>
      <c r="Z27" s="173">
        <v>18</v>
      </c>
      <c r="AA27" s="173">
        <v>19</v>
      </c>
      <c r="AB27" s="173">
        <v>20</v>
      </c>
      <c r="AC27" s="173">
        <v>21</v>
      </c>
      <c r="AD27" s="173">
        <v>22</v>
      </c>
      <c r="AE27" s="173">
        <v>23</v>
      </c>
      <c r="AF27" s="173">
        <v>24</v>
      </c>
      <c r="AG27" s="173">
        <v>25</v>
      </c>
      <c r="AH27" s="173">
        <v>26</v>
      </c>
      <c r="AI27" s="173">
        <v>27</v>
      </c>
      <c r="AJ27" s="173">
        <v>28</v>
      </c>
      <c r="AK27" s="173">
        <v>29</v>
      </c>
      <c r="AL27" s="173">
        <v>30</v>
      </c>
      <c r="AM27" s="173">
        <v>31</v>
      </c>
      <c r="AN27" s="173">
        <v>32</v>
      </c>
      <c r="AO27" s="173">
        <v>33</v>
      </c>
      <c r="AP27" s="173">
        <v>34</v>
      </c>
      <c r="AQ27" s="173">
        <v>35</v>
      </c>
      <c r="AR27" s="173">
        <v>36</v>
      </c>
      <c r="AS27" s="173">
        <v>37</v>
      </c>
      <c r="AT27" s="173">
        <v>38</v>
      </c>
      <c r="AU27" s="173">
        <v>39</v>
      </c>
      <c r="AV27" s="173">
        <v>40</v>
      </c>
      <c r="AW27" s="173">
        <v>41</v>
      </c>
      <c r="AX27" s="173">
        <v>42</v>
      </c>
      <c r="AY27" s="173">
        <v>43</v>
      </c>
      <c r="AZ27" s="173">
        <v>44</v>
      </c>
      <c r="BA27" s="173">
        <v>45</v>
      </c>
      <c r="BB27" s="173">
        <v>46</v>
      </c>
      <c r="BC27" s="173">
        <v>47</v>
      </c>
      <c r="BD27" s="173">
        <v>48</v>
      </c>
      <c r="BE27" s="173">
        <v>49</v>
      </c>
      <c r="BF27" s="173">
        <v>50</v>
      </c>
      <c r="BG27" s="173">
        <v>51</v>
      </c>
      <c r="BH27" s="173">
        <v>52</v>
      </c>
      <c r="BI27" s="173">
        <v>53</v>
      </c>
      <c r="BJ27" s="173">
        <v>54</v>
      </c>
      <c r="BK27" s="173">
        <v>55</v>
      </c>
      <c r="BL27" s="173">
        <v>56</v>
      </c>
      <c r="BM27" s="173">
        <v>57</v>
      </c>
      <c r="BN27" s="173">
        <v>58</v>
      </c>
      <c r="BO27" s="173">
        <v>59</v>
      </c>
      <c r="BP27" s="173">
        <v>60</v>
      </c>
      <c r="BQ27" s="173">
        <v>61</v>
      </c>
      <c r="BR27" s="173">
        <v>62</v>
      </c>
      <c r="BS27" s="173">
        <v>63</v>
      </c>
      <c r="BT27" s="173">
        <v>64</v>
      </c>
      <c r="BU27" s="173">
        <v>65</v>
      </c>
      <c r="BV27" s="173">
        <v>66</v>
      </c>
      <c r="BW27" s="173">
        <v>67</v>
      </c>
      <c r="BX27" s="173">
        <v>68</v>
      </c>
      <c r="BY27" s="173">
        <v>69</v>
      </c>
      <c r="BZ27" s="173">
        <v>70</v>
      </c>
      <c r="CA27" s="173">
        <v>71</v>
      </c>
      <c r="CB27" s="173">
        <v>72</v>
      </c>
      <c r="CC27" s="173">
        <v>73</v>
      </c>
      <c r="CD27" s="173">
        <v>74</v>
      </c>
      <c r="CE27" s="173">
        <v>75</v>
      </c>
      <c r="CF27" s="173">
        <v>76</v>
      </c>
      <c r="CG27" s="173">
        <v>77</v>
      </c>
      <c r="CH27" s="117"/>
      <c r="CI27" s="117"/>
      <c r="CJ27" s="117"/>
      <c r="CK27" s="117"/>
      <c r="CL27" s="118"/>
      <c r="CM27" s="113" t="s">
        <v>34</v>
      </c>
    </row>
    <row r="28" spans="1:91" x14ac:dyDescent="0.3">
      <c r="A28" s="101" t="s">
        <v>189</v>
      </c>
      <c r="B28" s="13"/>
      <c r="C28" s="13"/>
      <c r="D28" s="13"/>
      <c r="E28" s="13"/>
      <c r="F28" s="161" t="s">
        <v>243</v>
      </c>
      <c r="G28" s="13"/>
      <c r="H28" s="1">
        <v>0</v>
      </c>
      <c r="I28" s="1">
        <v>1.697060702758922</v>
      </c>
      <c r="J28" s="1">
        <v>0.94450635633668367</v>
      </c>
      <c r="K28" s="1">
        <v>0.94281797044419979</v>
      </c>
      <c r="L28" s="1">
        <v>1.4929115602763612</v>
      </c>
      <c r="M28" s="1">
        <v>2.3077615241109308</v>
      </c>
      <c r="N28" s="1">
        <v>3.8027981218036939</v>
      </c>
      <c r="O28" s="1">
        <v>4.1344786193719667</v>
      </c>
      <c r="P28" s="1">
        <v>3.7097913472091153</v>
      </c>
      <c r="Q28" s="1">
        <v>4.5701112897343679</v>
      </c>
      <c r="R28" s="1">
        <v>4.8247548144428309</v>
      </c>
      <c r="S28" s="1">
        <v>9.1415674661624031</v>
      </c>
      <c r="T28" s="1">
        <v>9.165216512697814</v>
      </c>
      <c r="U28" s="1">
        <v>5.6172773303543826</v>
      </c>
      <c r="V28" s="1">
        <v>4.8893035537185794</v>
      </c>
      <c r="W28" s="1">
        <v>3.7606874488370217</v>
      </c>
      <c r="X28" s="1">
        <v>3.9683996677547553</v>
      </c>
      <c r="Y28" s="1">
        <v>3.3541823461301248</v>
      </c>
      <c r="Z28" s="1">
        <v>3.3750251788718209</v>
      </c>
      <c r="AA28" s="1">
        <v>2.753582730031424</v>
      </c>
      <c r="AB28" s="1">
        <v>2.1208164516707475</v>
      </c>
      <c r="AC28" s="1">
        <v>2.1427363581714416</v>
      </c>
      <c r="AD28" s="1">
        <v>2.5175580263028334</v>
      </c>
      <c r="AE28" s="1">
        <v>1.7351716477665031</v>
      </c>
      <c r="AF28" s="1">
        <v>1.9659856433096694</v>
      </c>
      <c r="AG28" s="1">
        <v>1.2649212445878661</v>
      </c>
      <c r="AH28" s="1">
        <v>1.2974372280689759</v>
      </c>
      <c r="AI28" s="1">
        <v>2.5556456832291392</v>
      </c>
      <c r="AJ28" s="1">
        <v>1.1971179959538465</v>
      </c>
      <c r="AK28" s="1">
        <v>0.61627831681752432</v>
      </c>
      <c r="AL28" s="1">
        <v>0.56371711737840946</v>
      </c>
      <c r="AM28" s="1">
        <v>0.44940174841662206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13">
        <f>SUM(G28:CL28)</f>
        <v>92.879022002720973</v>
      </c>
    </row>
    <row r="29" spans="1:91" x14ac:dyDescent="0.3">
      <c r="A29" s="3">
        <v>21</v>
      </c>
      <c r="B29" s="13"/>
      <c r="C29" s="13"/>
      <c r="D29" s="13"/>
      <c r="E29" s="13"/>
      <c r="F29" s="161" t="s">
        <v>244</v>
      </c>
      <c r="G29" s="13"/>
      <c r="H29" s="1">
        <v>0</v>
      </c>
      <c r="I29" s="1">
        <v>2.2008263284116847</v>
      </c>
      <c r="J29" s="1">
        <v>1.7793914995668945</v>
      </c>
      <c r="K29" s="1">
        <v>1.7793914995668945</v>
      </c>
      <c r="L29" s="1">
        <v>1.732565407473029</v>
      </c>
      <c r="M29" s="1">
        <v>1.4516088549098347</v>
      </c>
      <c r="N29" s="1">
        <v>1.4984349470037004</v>
      </c>
      <c r="O29" s="1">
        <v>1.9198697758484913</v>
      </c>
      <c r="P29" s="1">
        <v>2.7627394335380728</v>
      </c>
      <c r="Q29" s="1">
        <v>3.6524351833215203</v>
      </c>
      <c r="R29" s="1">
        <v>4.354826564729505</v>
      </c>
      <c r="S29" s="1">
        <v>4.6357831172926982</v>
      </c>
      <c r="T29" s="1">
        <v>3.5119569070399232</v>
      </c>
      <c r="U29" s="1">
        <v>3.9333917358847144</v>
      </c>
      <c r="V29" s="1">
        <v>4.7762613935742957</v>
      </c>
      <c r="W29" s="1">
        <v>5.4318266828884152</v>
      </c>
      <c r="X29" s="1">
        <v>5.6877250146955571</v>
      </c>
      <c r="Y29" s="1">
        <v>5.5443369891149965</v>
      </c>
      <c r="Z29" s="1">
        <v>5.9267050573298237</v>
      </c>
      <c r="AA29" s="1">
        <v>5.6399290061687042</v>
      </c>
      <c r="AB29" s="1">
        <v>3.5050569952001873</v>
      </c>
      <c r="AC29" s="1">
        <v>3.4424666917144693</v>
      </c>
      <c r="AD29" s="1">
        <v>4.7714977533717731</v>
      </c>
      <c r="AE29" s="1">
        <v>5.2827296555187484</v>
      </c>
      <c r="AF29" s="1">
        <v>4.6010871193227816</v>
      </c>
      <c r="AG29" s="1">
        <v>4.3880738267615413</v>
      </c>
      <c r="AH29" s="1">
        <v>4.3454711682492935</v>
      </c>
      <c r="AI29" s="1">
        <v>4.4306764852737892</v>
      </c>
      <c r="AJ29" s="1">
        <v>3.57862331502883</v>
      </c>
      <c r="AK29" s="1">
        <v>3.2378020469308466</v>
      </c>
      <c r="AL29" s="1">
        <v>3.2378020469308466</v>
      </c>
      <c r="AM29" s="1">
        <v>3.2804047054430949</v>
      </c>
      <c r="AN29" s="1">
        <v>3.57862331502883</v>
      </c>
      <c r="AO29" s="1">
        <v>3.1099940713941026</v>
      </c>
      <c r="AP29" s="1">
        <v>3.0247887543696068</v>
      </c>
      <c r="AQ29" s="1">
        <v>2.3005435596613908</v>
      </c>
      <c r="AR29" s="1">
        <v>2.1301329256123989</v>
      </c>
      <c r="AS29" s="1">
        <v>2.0449276085879027</v>
      </c>
      <c r="AT29" s="1">
        <v>1.9171196330511588</v>
      </c>
      <c r="AU29" s="1">
        <v>2.0023249500756553</v>
      </c>
      <c r="AV29" s="1">
        <v>1.789311657514415</v>
      </c>
      <c r="AW29" s="1">
        <v>2.0449276085879027</v>
      </c>
      <c r="AX29" s="1">
        <v>2.0023249500756553</v>
      </c>
      <c r="AY29" s="1">
        <v>1.704106340489919</v>
      </c>
      <c r="AZ29" s="1">
        <v>1.0224638042939513</v>
      </c>
      <c r="BA29" s="1">
        <v>1.1502717798306954</v>
      </c>
      <c r="BB29" s="1">
        <v>1.0650664628061994</v>
      </c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13">
        <f t="shared" ref="CM29:CM32" si="1">SUM(G29:CL29)</f>
        <v>147.20862462948475</v>
      </c>
    </row>
    <row r="30" spans="1:91" x14ac:dyDescent="0.3">
      <c r="A30" s="129" t="s">
        <v>191</v>
      </c>
      <c r="B30" s="13"/>
      <c r="C30" s="13"/>
      <c r="D30" s="13"/>
      <c r="E30" s="13"/>
      <c r="F30" s="161" t="s">
        <v>245</v>
      </c>
      <c r="G30" s="13"/>
      <c r="H30" s="3">
        <v>0</v>
      </c>
      <c r="I30" s="1">
        <v>2.3980928042047382E-2</v>
      </c>
      <c r="J30" s="1">
        <v>1.7449765979745651</v>
      </c>
      <c r="K30" s="1">
        <v>1.864687060629806</v>
      </c>
      <c r="L30" s="1">
        <v>2.1041079859402876</v>
      </c>
      <c r="M30" s="1">
        <v>2.1129430646926206</v>
      </c>
      <c r="N30" s="1">
        <v>2.7547969727330064</v>
      </c>
      <c r="O30" s="1">
        <v>2.6033384798358643</v>
      </c>
      <c r="P30" s="1">
        <v>2.6738249322995342</v>
      </c>
      <c r="Q30" s="1">
        <v>3.0722772751520138</v>
      </c>
      <c r="R30" s="1">
        <v>3.4717005057794759</v>
      </c>
      <c r="S30" s="1">
        <v>4.073359659935619</v>
      </c>
      <c r="T30" s="1">
        <v>3.0181017373080365</v>
      </c>
      <c r="U30" s="1">
        <v>2.834409770281503</v>
      </c>
      <c r="V30" s="1">
        <v>6.25438622984883</v>
      </c>
      <c r="W30" s="1">
        <v>7.4735664171848812</v>
      </c>
      <c r="X30" s="1">
        <v>8.8315471480517509</v>
      </c>
      <c r="Y30" s="1">
        <v>7.8477526337114138</v>
      </c>
      <c r="Z30" s="1">
        <v>4.1855578784319389</v>
      </c>
      <c r="AA30" s="1">
        <v>4.1003260678857352</v>
      </c>
      <c r="AB30" s="1">
        <v>3.5945906258977804</v>
      </c>
      <c r="AC30" s="1">
        <v>6.7498788058107273</v>
      </c>
      <c r="AD30" s="1">
        <v>3.0966951026928027</v>
      </c>
      <c r="AE30" s="1">
        <v>2.3140139228913252</v>
      </c>
      <c r="AF30" s="1">
        <v>1.5313327430898476</v>
      </c>
      <c r="AG30" s="1">
        <v>2.2459546898651093</v>
      </c>
      <c r="AH30" s="1">
        <v>1.4292438935505243</v>
      </c>
      <c r="AI30" s="1">
        <v>1.1910365779587704</v>
      </c>
      <c r="AJ30" s="1">
        <v>0.78268117980147767</v>
      </c>
      <c r="AK30" s="1">
        <v>1.1899321931147286</v>
      </c>
      <c r="AL30" s="1">
        <v>1.1332687553473606</v>
      </c>
      <c r="AM30" s="1">
        <v>1.1899321931147286</v>
      </c>
      <c r="AN30" s="1">
        <v>1.0766053175799926</v>
      </c>
      <c r="AO30" s="1">
        <v>1.1332687553473606</v>
      </c>
      <c r="AP30" s="1">
        <v>1.1899321931147286</v>
      </c>
      <c r="AQ30" s="1">
        <v>2.2098740729273532</v>
      </c>
      <c r="AR30" s="1">
        <v>1.3032590686494645</v>
      </c>
      <c r="AS30" s="1">
        <v>0.56510522942808405</v>
      </c>
      <c r="AT30" s="1">
        <v>0.58528755905051577</v>
      </c>
      <c r="AU30" s="1">
        <v>0.68619920716267369</v>
      </c>
      <c r="AV30" s="1">
        <v>0.4440112516934947</v>
      </c>
      <c r="AW30" s="1">
        <v>0.66601687754024208</v>
      </c>
      <c r="AX30" s="1">
        <v>0.68619920716267369</v>
      </c>
      <c r="AY30" s="1">
        <v>0.4440112516934947</v>
      </c>
      <c r="AZ30" s="1">
        <v>0.68619920716267369</v>
      </c>
      <c r="BA30" s="1">
        <v>1.694077806371151</v>
      </c>
      <c r="BB30" s="1">
        <v>1.694077806371151</v>
      </c>
      <c r="BC30" s="1">
        <v>1.5246700257340358</v>
      </c>
      <c r="BD30" s="1">
        <v>1.9764241074330093</v>
      </c>
      <c r="BE30" s="1">
        <v>2.3717089289196114</v>
      </c>
      <c r="BF30" s="1">
        <v>2.2023011482824963</v>
      </c>
      <c r="BG30" s="1">
        <v>1.1839612332985912</v>
      </c>
      <c r="BH30" s="1">
        <v>1.5658842117820078</v>
      </c>
      <c r="BI30" s="1">
        <v>1.0693843397535663</v>
      </c>
      <c r="BJ30" s="1">
        <v>1.6804611053270329</v>
      </c>
      <c r="BK30" s="1">
        <v>1.0992027305426912</v>
      </c>
      <c r="BL30" s="1">
        <v>1.0992027305426912</v>
      </c>
      <c r="BM30" s="1">
        <v>1.1515457177113908</v>
      </c>
      <c r="BN30" s="1">
        <v>1.2038887048800904</v>
      </c>
      <c r="BO30" s="1">
        <v>0.83748779469919321</v>
      </c>
      <c r="BP30" s="1">
        <v>0.88983078186789277</v>
      </c>
      <c r="BQ30" s="1">
        <v>1.0468597433739917</v>
      </c>
      <c r="BR30" s="1">
        <v>0.68045883319309453</v>
      </c>
      <c r="BS30" s="1">
        <v>0.5757728588556954</v>
      </c>
      <c r="BT30" s="1">
        <v>0.62811584602439496</v>
      </c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13">
        <f t="shared" si="1"/>
        <v>135.34548768233063</v>
      </c>
    </row>
    <row r="31" spans="1:91" x14ac:dyDescent="0.3">
      <c r="A31" s="78" t="s">
        <v>193</v>
      </c>
      <c r="B31" s="13"/>
      <c r="C31" s="13"/>
      <c r="D31" s="13"/>
      <c r="E31" s="13"/>
      <c r="F31" s="161" t="s">
        <v>246</v>
      </c>
      <c r="G31" s="13"/>
      <c r="H31" s="3">
        <v>0</v>
      </c>
      <c r="I31" s="1">
        <v>2.6350821251432373</v>
      </c>
      <c r="J31" s="1">
        <v>3.0090105318301963</v>
      </c>
      <c r="K31" s="1">
        <v>5.5854642681407194</v>
      </c>
      <c r="L31" s="1">
        <v>6.5495761978731712</v>
      </c>
      <c r="M31" s="1">
        <v>6.2507186696895722</v>
      </c>
      <c r="N31" s="1">
        <v>6.2940220761142127</v>
      </c>
      <c r="O31" s="1">
        <v>8.16370485200129</v>
      </c>
      <c r="P31" s="1">
        <v>4.3022865538931701</v>
      </c>
      <c r="Q31" s="1">
        <v>7.4841207479500902</v>
      </c>
      <c r="R31" s="1">
        <v>7.147186487934504</v>
      </c>
      <c r="S31" s="1">
        <v>7.3792729571794631</v>
      </c>
      <c r="T31" s="1">
        <v>2.8505864163097301</v>
      </c>
      <c r="U31" s="1">
        <v>2.2623701716743891</v>
      </c>
      <c r="V31" s="1">
        <v>6.9355992925373346</v>
      </c>
      <c r="W31" s="1">
        <v>6.2015425297861073</v>
      </c>
      <c r="X31" s="1">
        <v>5.0971485164989945</v>
      </c>
      <c r="Y31" s="1">
        <v>5.1949129409230101</v>
      </c>
      <c r="Z31" s="1">
        <v>7.0049604073709952</v>
      </c>
      <c r="AA31" s="1">
        <v>7.3509802342453003</v>
      </c>
      <c r="AB31" s="1">
        <v>6.6641788957899939</v>
      </c>
      <c r="AC31" s="1">
        <v>6.7072087457493161</v>
      </c>
      <c r="AD31" s="1">
        <v>6.1858683263584791</v>
      </c>
      <c r="AE31" s="1">
        <v>4.7684093097422648</v>
      </c>
      <c r="AF31" s="1">
        <v>4.0377050687787515</v>
      </c>
      <c r="AG31" s="1">
        <v>4.8976501887287069</v>
      </c>
      <c r="AH31" s="1">
        <v>3.8118929371851027</v>
      </c>
      <c r="AI31" s="1">
        <v>3.4029376622369223</v>
      </c>
      <c r="AJ31" s="1">
        <v>2.6315258910941171</v>
      </c>
      <c r="AK31" s="1">
        <v>2.3090435609377207</v>
      </c>
      <c r="AL31" s="1">
        <v>2.3864192981701349</v>
      </c>
      <c r="AM31" s="1">
        <v>2.618546509867377</v>
      </c>
      <c r="AN31" s="1">
        <v>2.5086128969819859</v>
      </c>
      <c r="AO31" s="1">
        <v>2.4996600341106983</v>
      </c>
      <c r="AP31" s="1">
        <v>2.5752140016911076</v>
      </c>
      <c r="AQ31" s="1">
        <v>2.7033199123639999</v>
      </c>
      <c r="AR31" s="1">
        <v>1.8708782758440168</v>
      </c>
      <c r="AS31" s="1">
        <v>3.3660424615210909</v>
      </c>
      <c r="AT31" s="1">
        <v>1.7920218414886957</v>
      </c>
      <c r="AU31" s="1">
        <v>3.3817737043819123</v>
      </c>
      <c r="AV31" s="1">
        <v>3.9809624734516253</v>
      </c>
      <c r="AW31" s="1">
        <v>4.7200561673748807</v>
      </c>
      <c r="AX31" s="1">
        <v>2.6016558532216369</v>
      </c>
      <c r="AY31" s="1">
        <v>1.296367792156087</v>
      </c>
      <c r="AZ31" s="1">
        <v>2.1694738882629507</v>
      </c>
      <c r="BA31" s="1">
        <v>2.9118933303624206</v>
      </c>
      <c r="BB31" s="1">
        <v>3.2714093855724053</v>
      </c>
      <c r="BC31" s="1">
        <v>2.3993404758936161</v>
      </c>
      <c r="BD31" s="1">
        <v>2.6813131677818003</v>
      </c>
      <c r="BE31" s="1">
        <v>2.9553410814751424</v>
      </c>
      <c r="BF31" s="1">
        <v>3.8496844718511225</v>
      </c>
      <c r="BG31" s="1">
        <v>2.5682877848032954</v>
      </c>
      <c r="BH31" s="1">
        <v>2.7998329614679482</v>
      </c>
      <c r="BI31" s="1">
        <v>1.6725707917504051</v>
      </c>
      <c r="BJ31" s="1">
        <v>2.7981159581218105</v>
      </c>
      <c r="BK31" s="1">
        <v>1.439052516325275</v>
      </c>
      <c r="BL31" s="1">
        <v>1.2606645991869978</v>
      </c>
      <c r="BM31" s="1">
        <v>1.6248672004793909</v>
      </c>
      <c r="BN31" s="1"/>
      <c r="BO31" s="1"/>
      <c r="BP31" s="1"/>
      <c r="BQ31" s="1"/>
      <c r="BR31" s="1"/>
      <c r="BS31" s="1"/>
      <c r="BT31" s="1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13">
        <f t="shared" si="1"/>
        <v>225.81834539965669</v>
      </c>
    </row>
    <row r="32" spans="1:91" x14ac:dyDescent="0.3">
      <c r="A32" s="85" t="s">
        <v>195</v>
      </c>
      <c r="B32" s="13"/>
      <c r="C32" s="13"/>
      <c r="D32" s="13"/>
      <c r="E32" s="13"/>
      <c r="F32" s="161" t="s">
        <v>247</v>
      </c>
      <c r="G32" s="13"/>
      <c r="H32" s="3">
        <v>0</v>
      </c>
      <c r="I32" s="1">
        <v>0.51287157173929954</v>
      </c>
      <c r="J32" s="1">
        <v>0</v>
      </c>
      <c r="K32" s="1">
        <v>0.22687404823243107</v>
      </c>
      <c r="L32" s="1">
        <v>0.24728405236517426</v>
      </c>
      <c r="M32" s="1">
        <v>0.36862644218762153</v>
      </c>
      <c r="N32" s="1">
        <v>0.22438131263594355</v>
      </c>
      <c r="O32" s="1">
        <v>0.23506613704717894</v>
      </c>
      <c r="P32" s="1">
        <v>0.23506613704717894</v>
      </c>
      <c r="Q32" s="1">
        <v>0.24575096145841435</v>
      </c>
      <c r="R32" s="1">
        <v>0.5293142642889006</v>
      </c>
      <c r="S32" s="1">
        <v>1.3294882422534176</v>
      </c>
      <c r="T32" s="1">
        <v>0.39533850321571007</v>
      </c>
      <c r="U32" s="1">
        <v>1.7966538098984346</v>
      </c>
      <c r="V32" s="1">
        <v>0.74632269699157106</v>
      </c>
      <c r="W32" s="1">
        <v>1.9374699651319391</v>
      </c>
      <c r="X32" s="1">
        <v>1.4650380546774417</v>
      </c>
      <c r="Y32" s="1">
        <v>1.4198996453081811</v>
      </c>
      <c r="Z32" s="1">
        <v>1.5590247193506417</v>
      </c>
      <c r="AA32" s="1">
        <v>1.9045436195886638</v>
      </c>
      <c r="AB32" s="1">
        <v>1.9260185952673239</v>
      </c>
      <c r="AC32" s="1">
        <v>1.9878513113426386</v>
      </c>
      <c r="AD32" s="1">
        <v>2.0288117554163776</v>
      </c>
      <c r="AE32" s="1">
        <v>1.5782117616531832</v>
      </c>
      <c r="AF32" s="1">
        <v>1.7503451021270668</v>
      </c>
      <c r="AG32" s="1">
        <v>1.2609263103659885</v>
      </c>
      <c r="AH32" s="1">
        <v>1.3477624518023157</v>
      </c>
      <c r="AI32" s="1">
        <v>1.3693427543371659</v>
      </c>
      <c r="AJ32" s="1">
        <v>0.75699581841878527</v>
      </c>
      <c r="AK32" s="1">
        <v>0.50507153288925744</v>
      </c>
      <c r="AL32" s="1">
        <v>0.47192868214159178</v>
      </c>
      <c r="AM32" s="1">
        <v>0.60294943974946258</v>
      </c>
      <c r="AN32" s="1">
        <v>0.52403036700338812</v>
      </c>
      <c r="AO32" s="1">
        <v>0.46168271963114654</v>
      </c>
      <c r="AP32" s="1">
        <v>0.35355885026049594</v>
      </c>
      <c r="AQ32" s="1">
        <v>0.38276364688507203</v>
      </c>
      <c r="AR32" s="1">
        <v>0.31963189958341887</v>
      </c>
      <c r="AS32" s="1">
        <v>0.11758573195168426</v>
      </c>
      <c r="AT32" s="1">
        <v>0.14205082004772765</v>
      </c>
      <c r="AU32" s="1">
        <v>0.25896363041820047</v>
      </c>
      <c r="AV32" s="1">
        <v>0.12948181520910024</v>
      </c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13">
        <f t="shared" si="1"/>
        <v>33.654979179919529</v>
      </c>
    </row>
    <row r="33" spans="91:91" x14ac:dyDescent="0.3">
      <c r="CM33" s="113"/>
    </row>
  </sheetData>
  <mergeCells count="12">
    <mergeCell ref="CF2:CL2"/>
    <mergeCell ref="G2:M2"/>
    <mergeCell ref="N2:T2"/>
    <mergeCell ref="U2:AA2"/>
    <mergeCell ref="AB2:AH2"/>
    <mergeCell ref="AI2:AO2"/>
    <mergeCell ref="AP2:AV2"/>
    <mergeCell ref="AW2:BC2"/>
    <mergeCell ref="BD2:BJ2"/>
    <mergeCell ref="BK2:BQ2"/>
    <mergeCell ref="BR2:BX2"/>
    <mergeCell ref="BY2:CE2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496B0-3EC1-411C-9A8D-CB47A9579E39}">
  <dimension ref="A1:CM31"/>
  <sheetViews>
    <sheetView zoomScale="80" zoomScaleNormal="80" workbookViewId="0">
      <selection activeCell="G36" sqref="G36"/>
    </sheetView>
  </sheetViews>
  <sheetFormatPr baseColWidth="10" defaultRowHeight="14.4" x14ac:dyDescent="0.3"/>
  <cols>
    <col min="1" max="5" width="11.5546875" style="202"/>
    <col min="6" max="6" width="16.5546875" style="202" customWidth="1"/>
    <col min="7" max="16384" width="11.5546875" style="202"/>
  </cols>
  <sheetData>
    <row r="1" spans="1:91" x14ac:dyDescent="0.3">
      <c r="G1" s="22" t="s">
        <v>280</v>
      </c>
    </row>
    <row r="2" spans="1:91" ht="15" thickBot="1" x14ac:dyDescent="0.35">
      <c r="F2" s="120"/>
      <c r="G2" s="242" t="s">
        <v>60</v>
      </c>
      <c r="H2" s="243"/>
      <c r="I2" s="243"/>
      <c r="J2" s="243"/>
      <c r="K2" s="243"/>
      <c r="L2" s="243"/>
      <c r="M2" s="244"/>
      <c r="N2" s="242" t="s">
        <v>61</v>
      </c>
      <c r="O2" s="243"/>
      <c r="P2" s="243"/>
      <c r="Q2" s="243"/>
      <c r="R2" s="243"/>
      <c r="S2" s="243"/>
      <c r="T2" s="244"/>
      <c r="U2" s="242" t="s">
        <v>62</v>
      </c>
      <c r="V2" s="243"/>
      <c r="W2" s="243"/>
      <c r="X2" s="243"/>
      <c r="Y2" s="243"/>
      <c r="Z2" s="243"/>
      <c r="AA2" s="244"/>
      <c r="AB2" s="242" t="s">
        <v>63</v>
      </c>
      <c r="AC2" s="243"/>
      <c r="AD2" s="243"/>
      <c r="AE2" s="243"/>
      <c r="AF2" s="243"/>
      <c r="AG2" s="243"/>
      <c r="AH2" s="244"/>
      <c r="AI2" s="242" t="s">
        <v>64</v>
      </c>
      <c r="AJ2" s="243"/>
      <c r="AK2" s="243"/>
      <c r="AL2" s="243"/>
      <c r="AM2" s="243"/>
      <c r="AN2" s="243"/>
      <c r="AO2" s="244"/>
      <c r="AP2" s="242" t="s">
        <v>65</v>
      </c>
      <c r="AQ2" s="243"/>
      <c r="AR2" s="243"/>
      <c r="AS2" s="243"/>
      <c r="AT2" s="243"/>
      <c r="AU2" s="243"/>
      <c r="AV2" s="244"/>
      <c r="AW2" s="242" t="s">
        <v>86</v>
      </c>
      <c r="AX2" s="243"/>
      <c r="AY2" s="243"/>
      <c r="AZ2" s="243"/>
      <c r="BA2" s="243"/>
      <c r="BB2" s="243"/>
      <c r="BC2" s="244"/>
      <c r="BD2" s="242" t="s">
        <v>87</v>
      </c>
      <c r="BE2" s="243"/>
      <c r="BF2" s="243"/>
      <c r="BG2" s="243"/>
      <c r="BH2" s="243"/>
      <c r="BI2" s="243"/>
      <c r="BJ2" s="244"/>
      <c r="BK2" s="242" t="s">
        <v>93</v>
      </c>
      <c r="BL2" s="243"/>
      <c r="BM2" s="243"/>
      <c r="BN2" s="243"/>
      <c r="BO2" s="243"/>
      <c r="BP2" s="243"/>
      <c r="BQ2" s="244"/>
      <c r="BR2" s="242" t="s">
        <v>95</v>
      </c>
      <c r="BS2" s="243"/>
      <c r="BT2" s="243"/>
      <c r="BU2" s="243"/>
      <c r="BV2" s="243"/>
      <c r="BW2" s="243"/>
      <c r="BX2" s="244"/>
      <c r="BY2" s="242" t="s">
        <v>101</v>
      </c>
      <c r="BZ2" s="243"/>
      <c r="CA2" s="243"/>
      <c r="CB2" s="243"/>
      <c r="CC2" s="243"/>
      <c r="CD2" s="243"/>
      <c r="CE2" s="244"/>
      <c r="CF2" s="242" t="s">
        <v>102</v>
      </c>
      <c r="CG2" s="243"/>
      <c r="CH2" s="243"/>
      <c r="CI2" s="243"/>
      <c r="CJ2" s="243"/>
      <c r="CK2" s="243"/>
      <c r="CL2" s="244"/>
      <c r="CM2" s="113"/>
    </row>
    <row r="3" spans="1:91" ht="15" thickTop="1" x14ac:dyDescent="0.3">
      <c r="A3" s="1" t="s">
        <v>169</v>
      </c>
      <c r="B3" s="1" t="s">
        <v>46</v>
      </c>
      <c r="C3" s="1" t="s">
        <v>47</v>
      </c>
      <c r="D3" s="1" t="s">
        <v>48</v>
      </c>
      <c r="E3" s="114" t="s">
        <v>54</v>
      </c>
      <c r="F3" s="114"/>
      <c r="G3" s="115">
        <v>45327</v>
      </c>
      <c r="H3" s="173">
        <v>0</v>
      </c>
      <c r="I3" s="173">
        <v>1</v>
      </c>
      <c r="J3" s="173">
        <v>2</v>
      </c>
      <c r="K3" s="173">
        <v>3</v>
      </c>
      <c r="L3" s="173">
        <v>4</v>
      </c>
      <c r="M3" s="173">
        <v>5</v>
      </c>
      <c r="N3" s="173">
        <v>6</v>
      </c>
      <c r="O3" s="173">
        <v>7</v>
      </c>
      <c r="P3" s="173">
        <v>8</v>
      </c>
      <c r="Q3" s="173">
        <v>9</v>
      </c>
      <c r="R3" s="173">
        <v>10</v>
      </c>
      <c r="S3" s="173">
        <v>11</v>
      </c>
      <c r="T3" s="173">
        <v>12</v>
      </c>
      <c r="U3" s="173">
        <v>13</v>
      </c>
      <c r="V3" s="173">
        <v>14</v>
      </c>
      <c r="W3" s="173">
        <v>15</v>
      </c>
      <c r="X3" s="173">
        <v>16</v>
      </c>
      <c r="Y3" s="173">
        <v>17</v>
      </c>
      <c r="Z3" s="173">
        <v>18</v>
      </c>
      <c r="AA3" s="173">
        <v>19</v>
      </c>
      <c r="AB3" s="173">
        <v>20</v>
      </c>
      <c r="AC3" s="173">
        <v>21</v>
      </c>
      <c r="AD3" s="173">
        <v>22</v>
      </c>
      <c r="AE3" s="173">
        <v>23</v>
      </c>
      <c r="AF3" s="173">
        <v>24</v>
      </c>
      <c r="AG3" s="173">
        <v>25</v>
      </c>
      <c r="AH3" s="173">
        <v>26</v>
      </c>
      <c r="AI3" s="173">
        <v>27</v>
      </c>
      <c r="AJ3" s="173">
        <v>28</v>
      </c>
      <c r="AK3" s="173">
        <v>29</v>
      </c>
      <c r="AL3" s="173">
        <v>30</v>
      </c>
      <c r="AM3" s="173">
        <v>31</v>
      </c>
      <c r="AN3" s="173">
        <v>32</v>
      </c>
      <c r="AO3" s="173">
        <v>33</v>
      </c>
      <c r="AP3" s="173">
        <v>34</v>
      </c>
      <c r="AQ3" s="173">
        <v>35</v>
      </c>
      <c r="AR3" s="173">
        <v>36</v>
      </c>
      <c r="AS3" s="173">
        <v>37</v>
      </c>
      <c r="AT3" s="173">
        <v>38</v>
      </c>
      <c r="AU3" s="173">
        <v>39</v>
      </c>
      <c r="AV3" s="173">
        <v>40</v>
      </c>
      <c r="AW3" s="173">
        <v>41</v>
      </c>
      <c r="AX3" s="173">
        <v>42</v>
      </c>
      <c r="AY3" s="173">
        <v>43</v>
      </c>
      <c r="AZ3" s="173">
        <v>44</v>
      </c>
      <c r="BA3" s="173">
        <v>45</v>
      </c>
      <c r="BB3" s="173">
        <v>46</v>
      </c>
      <c r="BC3" s="173">
        <v>47</v>
      </c>
      <c r="BD3" s="173">
        <v>48</v>
      </c>
      <c r="BE3" s="173">
        <v>49</v>
      </c>
      <c r="BF3" s="173">
        <v>50</v>
      </c>
      <c r="BG3" s="173">
        <v>51</v>
      </c>
      <c r="BH3" s="173">
        <v>52</v>
      </c>
      <c r="BI3" s="173">
        <v>53</v>
      </c>
      <c r="BJ3" s="173">
        <v>54</v>
      </c>
      <c r="BK3" s="173">
        <v>55</v>
      </c>
      <c r="BL3" s="173">
        <v>56</v>
      </c>
      <c r="BM3" s="173">
        <v>57</v>
      </c>
      <c r="BN3" s="173">
        <v>58</v>
      </c>
      <c r="BO3" s="173">
        <v>59</v>
      </c>
      <c r="BP3" s="173">
        <v>60</v>
      </c>
      <c r="BQ3" s="173">
        <v>61</v>
      </c>
      <c r="BR3" s="173">
        <v>62</v>
      </c>
      <c r="BS3" s="173">
        <v>63</v>
      </c>
      <c r="BT3" s="173">
        <v>64</v>
      </c>
      <c r="BU3" s="173">
        <v>65</v>
      </c>
      <c r="BV3" s="173">
        <v>66</v>
      </c>
      <c r="BW3" s="173">
        <v>67</v>
      </c>
      <c r="BX3" s="173">
        <v>68</v>
      </c>
      <c r="BY3" s="173">
        <v>69</v>
      </c>
      <c r="BZ3" s="173">
        <v>70</v>
      </c>
      <c r="CA3" s="173">
        <v>71</v>
      </c>
      <c r="CB3" s="173">
        <v>72</v>
      </c>
      <c r="CC3" s="173">
        <v>73</v>
      </c>
      <c r="CD3" s="173">
        <v>74</v>
      </c>
      <c r="CE3" s="173">
        <v>75</v>
      </c>
      <c r="CF3" s="173">
        <v>76</v>
      </c>
      <c r="CG3" s="173">
        <v>77</v>
      </c>
      <c r="CH3" s="117"/>
      <c r="CI3" s="117"/>
      <c r="CJ3" s="117"/>
      <c r="CK3" s="117"/>
      <c r="CL3" s="118"/>
      <c r="CM3" s="113" t="s">
        <v>34</v>
      </c>
    </row>
    <row r="4" spans="1:91" x14ac:dyDescent="0.3">
      <c r="A4" s="1">
        <v>9</v>
      </c>
      <c r="B4" s="1">
        <v>100</v>
      </c>
      <c r="C4" s="1">
        <v>0</v>
      </c>
      <c r="D4" s="1">
        <v>0</v>
      </c>
      <c r="E4" s="114">
        <v>0</v>
      </c>
      <c r="F4" s="121" t="s">
        <v>268</v>
      </c>
      <c r="G4" s="113"/>
      <c r="H4" s="1">
        <v>0</v>
      </c>
      <c r="I4" s="1">
        <v>0</v>
      </c>
      <c r="J4" s="1">
        <v>0</v>
      </c>
      <c r="K4" s="1">
        <v>1.9042225660276599</v>
      </c>
      <c r="L4" s="1">
        <v>5.8486835956563841</v>
      </c>
      <c r="M4" s="114">
        <v>11.357327447379259</v>
      </c>
      <c r="N4" s="113">
        <v>16.865971299102132</v>
      </c>
      <c r="O4" s="1">
        <v>21.422503867811177</v>
      </c>
      <c r="P4" s="1">
        <v>25.502980795013304</v>
      </c>
      <c r="Q4" s="1">
        <v>31.215648493096285</v>
      </c>
      <c r="R4" s="1">
        <v>42.776999786835653</v>
      </c>
      <c r="S4" s="1">
        <v>46.993492611611188</v>
      </c>
      <c r="T4" s="114">
        <v>57.126676980829806</v>
      </c>
      <c r="U4" s="113">
        <v>63.519424166779807</v>
      </c>
      <c r="V4" s="1">
        <v>75.42081520445268</v>
      </c>
      <c r="W4" s="1">
        <v>82.833681622203216</v>
      </c>
      <c r="X4" s="1">
        <v>89.236011015594556</v>
      </c>
      <c r="Y4" s="1">
        <v>96.693669429874575</v>
      </c>
      <c r="Z4" s="1">
        <v>104.14866969264962</v>
      </c>
      <c r="AA4" s="114">
        <v>108.6473767477725</v>
      </c>
      <c r="AB4" s="113">
        <v>112.50341136644924</v>
      </c>
      <c r="AC4" s="1">
        <v>117.77332534530747</v>
      </c>
      <c r="AD4" s="1">
        <v>121.91671900369603</v>
      </c>
      <c r="AE4" s="1">
        <v>126.19377052203261</v>
      </c>
      <c r="AF4" s="1">
        <v>130.67399913685472</v>
      </c>
      <c r="AG4" s="1">
        <v>134.627142032286</v>
      </c>
      <c r="AH4" s="114">
        <v>139.37091350680353</v>
      </c>
      <c r="AI4" s="113">
        <v>143.91037173943423</v>
      </c>
      <c r="AJ4" s="1">
        <v>146.66155854708919</v>
      </c>
      <c r="AK4" s="1">
        <v>148.58738931244767</v>
      </c>
      <c r="AL4" s="1">
        <v>150.78833875857163</v>
      </c>
      <c r="AM4" s="1">
        <v>154.28406522808939</v>
      </c>
      <c r="AN4" s="1">
        <v>156.9730855892569</v>
      </c>
      <c r="AO4" s="114">
        <v>158.31759576984064</v>
      </c>
      <c r="AP4" s="113">
        <v>160.46881205877463</v>
      </c>
      <c r="AQ4" s="1">
        <v>162.75447936576703</v>
      </c>
      <c r="AR4" s="1">
        <v>163.42673445605891</v>
      </c>
      <c r="AS4" s="1">
        <v>163.56118547411728</v>
      </c>
      <c r="AT4" s="1"/>
      <c r="AU4" s="1"/>
      <c r="AV4" s="114"/>
      <c r="AW4" s="113"/>
      <c r="AX4" s="1"/>
      <c r="AY4" s="1"/>
      <c r="AZ4" s="1"/>
      <c r="BA4" s="1"/>
      <c r="BB4" s="1"/>
      <c r="BC4" s="114"/>
      <c r="BD4" s="113"/>
      <c r="BE4" s="1"/>
      <c r="BF4" s="1"/>
      <c r="BG4" s="1"/>
      <c r="BH4" s="1"/>
      <c r="BI4" s="1"/>
      <c r="BJ4" s="114"/>
      <c r="BK4" s="113"/>
      <c r="BL4" s="1"/>
      <c r="BM4" s="1"/>
      <c r="BN4" s="1"/>
      <c r="BO4" s="1"/>
      <c r="BP4" s="1"/>
      <c r="BQ4" s="114"/>
      <c r="BR4" s="113"/>
      <c r="BS4" s="1"/>
      <c r="BT4" s="1"/>
      <c r="BU4" s="1"/>
      <c r="BV4" s="1"/>
      <c r="BW4" s="1"/>
      <c r="BX4" s="114"/>
      <c r="BY4" s="113"/>
      <c r="BZ4" s="1"/>
      <c r="CA4" s="1"/>
      <c r="CB4" s="1"/>
      <c r="CC4" s="1"/>
      <c r="CD4" s="1"/>
      <c r="CE4" s="114"/>
      <c r="CF4" s="113"/>
      <c r="CG4" s="1"/>
      <c r="CH4" s="1"/>
      <c r="CI4" s="1"/>
      <c r="CJ4" s="1"/>
      <c r="CK4" s="1"/>
      <c r="CL4" s="114"/>
      <c r="CM4" s="113">
        <f>SUM(G4:CL4)</f>
        <v>3474.307052535567</v>
      </c>
    </row>
    <row r="5" spans="1:91" x14ac:dyDescent="0.3">
      <c r="A5" s="1">
        <v>2</v>
      </c>
      <c r="B5" s="1">
        <v>0</v>
      </c>
      <c r="C5" s="1">
        <v>100</v>
      </c>
      <c r="D5" s="1">
        <v>0</v>
      </c>
      <c r="E5" s="114">
        <v>0</v>
      </c>
      <c r="F5" s="121" t="s">
        <v>281</v>
      </c>
      <c r="G5" s="113"/>
      <c r="H5" s="1">
        <v>0</v>
      </c>
      <c r="I5" s="1">
        <v>0</v>
      </c>
      <c r="J5" s="1">
        <v>0</v>
      </c>
      <c r="K5" s="1">
        <v>1.1033249450371619E-2</v>
      </c>
      <c r="L5" s="1">
        <v>2.2066498900743237E-2</v>
      </c>
      <c r="M5" s="114">
        <v>7.7232746152601325E-2</v>
      </c>
      <c r="N5" s="113">
        <v>1.0598260420316739</v>
      </c>
      <c r="O5" s="1">
        <v>1.9441600083228394</v>
      </c>
      <c r="P5" s="1">
        <v>2.63197531543819</v>
      </c>
      <c r="Q5" s="1">
        <v>3.1232719633777264</v>
      </c>
      <c r="R5" s="1">
        <v>3.319790622553541</v>
      </c>
      <c r="S5" s="1">
        <v>3.8110872704930774</v>
      </c>
      <c r="T5" s="114">
        <v>4.1058652592567988</v>
      </c>
      <c r="U5" s="113">
        <v>4.681116058186519</v>
      </c>
      <c r="V5" s="1">
        <v>5.2563668571162392</v>
      </c>
      <c r="W5" s="1">
        <v>5.7165674962600157</v>
      </c>
      <c r="X5" s="1">
        <v>6.1767681354037922</v>
      </c>
      <c r="Y5" s="1">
        <v>6.4068684549756805</v>
      </c>
      <c r="Z5" s="1">
        <v>6.867069094119457</v>
      </c>
      <c r="AA5" s="114">
        <v>7.2122195734772889</v>
      </c>
      <c r="AB5" s="113">
        <v>7.3306177537861048</v>
      </c>
      <c r="AC5" s="1">
        <v>7.4884819941978584</v>
      </c>
      <c r="AD5" s="1">
        <v>7.8436765351243052</v>
      </c>
      <c r="AE5" s="1">
        <v>10.330038321609429</v>
      </c>
      <c r="AF5" s="1">
        <v>11.119359523668198</v>
      </c>
      <c r="AG5" s="1">
        <v>11.280064508766024</v>
      </c>
      <c r="AH5" s="114">
        <v>11.422913384408536</v>
      </c>
      <c r="AI5" s="113">
        <v>11.601474478961677</v>
      </c>
      <c r="AJ5" s="1">
        <v>12.708553265191149</v>
      </c>
      <c r="AK5" s="1">
        <v>13.083531563752745</v>
      </c>
      <c r="AL5" s="1">
        <v>13.42371073990995</v>
      </c>
      <c r="AM5" s="1">
        <v>13.9096809915631</v>
      </c>
      <c r="AN5" s="1">
        <v>14.201263142554989</v>
      </c>
      <c r="AO5" s="114">
        <v>14.541442318712194</v>
      </c>
      <c r="AP5" s="113">
        <v>14.8816214948694</v>
      </c>
      <c r="AQ5" s="1">
        <v>15.221800671026605</v>
      </c>
      <c r="AR5" s="1">
        <v>15.560331200714215</v>
      </c>
      <c r="AS5" s="1">
        <v>15.823632723804577</v>
      </c>
      <c r="AT5" s="1">
        <v>16.086934246894941</v>
      </c>
      <c r="AU5" s="1">
        <v>16.31262126668668</v>
      </c>
      <c r="AV5" s="114">
        <v>16.613537293075666</v>
      </c>
      <c r="AW5" s="113">
        <v>16.770539164564862</v>
      </c>
      <c r="AX5" s="1">
        <v>17.006041971798656</v>
      </c>
      <c r="AY5" s="1">
        <v>17.084542907543252</v>
      </c>
      <c r="AZ5" s="1">
        <v>17.241544779032449</v>
      </c>
      <c r="BA5" s="1">
        <v>17.320045714777045</v>
      </c>
      <c r="BB5" s="1"/>
      <c r="BC5" s="114"/>
      <c r="BD5" s="113"/>
      <c r="BE5" s="1"/>
      <c r="BF5" s="1"/>
      <c r="BG5" s="113"/>
      <c r="BH5" s="1"/>
      <c r="BI5" s="1"/>
      <c r="BJ5" s="1"/>
      <c r="BK5" s="1"/>
      <c r="BL5" s="1"/>
      <c r="BM5" s="114"/>
      <c r="BN5" s="113"/>
      <c r="BO5" s="1"/>
      <c r="BP5" s="1"/>
      <c r="BQ5" s="114"/>
      <c r="BR5" s="113"/>
      <c r="BS5" s="1"/>
      <c r="BT5" s="1"/>
      <c r="BU5" s="1"/>
      <c r="BV5" s="1"/>
      <c r="BW5" s="1"/>
      <c r="BX5" s="114"/>
      <c r="BY5" s="113"/>
      <c r="BZ5" s="1"/>
      <c r="CA5" s="1"/>
      <c r="CB5" s="1"/>
      <c r="CC5" s="1"/>
      <c r="CD5" s="1"/>
      <c r="CE5" s="114"/>
      <c r="CF5" s="113"/>
      <c r="CG5" s="1"/>
      <c r="CH5" s="1"/>
      <c r="CI5" s="1"/>
      <c r="CJ5" s="1"/>
      <c r="CK5" s="1"/>
      <c r="CL5" s="114"/>
      <c r="CM5" s="113">
        <f>SUM(G5:CL5)</f>
        <v>418.63128660251118</v>
      </c>
    </row>
    <row r="6" spans="1:91" x14ac:dyDescent="0.3">
      <c r="A6" s="1">
        <v>13</v>
      </c>
      <c r="B6" s="1">
        <v>0</v>
      </c>
      <c r="C6" s="1">
        <v>0</v>
      </c>
      <c r="D6" s="1">
        <v>0</v>
      </c>
      <c r="E6" s="114">
        <v>100</v>
      </c>
      <c r="F6" s="121" t="s">
        <v>266</v>
      </c>
      <c r="G6" s="113"/>
      <c r="H6" s="1">
        <v>0</v>
      </c>
      <c r="I6" s="1">
        <v>1.2717620256378441</v>
      </c>
      <c r="J6" s="1">
        <v>2.2043875111055966</v>
      </c>
      <c r="K6" s="1">
        <v>3.0522288615308262</v>
      </c>
      <c r="L6" s="1">
        <v>4.2392067521261474</v>
      </c>
      <c r="M6" s="114">
        <v>5.2566163726364223</v>
      </c>
      <c r="N6" s="113">
        <v>5.8518744892913102</v>
      </c>
      <c r="O6" s="1">
        <v>7.8777117834213204</v>
      </c>
      <c r="P6" s="1">
        <v>9.0782079577205863</v>
      </c>
      <c r="Q6" s="1">
        <v>10.128642110232443</v>
      </c>
      <c r="R6" s="1">
        <v>10.953983230063187</v>
      </c>
      <c r="S6" s="1">
        <v>11.854355360787636</v>
      </c>
      <c r="T6" s="114">
        <v>12.529634458830973</v>
      </c>
      <c r="U6" s="113">
        <v>13.054851535086902</v>
      </c>
      <c r="V6" s="1">
        <v>14.079201750921685</v>
      </c>
      <c r="W6" s="1">
        <v>14.98973527610816</v>
      </c>
      <c r="X6" s="1">
        <v>15.900268801294635</v>
      </c>
      <c r="Y6" s="1">
        <v>16.469352254536179</v>
      </c>
      <c r="Z6" s="1">
        <v>16.981527362453573</v>
      </c>
      <c r="AA6" s="114">
        <v>17.436794125046809</v>
      </c>
      <c r="AB6" s="113">
        <v>17.914243574657593</v>
      </c>
      <c r="AC6" s="1">
        <v>18.523518972065901</v>
      </c>
      <c r="AD6" s="1">
        <v>19.077405696982545</v>
      </c>
      <c r="AE6" s="1">
        <v>19.40973773193253</v>
      </c>
      <c r="AF6" s="1">
        <v>19.852847111865845</v>
      </c>
      <c r="AG6" s="1">
        <v>20.129790474324167</v>
      </c>
      <c r="AH6" s="114">
        <v>20.462122509274153</v>
      </c>
      <c r="AI6" s="113">
        <v>20.861819145903191</v>
      </c>
      <c r="AJ6" s="1">
        <v>21.217105045128999</v>
      </c>
      <c r="AK6" s="1">
        <v>21.483569469548357</v>
      </c>
      <c r="AL6" s="1">
        <v>21.674322432552</v>
      </c>
      <c r="AM6" s="1">
        <v>22.284731914163658</v>
      </c>
      <c r="AN6" s="1">
        <v>22.704388432771673</v>
      </c>
      <c r="AO6" s="114">
        <v>23.124044951379688</v>
      </c>
      <c r="AP6" s="113">
        <v>23.505550877386973</v>
      </c>
      <c r="AQ6" s="1">
        <v>23.84890621079353</v>
      </c>
      <c r="AR6" s="1">
        <v>24.154088269915292</v>
      </c>
      <c r="AS6" s="1">
        <v>24.357542975996466</v>
      </c>
      <c r="AT6" s="1">
        <v>24.560997682077641</v>
      </c>
      <c r="AU6" s="1">
        <v>24.744106917550699</v>
      </c>
      <c r="AV6" s="114"/>
      <c r="AW6" s="113"/>
      <c r="AX6" s="1"/>
      <c r="AY6" s="1"/>
      <c r="AZ6" s="1"/>
      <c r="BA6" s="1"/>
      <c r="BB6" s="1"/>
      <c r="BC6" s="114"/>
      <c r="BD6" s="113"/>
      <c r="BE6" s="1"/>
      <c r="BF6" s="1"/>
      <c r="BG6" s="1"/>
      <c r="BH6" s="1"/>
      <c r="BI6" s="1"/>
      <c r="BJ6" s="114"/>
      <c r="BK6" s="113"/>
      <c r="BL6" s="1"/>
      <c r="BM6" s="1"/>
      <c r="BN6" s="1"/>
      <c r="BO6" s="1"/>
      <c r="BP6" s="1"/>
      <c r="BQ6" s="114"/>
      <c r="BR6" s="113"/>
      <c r="BS6" s="1"/>
      <c r="BT6" s="1"/>
      <c r="BU6" s="1"/>
      <c r="BV6" s="1"/>
      <c r="BW6" s="1"/>
      <c r="BX6" s="114"/>
      <c r="BY6" s="113"/>
      <c r="BZ6" s="1"/>
      <c r="CA6" s="1"/>
      <c r="CB6" s="1"/>
      <c r="CC6" s="1"/>
      <c r="CD6" s="1"/>
      <c r="CE6" s="114"/>
      <c r="CF6" s="113"/>
      <c r="CG6" s="1"/>
      <c r="CH6" s="1"/>
      <c r="CI6" s="1"/>
      <c r="CJ6" s="1"/>
      <c r="CK6" s="1"/>
      <c r="CL6" s="114"/>
      <c r="CM6" s="113">
        <f>SUM(G6:CL6)</f>
        <v>627.10118241510315</v>
      </c>
    </row>
    <row r="7" spans="1:91" x14ac:dyDescent="0.3">
      <c r="A7" s="3">
        <v>29</v>
      </c>
      <c r="B7" s="1">
        <v>0</v>
      </c>
      <c r="C7" s="1">
        <v>0</v>
      </c>
      <c r="D7" s="1">
        <v>100</v>
      </c>
      <c r="E7" s="114">
        <v>0</v>
      </c>
      <c r="F7" s="121" t="s">
        <v>265</v>
      </c>
      <c r="G7" s="113"/>
      <c r="H7" s="1">
        <v>0</v>
      </c>
      <c r="I7" s="1">
        <v>6.1078630079155003</v>
      </c>
      <c r="J7" s="1">
        <v>8.8529699777651629</v>
      </c>
      <c r="K7" s="1">
        <v>15.029460659926904</v>
      </c>
      <c r="L7" s="1">
        <v>18.25496134950026</v>
      </c>
      <c r="M7" s="114">
        <v>23.539292266460862</v>
      </c>
      <c r="N7" s="113">
        <v>29.098133880406429</v>
      </c>
      <c r="O7" s="1">
        <v>34.039326426135823</v>
      </c>
      <c r="P7" s="1">
        <v>38.568752926387766</v>
      </c>
      <c r="Q7" s="1">
        <v>43.304062449378435</v>
      </c>
      <c r="R7" s="1">
        <v>52.362915449882323</v>
      </c>
      <c r="S7" s="1">
        <v>57.235480321365472</v>
      </c>
      <c r="T7" s="114">
        <v>66.019822624884398</v>
      </c>
      <c r="U7" s="113">
        <v>72.19631330704614</v>
      </c>
      <c r="V7" s="1">
        <v>83.838402327247948</v>
      </c>
      <c r="W7" s="1">
        <v>99.192461759688001</v>
      </c>
      <c r="X7" s="1">
        <v>112.696313381968</v>
      </c>
      <c r="Y7" s="1">
        <v>124.04987015993589</v>
      </c>
      <c r="Z7" s="1">
        <v>135.05937976281385</v>
      </c>
      <c r="AA7" s="114">
        <v>146.32692474700926</v>
      </c>
      <c r="AB7" s="113">
        <v>160.43285892569662</v>
      </c>
      <c r="AC7" s="1">
        <v>174.42739971712845</v>
      </c>
      <c r="AD7" s="1">
        <v>189.24046119537991</v>
      </c>
      <c r="AE7" s="1">
        <v>201.31036314062186</v>
      </c>
      <c r="AF7" s="1">
        <v>213.74601969026506</v>
      </c>
      <c r="AG7" s="1">
        <v>221.2439890804911</v>
      </c>
      <c r="AH7" s="114">
        <v>225.1617126863454</v>
      </c>
      <c r="AI7" s="113">
        <v>229.17737938234606</v>
      </c>
      <c r="AJ7" s="1">
        <v>232.16464363180998</v>
      </c>
      <c r="AK7" s="1">
        <v>234.66219243054209</v>
      </c>
      <c r="AL7" s="1">
        <v>237.06179813912786</v>
      </c>
      <c r="AM7" s="1">
        <v>238.67785912654276</v>
      </c>
      <c r="AN7" s="1">
        <v>241.17540792527487</v>
      </c>
      <c r="AO7" s="114">
        <v>242.84044045776295</v>
      </c>
      <c r="AP7" s="113">
        <v>244.26061526488513</v>
      </c>
      <c r="AQ7" s="1">
        <v>246.17050552273912</v>
      </c>
      <c r="AR7" s="1">
        <v>247.29685105942224</v>
      </c>
      <c r="AS7" s="1"/>
      <c r="AT7" s="1"/>
      <c r="AU7" s="1"/>
      <c r="AV7" s="114"/>
      <c r="AW7" s="113"/>
      <c r="AX7" s="1"/>
      <c r="AY7" s="1"/>
      <c r="AZ7" s="1"/>
      <c r="BA7" s="1"/>
      <c r="BB7" s="1"/>
      <c r="BC7" s="114"/>
      <c r="BD7" s="113"/>
      <c r="BE7" s="1"/>
      <c r="BF7" s="1"/>
      <c r="BG7" s="1"/>
      <c r="BH7" s="1"/>
      <c r="BI7" s="1"/>
      <c r="BJ7" s="114"/>
      <c r="BK7" s="113"/>
      <c r="BL7" s="1"/>
      <c r="BM7" s="1"/>
      <c r="BN7" s="1"/>
      <c r="BO7" s="1"/>
      <c r="BP7" s="1"/>
      <c r="BQ7" s="114"/>
      <c r="BR7" s="113"/>
      <c r="BS7" s="1"/>
      <c r="BT7" s="1"/>
      <c r="BU7" s="1"/>
      <c r="BV7" s="1"/>
      <c r="BW7" s="1"/>
      <c r="BX7" s="114"/>
      <c r="BY7" s="113"/>
      <c r="BZ7" s="1"/>
      <c r="CA7" s="1"/>
      <c r="CB7" s="1"/>
      <c r="CC7" s="1"/>
      <c r="CD7" s="1"/>
      <c r="CE7" s="114"/>
      <c r="CF7" s="113"/>
      <c r="CG7" s="1"/>
      <c r="CH7" s="1"/>
      <c r="CI7" s="1"/>
      <c r="CJ7" s="1"/>
      <c r="CK7" s="1"/>
      <c r="CL7" s="114"/>
      <c r="CM7" s="113">
        <f>SUM(G7:CL7)</f>
        <v>4944.8232041621004</v>
      </c>
    </row>
    <row r="9" spans="1:91" s="13" customFormat="1" x14ac:dyDescent="0.3">
      <c r="A9" s="18" t="s">
        <v>218</v>
      </c>
      <c r="F9" s="2"/>
      <c r="M9" s="182"/>
      <c r="CC9" s="181" t="s">
        <v>219</v>
      </c>
      <c r="CD9" s="181">
        <v>75</v>
      </c>
      <c r="CM9" s="113"/>
    </row>
    <row r="10" spans="1:91" x14ac:dyDescent="0.3">
      <c r="A10" s="1" t="s">
        <v>169</v>
      </c>
      <c r="B10" s="1" t="s">
        <v>46</v>
      </c>
      <c r="C10" s="1" t="s">
        <v>47</v>
      </c>
      <c r="D10" s="1" t="s">
        <v>48</v>
      </c>
      <c r="E10" s="114" t="s">
        <v>54</v>
      </c>
      <c r="F10" s="114"/>
      <c r="G10" s="115">
        <v>45327</v>
      </c>
      <c r="H10" s="173">
        <v>0</v>
      </c>
      <c r="I10" s="173">
        <v>1</v>
      </c>
      <c r="J10" s="173">
        <v>2</v>
      </c>
      <c r="K10" s="173">
        <v>3</v>
      </c>
      <c r="L10" s="173">
        <v>4</v>
      </c>
      <c r="M10" s="173">
        <v>5</v>
      </c>
      <c r="N10" s="173">
        <v>6</v>
      </c>
      <c r="O10" s="173">
        <v>7</v>
      </c>
      <c r="P10" s="173">
        <v>8</v>
      </c>
      <c r="Q10" s="173">
        <v>9</v>
      </c>
      <c r="R10" s="173">
        <v>10</v>
      </c>
      <c r="S10" s="173">
        <v>11</v>
      </c>
      <c r="T10" s="173">
        <v>12</v>
      </c>
      <c r="U10" s="173">
        <v>13</v>
      </c>
      <c r="V10" s="173">
        <v>14</v>
      </c>
      <c r="W10" s="173">
        <v>15</v>
      </c>
      <c r="X10" s="173">
        <v>16</v>
      </c>
      <c r="Y10" s="173">
        <v>17</v>
      </c>
      <c r="Z10" s="173">
        <v>18</v>
      </c>
      <c r="AA10" s="173">
        <v>19</v>
      </c>
      <c r="AB10" s="173">
        <v>20</v>
      </c>
      <c r="AC10" s="173">
        <v>21</v>
      </c>
      <c r="AD10" s="173">
        <v>22</v>
      </c>
      <c r="AE10" s="173">
        <v>23</v>
      </c>
      <c r="AF10" s="173">
        <v>24</v>
      </c>
      <c r="AG10" s="173">
        <v>25</v>
      </c>
      <c r="AH10" s="173">
        <v>26</v>
      </c>
      <c r="AI10" s="173">
        <v>27</v>
      </c>
      <c r="AJ10" s="173">
        <v>28</v>
      </c>
      <c r="AK10" s="173">
        <v>29</v>
      </c>
      <c r="AL10" s="173">
        <v>30</v>
      </c>
      <c r="AM10" s="173">
        <v>31</v>
      </c>
      <c r="AN10" s="173">
        <v>32</v>
      </c>
      <c r="AO10" s="173">
        <v>33</v>
      </c>
      <c r="AP10" s="173">
        <v>34</v>
      </c>
      <c r="AQ10" s="173">
        <v>35</v>
      </c>
      <c r="AR10" s="173">
        <v>36</v>
      </c>
      <c r="AS10" s="173">
        <v>37</v>
      </c>
      <c r="AT10" s="173">
        <v>38</v>
      </c>
      <c r="AU10" s="173">
        <v>39</v>
      </c>
      <c r="AV10" s="173">
        <v>40</v>
      </c>
      <c r="AW10" s="173">
        <v>41</v>
      </c>
      <c r="AX10" s="173">
        <v>42</v>
      </c>
      <c r="AY10" s="173">
        <v>43</v>
      </c>
      <c r="AZ10" s="173">
        <v>44</v>
      </c>
      <c r="BA10" s="173">
        <v>45</v>
      </c>
      <c r="BB10" s="173">
        <v>46</v>
      </c>
      <c r="BC10" s="173">
        <v>47</v>
      </c>
      <c r="BD10" s="173">
        <v>48</v>
      </c>
      <c r="BE10" s="173">
        <v>49</v>
      </c>
      <c r="BF10" s="173">
        <v>50</v>
      </c>
      <c r="BG10" s="173">
        <v>51</v>
      </c>
      <c r="BH10" s="173">
        <v>52</v>
      </c>
      <c r="BI10" s="173">
        <v>53</v>
      </c>
      <c r="BJ10" s="173">
        <v>54</v>
      </c>
      <c r="BK10" s="173">
        <v>55</v>
      </c>
      <c r="BL10" s="173">
        <v>56</v>
      </c>
      <c r="BM10" s="173">
        <v>57</v>
      </c>
      <c r="BN10" s="173">
        <v>58</v>
      </c>
      <c r="BO10" s="173">
        <v>59</v>
      </c>
      <c r="BP10" s="173">
        <v>60</v>
      </c>
      <c r="BQ10" s="173">
        <v>61</v>
      </c>
      <c r="BR10" s="173">
        <v>62</v>
      </c>
      <c r="BS10" s="173">
        <v>63</v>
      </c>
      <c r="BT10" s="173">
        <v>64</v>
      </c>
      <c r="BU10" s="173">
        <v>65</v>
      </c>
      <c r="BV10" s="173">
        <v>66</v>
      </c>
      <c r="BW10" s="173">
        <v>67</v>
      </c>
      <c r="BX10" s="173">
        <v>68</v>
      </c>
      <c r="BY10" s="173">
        <v>69</v>
      </c>
      <c r="BZ10" s="173">
        <v>70</v>
      </c>
      <c r="CA10" s="173">
        <v>71</v>
      </c>
      <c r="CB10" s="173">
        <v>72</v>
      </c>
      <c r="CC10" s="173">
        <v>73</v>
      </c>
      <c r="CD10" s="173">
        <v>74</v>
      </c>
      <c r="CE10" s="173">
        <v>75</v>
      </c>
      <c r="CF10" s="173">
        <v>76</v>
      </c>
      <c r="CG10" s="173">
        <v>77</v>
      </c>
      <c r="CH10" s="117"/>
      <c r="CI10" s="117"/>
      <c r="CJ10" s="117"/>
      <c r="CK10" s="117"/>
      <c r="CL10" s="118"/>
      <c r="CM10" s="113" t="s">
        <v>34</v>
      </c>
    </row>
    <row r="11" spans="1:91" x14ac:dyDescent="0.3">
      <c r="A11" s="3">
        <v>27</v>
      </c>
      <c r="B11" s="1">
        <v>26.6587</v>
      </c>
      <c r="C11" s="1">
        <v>73.341300000000004</v>
      </c>
      <c r="D11" s="1">
        <v>0</v>
      </c>
      <c r="E11" s="114">
        <v>0</v>
      </c>
      <c r="F11" s="122" t="s">
        <v>282</v>
      </c>
      <c r="G11" s="113"/>
      <c r="H11" s="1">
        <v>0</v>
      </c>
      <c r="I11" s="1">
        <v>0</v>
      </c>
      <c r="J11" s="1">
        <v>0</v>
      </c>
      <c r="K11" s="1">
        <v>0.85489623052067143</v>
      </c>
      <c r="L11" s="1">
        <v>1.1179412245270319</v>
      </c>
      <c r="M11" s="114">
        <v>1.4467474670349825</v>
      </c>
      <c r="N11" s="113">
        <v>4.3402424011049474</v>
      </c>
      <c r="O11" s="1">
        <v>6.5761248501590117</v>
      </c>
      <c r="P11" s="1">
        <v>10.456038511752828</v>
      </c>
      <c r="Q11" s="1">
        <v>10.587561008756008</v>
      </c>
      <c r="R11" s="1">
        <v>10.784844754260778</v>
      </c>
      <c r="S11" s="1">
        <v>11.245173493771908</v>
      </c>
      <c r="T11" s="114">
        <v>18.018582089435689</v>
      </c>
      <c r="U11" s="113">
        <v>25.186558176109013</v>
      </c>
      <c r="V11" s="1">
        <v>33.340952990306185</v>
      </c>
      <c r="W11" s="1">
        <v>39.127942858446119</v>
      </c>
      <c r="X11" s="1">
        <v>46.752181241251449</v>
      </c>
      <c r="Y11" s="1">
        <v>52.967592966364485</v>
      </c>
      <c r="Z11" s="1">
        <v>60.094598411160767</v>
      </c>
      <c r="AA11" s="114">
        <v>67.170332374074462</v>
      </c>
      <c r="AB11" s="113">
        <v>73.469461389839083</v>
      </c>
      <c r="AC11" s="1">
        <v>79.596011528459471</v>
      </c>
      <c r="AD11" s="1">
        <v>84.945956719930791</v>
      </c>
      <c r="AE11" s="1">
        <v>88.656402578531868</v>
      </c>
      <c r="AF11" s="1">
        <v>92.6257167528493</v>
      </c>
      <c r="AG11" s="1">
        <v>94.955531594296488</v>
      </c>
      <c r="AH11" s="114">
        <v>96.958438683367547</v>
      </c>
      <c r="AI11" s="113">
        <v>98.961345772438605</v>
      </c>
      <c r="AJ11" s="1">
        <v>99.522159757378503</v>
      </c>
      <c r="AK11" s="1">
        <v>100.033355784099</v>
      </c>
      <c r="AL11" s="1">
        <v>100.48065230747945</v>
      </c>
      <c r="AM11" s="1">
        <v>100.60845131415957</v>
      </c>
      <c r="AN11" s="1">
        <v>101.63084336760056</v>
      </c>
      <c r="AO11" s="114">
        <v>102.78103442772169</v>
      </c>
      <c r="AP11" s="113">
        <v>104.12292399786301</v>
      </c>
      <c r="AQ11" s="1">
        <v>106.55110512478539</v>
      </c>
      <c r="AR11" s="1">
        <v>107.89299469492671</v>
      </c>
      <c r="AS11" s="1">
        <v>109.49048227842827</v>
      </c>
      <c r="AT11" s="1">
        <v>111.79086439867052</v>
      </c>
      <c r="AU11" s="1">
        <v>114.98583956567364</v>
      </c>
      <c r="AV11" s="114">
        <v>116.19993012913483</v>
      </c>
      <c r="AW11" s="113">
        <v>117.6057192026162</v>
      </c>
      <c r="AX11" s="1">
        <v>118.50031224937707</v>
      </c>
      <c r="AY11" s="1">
        <v>119.20320678611776</v>
      </c>
      <c r="AZ11" s="1">
        <v>122.46208145646095</v>
      </c>
      <c r="BA11" s="1">
        <v>124.50686556334296</v>
      </c>
      <c r="BB11" s="1">
        <v>126.8072476835852</v>
      </c>
      <c r="BC11" s="114">
        <v>128.08523775038645</v>
      </c>
      <c r="BD11" s="113">
        <v>129.49102682386783</v>
      </c>
      <c r="BE11" s="1">
        <v>130.51341887730882</v>
      </c>
      <c r="BF11" s="1">
        <v>131.9192079507902</v>
      </c>
      <c r="BG11" s="1">
        <v>132.55820298419081</v>
      </c>
      <c r="BH11" s="1">
        <v>133.90009255433213</v>
      </c>
      <c r="BI11" s="1">
        <v>134.15569056769237</v>
      </c>
      <c r="BJ11" s="114">
        <v>134.79468560109299</v>
      </c>
      <c r="BK11" s="113">
        <v>135.43368063449361</v>
      </c>
      <c r="BL11" s="1"/>
      <c r="BM11" s="1"/>
      <c r="BN11" s="1"/>
      <c r="BO11" s="1"/>
      <c r="BP11" s="1"/>
      <c r="BQ11" s="114"/>
      <c r="BR11" s="113"/>
      <c r="BS11" s="1"/>
      <c r="BT11" s="1"/>
      <c r="BU11" s="1"/>
      <c r="BV11" s="1"/>
      <c r="BW11" s="1"/>
      <c r="BX11" s="114"/>
      <c r="BY11" s="113"/>
      <c r="BZ11" s="1"/>
      <c r="CA11" s="1"/>
      <c r="CB11" s="1"/>
      <c r="CC11" s="1"/>
      <c r="CD11" s="1"/>
      <c r="CE11" s="114"/>
      <c r="CF11" s="113"/>
      <c r="CG11" s="1"/>
      <c r="CH11" s="1"/>
      <c r="CI11" s="1"/>
      <c r="CJ11" s="1"/>
      <c r="CK11" s="1"/>
      <c r="CL11" s="114"/>
      <c r="CM11" s="113">
        <f>SUM(G11:CL11)</f>
        <v>4406.2644899023262</v>
      </c>
    </row>
    <row r="12" spans="1:91" x14ac:dyDescent="0.3">
      <c r="A12" s="1">
        <v>6</v>
      </c>
      <c r="B12" s="1">
        <v>72.5886</v>
      </c>
      <c r="C12" s="1">
        <v>27.4114</v>
      </c>
      <c r="D12" s="1">
        <v>0</v>
      </c>
      <c r="E12" s="114">
        <v>0</v>
      </c>
      <c r="F12" s="122" t="s">
        <v>283</v>
      </c>
      <c r="G12" s="113"/>
      <c r="H12" s="1">
        <v>0</v>
      </c>
      <c r="I12" s="1">
        <v>0.93890361523125199</v>
      </c>
      <c r="J12" s="1">
        <v>1.0432262391458356</v>
      </c>
      <c r="K12" s="1">
        <v>1.2518714869750027</v>
      </c>
      <c r="L12" s="1">
        <v>1.5648393587187535</v>
      </c>
      <c r="M12" s="114">
        <v>1.9821298543770878</v>
      </c>
      <c r="N12" s="113">
        <v>3.0253560935229231</v>
      </c>
      <c r="O12" s="1">
        <v>5.2161311957291776</v>
      </c>
      <c r="P12" s="1">
        <v>7.5112289218500159</v>
      </c>
      <c r="Q12" s="1">
        <v>9.0760682805687694</v>
      </c>
      <c r="R12" s="1">
        <v>11.788456502347941</v>
      </c>
      <c r="S12" s="1">
        <v>13.353295861066695</v>
      </c>
      <c r="T12" s="114">
        <v>14.083554228468779</v>
      </c>
      <c r="U12" s="113">
        <v>15.126780467614616</v>
      </c>
      <c r="V12" s="1">
        <v>17.317555569820868</v>
      </c>
      <c r="W12" s="1">
        <v>19.612653295941705</v>
      </c>
      <c r="X12" s="1">
        <v>21.177492654660458</v>
      </c>
      <c r="Y12" s="1">
        <v>23.88988087643963</v>
      </c>
      <c r="Z12" s="1">
        <v>25.454720235158383</v>
      </c>
      <c r="AA12" s="114">
        <v>26.18497860256047</v>
      </c>
      <c r="AB12" s="113">
        <v>27.228204841706305</v>
      </c>
      <c r="AC12" s="1">
        <v>29.418979943912561</v>
      </c>
      <c r="AD12" s="1">
        <v>31.714077670033397</v>
      </c>
      <c r="AE12" s="1">
        <v>33.278917028752147</v>
      </c>
      <c r="AF12" s="1">
        <v>35.991305250531319</v>
      </c>
      <c r="AG12" s="1">
        <v>37.556144609250069</v>
      </c>
      <c r="AH12" s="114">
        <v>38.286402976652155</v>
      </c>
      <c r="AI12" s="113">
        <v>39.329629215797993</v>
      </c>
      <c r="AJ12" s="1">
        <v>41.520404318004246</v>
      </c>
      <c r="AK12" s="1">
        <v>43.815502044125083</v>
      </c>
      <c r="AL12" s="1">
        <v>45.38034140284384</v>
      </c>
      <c r="AM12" s="1">
        <v>48.7143670969106</v>
      </c>
      <c r="AN12" s="1">
        <v>50.63784345887219</v>
      </c>
      <c r="AO12" s="114">
        <v>51.535465761120932</v>
      </c>
      <c r="AP12" s="113">
        <v>52.817783335761995</v>
      </c>
      <c r="AQ12" s="1">
        <v>53.843637395474843</v>
      </c>
      <c r="AR12" s="1">
        <v>55.767113757436434</v>
      </c>
      <c r="AS12" s="1">
        <v>57.43412660446981</v>
      </c>
      <c r="AT12" s="1">
        <v>58.908791815307033</v>
      </c>
      <c r="AU12" s="1">
        <v>60.699962016896265</v>
      </c>
      <c r="AV12" s="114">
        <v>61.416430097531958</v>
      </c>
      <c r="AW12" s="113">
        <v>61.655252791077189</v>
      </c>
      <c r="AX12" s="1">
        <v>62.610543565258112</v>
      </c>
      <c r="AY12" s="1">
        <v>63.088188952348574</v>
      </c>
      <c r="AZ12" s="1">
        <v>63.804657032984267</v>
      </c>
      <c r="BA12" s="1">
        <v>64.401713766847351</v>
      </c>
      <c r="BB12" s="1">
        <v>65.357004541028275</v>
      </c>
      <c r="BC12" s="114">
        <v>65.715238581346128</v>
      </c>
      <c r="BD12" s="113">
        <v>66.670529355527052</v>
      </c>
      <c r="BE12" s="1">
        <v>67.625820129707975</v>
      </c>
      <c r="BF12" s="1">
        <v>67.864642823253206</v>
      </c>
      <c r="BG12" s="1">
        <v>67.864642823253206</v>
      </c>
      <c r="BH12" s="1">
        <v>67.864642823253206</v>
      </c>
      <c r="BI12" s="1">
        <v>68.630473862200418</v>
      </c>
      <c r="BJ12" s="114">
        <v>68.630473862200418</v>
      </c>
      <c r="BK12" s="113">
        <v>68.95868716460636</v>
      </c>
      <c r="BL12" s="1">
        <v>69.068091598741674</v>
      </c>
      <c r="BM12" s="1">
        <v>69.9433270718242</v>
      </c>
      <c r="BN12" s="1">
        <v>69.9433270718242</v>
      </c>
      <c r="BO12" s="1">
        <v>69.9433270718242</v>
      </c>
      <c r="BP12" s="1">
        <v>69.9433270718242</v>
      </c>
      <c r="BQ12" s="114"/>
      <c r="BR12" s="113"/>
      <c r="BS12" s="1"/>
      <c r="BT12" s="1"/>
      <c r="BU12" s="1"/>
      <c r="BV12" s="1"/>
      <c r="BW12" s="1"/>
      <c r="BX12" s="114"/>
      <c r="BY12" s="113"/>
      <c r="BZ12" s="1"/>
      <c r="CA12" s="1"/>
      <c r="CB12" s="1"/>
      <c r="CC12" s="1"/>
      <c r="CD12" s="1"/>
      <c r="CE12" s="114"/>
      <c r="CF12" s="113"/>
      <c r="CG12" s="1"/>
      <c r="CH12" s="1"/>
      <c r="CI12" s="1"/>
      <c r="CJ12" s="1"/>
      <c r="CK12" s="1"/>
      <c r="CL12" s="114"/>
      <c r="CM12" s="113">
        <f t="shared" ref="CM12:CM14" si="0">SUM(G12:CL12)</f>
        <v>2514.47846594252</v>
      </c>
    </row>
    <row r="13" spans="1:91" s="38" customFormat="1" x14ac:dyDescent="0.3">
      <c r="A13" s="3" t="s">
        <v>276</v>
      </c>
      <c r="B13" s="1">
        <v>27.197399999999998</v>
      </c>
      <c r="C13" s="1">
        <v>0</v>
      </c>
      <c r="D13" s="1">
        <v>72.802599999999998</v>
      </c>
      <c r="E13" s="114">
        <v>0</v>
      </c>
      <c r="F13" s="122" t="s">
        <v>262</v>
      </c>
      <c r="G13" s="176"/>
      <c r="H13" s="177">
        <v>0</v>
      </c>
      <c r="I13" s="177">
        <v>3.0131666060493707</v>
      </c>
      <c r="J13" s="177">
        <v>4.5199261918718445</v>
      </c>
      <c r="K13" s="177">
        <v>9.1535900448772125</v>
      </c>
      <c r="L13" s="177">
        <v>11.266727198534602</v>
      </c>
      <c r="M13" s="178">
        <v>14.72010720722289</v>
      </c>
      <c r="N13" s="176">
        <v>17.94287405984349</v>
      </c>
      <c r="O13" s="177">
        <v>23.170751967636324</v>
      </c>
      <c r="P13" s="177">
        <v>29.060066437106865</v>
      </c>
      <c r="Q13" s="177">
        <v>37.657907333674189</v>
      </c>
      <c r="R13" s="177">
        <v>43.802820107752396</v>
      </c>
      <c r="S13" s="177">
        <v>57.83111135114526</v>
      </c>
      <c r="T13" s="178">
        <v>71.22729949041252</v>
      </c>
      <c r="U13" s="176">
        <v>86.549676876281836</v>
      </c>
      <c r="V13" s="177">
        <v>102.58638741535211</v>
      </c>
      <c r="W13" s="177">
        <v>119.4150014147438</v>
      </c>
      <c r="X13" s="177">
        <v>133.24727793918171</v>
      </c>
      <c r="Y13" s="177">
        <v>144.48847938859646</v>
      </c>
      <c r="Z13" s="177">
        <v>155.28560096600745</v>
      </c>
      <c r="AA13" s="178">
        <v>167.3219083465701</v>
      </c>
      <c r="AB13" s="176">
        <v>180.10403298801884</v>
      </c>
      <c r="AC13" s="177">
        <v>192.13192580303371</v>
      </c>
      <c r="AD13" s="177">
        <v>202.37381532834166</v>
      </c>
      <c r="AE13" s="177">
        <v>210.77869707444904</v>
      </c>
      <c r="AF13" s="177">
        <v>218.90928278719662</v>
      </c>
      <c r="AG13" s="177">
        <v>225.24880001784746</v>
      </c>
      <c r="AH13" s="178">
        <v>231.95844061073626</v>
      </c>
      <c r="AI13" s="176">
        <v>237.06490080350522</v>
      </c>
      <c r="AJ13" s="177">
        <v>240.95805938393121</v>
      </c>
      <c r="AK13" s="177">
        <v>245.01591898233156</v>
      </c>
      <c r="AL13" s="177">
        <v>247.90412458912149</v>
      </c>
      <c r="AM13" s="177">
        <v>250.07869042171512</v>
      </c>
      <c r="AN13" s="177">
        <v>251.61220386014872</v>
      </c>
      <c r="AO13" s="178">
        <v>253.34870694023647</v>
      </c>
      <c r="AP13" s="176">
        <v>255.25961246827021</v>
      </c>
      <c r="AQ13" s="177">
        <v>257.80748650564851</v>
      </c>
      <c r="AR13" s="177">
        <v>259.39990777900999</v>
      </c>
      <c r="AS13" s="177">
        <v>260.99232905237147</v>
      </c>
      <c r="AT13" s="177">
        <v>262.90323458040524</v>
      </c>
      <c r="AU13" s="177">
        <v>265.04295517996923</v>
      </c>
      <c r="AV13" s="178">
        <v>266.3267875397076</v>
      </c>
      <c r="AW13" s="176">
        <v>267.7532679394169</v>
      </c>
      <c r="AX13" s="177">
        <v>269.60769245903901</v>
      </c>
      <c r="AY13" s="177">
        <v>270.3209326588937</v>
      </c>
      <c r="AZ13" s="177"/>
      <c r="BA13" s="177"/>
      <c r="BB13" s="177"/>
      <c r="BC13" s="178"/>
      <c r="BD13" s="176"/>
      <c r="BE13" s="177"/>
      <c r="BF13" s="177"/>
      <c r="BG13" s="177"/>
      <c r="BH13" s="177"/>
      <c r="BI13" s="177"/>
      <c r="BJ13" s="178"/>
      <c r="BK13" s="176"/>
      <c r="BL13" s="177"/>
      <c r="BM13" s="177"/>
      <c r="BN13" s="177"/>
      <c r="BO13" s="177"/>
      <c r="BP13" s="177"/>
      <c r="BQ13" s="178"/>
      <c r="BR13" s="176"/>
      <c r="BS13" s="177"/>
      <c r="BT13" s="177"/>
      <c r="BU13" s="177"/>
      <c r="BV13" s="177"/>
      <c r="BW13" s="177"/>
      <c r="BX13" s="178"/>
      <c r="BY13" s="176"/>
      <c r="BZ13" s="177"/>
      <c r="CA13" s="177"/>
      <c r="CB13" s="177"/>
      <c r="CC13" s="177"/>
      <c r="CD13" s="177"/>
      <c r="CE13" s="179"/>
      <c r="CF13" s="176"/>
      <c r="CG13" s="177"/>
      <c r="CH13" s="3"/>
      <c r="CI13" s="3"/>
      <c r="CJ13" s="3"/>
      <c r="CK13" s="3"/>
      <c r="CL13" s="125"/>
      <c r="CM13" s="113">
        <f t="shared" si="0"/>
        <v>7055.1624860962056</v>
      </c>
    </row>
    <row r="14" spans="1:91" s="38" customFormat="1" x14ac:dyDescent="0.3">
      <c r="A14" s="3" t="s">
        <v>277</v>
      </c>
      <c r="B14" s="3">
        <v>71.935299999999998</v>
      </c>
      <c r="C14" s="3">
        <v>0</v>
      </c>
      <c r="D14" s="3">
        <v>28.064699999999998</v>
      </c>
      <c r="E14" s="125">
        <v>0</v>
      </c>
      <c r="F14" s="122" t="s">
        <v>271</v>
      </c>
      <c r="G14" s="176"/>
      <c r="H14" s="177">
        <v>0</v>
      </c>
      <c r="I14" s="177">
        <v>1.2518518827367182</v>
      </c>
      <c r="J14" s="177">
        <v>1.996632816154325</v>
      </c>
      <c r="K14" s="177">
        <v>3.3033795521015517</v>
      </c>
      <c r="L14" s="177">
        <v>4.7697092477656122</v>
      </c>
      <c r="M14" s="178">
        <v>5.4386799384141931</v>
      </c>
      <c r="N14" s="176">
        <v>6.2776006014502901</v>
      </c>
      <c r="O14" s="177">
        <v>7.9104050970829132</v>
      </c>
      <c r="P14" s="177">
        <v>9.3863119935042576</v>
      </c>
      <c r="Q14" s="177">
        <v>11.366388011770301</v>
      </c>
      <c r="R14" s="177">
        <v>15.486433082325965</v>
      </c>
      <c r="S14" s="177">
        <v>18.510149011581014</v>
      </c>
      <c r="T14" s="178">
        <v>21.469030158433966</v>
      </c>
      <c r="U14" s="176">
        <v>21.685263108946639</v>
      </c>
      <c r="V14" s="177">
        <v>24.470198420176139</v>
      </c>
      <c r="W14" s="177">
        <v>31.118823406247984</v>
      </c>
      <c r="X14" s="177">
        <v>36.483290277095804</v>
      </c>
      <c r="Y14" s="177">
        <v>42.56885542487651</v>
      </c>
      <c r="Z14" s="177">
        <v>47.793935119156025</v>
      </c>
      <c r="AA14" s="178">
        <v>48.8884389173679</v>
      </c>
      <c r="AB14" s="176">
        <v>53.287866788756418</v>
      </c>
      <c r="AC14" s="177">
        <v>60.391540446118192</v>
      </c>
      <c r="AD14" s="177">
        <v>66.825453600917982</v>
      </c>
      <c r="AE14" s="177">
        <v>71.447842450229601</v>
      </c>
      <c r="AF14" s="177">
        <v>74.712626526829737</v>
      </c>
      <c r="AG14" s="177">
        <v>77.146984806306776</v>
      </c>
      <c r="AH14" s="178">
        <v>79.611244779779227</v>
      </c>
      <c r="AI14" s="176">
        <v>82.079892597215007</v>
      </c>
      <c r="AJ14" s="177">
        <v>84.940135011772412</v>
      </c>
      <c r="AK14" s="177">
        <v>86.853550904547618</v>
      </c>
      <c r="AL14" s="177">
        <v>89.259879636786934</v>
      </c>
      <c r="AM14" s="177">
        <v>91.776536317640108</v>
      </c>
      <c r="AN14" s="177">
        <v>93.45922182344782</v>
      </c>
      <c r="AO14" s="178">
        <v>94.744590983605733</v>
      </c>
      <c r="AP14" s="176">
        <v>95.777852181006821</v>
      </c>
      <c r="AQ14" s="177">
        <v>97.71558257979747</v>
      </c>
      <c r="AR14" s="177">
        <v>100.06859023219447</v>
      </c>
      <c r="AS14" s="177">
        <v>102.08545393424903</v>
      </c>
      <c r="AT14" s="177">
        <v>104.83062952871219</v>
      </c>
      <c r="AU14" s="177">
        <v>107.89790797283514</v>
      </c>
      <c r="AV14" s="178">
        <v>109.20601201518168</v>
      </c>
      <c r="AW14" s="176">
        <v>111.64179195610285</v>
      </c>
      <c r="AX14" s="177">
        <v>114.57374929239684</v>
      </c>
      <c r="AY14" s="177">
        <v>115.74653222691444</v>
      </c>
      <c r="AZ14" s="177">
        <v>118.00188402406366</v>
      </c>
      <c r="BA14" s="177">
        <v>119.98659360555497</v>
      </c>
      <c r="BB14" s="177">
        <v>122.46748058241911</v>
      </c>
      <c r="BC14" s="178">
        <v>123.77558462476566</v>
      </c>
      <c r="BD14" s="176">
        <v>125.76029420625697</v>
      </c>
      <c r="BE14" s="177">
        <v>127.75530059491555</v>
      </c>
      <c r="BF14" s="177">
        <v>130.56644596075265</v>
      </c>
      <c r="BG14" s="177">
        <v>132.33474707797276</v>
      </c>
      <c r="BH14" s="177">
        <v>135.32725666096064</v>
      </c>
      <c r="BI14" s="177">
        <v>137.54896832105771</v>
      </c>
      <c r="BJ14" s="178">
        <v>140.90420633834717</v>
      </c>
      <c r="BK14" s="176">
        <v>143.26194116130731</v>
      </c>
      <c r="BL14" s="177">
        <v>144.44080857278738</v>
      </c>
      <c r="BM14" s="177">
        <v>146.52649707002135</v>
      </c>
      <c r="BN14" s="177">
        <v>149.11093716441997</v>
      </c>
      <c r="BO14" s="177">
        <v>152.37549307313401</v>
      </c>
      <c r="BP14" s="177">
        <v>155.00527422182032</v>
      </c>
      <c r="BQ14" s="178">
        <v>158.17914802195898</v>
      </c>
      <c r="BR14" s="176">
        <v>161.06227743062908</v>
      </c>
      <c r="BS14" s="177">
        <v>163.46488527118751</v>
      </c>
      <c r="BT14" s="177">
        <v>165.31304514854014</v>
      </c>
      <c r="BU14" s="177">
        <v>166.86549944551635</v>
      </c>
      <c r="BV14" s="177">
        <v>168.30706414985141</v>
      </c>
      <c r="BW14" s="177">
        <v>169.23114408852774</v>
      </c>
      <c r="BX14" s="178">
        <v>170.00083042428119</v>
      </c>
      <c r="BY14" s="176">
        <v>170.50279977368561</v>
      </c>
      <c r="BZ14" s="177">
        <v>170.99420267382672</v>
      </c>
      <c r="CA14" s="177">
        <v>171.25628422056866</v>
      </c>
      <c r="CB14" s="177"/>
      <c r="CC14" s="177"/>
      <c r="CD14" s="177"/>
      <c r="CE14" s="179"/>
      <c r="CF14" s="176"/>
      <c r="CG14" s="177"/>
      <c r="CH14" s="3"/>
      <c r="CI14" s="3"/>
      <c r="CJ14" s="3"/>
      <c r="CK14" s="3"/>
      <c r="CL14" s="125"/>
      <c r="CM14" s="113">
        <f t="shared" si="0"/>
        <v>6666.5837385696632</v>
      </c>
    </row>
    <row r="15" spans="1:91" x14ac:dyDescent="0.3">
      <c r="A15" s="3">
        <v>26</v>
      </c>
      <c r="B15" s="1">
        <v>26.569099999999999</v>
      </c>
      <c r="C15" s="1">
        <v>0</v>
      </c>
      <c r="D15" s="1">
        <v>0</v>
      </c>
      <c r="E15" s="114">
        <v>73.430899999999994</v>
      </c>
      <c r="F15" s="122" t="s">
        <v>261</v>
      </c>
      <c r="G15" s="113"/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14">
        <v>0</v>
      </c>
      <c r="N15" s="113">
        <v>2.1532879871534915E-2</v>
      </c>
      <c r="O15" s="1">
        <v>0.34990929791244235</v>
      </c>
      <c r="P15" s="1">
        <v>0.51678911691683793</v>
      </c>
      <c r="Q15" s="1">
        <v>0.63791156619422185</v>
      </c>
      <c r="R15" s="1">
        <v>1.009353743978199</v>
      </c>
      <c r="S15" s="1">
        <v>1.0981768734482804</v>
      </c>
      <c r="T15" s="114">
        <v>1.3027392322278621</v>
      </c>
      <c r="U15" s="113">
        <v>1.6526485301403044</v>
      </c>
      <c r="V15" s="1">
        <v>1.9164263085666071</v>
      </c>
      <c r="W15" s="1">
        <v>2.1236802773301307</v>
      </c>
      <c r="X15" s="1">
        <v>5.7470005504437047</v>
      </c>
      <c r="Y15" s="1">
        <v>9.786794418168034</v>
      </c>
      <c r="Z15" s="1">
        <v>13.993177723736666</v>
      </c>
      <c r="AA15" s="114">
        <v>18.142836186531685</v>
      </c>
      <c r="AB15" s="113">
        <v>21.960521972303102</v>
      </c>
      <c r="AC15" s="1">
        <v>25.335577522043049</v>
      </c>
      <c r="AD15" s="1">
        <v>28.489317953767262</v>
      </c>
      <c r="AE15" s="1">
        <v>31.145099369956075</v>
      </c>
      <c r="AF15" s="1">
        <v>33.579565668129149</v>
      </c>
      <c r="AG15" s="1">
        <v>37.618566571916304</v>
      </c>
      <c r="AH15" s="114">
        <v>40.495663106120851</v>
      </c>
      <c r="AI15" s="113">
        <v>43.649403537845068</v>
      </c>
      <c r="AJ15" s="1">
        <v>44.866636686931606</v>
      </c>
      <c r="AK15" s="1">
        <v>46.360513733537815</v>
      </c>
      <c r="AL15" s="1">
        <v>48.020377118655823</v>
      </c>
      <c r="AM15" s="1">
        <v>50.487555971364031</v>
      </c>
      <c r="AN15" s="1">
        <v>52.89990862734539</v>
      </c>
      <c r="AO15" s="114">
        <v>56.13465423422948</v>
      </c>
      <c r="AP15" s="113">
        <v>58.327702103303437</v>
      </c>
      <c r="AQ15" s="1">
        <v>62.418446696117982</v>
      </c>
      <c r="AR15" s="1">
        <v>65.061697048398145</v>
      </c>
      <c r="AS15" s="1">
        <v>67.453209271889733</v>
      </c>
      <c r="AT15" s="1">
        <v>70.725804946141366</v>
      </c>
      <c r="AU15" s="1">
        <v>74.376007813575882</v>
      </c>
      <c r="AV15" s="114">
        <v>75.949371118504558</v>
      </c>
      <c r="AW15" s="113">
        <v>78.781425067376162</v>
      </c>
      <c r="AX15" s="1">
        <v>81.298806355262045</v>
      </c>
      <c r="AY15" s="1">
        <v>82.746300595796427</v>
      </c>
      <c r="AZ15" s="1">
        <v>85.200747351485163</v>
      </c>
      <c r="BA15" s="1">
        <v>87.151717849596722</v>
      </c>
      <c r="BB15" s="1">
        <v>89.812324060445548</v>
      </c>
      <c r="BC15" s="114">
        <v>91.308915054048015</v>
      </c>
      <c r="BD15" s="113">
        <v>93.138081824006576</v>
      </c>
      <c r="BE15" s="1">
        <v>97.239849732398511</v>
      </c>
      <c r="BF15" s="1">
        <v>99.73416805506929</v>
      </c>
      <c r="BG15" s="1">
        <v>101.68435675774982</v>
      </c>
      <c r="BH15" s="1">
        <v>104.41462094150258</v>
      </c>
      <c r="BI15" s="1">
        <v>107.08916544803589</v>
      </c>
      <c r="BJ15" s="114">
        <v>111.10098220783584</v>
      </c>
      <c r="BK15" s="113">
        <v>113.26061390648675</v>
      </c>
      <c r="BL15" s="1">
        <v>114.44326936050987</v>
      </c>
      <c r="BM15" s="1">
        <v>116.44864165211429</v>
      </c>
      <c r="BN15" s="1">
        <v>118.19691493197456</v>
      </c>
      <c r="BO15" s="1">
        <v>120.81932485176496</v>
      </c>
      <c r="BP15" s="1">
        <v>122.05340010813691</v>
      </c>
      <c r="BQ15" s="114">
        <v>123.64741398095069</v>
      </c>
      <c r="BR15" s="113">
        <v>125.70420607490394</v>
      </c>
      <c r="BS15" s="1">
        <v>126.52692291248523</v>
      </c>
      <c r="BT15" s="1">
        <v>127.34963975006653</v>
      </c>
      <c r="BU15" s="1">
        <v>128.42945559939199</v>
      </c>
      <c r="BV15" s="1">
        <v>129.2521724369733</v>
      </c>
      <c r="BW15" s="1">
        <v>130.3834080886476</v>
      </c>
      <c r="BX15" s="114">
        <v>131.64290286503388</v>
      </c>
      <c r="BY15" s="113">
        <v>133.07414692910919</v>
      </c>
      <c r="BZ15" s="1">
        <v>134.33364170549547</v>
      </c>
      <c r="CA15" s="1">
        <v>135.53588671931874</v>
      </c>
      <c r="CB15" s="1">
        <v>135.60984456709326</v>
      </c>
      <c r="CC15" s="1"/>
      <c r="CD15" s="1"/>
      <c r="CE15" s="114"/>
      <c r="CF15" s="113"/>
      <c r="CG15" s="1"/>
      <c r="CH15" s="1"/>
      <c r="CI15" s="1"/>
      <c r="CJ15" s="1"/>
      <c r="CK15" s="1"/>
      <c r="CL15" s="114"/>
      <c r="CM15" s="113">
        <f>SUM(G15:CL15)</f>
        <v>4671.0678455186089</v>
      </c>
    </row>
    <row r="16" spans="1:91" x14ac:dyDescent="0.3">
      <c r="A16" s="1">
        <v>7</v>
      </c>
      <c r="B16" s="1">
        <v>73.716099999999997</v>
      </c>
      <c r="C16" s="1">
        <v>0</v>
      </c>
      <c r="D16" s="1">
        <v>0</v>
      </c>
      <c r="E16" s="114">
        <v>26.283899999999999</v>
      </c>
      <c r="F16" s="122" t="s">
        <v>260</v>
      </c>
      <c r="G16" s="113"/>
      <c r="H16" s="1">
        <v>0</v>
      </c>
      <c r="I16" s="1">
        <v>0</v>
      </c>
      <c r="J16" s="1">
        <v>0</v>
      </c>
      <c r="K16" s="1">
        <v>0</v>
      </c>
      <c r="L16" s="1">
        <v>0.57965083464673983</v>
      </c>
      <c r="M16" s="114">
        <v>1.6230223370108714</v>
      </c>
      <c r="N16" s="113">
        <v>3.7097653417391347</v>
      </c>
      <c r="O16" s="1">
        <v>6.9558100157608784</v>
      </c>
      <c r="P16" s="1">
        <v>14.259410532309801</v>
      </c>
      <c r="Q16" s="1">
        <v>20.635569713423937</v>
      </c>
      <c r="R16" s="1">
        <v>25.968357392173942</v>
      </c>
      <c r="S16" s="1">
        <v>33.851608743369603</v>
      </c>
      <c r="T16" s="114">
        <v>40.92334892605983</v>
      </c>
      <c r="U16" s="113">
        <v>46.835787439456574</v>
      </c>
      <c r="V16" s="1">
        <v>50.54555278119571</v>
      </c>
      <c r="W16" s="1">
        <v>53.211946620570714</v>
      </c>
      <c r="X16" s="1">
        <v>57.153572296168548</v>
      </c>
      <c r="Y16" s="1">
        <v>60.051826469402243</v>
      </c>
      <c r="Z16" s="1">
        <v>62.02263930720116</v>
      </c>
      <c r="AA16" s="114">
        <v>63.761591811141379</v>
      </c>
      <c r="AB16" s="113">
        <v>65.268683981222907</v>
      </c>
      <c r="AC16" s="1">
        <v>67.007636485163133</v>
      </c>
      <c r="AD16" s="1">
        <v>68.514728655244653</v>
      </c>
      <c r="AE16" s="1">
        <v>70.48554149304357</v>
      </c>
      <c r="AF16" s="1">
        <v>72.688214664701178</v>
      </c>
      <c r="AG16" s="1">
        <v>75.122748170217491</v>
      </c>
      <c r="AH16" s="114">
        <v>76.861700674157717</v>
      </c>
      <c r="AI16" s="113">
        <v>79.395155455320307</v>
      </c>
      <c r="AJ16" s="1">
        <v>82.210105212167633</v>
      </c>
      <c r="AK16" s="1">
        <v>84.321317529803125</v>
      </c>
      <c r="AL16" s="1">
        <v>86.995519798808076</v>
      </c>
      <c r="AM16" s="1">
        <v>89.528974579970665</v>
      </c>
      <c r="AN16" s="1">
        <v>91.921681873290893</v>
      </c>
      <c r="AO16" s="114">
        <v>93.047661776029827</v>
      </c>
      <c r="AP16" s="113">
        <v>95.632599991549213</v>
      </c>
      <c r="AQ16" s="1">
        <v>97.809390067776064</v>
      </c>
      <c r="AR16" s="1">
        <v>100.39432828329545</v>
      </c>
      <c r="AS16" s="1">
        <v>102.97926649881484</v>
      </c>
      <c r="AT16" s="1">
        <v>105.97235285362676</v>
      </c>
      <c r="AU16" s="1">
        <v>108.55729106914615</v>
      </c>
      <c r="AV16" s="114">
        <v>111.14222928466553</v>
      </c>
      <c r="AW16" s="113">
        <v>113.59111812042075</v>
      </c>
      <c r="AX16" s="1">
        <v>118.48889579193117</v>
      </c>
      <c r="AY16" s="1">
        <v>122.29827842532816</v>
      </c>
      <c r="AZ16" s="1">
        <v>125.69951291943262</v>
      </c>
      <c r="BA16" s="1">
        <v>127.7402536158953</v>
      </c>
      <c r="BB16" s="1">
        <v>129.10074741353708</v>
      </c>
      <c r="BC16" s="114">
        <v>132.22988314811317</v>
      </c>
      <c r="BD16" s="113">
        <v>137.55205658268653</v>
      </c>
      <c r="BE16" s="1">
        <v>146.42234564030881</v>
      </c>
      <c r="BF16" s="1">
        <v>152.88498481086216</v>
      </c>
      <c r="BG16" s="1">
        <v>157.06669250945552</v>
      </c>
      <c r="BH16" s="1">
        <v>159.47434239652443</v>
      </c>
      <c r="BI16" s="1">
        <v>161.56519624582111</v>
      </c>
      <c r="BJ16" s="114">
        <v>162.70566198180111</v>
      </c>
      <c r="BK16" s="113">
        <v>164.44425560248536</v>
      </c>
      <c r="BL16" s="1">
        <v>165.08817916570175</v>
      </c>
      <c r="BM16" s="1">
        <v>165.73210272891814</v>
      </c>
      <c r="BN16" s="1"/>
      <c r="BO16" s="1"/>
      <c r="BP16" s="1"/>
      <c r="BQ16" s="114"/>
      <c r="BR16" s="113"/>
      <c r="BS16" s="1"/>
      <c r="BT16" s="1"/>
      <c r="BU16" s="1"/>
      <c r="BV16" s="1"/>
      <c r="BW16" s="1"/>
      <c r="BX16" s="114"/>
      <c r="BY16" s="113"/>
      <c r="BZ16" s="1"/>
      <c r="CA16" s="1"/>
      <c r="CB16" s="1"/>
      <c r="CC16" s="1"/>
      <c r="CD16" s="1"/>
      <c r="CE16" s="114"/>
      <c r="CF16" s="113"/>
      <c r="CG16" s="1"/>
      <c r="CH16" s="1"/>
      <c r="CI16" s="1"/>
      <c r="CJ16" s="1"/>
      <c r="CK16" s="1"/>
      <c r="CL16" s="114"/>
      <c r="CM16" s="113">
        <f>SUM(G16:CL16)</f>
        <v>4810.0310960588695</v>
      </c>
    </row>
    <row r="18" spans="1:91" s="13" customFormat="1" x14ac:dyDescent="0.3">
      <c r="A18" s="18" t="s">
        <v>217</v>
      </c>
      <c r="F18" s="2"/>
      <c r="CM18" s="113"/>
    </row>
    <row r="19" spans="1:91" x14ac:dyDescent="0.3">
      <c r="A19" s="1" t="s">
        <v>169</v>
      </c>
      <c r="B19" s="1" t="s">
        <v>46</v>
      </c>
      <c r="C19" s="1" t="s">
        <v>47</v>
      </c>
      <c r="D19" s="1" t="s">
        <v>48</v>
      </c>
      <c r="E19" s="114" t="s">
        <v>54</v>
      </c>
      <c r="F19" s="114"/>
      <c r="G19" s="115">
        <v>45327</v>
      </c>
      <c r="H19" s="173">
        <v>0</v>
      </c>
      <c r="I19" s="173">
        <v>1</v>
      </c>
      <c r="J19" s="173">
        <v>2</v>
      </c>
      <c r="K19" s="173">
        <v>3</v>
      </c>
      <c r="L19" s="173">
        <v>4</v>
      </c>
      <c r="M19" s="173">
        <v>5</v>
      </c>
      <c r="N19" s="173">
        <v>6</v>
      </c>
      <c r="O19" s="173">
        <v>7</v>
      </c>
      <c r="P19" s="173">
        <v>8</v>
      </c>
      <c r="Q19" s="173">
        <v>9</v>
      </c>
      <c r="R19" s="173">
        <v>10</v>
      </c>
      <c r="S19" s="173">
        <v>11</v>
      </c>
      <c r="T19" s="173">
        <v>12</v>
      </c>
      <c r="U19" s="173">
        <v>13</v>
      </c>
      <c r="V19" s="173">
        <v>14</v>
      </c>
      <c r="W19" s="173">
        <v>15</v>
      </c>
      <c r="X19" s="173">
        <v>16</v>
      </c>
      <c r="Y19" s="173">
        <v>17</v>
      </c>
      <c r="Z19" s="173">
        <v>18</v>
      </c>
      <c r="AA19" s="173">
        <v>19</v>
      </c>
      <c r="AB19" s="173">
        <v>20</v>
      </c>
      <c r="AC19" s="173">
        <v>21</v>
      </c>
      <c r="AD19" s="173">
        <v>22</v>
      </c>
      <c r="AE19" s="173">
        <v>23</v>
      </c>
      <c r="AF19" s="173">
        <v>24</v>
      </c>
      <c r="AG19" s="173">
        <v>25</v>
      </c>
      <c r="AH19" s="173">
        <v>26</v>
      </c>
      <c r="AI19" s="173">
        <v>27</v>
      </c>
      <c r="AJ19" s="173">
        <v>28</v>
      </c>
      <c r="AK19" s="173">
        <v>29</v>
      </c>
      <c r="AL19" s="173">
        <v>30</v>
      </c>
      <c r="AM19" s="173">
        <v>31</v>
      </c>
      <c r="AN19" s="173">
        <v>32</v>
      </c>
      <c r="AO19" s="173">
        <v>33</v>
      </c>
      <c r="AP19" s="173">
        <v>34</v>
      </c>
      <c r="AQ19" s="173">
        <v>35</v>
      </c>
      <c r="AR19" s="173">
        <v>36</v>
      </c>
      <c r="AS19" s="173">
        <v>37</v>
      </c>
      <c r="AT19" s="173">
        <v>38</v>
      </c>
      <c r="AU19" s="173">
        <v>39</v>
      </c>
      <c r="AV19" s="173">
        <v>40</v>
      </c>
      <c r="AW19" s="173">
        <v>41</v>
      </c>
      <c r="AX19" s="173">
        <v>42</v>
      </c>
      <c r="AY19" s="173">
        <v>43</v>
      </c>
      <c r="AZ19" s="173">
        <v>44</v>
      </c>
      <c r="BA19" s="173">
        <v>45</v>
      </c>
      <c r="BB19" s="173">
        <v>46</v>
      </c>
      <c r="BC19" s="173">
        <v>47</v>
      </c>
      <c r="BD19" s="173">
        <v>48</v>
      </c>
      <c r="BE19" s="173">
        <v>49</v>
      </c>
      <c r="BF19" s="173">
        <v>50</v>
      </c>
      <c r="BG19" s="173">
        <v>51</v>
      </c>
      <c r="BH19" s="173">
        <v>52</v>
      </c>
      <c r="BI19" s="173">
        <v>53</v>
      </c>
      <c r="BJ19" s="173">
        <v>54</v>
      </c>
      <c r="BK19" s="173">
        <v>55</v>
      </c>
      <c r="BL19" s="173">
        <v>56</v>
      </c>
      <c r="BM19" s="173">
        <v>57</v>
      </c>
      <c r="BN19" s="173">
        <v>58</v>
      </c>
      <c r="BO19" s="173">
        <v>59</v>
      </c>
      <c r="BP19" s="173">
        <v>60</v>
      </c>
      <c r="BQ19" s="173">
        <v>61</v>
      </c>
      <c r="BR19" s="173">
        <v>62</v>
      </c>
      <c r="BS19" s="173">
        <v>63</v>
      </c>
      <c r="BT19" s="173">
        <v>64</v>
      </c>
      <c r="BU19" s="173">
        <v>65</v>
      </c>
      <c r="BV19" s="173">
        <v>66</v>
      </c>
      <c r="BW19" s="173">
        <v>67</v>
      </c>
      <c r="BX19" s="173">
        <v>68</v>
      </c>
      <c r="BY19" s="173">
        <v>69</v>
      </c>
      <c r="BZ19" s="173">
        <v>70</v>
      </c>
      <c r="CA19" s="173">
        <v>71</v>
      </c>
      <c r="CB19" s="173">
        <v>72</v>
      </c>
      <c r="CC19" s="173">
        <v>73</v>
      </c>
      <c r="CD19" s="173">
        <v>74</v>
      </c>
      <c r="CE19" s="173">
        <v>75</v>
      </c>
      <c r="CF19" s="173">
        <v>76</v>
      </c>
      <c r="CG19" s="173">
        <v>77</v>
      </c>
      <c r="CH19" s="117"/>
      <c r="CI19" s="117"/>
      <c r="CJ19" s="117"/>
      <c r="CK19" s="117"/>
      <c r="CL19" s="118"/>
      <c r="CM19" s="113" t="s">
        <v>34</v>
      </c>
    </row>
    <row r="20" spans="1:91" x14ac:dyDescent="0.3">
      <c r="A20" s="1">
        <v>8</v>
      </c>
      <c r="B20" s="1">
        <v>46.627800000000001</v>
      </c>
      <c r="C20" s="1">
        <v>47.356999999999999</v>
      </c>
      <c r="D20" s="1">
        <v>6.0151300000000001</v>
      </c>
      <c r="E20" s="114">
        <v>0</v>
      </c>
      <c r="F20" s="123" t="s">
        <v>284</v>
      </c>
      <c r="G20" s="113"/>
      <c r="H20" s="1">
        <v>0</v>
      </c>
      <c r="I20" s="1">
        <v>0.59739286766246502</v>
      </c>
      <c r="J20" s="1">
        <v>1.1028791402999354</v>
      </c>
      <c r="K20" s="1">
        <v>1.7462253054748977</v>
      </c>
      <c r="L20" s="1">
        <v>2.366594821893611</v>
      </c>
      <c r="M20" s="114">
        <v>3.1018475820935678</v>
      </c>
      <c r="N20" s="113">
        <v>3.9290069373185195</v>
      </c>
      <c r="O20" s="1">
        <v>5.0089094288622062</v>
      </c>
      <c r="P20" s="1">
        <v>6.065835271649644</v>
      </c>
      <c r="Q20" s="1">
        <v>7.2835976557308229</v>
      </c>
      <c r="R20" s="1">
        <v>8.5243366885682494</v>
      </c>
      <c r="S20" s="1">
        <v>10.109725452749407</v>
      </c>
      <c r="T20" s="114">
        <v>11.649160919418067</v>
      </c>
      <c r="U20" s="113">
        <v>13.303479629867971</v>
      </c>
      <c r="V20" s="1">
        <v>15.003751637830371</v>
      </c>
      <c r="W20" s="1">
        <v>16.681046997036521</v>
      </c>
      <c r="X20" s="1">
        <v>18.220482463705181</v>
      </c>
      <c r="Y20" s="1">
        <v>19.897777822911333</v>
      </c>
      <c r="Z20" s="1">
        <v>21.437213289579994</v>
      </c>
      <c r="AA20" s="114">
        <v>22.861765512467411</v>
      </c>
      <c r="AB20" s="113">
        <v>22.898528150477407</v>
      </c>
      <c r="AC20" s="1">
        <v>24.460940265902316</v>
      </c>
      <c r="AD20" s="1">
        <v>28.272864565363129</v>
      </c>
      <c r="AE20" s="1">
        <v>31.812508557719596</v>
      </c>
      <c r="AF20" s="1">
        <v>35.624432857180409</v>
      </c>
      <c r="AG20" s="1">
        <v>38.917487337070376</v>
      </c>
      <c r="AH20" s="114">
        <v>42.132135757915343</v>
      </c>
      <c r="AI20" s="113">
        <v>44.641129647355314</v>
      </c>
      <c r="AJ20" s="1">
        <v>47.542153832020283</v>
      </c>
      <c r="AK20" s="1">
        <v>49.087462148829289</v>
      </c>
      <c r="AL20" s="1">
        <v>50.721073798027376</v>
      </c>
      <c r="AM20" s="1">
        <v>52.310533781030927</v>
      </c>
      <c r="AN20" s="1">
        <v>53.944145430229014</v>
      </c>
      <c r="AO20" s="114">
        <v>55.577757079427101</v>
      </c>
      <c r="AP20" s="113">
        <v>57.167217062430652</v>
      </c>
      <c r="AQ20" s="1">
        <v>58.800828711628739</v>
      </c>
      <c r="AR20" s="1">
        <v>60.390288694632289</v>
      </c>
      <c r="AS20" s="1">
        <v>62.001824510733108</v>
      </c>
      <c r="AT20" s="1">
        <v>63.613360326833927</v>
      </c>
      <c r="AU20" s="1">
        <v>65.246971976032015</v>
      </c>
      <c r="AV20" s="114">
        <v>66.968886957619191</v>
      </c>
      <c r="AW20" s="113">
        <v>68.514195274428189</v>
      </c>
      <c r="AX20" s="1">
        <v>70.147806923626277</v>
      </c>
      <c r="AY20" s="1">
        <v>71.693115240435276</v>
      </c>
      <c r="AZ20" s="1">
        <v>73.238423557244275</v>
      </c>
      <c r="BA20" s="1">
        <v>74.827883540247825</v>
      </c>
      <c r="BB20" s="1">
        <v>76.461495189445913</v>
      </c>
      <c r="BC20" s="114">
        <v>78.050955172449463</v>
      </c>
      <c r="BD20" s="113">
        <v>79.640415155453013</v>
      </c>
      <c r="BE20" s="1">
        <v>81.185723472262012</v>
      </c>
      <c r="BF20" s="1">
        <v>82.819335121460099</v>
      </c>
      <c r="BG20" s="1">
        <v>84.541250103047275</v>
      </c>
      <c r="BH20" s="1">
        <v>86.086558419856274</v>
      </c>
      <c r="BI20" s="1">
        <v>87.764321735248913</v>
      </c>
      <c r="BJ20" s="114">
        <v>89.397933384447001</v>
      </c>
      <c r="BK20" s="113">
        <v>92.218305320371854</v>
      </c>
      <c r="BL20" s="1">
        <v>95.119259311608857</v>
      </c>
      <c r="BM20" s="1">
        <v>97.939631247533711</v>
      </c>
      <c r="BN20" s="1">
        <v>100.51825701752216</v>
      </c>
      <c r="BO20" s="1">
        <v>103.4997930640713</v>
      </c>
      <c r="BP20" s="1">
        <v>106.15900088937188</v>
      </c>
      <c r="BQ20" s="114">
        <v>108.41529843811178</v>
      </c>
      <c r="BR20" s="113">
        <v>111.1753976172178</v>
      </c>
      <c r="BS20" s="1">
        <v>113.34404697222968</v>
      </c>
      <c r="BT20" s="1">
        <v>115.11839644451211</v>
      </c>
      <c r="BU20" s="1">
        <v>116.99132088747692</v>
      </c>
      <c r="BV20" s="1">
        <v>119.06139527180643</v>
      </c>
      <c r="BW20" s="1">
        <v>121.0328946854536</v>
      </c>
      <c r="BX20" s="114">
        <v>122.51151924568897</v>
      </c>
      <c r="BY20" s="113">
        <v>124.18729374728906</v>
      </c>
      <c r="BZ20" s="1">
        <v>126.06021819025386</v>
      </c>
      <c r="CA20" s="1">
        <v>127.63741772117159</v>
      </c>
      <c r="CB20" s="1">
        <v>127.86156873449629</v>
      </c>
      <c r="CC20" s="1">
        <v>128.06330464648852</v>
      </c>
      <c r="CD20" s="1">
        <v>128.42868483689338</v>
      </c>
      <c r="CE20" s="114"/>
      <c r="CF20" s="113"/>
      <c r="CG20" s="1"/>
      <c r="CH20" s="1"/>
      <c r="CI20" s="1"/>
      <c r="CJ20" s="1"/>
      <c r="CK20" s="1"/>
      <c r="CL20" s="114"/>
      <c r="CM20" s="113">
        <f>SUM(G20:CL20)</f>
        <v>4590.7359774527986</v>
      </c>
    </row>
    <row r="21" spans="1:91" x14ac:dyDescent="0.3">
      <c r="A21" s="1">
        <v>1</v>
      </c>
      <c r="B21" s="1">
        <v>4.4064600000000002E-2</v>
      </c>
      <c r="C21" s="1">
        <v>27.802199999999999</v>
      </c>
      <c r="D21" s="1">
        <v>0</v>
      </c>
      <c r="E21" s="114">
        <v>72.153700000000001</v>
      </c>
      <c r="F21" s="123" t="s">
        <v>285</v>
      </c>
      <c r="G21" s="113"/>
      <c r="H21" s="1">
        <v>0</v>
      </c>
      <c r="I21" s="1">
        <v>0.24133412480307526</v>
      </c>
      <c r="J21" s="1">
        <v>0.58885526451950354</v>
      </c>
      <c r="K21" s="1">
        <v>0.97498986420442391</v>
      </c>
      <c r="L21" s="1">
        <v>1.2259773539996222</v>
      </c>
      <c r="M21" s="114">
        <v>1.6603787786451576</v>
      </c>
      <c r="N21" s="113">
        <v>2.114086933274939</v>
      </c>
      <c r="O21" s="1">
        <v>2.5002215329598592</v>
      </c>
      <c r="P21" s="1">
        <v>2.9249695926132717</v>
      </c>
      <c r="Q21" s="1">
        <v>3.4365979371957911</v>
      </c>
      <c r="R21" s="1">
        <v>4.6680410914172903</v>
      </c>
      <c r="S21" s="1">
        <v>5.0695986417069099</v>
      </c>
      <c r="T21" s="114">
        <v>6.033336762401996</v>
      </c>
      <c r="U21" s="113">
        <v>7.3450914266814191</v>
      </c>
      <c r="V21" s="1">
        <v>8.8977806211346149</v>
      </c>
      <c r="W21" s="1">
        <v>9.8481334901533817</v>
      </c>
      <c r="X21" s="1">
        <v>11.045318999546868</v>
      </c>
      <c r="Y21" s="1">
        <v>11.957460340037144</v>
      </c>
      <c r="Z21" s="1">
        <v>13.168898057875792</v>
      </c>
      <c r="AA21" s="114">
        <v>14.323326941933797</v>
      </c>
      <c r="AB21" s="113">
        <v>15.255060103313435</v>
      </c>
      <c r="AC21" s="1">
        <v>16.448843216331095</v>
      </c>
      <c r="AD21" s="1">
        <v>17.6280679987022</v>
      </c>
      <c r="AE21" s="1">
        <v>18.576637881158636</v>
      </c>
      <c r="AF21" s="1">
        <v>19.685734974492313</v>
      </c>
      <c r="AG21" s="1">
        <v>20.634304856948749</v>
      </c>
      <c r="AH21" s="114">
        <v>21.612061505019227</v>
      </c>
      <c r="AI21" s="113">
        <v>22.717466437450568</v>
      </c>
      <c r="AJ21" s="1">
        <v>23.489735636820409</v>
      </c>
      <c r="AK21" s="1">
        <v>24.36014153825009</v>
      </c>
      <c r="AL21" s="1">
        <v>25.155512448177213</v>
      </c>
      <c r="AM21" s="1">
        <v>25.980897354705359</v>
      </c>
      <c r="AN21" s="1">
        <v>26.821289259534016</v>
      </c>
      <c r="AO21" s="114">
        <v>27.720587488429832</v>
      </c>
      <c r="AP21" s="113">
        <v>28.440026071546484</v>
      </c>
      <c r="AQ21" s="1">
        <v>29.414265819516952</v>
      </c>
      <c r="AR21" s="1">
        <v>29.968833060669372</v>
      </c>
      <c r="AS21" s="1">
        <v>30.478435390377001</v>
      </c>
      <c r="AT21" s="1">
        <v>31.062979239159283</v>
      </c>
      <c r="AU21" s="1">
        <v>31.857359341350588</v>
      </c>
      <c r="AV21" s="114">
        <v>32.142137113834266</v>
      </c>
      <c r="AW21" s="113">
        <v>32.606774532097106</v>
      </c>
      <c r="AX21" s="1">
        <v>32.8086749763768</v>
      </c>
      <c r="AY21" s="1">
        <v>32.916355213325971</v>
      </c>
      <c r="AZ21" s="1">
        <v>33.091335598368374</v>
      </c>
      <c r="BA21" s="1">
        <v>33.219205879745516</v>
      </c>
      <c r="BB21" s="1">
        <v>33.407646294406568</v>
      </c>
      <c r="BC21" s="114">
        <v>33.51532653135574</v>
      </c>
      <c r="BD21" s="113">
        <v>33.703766946016792</v>
      </c>
      <c r="BE21" s="1">
        <v>34.134487893813478</v>
      </c>
      <c r="BF21" s="1">
        <v>34.28254821961859</v>
      </c>
      <c r="BG21" s="1">
        <v>34.54149956027149</v>
      </c>
      <c r="BH21" s="1">
        <v>34.871073993829725</v>
      </c>
      <c r="BI21" s="1">
        <v>35.130025334482625</v>
      </c>
      <c r="BJ21" s="114">
        <v>35.577304922883087</v>
      </c>
      <c r="BK21" s="113">
        <v>35.777403686114873</v>
      </c>
      <c r="BL21" s="1">
        <v>36.001043480315104</v>
      </c>
      <c r="BM21" s="1">
        <v>36.295306367420672</v>
      </c>
      <c r="BN21" s="1"/>
      <c r="BO21" s="1"/>
      <c r="BP21" s="1"/>
      <c r="BQ21" s="114"/>
      <c r="BR21" s="113"/>
      <c r="BS21" s="1"/>
      <c r="BT21" s="1"/>
      <c r="BU21" s="1"/>
      <c r="BV21" s="1"/>
      <c r="BW21" s="1"/>
      <c r="BX21" s="114"/>
      <c r="BY21" s="113"/>
      <c r="BZ21" s="1"/>
      <c r="CA21" s="1"/>
      <c r="CB21" s="1"/>
      <c r="CC21" s="1"/>
      <c r="CD21" s="1"/>
      <c r="CE21" s="114"/>
      <c r="CF21" s="113"/>
      <c r="CG21" s="1"/>
      <c r="CH21" s="1"/>
      <c r="CI21" s="1"/>
      <c r="CJ21" s="1"/>
      <c r="CK21" s="1"/>
      <c r="CL21" s="114"/>
      <c r="CM21" s="113">
        <f>SUM(G21:CL21)</f>
        <v>1209.3545539213342</v>
      </c>
    </row>
    <row r="22" spans="1:91" x14ac:dyDescent="0.3">
      <c r="A22" s="3">
        <v>14</v>
      </c>
      <c r="B22" s="1">
        <v>6.4521899999999999</v>
      </c>
      <c r="C22" s="1">
        <v>47.085299999999997</v>
      </c>
      <c r="D22" s="1">
        <v>0</v>
      </c>
      <c r="E22" s="114">
        <v>46.462499999999999</v>
      </c>
      <c r="F22" s="123" t="s">
        <v>286</v>
      </c>
      <c r="G22" s="113"/>
      <c r="H22" s="1">
        <v>0</v>
      </c>
      <c r="I22" s="1">
        <v>2.5877052046264754E-2</v>
      </c>
      <c r="J22" s="1">
        <v>8.8721321301479153E-2</v>
      </c>
      <c r="K22" s="1">
        <v>0.17004919916116837</v>
      </c>
      <c r="L22" s="1">
        <v>0.35118856348502159</v>
      </c>
      <c r="M22" s="114">
        <v>0.47040783898388416</v>
      </c>
      <c r="N22" s="113">
        <v>0.57206768630849569</v>
      </c>
      <c r="O22" s="1">
        <v>1.8228650328286848</v>
      </c>
      <c r="P22" s="1">
        <v>2.6322044923417485</v>
      </c>
      <c r="Q22" s="1">
        <v>3.9075272770289997</v>
      </c>
      <c r="R22" s="1">
        <v>6.8368557776876804</v>
      </c>
      <c r="S22" s="1">
        <v>11.317005249283309</v>
      </c>
      <c r="T22" s="114">
        <v>15.538684559056112</v>
      </c>
      <c r="U22" s="113">
        <v>19.544972067309896</v>
      </c>
      <c r="V22" s="1">
        <v>24.564427028962591</v>
      </c>
      <c r="W22" s="1">
        <v>29.329732372303756</v>
      </c>
      <c r="X22" s="1">
        <v>34.267905665118271</v>
      </c>
      <c r="Y22" s="1">
        <v>38.931735997220869</v>
      </c>
      <c r="Z22" s="1">
        <v>44.419704227975487</v>
      </c>
      <c r="AA22" s="114">
        <v>49.679007115781999</v>
      </c>
      <c r="AB22" s="113">
        <v>54.633422879657701</v>
      </c>
      <c r="AC22" s="1">
        <v>59.130507957637178</v>
      </c>
      <c r="AD22" s="1">
        <v>64.161145502495572</v>
      </c>
      <c r="AE22" s="1">
        <v>68.546497166460995</v>
      </c>
      <c r="AF22" s="1">
        <v>71.81557749778068</v>
      </c>
      <c r="AG22" s="1">
        <v>73.091316163661531</v>
      </c>
      <c r="AH22" s="114">
        <v>77.556401494244511</v>
      </c>
      <c r="AI22" s="113">
        <v>81.392027533802107</v>
      </c>
      <c r="AJ22" s="1">
        <v>84.366594666520243</v>
      </c>
      <c r="AK22" s="1">
        <v>87.262883716798427</v>
      </c>
      <c r="AL22" s="1">
        <v>90.00261660219671</v>
      </c>
      <c r="AM22" s="1">
        <v>92.350959075395238</v>
      </c>
      <c r="AN22" s="1">
        <v>94.542745383713864</v>
      </c>
      <c r="AO22" s="114">
        <v>96.65625360959254</v>
      </c>
      <c r="AP22" s="113">
        <v>98.300093340831509</v>
      </c>
      <c r="AQ22" s="1">
        <v>100.33097983624818</v>
      </c>
      <c r="AR22" s="1">
        <v>101.75260038303985</v>
      </c>
      <c r="AS22" s="1">
        <v>103.17422092983152</v>
      </c>
      <c r="AT22" s="1">
        <v>104.66353769313707</v>
      </c>
      <c r="AU22" s="1">
        <v>107.10060148763708</v>
      </c>
      <c r="AV22" s="114">
        <v>107.91295608580374</v>
      </c>
      <c r="AW22" s="113">
        <v>109.33457663259541</v>
      </c>
      <c r="AX22" s="1">
        <v>110.75619717938709</v>
      </c>
      <c r="AY22" s="1">
        <v>111.50085556103987</v>
      </c>
      <c r="AZ22" s="1">
        <v>112.71938745828987</v>
      </c>
      <c r="BA22" s="1">
        <v>113.73483070599821</v>
      </c>
      <c r="BB22" s="1">
        <v>114.7709986998543</v>
      </c>
      <c r="BC22" s="114">
        <v>115.40421247387748</v>
      </c>
      <c r="BD22" s="113"/>
      <c r="BE22" s="1"/>
      <c r="BF22" s="1"/>
      <c r="BG22" s="1"/>
      <c r="BH22" s="1"/>
      <c r="BI22" s="1"/>
      <c r="BJ22" s="114"/>
      <c r="BK22" s="113"/>
      <c r="BL22" s="1"/>
      <c r="BM22" s="1"/>
      <c r="BN22" s="1"/>
      <c r="BO22" s="1"/>
      <c r="BP22" s="1"/>
      <c r="BQ22" s="114"/>
      <c r="BR22" s="113"/>
      <c r="BS22" s="1"/>
      <c r="BT22" s="1"/>
      <c r="BU22" s="1"/>
      <c r="BV22" s="1"/>
      <c r="BW22" s="1"/>
      <c r="BX22" s="114"/>
      <c r="BY22" s="113"/>
      <c r="BZ22" s="1"/>
      <c r="CA22" s="1"/>
      <c r="CB22" s="1"/>
      <c r="CC22" s="1"/>
      <c r="CD22" s="1"/>
      <c r="CE22" s="114"/>
      <c r="CF22" s="113"/>
      <c r="CG22" s="1"/>
      <c r="CH22" s="1"/>
      <c r="CI22" s="1"/>
      <c r="CJ22" s="1"/>
      <c r="CK22" s="1"/>
      <c r="CL22" s="114"/>
      <c r="CM22" s="113">
        <f>SUM(G22:CL22)</f>
        <v>2891.4359362417144</v>
      </c>
    </row>
    <row r="23" spans="1:91" x14ac:dyDescent="0.3">
      <c r="A23" s="3">
        <v>16</v>
      </c>
      <c r="B23" s="1">
        <v>47.869199999999999</v>
      </c>
      <c r="C23" s="1">
        <v>4.8092300000000003</v>
      </c>
      <c r="D23" s="1">
        <v>0</v>
      </c>
      <c r="E23" s="114">
        <v>47.321599999999997</v>
      </c>
      <c r="F23" s="123" t="s">
        <v>287</v>
      </c>
      <c r="G23" s="113"/>
      <c r="H23" s="1">
        <v>0</v>
      </c>
      <c r="I23" s="1">
        <v>2.1705377453598325</v>
      </c>
      <c r="J23" s="1">
        <v>3.5517890378615435</v>
      </c>
      <c r="K23" s="1">
        <v>4.5383971039341944</v>
      </c>
      <c r="L23" s="1">
        <v>5.5250051700068452</v>
      </c>
      <c r="M23" s="114">
        <v>7.3666735600091267</v>
      </c>
      <c r="N23" s="113">
        <v>10.458045500370099</v>
      </c>
      <c r="O23" s="1">
        <v>14.075608409303154</v>
      </c>
      <c r="P23" s="1">
        <v>14.930668733232785</v>
      </c>
      <c r="Q23" s="1">
        <v>18.877100997523389</v>
      </c>
      <c r="R23" s="1">
        <v>20.718769387525672</v>
      </c>
      <c r="S23" s="1">
        <v>24.270558425387215</v>
      </c>
      <c r="T23" s="114">
        <v>27.361930365748186</v>
      </c>
      <c r="U23" s="113">
        <v>32.294970696111442</v>
      </c>
      <c r="V23" s="1">
        <v>36.872606078753591</v>
      </c>
      <c r="W23" s="1">
        <v>41.228742975138864</v>
      </c>
      <c r="X23" s="1">
        <v>45.653737276708263</v>
      </c>
      <c r="Y23" s="1">
        <v>49.837368252737512</v>
      </c>
      <c r="Z23" s="1">
        <v>54.664634763540491</v>
      </c>
      <c r="AA23" s="114">
        <v>59.527417199122652</v>
      </c>
      <c r="AB23" s="113">
        <v>64.30777959342376</v>
      </c>
      <c r="AC23" s="1">
        <v>70.242022565659624</v>
      </c>
      <c r="AD23" s="1">
        <v>75.269645083803894</v>
      </c>
      <c r="AE23" s="1">
        <v>79.80274735426184</v>
      </c>
      <c r="AF23" s="1">
        <v>84.88384646201655</v>
      </c>
      <c r="AG23" s="1">
        <v>88.899553821371072</v>
      </c>
      <c r="AH23" s="114">
        <v>95.291904311772157</v>
      </c>
      <c r="AI23" s="113">
        <v>99.791222841952433</v>
      </c>
      <c r="AJ23" s="1">
        <v>103.79970662338577</v>
      </c>
      <c r="AK23" s="1">
        <v>107.31735565607217</v>
      </c>
      <c r="AL23" s="1">
        <v>111.24403364604768</v>
      </c>
      <c r="AM23" s="1">
        <v>114.48619163301525</v>
      </c>
      <c r="AN23" s="1">
        <v>117.94940584636697</v>
      </c>
      <c r="AO23" s="114">
        <v>121.33893465092397</v>
      </c>
      <c r="AP23" s="113">
        <v>124.36003641150739</v>
      </c>
      <c r="AQ23" s="1">
        <v>128.48641930401158</v>
      </c>
      <c r="AR23" s="1">
        <v>131.1390940206214</v>
      </c>
      <c r="AS23" s="1">
        <v>133.57071251084707</v>
      </c>
      <c r="AT23" s="1">
        <v>136.2233872274569</v>
      </c>
      <c r="AU23" s="1">
        <v>139.68660144080863</v>
      </c>
      <c r="AV23" s="114">
        <v>141.16030961670299</v>
      </c>
      <c r="AW23" s="113">
        <v>143.44455728933923</v>
      </c>
      <c r="AX23" s="1">
        <v>145.63414906421568</v>
      </c>
      <c r="AY23" s="1">
        <v>146.76212058460658</v>
      </c>
      <c r="AZ23" s="1">
        <v>148.61995602995628</v>
      </c>
      <c r="BA23" s="1">
        <v>150.01333261396857</v>
      </c>
      <c r="BB23" s="1">
        <v>151.73846552750757</v>
      </c>
      <c r="BC23" s="114">
        <v>152.86643704789847</v>
      </c>
      <c r="BD23" s="113">
        <v>154.32616489781608</v>
      </c>
      <c r="BE23" s="1">
        <v>154.97482499614384</v>
      </c>
      <c r="BF23" s="1"/>
      <c r="BG23" s="1"/>
      <c r="BH23" s="1"/>
      <c r="BI23" s="1"/>
      <c r="BJ23" s="114"/>
      <c r="BK23" s="113"/>
      <c r="BL23" s="1"/>
      <c r="BM23" s="1"/>
      <c r="BN23" s="1"/>
      <c r="BO23" s="1"/>
      <c r="BP23" s="1"/>
      <c r="BQ23" s="114"/>
      <c r="BR23" s="113"/>
      <c r="BS23" s="1"/>
      <c r="BT23" s="1"/>
      <c r="BU23" s="1"/>
      <c r="BV23" s="1"/>
      <c r="BW23" s="1"/>
      <c r="BX23" s="114"/>
      <c r="BY23" s="113"/>
      <c r="BZ23" s="1"/>
      <c r="CA23" s="1"/>
      <c r="CB23" s="1"/>
      <c r="CC23" s="1"/>
      <c r="CD23" s="1"/>
      <c r="CE23" s="114"/>
      <c r="CF23" s="113"/>
      <c r="CG23" s="1"/>
      <c r="CH23" s="1"/>
      <c r="CI23" s="1"/>
      <c r="CJ23" s="1"/>
      <c r="CK23" s="1"/>
      <c r="CL23" s="114"/>
      <c r="CM23" s="113">
        <f>SUM(G23:CL23)</f>
        <v>4091.5554803518571</v>
      </c>
    </row>
    <row r="25" spans="1:91" s="1" customFormat="1" x14ac:dyDescent="0.3">
      <c r="A25" s="205" t="s">
        <v>216</v>
      </c>
      <c r="F25" s="3"/>
    </row>
    <row r="26" spans="1:91" s="1" customFormat="1" x14ac:dyDescent="0.3">
      <c r="A26" s="1" t="s">
        <v>169</v>
      </c>
      <c r="B26" s="1" t="s">
        <v>46</v>
      </c>
      <c r="C26" s="1" t="s">
        <v>47</v>
      </c>
      <c r="D26" s="1" t="s">
        <v>48</v>
      </c>
      <c r="E26" s="1" t="s">
        <v>54</v>
      </c>
      <c r="G26" s="206">
        <v>45327</v>
      </c>
      <c r="H26" s="96">
        <v>0</v>
      </c>
      <c r="I26" s="96">
        <v>1</v>
      </c>
      <c r="J26" s="96">
        <v>2</v>
      </c>
      <c r="K26" s="96">
        <v>3</v>
      </c>
      <c r="L26" s="96">
        <v>4</v>
      </c>
      <c r="M26" s="96">
        <v>5</v>
      </c>
      <c r="N26" s="96">
        <v>6</v>
      </c>
      <c r="O26" s="96">
        <v>7</v>
      </c>
      <c r="P26" s="96">
        <v>8</v>
      </c>
      <c r="Q26" s="96">
        <v>9</v>
      </c>
      <c r="R26" s="96">
        <v>10</v>
      </c>
      <c r="S26" s="96">
        <v>11</v>
      </c>
      <c r="T26" s="96">
        <v>12</v>
      </c>
      <c r="U26" s="96">
        <v>13</v>
      </c>
      <c r="V26" s="96">
        <v>14</v>
      </c>
      <c r="W26" s="96">
        <v>15</v>
      </c>
      <c r="X26" s="96">
        <v>16</v>
      </c>
      <c r="Y26" s="96">
        <v>17</v>
      </c>
      <c r="Z26" s="96">
        <v>18</v>
      </c>
      <c r="AA26" s="96">
        <v>19</v>
      </c>
      <c r="AB26" s="96">
        <v>20</v>
      </c>
      <c r="AC26" s="96">
        <v>21</v>
      </c>
      <c r="AD26" s="96">
        <v>22</v>
      </c>
      <c r="AE26" s="96">
        <v>23</v>
      </c>
      <c r="AF26" s="96">
        <v>24</v>
      </c>
      <c r="AG26" s="96">
        <v>25</v>
      </c>
      <c r="AH26" s="96">
        <v>26</v>
      </c>
      <c r="AI26" s="96">
        <v>27</v>
      </c>
      <c r="AJ26" s="96">
        <v>28</v>
      </c>
      <c r="AK26" s="96">
        <v>29</v>
      </c>
      <c r="AL26" s="96">
        <v>30</v>
      </c>
      <c r="AM26" s="96">
        <v>31</v>
      </c>
      <c r="AN26" s="96">
        <v>32</v>
      </c>
      <c r="AO26" s="96">
        <v>33</v>
      </c>
      <c r="AP26" s="96">
        <v>34</v>
      </c>
      <c r="AQ26" s="96">
        <v>35</v>
      </c>
      <c r="AR26" s="96">
        <v>36</v>
      </c>
      <c r="AS26" s="96">
        <v>37</v>
      </c>
      <c r="AT26" s="96">
        <v>38</v>
      </c>
      <c r="AU26" s="96">
        <v>39</v>
      </c>
      <c r="AV26" s="96">
        <v>40</v>
      </c>
      <c r="AW26" s="96">
        <v>41</v>
      </c>
      <c r="AX26" s="96">
        <v>42</v>
      </c>
      <c r="AY26" s="96">
        <v>43</v>
      </c>
      <c r="AZ26" s="96">
        <v>44</v>
      </c>
      <c r="BA26" s="96">
        <v>45</v>
      </c>
      <c r="BB26" s="96">
        <v>46</v>
      </c>
      <c r="BC26" s="96">
        <v>47</v>
      </c>
      <c r="BD26" s="96">
        <v>48</v>
      </c>
      <c r="BE26" s="96">
        <v>49</v>
      </c>
      <c r="BF26" s="96">
        <v>50</v>
      </c>
      <c r="BG26" s="96">
        <v>51</v>
      </c>
      <c r="BH26" s="96">
        <v>52</v>
      </c>
      <c r="BI26" s="96">
        <v>53</v>
      </c>
      <c r="BJ26" s="96">
        <v>54</v>
      </c>
      <c r="BK26" s="96">
        <v>55</v>
      </c>
      <c r="BL26" s="96">
        <v>56</v>
      </c>
      <c r="BM26" s="96">
        <v>57</v>
      </c>
      <c r="BN26" s="96">
        <v>58</v>
      </c>
      <c r="BO26" s="96">
        <v>59</v>
      </c>
      <c r="BP26" s="96">
        <v>60</v>
      </c>
      <c r="BQ26" s="96">
        <v>61</v>
      </c>
      <c r="BR26" s="96">
        <v>62</v>
      </c>
      <c r="BS26" s="96">
        <v>63</v>
      </c>
      <c r="BT26" s="96">
        <v>64</v>
      </c>
      <c r="BU26" s="96">
        <v>65</v>
      </c>
      <c r="BV26" s="96">
        <v>66</v>
      </c>
      <c r="BW26" s="96">
        <v>67</v>
      </c>
      <c r="BX26" s="96">
        <v>68</v>
      </c>
      <c r="BY26" s="96">
        <v>69</v>
      </c>
      <c r="BZ26" s="96">
        <v>70</v>
      </c>
      <c r="CA26" s="96">
        <v>71</v>
      </c>
      <c r="CB26" s="96">
        <v>72</v>
      </c>
      <c r="CC26" s="96">
        <v>73</v>
      </c>
      <c r="CD26" s="96">
        <v>74</v>
      </c>
      <c r="CE26" s="96">
        <v>75</v>
      </c>
      <c r="CF26" s="96">
        <v>76</v>
      </c>
      <c r="CG26" s="96">
        <v>77</v>
      </c>
      <c r="CM26" s="1" t="s">
        <v>34</v>
      </c>
    </row>
    <row r="27" spans="1:91" s="1" customFormat="1" x14ac:dyDescent="0.3">
      <c r="A27" s="101" t="s">
        <v>189</v>
      </c>
      <c r="B27" s="1">
        <v>2.0130699999999999</v>
      </c>
      <c r="C27" s="1">
        <v>31.355499999999999</v>
      </c>
      <c r="D27" s="1">
        <v>33.126300000000001</v>
      </c>
      <c r="E27" s="1">
        <v>33.505099999999999</v>
      </c>
      <c r="F27" s="99" t="s">
        <v>288</v>
      </c>
      <c r="H27" s="1">
        <v>0</v>
      </c>
      <c r="I27" s="1">
        <v>1.697060702758922</v>
      </c>
      <c r="J27" s="1">
        <v>2.6415670590956055</v>
      </c>
      <c r="K27" s="1">
        <v>3.5843850295398054</v>
      </c>
      <c r="L27" s="1">
        <v>5.0772965898161662</v>
      </c>
      <c r="M27" s="1">
        <v>7.385058113927097</v>
      </c>
      <c r="N27" s="1">
        <v>11.187856235730791</v>
      </c>
      <c r="O27" s="1">
        <v>15.322334855102758</v>
      </c>
      <c r="P27" s="1">
        <v>19.032126202311872</v>
      </c>
      <c r="Q27" s="1">
        <v>23.602237492046239</v>
      </c>
      <c r="R27" s="1">
        <v>28.426992306489069</v>
      </c>
      <c r="S27" s="1">
        <v>37.568559772651469</v>
      </c>
      <c r="T27" s="1">
        <v>46.733776285349279</v>
      </c>
      <c r="U27" s="1">
        <v>52.351053615703663</v>
      </c>
      <c r="V27" s="1">
        <v>57.240357169422239</v>
      </c>
      <c r="W27" s="1">
        <v>61.001044618259257</v>
      </c>
      <c r="X27" s="1">
        <v>64.96944428601401</v>
      </c>
      <c r="Y27" s="1">
        <v>68.323626632144141</v>
      </c>
      <c r="Z27" s="1">
        <v>71.698651811015964</v>
      </c>
      <c r="AA27" s="1">
        <v>74.452234541047389</v>
      </c>
      <c r="AB27" s="1">
        <v>76.573050992718137</v>
      </c>
      <c r="AC27" s="1">
        <v>78.715787350889585</v>
      </c>
      <c r="AD27" s="1">
        <v>81.233345377192421</v>
      </c>
      <c r="AE27" s="1">
        <v>82.968517024958928</v>
      </c>
      <c r="AF27" s="1">
        <v>84.934502668268593</v>
      </c>
      <c r="AG27" s="1">
        <v>86.19942391285646</v>
      </c>
      <c r="AH27" s="1">
        <v>87.496861140925432</v>
      </c>
      <c r="AI27" s="1">
        <v>90.052506824154577</v>
      </c>
      <c r="AJ27" s="1">
        <v>91.249624820108423</v>
      </c>
      <c r="AK27" s="1">
        <v>91.865903136925951</v>
      </c>
      <c r="AL27" s="1">
        <v>92.429620254304353</v>
      </c>
      <c r="AM27" s="1">
        <v>92.879022002720973</v>
      </c>
    </row>
    <row r="28" spans="1:91" s="1" customFormat="1" x14ac:dyDescent="0.3">
      <c r="A28" s="3">
        <v>21</v>
      </c>
      <c r="B28" s="1">
        <v>5.5069600000000003</v>
      </c>
      <c r="C28" s="1">
        <v>2.4822700000000002</v>
      </c>
      <c r="D28" s="1">
        <v>47.348799999999997</v>
      </c>
      <c r="E28" s="1">
        <v>44.661900000000003</v>
      </c>
      <c r="F28" s="99" t="s">
        <v>289</v>
      </c>
      <c r="H28" s="1">
        <v>0</v>
      </c>
      <c r="I28" s="1">
        <v>2.2008263284116847</v>
      </c>
      <c r="J28" s="1">
        <v>3.9802178279785791</v>
      </c>
      <c r="K28" s="1">
        <v>5.7596093275454736</v>
      </c>
      <c r="L28" s="1">
        <v>7.4921747350185024</v>
      </c>
      <c r="M28" s="1">
        <v>8.9437835899283371</v>
      </c>
      <c r="N28" s="1">
        <v>10.442218536932037</v>
      </c>
      <c r="O28" s="1">
        <v>12.362088312780529</v>
      </c>
      <c r="P28" s="1">
        <v>15.124827746318601</v>
      </c>
      <c r="Q28" s="1">
        <v>18.777262929640123</v>
      </c>
      <c r="R28" s="1">
        <v>23.13208949436963</v>
      </c>
      <c r="S28" s="1">
        <v>27.767872611662327</v>
      </c>
      <c r="T28" s="1">
        <v>31.27982951870225</v>
      </c>
      <c r="U28" s="1">
        <v>35.213221254586962</v>
      </c>
      <c r="V28" s="1">
        <v>39.989482648161257</v>
      </c>
      <c r="W28" s="1">
        <v>45.42130933104967</v>
      </c>
      <c r="X28" s="1">
        <v>51.109034345745229</v>
      </c>
      <c r="Y28" s="1">
        <v>56.653371334860225</v>
      </c>
      <c r="Z28" s="1">
        <v>62.580076392190051</v>
      </c>
      <c r="AA28" s="1">
        <v>68.220005398358751</v>
      </c>
      <c r="AB28" s="1">
        <v>71.725062393558943</v>
      </c>
      <c r="AC28" s="1">
        <v>75.167529085273415</v>
      </c>
      <c r="AD28" s="1">
        <v>79.939026838645191</v>
      </c>
      <c r="AE28" s="1">
        <v>85.221756494163941</v>
      </c>
      <c r="AF28" s="1">
        <v>89.822843613486725</v>
      </c>
      <c r="AG28" s="1">
        <v>94.210917440248267</v>
      </c>
      <c r="AH28" s="1">
        <v>98.556388608497556</v>
      </c>
      <c r="AI28" s="1">
        <v>102.98706509377135</v>
      </c>
      <c r="AJ28" s="1">
        <v>106.56568840880018</v>
      </c>
      <c r="AK28" s="1">
        <v>109.80349045573104</v>
      </c>
      <c r="AL28" s="1">
        <v>113.04129250266189</v>
      </c>
      <c r="AM28" s="1">
        <v>116.32169720810498</v>
      </c>
      <c r="AN28" s="1">
        <v>119.90032052313381</v>
      </c>
      <c r="AO28" s="1">
        <v>123.01031459452791</v>
      </c>
      <c r="AP28" s="1">
        <v>126.03510334889752</v>
      </c>
      <c r="AQ28" s="1">
        <v>128.33564690855891</v>
      </c>
      <c r="AR28" s="1">
        <v>130.46577983417131</v>
      </c>
      <c r="AS28" s="1">
        <v>132.51070744275921</v>
      </c>
      <c r="AT28" s="1">
        <v>134.42782707581037</v>
      </c>
      <c r="AU28" s="1">
        <v>136.43015202588603</v>
      </c>
      <c r="AV28" s="1">
        <v>138.21946368340045</v>
      </c>
      <c r="AW28" s="1">
        <v>140.26439129198835</v>
      </c>
      <c r="AX28" s="1">
        <v>142.26671624206401</v>
      </c>
      <c r="AY28" s="1">
        <v>143.97082258255392</v>
      </c>
      <c r="AZ28" s="1">
        <v>144.99328638684787</v>
      </c>
      <c r="BA28" s="1">
        <v>146.14355816667856</v>
      </c>
      <c r="BB28" s="1">
        <v>147.20862462948475</v>
      </c>
    </row>
    <row r="29" spans="1:91" s="1" customFormat="1" x14ac:dyDescent="0.3">
      <c r="A29" s="129" t="s">
        <v>191</v>
      </c>
      <c r="B29" s="1">
        <v>32.387099999999997</v>
      </c>
      <c r="C29" s="1">
        <v>32.2241</v>
      </c>
      <c r="D29" s="1">
        <v>33.130400000000002</v>
      </c>
      <c r="E29" s="1">
        <v>2.2583199999999999</v>
      </c>
      <c r="F29" s="99" t="s">
        <v>290</v>
      </c>
      <c r="H29" s="3">
        <v>0</v>
      </c>
      <c r="I29" s="1">
        <v>2.3980928042047382E-2</v>
      </c>
      <c r="J29" s="1">
        <v>1.7689575260166124</v>
      </c>
      <c r="K29" s="1">
        <v>3.6336445866464184</v>
      </c>
      <c r="L29" s="1">
        <v>5.7377525725867056</v>
      </c>
      <c r="M29" s="1">
        <v>7.8506956372793262</v>
      </c>
      <c r="N29" s="1">
        <v>10.605492610012332</v>
      </c>
      <c r="O29" s="1">
        <v>13.208831089848196</v>
      </c>
      <c r="P29" s="1">
        <v>15.882656022147732</v>
      </c>
      <c r="Q29" s="1">
        <v>18.954933297299746</v>
      </c>
      <c r="R29" s="1">
        <v>22.426633803079223</v>
      </c>
      <c r="S29" s="1">
        <v>26.499993463014842</v>
      </c>
      <c r="T29" s="1">
        <v>29.518095200322879</v>
      </c>
      <c r="U29" s="1">
        <v>32.352504970604379</v>
      </c>
      <c r="V29" s="1">
        <v>38.606891200453205</v>
      </c>
      <c r="W29" s="1">
        <v>46.080457617638089</v>
      </c>
      <c r="X29" s="1">
        <v>54.912004765689844</v>
      </c>
      <c r="Y29" s="1">
        <v>62.759757399401259</v>
      </c>
      <c r="Z29" s="1">
        <v>66.945315277833203</v>
      </c>
      <c r="AA29" s="1">
        <v>71.045641345718934</v>
      </c>
      <c r="AB29" s="1">
        <v>74.640231971616714</v>
      </c>
      <c r="AC29" s="1">
        <v>81.390110777427438</v>
      </c>
      <c r="AD29" s="1">
        <v>84.486805880120244</v>
      </c>
      <c r="AE29" s="1">
        <v>86.800819803011564</v>
      </c>
      <c r="AF29" s="1">
        <v>88.332152546101412</v>
      </c>
      <c r="AG29" s="1">
        <v>90.578107235966527</v>
      </c>
      <c r="AH29" s="1">
        <v>92.007351129517048</v>
      </c>
      <c r="AI29" s="1">
        <v>93.198387707475817</v>
      </c>
      <c r="AJ29" s="1">
        <v>93.981068887277289</v>
      </c>
      <c r="AK29" s="1">
        <v>95.171001080392017</v>
      </c>
      <c r="AL29" s="1">
        <v>96.304269835739376</v>
      </c>
      <c r="AM29" s="1">
        <v>97.494202028854104</v>
      </c>
      <c r="AN29" s="1">
        <v>98.570807346434094</v>
      </c>
      <c r="AO29" s="1">
        <v>99.704076101781453</v>
      </c>
      <c r="AP29" s="1">
        <v>100.89400829489618</v>
      </c>
      <c r="AQ29" s="1">
        <v>103.10388236782353</v>
      </c>
      <c r="AR29" s="1">
        <v>104.407141436473</v>
      </c>
      <c r="AS29" s="1">
        <v>104.97224666590108</v>
      </c>
      <c r="AT29" s="1">
        <v>105.5575342249516</v>
      </c>
      <c r="AU29" s="1">
        <v>106.24373343211427</v>
      </c>
      <c r="AV29" s="1">
        <v>106.68774468380776</v>
      </c>
      <c r="AW29" s="1">
        <v>107.35376156134801</v>
      </c>
      <c r="AX29" s="1">
        <v>108.03996076851068</v>
      </c>
      <c r="AY29" s="1">
        <v>108.48397202020418</v>
      </c>
      <c r="AZ29" s="1">
        <v>109.17017122736685</v>
      </c>
      <c r="BA29" s="1">
        <v>110.86424903373801</v>
      </c>
      <c r="BB29" s="1">
        <v>112.55832684010916</v>
      </c>
      <c r="BC29" s="1">
        <v>114.0829968658432</v>
      </c>
      <c r="BD29" s="1">
        <v>116.0594209732762</v>
      </c>
      <c r="BE29" s="1">
        <v>118.43112990219582</v>
      </c>
      <c r="BF29" s="1">
        <v>120.63343105047832</v>
      </c>
      <c r="BG29" s="1">
        <v>121.81739228377691</v>
      </c>
      <c r="BH29" s="1">
        <v>123.38327649555892</v>
      </c>
      <c r="BI29" s="1">
        <v>124.45266083531249</v>
      </c>
      <c r="BJ29" s="1">
        <v>126.13312194063951</v>
      </c>
      <c r="BK29" s="1">
        <v>127.2323246711822</v>
      </c>
      <c r="BL29" s="1">
        <v>128.33152740172488</v>
      </c>
      <c r="BM29" s="1">
        <v>129.48307311943628</v>
      </c>
      <c r="BN29" s="1">
        <v>130.68696182431637</v>
      </c>
      <c r="BO29" s="1">
        <v>131.52444961901557</v>
      </c>
      <c r="BP29" s="1">
        <v>132.41428040088346</v>
      </c>
      <c r="BQ29" s="1">
        <v>133.46114014425746</v>
      </c>
      <c r="BR29" s="1">
        <v>134.14159897745054</v>
      </c>
      <c r="BS29" s="1">
        <v>134.71737183630623</v>
      </c>
      <c r="BT29" s="1">
        <v>135.34548768233063</v>
      </c>
    </row>
    <row r="30" spans="1:91" s="1" customFormat="1" x14ac:dyDescent="0.3">
      <c r="A30" s="78" t="s">
        <v>193</v>
      </c>
      <c r="B30" s="1">
        <v>33.091999999999999</v>
      </c>
      <c r="C30" s="1">
        <v>33.281999999999996</v>
      </c>
      <c r="D30" s="1">
        <v>1.8381700000000001</v>
      </c>
      <c r="E30" s="1">
        <v>31.787800000000001</v>
      </c>
      <c r="F30" s="99" t="s">
        <v>291</v>
      </c>
      <c r="H30" s="3">
        <v>0</v>
      </c>
      <c r="I30" s="1">
        <v>2.6350821251432373</v>
      </c>
      <c r="J30" s="1">
        <v>5.6440926569734335</v>
      </c>
      <c r="K30" s="1">
        <v>11.229556925114153</v>
      </c>
      <c r="L30" s="1">
        <v>17.779133122987325</v>
      </c>
      <c r="M30" s="1">
        <v>24.029851792676897</v>
      </c>
      <c r="N30" s="1">
        <v>30.323873868791111</v>
      </c>
      <c r="O30" s="1">
        <v>38.487578720792399</v>
      </c>
      <c r="P30" s="1">
        <v>42.789865274685567</v>
      </c>
      <c r="Q30" s="1">
        <v>50.273986022635654</v>
      </c>
      <c r="R30" s="1">
        <v>57.421172510570159</v>
      </c>
      <c r="S30" s="1">
        <v>64.800445467749626</v>
      </c>
      <c r="T30" s="1">
        <v>67.65103188405935</v>
      </c>
      <c r="U30" s="1">
        <v>69.913402055733741</v>
      </c>
      <c r="V30" s="1">
        <v>76.849001348271074</v>
      </c>
      <c r="W30" s="1">
        <v>83.050543878057184</v>
      </c>
      <c r="X30" s="1">
        <v>88.147692394556174</v>
      </c>
      <c r="Y30" s="1">
        <v>93.342605335479178</v>
      </c>
      <c r="Z30" s="1">
        <v>100.34756574285018</v>
      </c>
      <c r="AA30" s="1">
        <v>107.69854597709548</v>
      </c>
      <c r="AB30" s="1">
        <v>114.36272487288547</v>
      </c>
      <c r="AC30" s="1">
        <v>121.06993361863478</v>
      </c>
      <c r="AD30" s="1">
        <v>127.25580194499325</v>
      </c>
      <c r="AE30" s="1">
        <v>132.02421125473552</v>
      </c>
      <c r="AF30" s="1">
        <v>136.06191632351428</v>
      </c>
      <c r="AG30" s="1">
        <v>140.95956651224299</v>
      </c>
      <c r="AH30" s="1">
        <v>144.77145944942808</v>
      </c>
      <c r="AI30" s="1">
        <v>148.174397111665</v>
      </c>
      <c r="AJ30" s="1">
        <v>150.80592300275913</v>
      </c>
      <c r="AK30" s="1">
        <v>153.11496656369684</v>
      </c>
      <c r="AL30" s="1">
        <v>155.50138586186696</v>
      </c>
      <c r="AM30" s="1">
        <v>158.11993237173434</v>
      </c>
      <c r="AN30" s="1">
        <v>160.62854526871632</v>
      </c>
      <c r="AO30" s="1">
        <v>163.12820530282701</v>
      </c>
      <c r="AP30" s="1">
        <v>165.70341930451812</v>
      </c>
      <c r="AQ30" s="1">
        <v>168.40673921688213</v>
      </c>
      <c r="AR30" s="1">
        <v>170.27761749272614</v>
      </c>
      <c r="AS30" s="1">
        <v>173.64365995424723</v>
      </c>
      <c r="AT30" s="1">
        <v>175.43568179573592</v>
      </c>
      <c r="AU30" s="1">
        <v>178.81745550011783</v>
      </c>
      <c r="AV30" s="1">
        <v>182.79841797356946</v>
      </c>
      <c r="AW30" s="1">
        <v>187.51847414094433</v>
      </c>
      <c r="AX30" s="1">
        <v>190.12012999416598</v>
      </c>
      <c r="AY30" s="1">
        <v>191.41649778632205</v>
      </c>
      <c r="AZ30" s="1">
        <v>193.58597167458501</v>
      </c>
      <c r="BA30" s="1">
        <v>196.49786500494744</v>
      </c>
      <c r="BB30" s="1">
        <v>199.76927439051985</v>
      </c>
      <c r="BC30" s="1">
        <v>202.16861486641346</v>
      </c>
      <c r="BD30" s="1">
        <v>204.84992803419527</v>
      </c>
      <c r="BE30" s="1">
        <v>207.80526911567043</v>
      </c>
      <c r="BF30" s="1">
        <v>211.65495358752156</v>
      </c>
      <c r="BG30" s="1">
        <v>214.22324137232485</v>
      </c>
      <c r="BH30" s="1">
        <v>217.02307433379281</v>
      </c>
      <c r="BI30" s="1">
        <v>218.69564512554322</v>
      </c>
      <c r="BJ30" s="1">
        <v>221.49376108366502</v>
      </c>
      <c r="BK30" s="1">
        <v>222.93281359999028</v>
      </c>
      <c r="BL30" s="1">
        <v>224.19347819917729</v>
      </c>
      <c r="BM30" s="1">
        <v>225.81834539965669</v>
      </c>
    </row>
    <row r="31" spans="1:91" s="1" customFormat="1" x14ac:dyDescent="0.3">
      <c r="A31" s="85" t="s">
        <v>195</v>
      </c>
      <c r="B31" s="1">
        <v>33.561</v>
      </c>
      <c r="C31" s="1">
        <v>1.4806999999999999</v>
      </c>
      <c r="D31" s="1">
        <v>32.657699999999998</v>
      </c>
      <c r="E31" s="1">
        <v>32.300600000000003</v>
      </c>
      <c r="F31" s="99" t="s">
        <v>292</v>
      </c>
      <c r="H31" s="3">
        <v>0</v>
      </c>
      <c r="I31" s="1">
        <v>0.51287157173929954</v>
      </c>
      <c r="J31" s="1">
        <v>0.51287157173929954</v>
      </c>
      <c r="K31" s="1">
        <v>0.73974561997173061</v>
      </c>
      <c r="L31" s="1">
        <v>0.98702967233690486</v>
      </c>
      <c r="M31" s="1">
        <v>1.3556561145245265</v>
      </c>
      <c r="N31" s="1">
        <v>1.58003742716047</v>
      </c>
      <c r="O31" s="1">
        <v>1.815103564207649</v>
      </c>
      <c r="P31" s="1">
        <v>2.0501697012548279</v>
      </c>
      <c r="Q31" s="1">
        <v>2.2959206627132422</v>
      </c>
      <c r="R31" s="1">
        <v>2.8252349270021426</v>
      </c>
      <c r="S31" s="1">
        <v>4.1547231692555604</v>
      </c>
      <c r="T31" s="1">
        <v>4.5500616724712701</v>
      </c>
      <c r="U31" s="1">
        <v>6.3467154823697047</v>
      </c>
      <c r="V31" s="1">
        <v>7.093038179361276</v>
      </c>
      <c r="W31" s="1">
        <v>9.0305081444932149</v>
      </c>
      <c r="X31" s="1">
        <v>10.495546199170656</v>
      </c>
      <c r="Y31" s="1">
        <v>11.915445844478837</v>
      </c>
      <c r="Z31" s="1">
        <v>13.474470563829479</v>
      </c>
      <c r="AA31" s="1">
        <v>15.379014183418143</v>
      </c>
      <c r="AB31" s="1">
        <v>17.305032778685465</v>
      </c>
      <c r="AC31" s="1">
        <v>19.292884090028103</v>
      </c>
      <c r="AD31" s="1">
        <v>21.321695845444481</v>
      </c>
      <c r="AE31" s="1">
        <v>22.899907607097663</v>
      </c>
      <c r="AF31" s="1">
        <v>24.650252709224731</v>
      </c>
      <c r="AG31" s="1">
        <v>25.911179019590719</v>
      </c>
      <c r="AH31" s="1">
        <v>27.258941471393033</v>
      </c>
      <c r="AI31" s="1">
        <v>28.628284225730198</v>
      </c>
      <c r="AJ31" s="1">
        <v>29.385280044148985</v>
      </c>
      <c r="AK31" s="1">
        <v>29.890351577038242</v>
      </c>
      <c r="AL31" s="1">
        <v>30.362280259179833</v>
      </c>
      <c r="AM31" s="1">
        <v>30.965229698929296</v>
      </c>
      <c r="AN31" s="1">
        <v>31.489260065932683</v>
      </c>
      <c r="AO31" s="1">
        <v>31.950942785563829</v>
      </c>
      <c r="AP31" s="1">
        <v>32.304501635824323</v>
      </c>
      <c r="AQ31" s="1">
        <v>32.687265282709397</v>
      </c>
      <c r="AR31" s="1">
        <v>33.006897182292818</v>
      </c>
      <c r="AS31" s="1">
        <v>33.124482914244503</v>
      </c>
      <c r="AT31" s="1">
        <v>33.266533734292231</v>
      </c>
      <c r="AU31" s="1">
        <v>33.525497364710432</v>
      </c>
      <c r="AV31" s="1">
        <v>33.654979179919529</v>
      </c>
    </row>
  </sheetData>
  <mergeCells count="12">
    <mergeCell ref="CF2:CL2"/>
    <mergeCell ref="G2:M2"/>
    <mergeCell ref="N2:T2"/>
    <mergeCell ref="U2:AA2"/>
    <mergeCell ref="AB2:AH2"/>
    <mergeCell ref="AI2:AO2"/>
    <mergeCell ref="AP2:AV2"/>
    <mergeCell ref="AW2:BC2"/>
    <mergeCell ref="BD2:BJ2"/>
    <mergeCell ref="BK2:BQ2"/>
    <mergeCell ref="BR2:BX2"/>
    <mergeCell ref="BY2:CE2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42DFA-BE71-4FF6-9F67-7E68805204BF}">
  <dimension ref="A3:T35"/>
  <sheetViews>
    <sheetView zoomScale="80" zoomScaleNormal="80" workbookViewId="0">
      <selection activeCell="I5" sqref="I5"/>
    </sheetView>
  </sheetViews>
  <sheetFormatPr baseColWidth="10" defaultRowHeight="14.4" x14ac:dyDescent="0.3"/>
  <cols>
    <col min="1" max="5" width="11.5546875" style="175"/>
    <col min="6" max="6" width="16.5546875" style="175" customWidth="1"/>
    <col min="7" max="7" width="27.109375" style="175" customWidth="1"/>
    <col min="8" max="14" width="11.5546875" style="175"/>
    <col min="15" max="15" width="13.44140625" style="175" bestFit="1" customWidth="1"/>
    <col min="16" max="16384" width="11.5546875" style="175"/>
  </cols>
  <sheetData>
    <row r="3" spans="1:20" x14ac:dyDescent="0.3">
      <c r="G3" s="120"/>
    </row>
    <row r="4" spans="1:20" x14ac:dyDescent="0.3">
      <c r="A4" s="175" t="s">
        <v>81</v>
      </c>
      <c r="B4" s="1" t="s">
        <v>169</v>
      </c>
      <c r="C4" s="1" t="s">
        <v>46</v>
      </c>
      <c r="D4" s="1" t="s">
        <v>47</v>
      </c>
      <c r="E4" s="1" t="s">
        <v>48</v>
      </c>
      <c r="F4" s="114" t="s">
        <v>54</v>
      </c>
      <c r="G4" s="114"/>
      <c r="I4" s="2" t="s">
        <v>206</v>
      </c>
      <c r="K4" s="175" t="s">
        <v>208</v>
      </c>
      <c r="M4" s="175" t="s">
        <v>207</v>
      </c>
      <c r="O4" s="175" t="s">
        <v>204</v>
      </c>
      <c r="S4" s="175" t="s">
        <v>220</v>
      </c>
      <c r="T4" s="175" t="s">
        <v>105</v>
      </c>
    </row>
    <row r="5" spans="1:20" x14ac:dyDescent="0.3">
      <c r="A5" s="38">
        <v>46.648958784952079</v>
      </c>
      <c r="B5" s="3">
        <v>9</v>
      </c>
      <c r="C5" s="3">
        <v>100</v>
      </c>
      <c r="D5" s="3">
        <v>0</v>
      </c>
      <c r="E5" s="3">
        <v>0</v>
      </c>
      <c r="F5" s="125">
        <v>0</v>
      </c>
      <c r="G5" s="121" t="s">
        <v>177</v>
      </c>
      <c r="I5" s="45">
        <v>7077.4839999999995</v>
      </c>
      <c r="K5" s="45">
        <f t="shared" ref="K5:K33" si="0">I5/A5</f>
        <v>151.71794150061586</v>
      </c>
      <c r="L5" s="45"/>
      <c r="R5" s="175">
        <v>1</v>
      </c>
      <c r="S5" s="45">
        <v>1000.7234</v>
      </c>
      <c r="T5" s="45">
        <v>23.385011465403803</v>
      </c>
    </row>
    <row r="6" spans="1:20" x14ac:dyDescent="0.3">
      <c r="A6" s="38">
        <v>39.426281618725518</v>
      </c>
      <c r="B6" s="3">
        <v>2</v>
      </c>
      <c r="C6" s="3">
        <v>0</v>
      </c>
      <c r="D6" s="3">
        <v>100</v>
      </c>
      <c r="E6" s="3">
        <v>0</v>
      </c>
      <c r="F6" s="125">
        <v>0</v>
      </c>
      <c r="G6" s="121" t="s">
        <v>197</v>
      </c>
      <c r="I6" s="45">
        <v>130.3900000000001</v>
      </c>
      <c r="K6" s="45">
        <f>I6/A6</f>
        <v>3.3071848180090955</v>
      </c>
      <c r="L6" s="45"/>
      <c r="R6" s="175">
        <v>2</v>
      </c>
      <c r="S6" s="45">
        <v>130.3900000000001</v>
      </c>
      <c r="T6" s="45">
        <v>3.3071848180090955</v>
      </c>
    </row>
    <row r="7" spans="1:20" x14ac:dyDescent="0.3">
      <c r="A7" s="38">
        <v>44.088437042204063</v>
      </c>
      <c r="B7" s="3">
        <v>13</v>
      </c>
      <c r="C7" s="3">
        <v>0</v>
      </c>
      <c r="D7" s="3">
        <v>0</v>
      </c>
      <c r="E7" s="3">
        <v>0</v>
      </c>
      <c r="F7" s="125">
        <v>100</v>
      </c>
      <c r="G7" s="121" t="s">
        <v>198</v>
      </c>
      <c r="I7" s="45">
        <v>538.45400000000006</v>
      </c>
      <c r="K7" s="45">
        <f>I7/A7</f>
        <v>12.213043512623504</v>
      </c>
      <c r="L7" s="45"/>
      <c r="R7" s="175" t="s">
        <v>221</v>
      </c>
      <c r="S7" s="88">
        <v>9017.5797999999995</v>
      </c>
      <c r="T7" s="45">
        <v>208.3467694785229</v>
      </c>
    </row>
    <row r="8" spans="1:20" x14ac:dyDescent="0.3">
      <c r="A8" s="38">
        <v>38.51216042258266</v>
      </c>
      <c r="B8" s="3">
        <v>29</v>
      </c>
      <c r="C8" s="3">
        <v>0</v>
      </c>
      <c r="D8" s="3">
        <v>0</v>
      </c>
      <c r="E8" s="3">
        <v>100</v>
      </c>
      <c r="F8" s="125">
        <v>0</v>
      </c>
      <c r="G8" s="121" t="s">
        <v>199</v>
      </c>
      <c r="I8" s="45">
        <v>8971.4609999999993</v>
      </c>
      <c r="K8" s="45">
        <f t="shared" si="0"/>
        <v>232.95138214939865</v>
      </c>
      <c r="L8" s="45"/>
      <c r="Q8" s="175">
        <f>(A11+A12)/2</f>
        <v>41.626431076040596</v>
      </c>
      <c r="R8" s="175" t="s">
        <v>171</v>
      </c>
      <c r="S8" s="51">
        <v>8661.4079999999976</v>
      </c>
      <c r="T8" s="45">
        <v>259.44308171155603</v>
      </c>
    </row>
    <row r="9" spans="1:20" x14ac:dyDescent="0.3">
      <c r="A9" s="38">
        <v>40.821913530657625</v>
      </c>
      <c r="B9" s="3">
        <v>27</v>
      </c>
      <c r="C9" s="3">
        <v>72.5886</v>
      </c>
      <c r="D9" s="3">
        <v>27.4114</v>
      </c>
      <c r="E9" s="3">
        <v>0</v>
      </c>
      <c r="F9" s="125">
        <v>0</v>
      </c>
      <c r="G9" s="122" t="s">
        <v>178</v>
      </c>
      <c r="I9" s="45">
        <v>4976.186999999999</v>
      </c>
      <c r="K9" s="45">
        <f t="shared" si="0"/>
        <v>121.89989565929676</v>
      </c>
      <c r="L9" s="45"/>
      <c r="M9" s="175">
        <f>($K$5*C9+$K$6*D9)/100</f>
        <v>111.03647534331979</v>
      </c>
      <c r="O9" s="43">
        <f>K9/M9</f>
        <v>1.0978365017656384</v>
      </c>
      <c r="Q9" s="45">
        <f>K9/$K$6</f>
        <v>36.859112014392871</v>
      </c>
      <c r="R9" s="175" t="s">
        <v>224</v>
      </c>
      <c r="S9" s="45">
        <v>780.43499999999983</v>
      </c>
      <c r="T9" s="45">
        <v>18.12534738216323</v>
      </c>
    </row>
    <row r="10" spans="1:20" x14ac:dyDescent="0.3">
      <c r="A10" s="38">
        <v>44.669121856209038</v>
      </c>
      <c r="B10" s="3">
        <v>6</v>
      </c>
      <c r="C10" s="3">
        <v>26.6587</v>
      </c>
      <c r="D10" s="3">
        <v>73.341300000000004</v>
      </c>
      <c r="E10" s="3">
        <v>0</v>
      </c>
      <c r="F10" s="125">
        <v>0</v>
      </c>
      <c r="G10" s="122" t="s">
        <v>179</v>
      </c>
      <c r="I10" s="45">
        <v>2571.8319999999994</v>
      </c>
      <c r="K10" s="45">
        <f>I10/A10</f>
        <v>57.575163628216991</v>
      </c>
      <c r="L10" s="45"/>
      <c r="M10" s="175">
        <f>($K$5*C10+$K$6*D10)/100</f>
        <v>42.871563209755188</v>
      </c>
      <c r="O10" s="43">
        <f t="shared" ref="O10:O33" si="1">K10/M10</f>
        <v>1.3429686094375042</v>
      </c>
      <c r="Q10" s="45">
        <f>K10/$K$6</f>
        <v>17.409115848226733</v>
      </c>
      <c r="R10" s="175">
        <v>6</v>
      </c>
      <c r="S10" s="45">
        <v>2571.8319999999994</v>
      </c>
      <c r="T10" s="45">
        <v>57.575163628216991</v>
      </c>
    </row>
    <row r="11" spans="1:20" x14ac:dyDescent="0.3">
      <c r="A11" s="38">
        <v>40.725158020389721</v>
      </c>
      <c r="B11" s="3">
        <v>4</v>
      </c>
      <c r="C11" s="3">
        <v>27.197399999999998</v>
      </c>
      <c r="D11" s="3">
        <v>0</v>
      </c>
      <c r="E11" s="3">
        <v>72.802599999999998</v>
      </c>
      <c r="F11" s="125">
        <v>0</v>
      </c>
      <c r="G11" s="122" t="s">
        <v>180</v>
      </c>
      <c r="I11" s="45">
        <v>10565.860500000001</v>
      </c>
      <c r="K11" s="45">
        <f t="shared" si="0"/>
        <v>259.44308171155603</v>
      </c>
      <c r="L11" s="45"/>
      <c r="M11" s="175">
        <f>($K$5*C11+$K$8*E11)/100</f>
        <v>210.85799836238661</v>
      </c>
      <c r="O11" s="43">
        <f>K11/M11</f>
        <v>1.2304161270926499</v>
      </c>
      <c r="Q11" s="45"/>
      <c r="R11" s="175">
        <v>7</v>
      </c>
      <c r="S11" s="45">
        <v>7067.2164999999986</v>
      </c>
      <c r="T11" s="45">
        <v>153.7154950414338</v>
      </c>
    </row>
    <row r="12" spans="1:20" x14ac:dyDescent="0.3">
      <c r="A12" s="38">
        <v>42.527704131691472</v>
      </c>
      <c r="B12" s="3">
        <v>20</v>
      </c>
      <c r="C12" s="3">
        <v>71.935299999999998</v>
      </c>
      <c r="D12" s="3">
        <v>0</v>
      </c>
      <c r="E12" s="3">
        <v>28.064699999999998</v>
      </c>
      <c r="F12" s="125">
        <v>0</v>
      </c>
      <c r="G12" s="122" t="s">
        <v>181</v>
      </c>
      <c r="I12" s="45">
        <v>5587.2204999999994</v>
      </c>
      <c r="K12" s="45">
        <f t="shared" si="0"/>
        <v>131.37837120712155</v>
      </c>
      <c r="L12" s="45"/>
      <c r="M12" s="175">
        <f>($K$5*C12+$K$8*E12)/100</f>
        <v>174.51586291837481</v>
      </c>
      <c r="O12" s="43">
        <f>K12/M12</f>
        <v>0.75281621401127485</v>
      </c>
      <c r="Q12" s="45"/>
      <c r="R12" s="175">
        <v>8</v>
      </c>
      <c r="S12" s="45">
        <v>4936.444199999999</v>
      </c>
      <c r="T12" s="45">
        <v>115.50198013057113</v>
      </c>
    </row>
    <row r="13" spans="1:20" x14ac:dyDescent="0.3">
      <c r="A13" s="38">
        <v>44.365390734948178</v>
      </c>
      <c r="B13" s="3">
        <v>12</v>
      </c>
      <c r="C13" s="3">
        <v>27.197399999999998</v>
      </c>
      <c r="D13" s="3">
        <v>0</v>
      </c>
      <c r="E13" s="3">
        <v>72.802599999999998</v>
      </c>
      <c r="F13" s="125">
        <v>0</v>
      </c>
      <c r="G13" s="122" t="s">
        <v>180</v>
      </c>
      <c r="I13" s="45">
        <v>10608.858000000002</v>
      </c>
      <c r="K13" s="45">
        <f t="shared" si="0"/>
        <v>239.12463801751286</v>
      </c>
      <c r="L13" s="45"/>
      <c r="M13" s="175">
        <f t="shared" ref="M13:M14" si="2">($K$5*C13+$K$8*E13)/100</f>
        <v>210.85799836238661</v>
      </c>
      <c r="O13" s="43">
        <f t="shared" si="1"/>
        <v>1.1340553352239757</v>
      </c>
      <c r="Q13" s="11"/>
      <c r="R13" s="175">
        <v>9</v>
      </c>
      <c r="S13" s="45">
        <v>7077.4839999999995</v>
      </c>
      <c r="T13" s="45">
        <v>151.71794150061586</v>
      </c>
    </row>
    <row r="14" spans="1:20" x14ac:dyDescent="0.3">
      <c r="A14" s="38">
        <v>42.935681333776529</v>
      </c>
      <c r="B14" s="3">
        <v>23</v>
      </c>
      <c r="C14" s="3">
        <v>71.935299999999998</v>
      </c>
      <c r="D14" s="3">
        <v>0</v>
      </c>
      <c r="E14" s="3">
        <v>28.064699999999998</v>
      </c>
      <c r="F14" s="125">
        <v>0</v>
      </c>
      <c r="G14" s="122" t="s">
        <v>181</v>
      </c>
      <c r="I14" s="45">
        <v>4769.2549999999992</v>
      </c>
      <c r="K14" s="45">
        <f t="shared" si="0"/>
        <v>111.07905713489014</v>
      </c>
      <c r="L14" s="45"/>
      <c r="M14" s="175">
        <f t="shared" si="2"/>
        <v>174.51586291837481</v>
      </c>
      <c r="O14" s="43">
        <f t="shared" si="1"/>
        <v>0.63649834047948084</v>
      </c>
      <c r="Q14" s="11"/>
      <c r="R14" s="175" t="s">
        <v>222</v>
      </c>
      <c r="S14" s="45">
        <v>4267.0479999999989</v>
      </c>
      <c r="T14" s="45">
        <v>102.65247910684761</v>
      </c>
    </row>
    <row r="15" spans="1:20" x14ac:dyDescent="0.3">
      <c r="A15" s="38">
        <v>45.975953810609923</v>
      </c>
      <c r="B15" s="3">
        <v>7</v>
      </c>
      <c r="C15" s="3">
        <v>73.716099999999997</v>
      </c>
      <c r="D15" s="3">
        <v>0</v>
      </c>
      <c r="E15" s="3">
        <v>0</v>
      </c>
      <c r="F15" s="125">
        <v>26.283899999999999</v>
      </c>
      <c r="G15" s="122" t="s">
        <v>182</v>
      </c>
      <c r="I15" s="45">
        <v>7067.2164999999986</v>
      </c>
      <c r="K15" s="45">
        <f t="shared" si="0"/>
        <v>153.7154950414338</v>
      </c>
      <c r="L15" s="45"/>
      <c r="M15" s="175">
        <f>($K$5*C15+$K$7*F15)/100</f>
        <v>115.05061361834994</v>
      </c>
      <c r="O15" s="43">
        <f t="shared" si="1"/>
        <v>1.3360684502852318</v>
      </c>
      <c r="Q15" s="45">
        <f>K15/K7</f>
        <v>12.586174353882567</v>
      </c>
      <c r="R15" s="175">
        <v>11</v>
      </c>
      <c r="S15" s="45">
        <v>4856.6624999999995</v>
      </c>
      <c r="T15" s="45">
        <v>123.49082567246715</v>
      </c>
    </row>
    <row r="16" spans="1:20" x14ac:dyDescent="0.3">
      <c r="A16" s="38">
        <v>44.768744624556525</v>
      </c>
      <c r="B16" s="3">
        <v>26</v>
      </c>
      <c r="C16" s="3">
        <v>26.569099999999999</v>
      </c>
      <c r="D16" s="3">
        <v>0</v>
      </c>
      <c r="E16" s="3">
        <v>0</v>
      </c>
      <c r="F16" s="125">
        <v>73.430899999999994</v>
      </c>
      <c r="G16" s="122" t="s">
        <v>183</v>
      </c>
      <c r="I16" s="45">
        <v>5518.6075000000001</v>
      </c>
      <c r="K16" s="45">
        <f t="shared" si="0"/>
        <v>123.26920368843527</v>
      </c>
      <c r="L16" s="45"/>
      <c r="M16" s="175">
        <f>($K$5*C16+$K$7*F16)/100</f>
        <v>49.27823936395118</v>
      </c>
      <c r="O16" s="43">
        <f t="shared" si="1"/>
        <v>2.5014936669716161</v>
      </c>
      <c r="Q16" s="45">
        <f>K16/K7</f>
        <v>10.093241996642622</v>
      </c>
      <c r="R16" s="175" t="s">
        <v>172</v>
      </c>
      <c r="S16" s="137">
        <v>10608.858000000002</v>
      </c>
      <c r="T16" s="45">
        <v>239.12463801751286</v>
      </c>
    </row>
    <row r="17" spans="1:20" x14ac:dyDescent="0.3">
      <c r="A17" s="38">
        <v>38.754742592645485</v>
      </c>
      <c r="B17" s="3">
        <v>31</v>
      </c>
      <c r="C17" s="3">
        <v>0</v>
      </c>
      <c r="D17" s="3">
        <v>26.537199999999999</v>
      </c>
      <c r="E17" s="3">
        <v>73.462800000000001</v>
      </c>
      <c r="F17" s="125">
        <v>0</v>
      </c>
      <c r="G17" s="122" t="s">
        <v>184</v>
      </c>
      <c r="H17" s="38"/>
      <c r="I17" s="45">
        <v>9050.6049999999977</v>
      </c>
      <c r="K17" s="45">
        <f t="shared" si="0"/>
        <v>233.53541771988282</v>
      </c>
      <c r="L17" s="45"/>
      <c r="M17" s="175">
        <f>($K$6*D17+$K$8*E17)/100</f>
        <v>172.01024221517312</v>
      </c>
      <c r="O17" s="43">
        <f t="shared" si="1"/>
        <v>1.3576832095134537</v>
      </c>
      <c r="R17" s="175">
        <v>13</v>
      </c>
      <c r="S17" s="45">
        <v>538.45400000000006</v>
      </c>
      <c r="T17" s="45">
        <v>12.213043512623504</v>
      </c>
    </row>
    <row r="18" spans="1:20" x14ac:dyDescent="0.3">
      <c r="A18" s="38">
        <v>42.058452493582628</v>
      </c>
      <c r="B18" s="3">
        <v>15</v>
      </c>
      <c r="C18" s="3">
        <v>0</v>
      </c>
      <c r="D18" s="3">
        <v>72.6785</v>
      </c>
      <c r="E18" s="3">
        <v>0</v>
      </c>
      <c r="F18" s="125">
        <v>27.3215</v>
      </c>
      <c r="G18" s="122" t="s">
        <v>185</v>
      </c>
      <c r="H18" s="38"/>
      <c r="I18" s="45">
        <v>655.78999999999985</v>
      </c>
      <c r="K18" s="45">
        <f t="shared" si="0"/>
        <v>15.592347343261423</v>
      </c>
      <c r="L18" s="45"/>
      <c r="M18" s="175">
        <f>($K$6*D18+$K$7*F18)/100</f>
        <v>5.7403990012581714</v>
      </c>
      <c r="O18" s="43">
        <f t="shared" si="1"/>
        <v>2.7162480064267167</v>
      </c>
      <c r="R18" s="175">
        <v>14</v>
      </c>
      <c r="S18" s="45">
        <v>4442.4029999999993</v>
      </c>
      <c r="T18" s="45">
        <v>102.63954789418094</v>
      </c>
    </row>
    <row r="19" spans="1:20" x14ac:dyDescent="0.3">
      <c r="A19" s="38">
        <v>41.567900133795774</v>
      </c>
      <c r="B19" s="3">
        <v>19</v>
      </c>
      <c r="C19" s="3">
        <v>0</v>
      </c>
      <c r="D19" s="3">
        <v>0</v>
      </c>
      <c r="E19" s="3">
        <v>27.988800000000001</v>
      </c>
      <c r="F19" s="125">
        <v>72.011200000000002</v>
      </c>
      <c r="G19" s="122" t="s">
        <v>186</v>
      </c>
      <c r="H19" s="38"/>
      <c r="I19" s="45">
        <v>5575.2164999999995</v>
      </c>
      <c r="K19" s="45">
        <f t="shared" si="0"/>
        <v>134.12312101537228</v>
      </c>
      <c r="L19" s="45"/>
      <c r="M19" s="175">
        <f>($K$8*E19+$K$7*F19)/100</f>
        <v>73.995055636993229</v>
      </c>
      <c r="O19" s="43">
        <f t="shared" si="1"/>
        <v>1.8125957181971293</v>
      </c>
      <c r="R19" s="175">
        <v>15</v>
      </c>
      <c r="S19" s="45">
        <v>655.78999999999985</v>
      </c>
      <c r="T19" s="45">
        <v>15.592347343261423</v>
      </c>
    </row>
    <row r="20" spans="1:20" x14ac:dyDescent="0.3">
      <c r="A20" s="38">
        <v>42.739043905736629</v>
      </c>
      <c r="B20" s="3">
        <v>8</v>
      </c>
      <c r="C20" s="3">
        <v>46.627800000000001</v>
      </c>
      <c r="D20" s="3">
        <v>47.356999999999999</v>
      </c>
      <c r="E20" s="3">
        <v>6.0151300000000001</v>
      </c>
      <c r="F20" s="125">
        <v>0</v>
      </c>
      <c r="G20" s="123" t="s">
        <v>173</v>
      </c>
      <c r="H20" s="38"/>
      <c r="I20" s="45">
        <v>4936.444199999999</v>
      </c>
      <c r="K20" s="45">
        <f t="shared" si="0"/>
        <v>115.50198013057113</v>
      </c>
      <c r="L20" s="45"/>
      <c r="M20" s="175">
        <f>(K5*C20+K6*D20+K8*E20)/100</f>
        <v>86.321250314371852</v>
      </c>
      <c r="O20" s="43">
        <f t="shared" si="1"/>
        <v>1.3380480439049074</v>
      </c>
      <c r="R20" s="175">
        <v>16</v>
      </c>
      <c r="S20" s="45">
        <v>5755.0084999999999</v>
      </c>
      <c r="T20" s="45">
        <v>141.40051815257547</v>
      </c>
    </row>
    <row r="21" spans="1:20" x14ac:dyDescent="0.3">
      <c r="A21" s="38"/>
      <c r="B21" s="177"/>
      <c r="C21" s="177"/>
      <c r="D21" s="177"/>
      <c r="E21" s="177"/>
      <c r="F21" s="179"/>
      <c r="G21" s="118"/>
      <c r="I21" s="45"/>
      <c r="K21" s="45"/>
      <c r="L21" s="45"/>
      <c r="O21" s="43"/>
      <c r="R21" s="175" t="s">
        <v>223</v>
      </c>
      <c r="S21" s="45">
        <v>4023.8560000000002</v>
      </c>
      <c r="T21" s="45">
        <v>89.240664312361105</v>
      </c>
    </row>
    <row r="22" spans="1:20" x14ac:dyDescent="0.3">
      <c r="A22" s="38">
        <v>42.793367943414857</v>
      </c>
      <c r="B22" s="3">
        <v>1</v>
      </c>
      <c r="C22" s="3">
        <v>4.4064600000000002E-2</v>
      </c>
      <c r="D22" s="3">
        <v>27.802199999999999</v>
      </c>
      <c r="E22" s="3">
        <v>0</v>
      </c>
      <c r="F22" s="125">
        <v>72.153700000000001</v>
      </c>
      <c r="G22" s="123" t="s">
        <v>174</v>
      </c>
      <c r="H22" s="38"/>
      <c r="I22" s="45">
        <v>1000.7234</v>
      </c>
      <c r="K22" s="45">
        <f>I22/A22</f>
        <v>23.385011465403803</v>
      </c>
      <c r="L22" s="45"/>
      <c r="M22" s="175">
        <f>($K$5*C22+$K$6*D22+$K$7*F22)/100</f>
        <v>9.7984868184908311</v>
      </c>
      <c r="O22" s="43">
        <f t="shared" si="1"/>
        <v>2.3865941648534643</v>
      </c>
      <c r="R22" s="175">
        <v>18</v>
      </c>
      <c r="S22" s="45">
        <v>3279.2889999999998</v>
      </c>
      <c r="T22" s="45">
        <v>80.313879547738466</v>
      </c>
    </row>
    <row r="23" spans="1:20" x14ac:dyDescent="0.3">
      <c r="A23" s="38">
        <v>43.281591658802093</v>
      </c>
      <c r="B23" s="3">
        <v>14</v>
      </c>
      <c r="C23" s="3">
        <v>6.4521899999999999</v>
      </c>
      <c r="D23" s="3">
        <v>47.085299999999997</v>
      </c>
      <c r="E23" s="3">
        <v>0</v>
      </c>
      <c r="F23" s="125">
        <v>46.462499999999999</v>
      </c>
      <c r="G23" s="123" t="s">
        <v>175</v>
      </c>
      <c r="H23" s="38"/>
      <c r="I23" s="45">
        <v>4442.4029999999993</v>
      </c>
      <c r="K23" s="45">
        <f t="shared" si="0"/>
        <v>102.63954789418094</v>
      </c>
      <c r="L23" s="45"/>
      <c r="M23" s="175">
        <f>($K$5*C23+$K$6*D23+$K$7*F23)/100</f>
        <v>17.020813084875318</v>
      </c>
      <c r="O23" s="43">
        <f t="shared" si="1"/>
        <v>6.0302376497739916</v>
      </c>
      <c r="R23" s="175">
        <v>19</v>
      </c>
      <c r="S23" s="45">
        <v>5575.2164999999995</v>
      </c>
      <c r="T23" s="45">
        <v>134.12312101537228</v>
      </c>
    </row>
    <row r="24" spans="1:20" x14ac:dyDescent="0.3">
      <c r="A24" s="38">
        <v>40.700052412751205</v>
      </c>
      <c r="B24" s="3">
        <v>16</v>
      </c>
      <c r="C24" s="3">
        <v>47.869199999999999</v>
      </c>
      <c r="D24" s="3">
        <v>4.8092300000000003</v>
      </c>
      <c r="E24" s="3">
        <v>0</v>
      </c>
      <c r="F24" s="125">
        <v>47.321599999999997</v>
      </c>
      <c r="G24" s="123" t="s">
        <v>176</v>
      </c>
      <c r="I24" s="45">
        <v>5755.0084999999999</v>
      </c>
      <c r="K24" s="45">
        <f t="shared" si="0"/>
        <v>141.40051815257547</v>
      </c>
      <c r="L24" s="45"/>
      <c r="M24" s="175">
        <f>($K$5*C24+$K$6*D24+$K$7*F24)/100</f>
        <v>78.564622576105592</v>
      </c>
      <c r="O24" s="43">
        <f t="shared" si="1"/>
        <v>1.7997988600479906</v>
      </c>
      <c r="R24" s="175">
        <v>20</v>
      </c>
      <c r="S24" s="45">
        <v>5587.2204999999994</v>
      </c>
      <c r="T24" s="45">
        <v>131.37837120712155</v>
      </c>
    </row>
    <row r="25" spans="1:20" x14ac:dyDescent="0.3">
      <c r="A25" s="38">
        <v>39.185214519557441</v>
      </c>
      <c r="B25" s="3">
        <v>28</v>
      </c>
      <c r="C25" s="3">
        <v>0</v>
      </c>
      <c r="D25" s="3">
        <v>72.453699999999998</v>
      </c>
      <c r="E25" s="3">
        <v>27.3537</v>
      </c>
      <c r="F25" s="183">
        <v>0.19259899999999999</v>
      </c>
      <c r="G25" s="131" t="s">
        <v>170</v>
      </c>
      <c r="I25" s="45">
        <v>3306.8075000000003</v>
      </c>
      <c r="K25" s="45">
        <f>I25/A25</f>
        <v>84.38916414122383</v>
      </c>
      <c r="L25" s="45"/>
      <c r="M25" s="175">
        <f>($K$6*D25+$K$8*E25+$K$7*F25)/100</f>
        <v>66.140522185160791</v>
      </c>
      <c r="O25" s="43">
        <f t="shared" si="1"/>
        <v>1.2759071345849955</v>
      </c>
      <c r="R25" s="175">
        <v>21</v>
      </c>
      <c r="S25" s="45">
        <v>5442.6194999999998</v>
      </c>
      <c r="T25" s="45">
        <v>133.64268586201834</v>
      </c>
    </row>
    <row r="26" spans="1:20" x14ac:dyDescent="0.3">
      <c r="A26" s="38">
        <v>45.089937765542146</v>
      </c>
      <c r="B26" s="177">
        <v>17</v>
      </c>
      <c r="C26" s="3">
        <v>2.0130699999999999</v>
      </c>
      <c r="D26" s="3">
        <v>31.355499999999999</v>
      </c>
      <c r="E26" s="3">
        <v>33.126300000000001</v>
      </c>
      <c r="F26" s="183">
        <v>33.505099999999999</v>
      </c>
      <c r="G26" s="99" t="s">
        <v>188</v>
      </c>
      <c r="I26" s="45">
        <v>4023.8560000000002</v>
      </c>
      <c r="K26" s="45">
        <f t="shared" si="0"/>
        <v>89.240664312361105</v>
      </c>
      <c r="L26" s="45"/>
      <c r="M26" s="175">
        <f t="shared" ref="M26:M33" si="3">(C26*$K$5+$K$6*D26+E26*$K$8+$K$7*F26)/100</f>
        <v>85.351338847481543</v>
      </c>
      <c r="O26" s="43">
        <f t="shared" si="1"/>
        <v>1.0455684177588542</v>
      </c>
      <c r="R26" s="175">
        <v>22</v>
      </c>
      <c r="S26" s="88">
        <v>9276.503999999999</v>
      </c>
      <c r="T26" s="45">
        <v>217.63625824685536</v>
      </c>
    </row>
    <row r="27" spans="1:20" x14ac:dyDescent="0.3">
      <c r="A27" s="38">
        <v>40.790903009959564</v>
      </c>
      <c r="B27" s="177">
        <v>25</v>
      </c>
      <c r="C27" s="3">
        <v>2.0130699999999999</v>
      </c>
      <c r="D27" s="3">
        <v>31.355499999999999</v>
      </c>
      <c r="E27" s="3">
        <v>33.126300000000001</v>
      </c>
      <c r="F27" s="183">
        <v>33.505099999999999</v>
      </c>
      <c r="G27" s="99" t="s">
        <v>188</v>
      </c>
      <c r="H27" s="38"/>
      <c r="I27" s="45">
        <v>2828.4250000000002</v>
      </c>
      <c r="K27" s="45">
        <f t="shared" si="0"/>
        <v>69.339602491992096</v>
      </c>
      <c r="L27" s="45"/>
      <c r="M27" s="175">
        <f t="shared" si="3"/>
        <v>85.351338847481543</v>
      </c>
      <c r="O27" s="43">
        <f t="shared" si="1"/>
        <v>0.81240204814945438</v>
      </c>
      <c r="R27" s="175">
        <v>23</v>
      </c>
      <c r="S27" s="45">
        <v>4769.2549999999992</v>
      </c>
      <c r="T27" s="45">
        <v>111.07905713489014</v>
      </c>
    </row>
    <row r="28" spans="1:20" x14ac:dyDescent="0.3">
      <c r="A28" s="38">
        <v>41.567900133795774</v>
      </c>
      <c r="B28" s="3">
        <v>10</v>
      </c>
      <c r="C28" s="3">
        <v>32.387099999999997</v>
      </c>
      <c r="D28" s="3">
        <v>32.2241</v>
      </c>
      <c r="E28" s="3">
        <v>33.130400000000002</v>
      </c>
      <c r="F28" s="183">
        <v>2.2583199999999999</v>
      </c>
      <c r="G28" s="99" t="s">
        <v>192</v>
      </c>
      <c r="I28" s="45">
        <v>4267.0479999999989</v>
      </c>
      <c r="K28" s="45">
        <f t="shared" si="0"/>
        <v>102.65247910684761</v>
      </c>
      <c r="L28" s="45"/>
      <c r="M28" s="175">
        <f t="shared" si="3"/>
        <v>127.65628629056468</v>
      </c>
      <c r="O28" s="43">
        <f t="shared" si="1"/>
        <v>0.80413179867378648</v>
      </c>
      <c r="R28" s="175">
        <v>24</v>
      </c>
      <c r="S28" s="45">
        <v>973.77949999999998</v>
      </c>
      <c r="T28" s="45">
        <v>22.971571524912434</v>
      </c>
    </row>
    <row r="29" spans="1:20" x14ac:dyDescent="0.3">
      <c r="A29" s="38">
        <v>40.830912645065226</v>
      </c>
      <c r="B29" s="3">
        <v>18</v>
      </c>
      <c r="C29" s="3">
        <v>32.387099999999997</v>
      </c>
      <c r="D29" s="3">
        <v>32.2241</v>
      </c>
      <c r="E29" s="3">
        <v>33.130400000000002</v>
      </c>
      <c r="F29" s="183">
        <v>2.2583199999999999</v>
      </c>
      <c r="G29" s="99" t="s">
        <v>192</v>
      </c>
      <c r="I29" s="45">
        <v>3279.2889999999998</v>
      </c>
      <c r="K29" s="45">
        <f t="shared" si="0"/>
        <v>80.313879547738466</v>
      </c>
      <c r="L29" s="45"/>
      <c r="M29" s="175">
        <f t="shared" si="3"/>
        <v>127.65628629056468</v>
      </c>
      <c r="O29" s="43">
        <f t="shared" si="1"/>
        <v>0.62914159483640419</v>
      </c>
      <c r="R29" s="175">
        <v>25</v>
      </c>
      <c r="S29" s="45">
        <v>2828.4250000000002</v>
      </c>
      <c r="T29" s="45">
        <v>69.339602491992096</v>
      </c>
    </row>
    <row r="30" spans="1:20" x14ac:dyDescent="0.3">
      <c r="A30" s="38">
        <v>43.281591658802093</v>
      </c>
      <c r="B30" s="184">
        <v>3</v>
      </c>
      <c r="C30" s="3">
        <v>33.091999999999999</v>
      </c>
      <c r="D30" s="3">
        <v>33.281999999999996</v>
      </c>
      <c r="E30" s="3">
        <v>1.8381700000000001</v>
      </c>
      <c r="F30" s="183">
        <v>31.787800000000001</v>
      </c>
      <c r="G30" s="99" t="s">
        <v>194</v>
      </c>
      <c r="I30" s="45">
        <v>9017.5797999999995</v>
      </c>
      <c r="K30" s="45">
        <f t="shared" si="0"/>
        <v>208.3467694785229</v>
      </c>
      <c r="L30" s="45"/>
      <c r="M30" s="175">
        <f t="shared" si="3"/>
        <v>59.471498719474923</v>
      </c>
      <c r="O30" s="43">
        <f t="shared" si="1"/>
        <v>3.5033045066055535</v>
      </c>
      <c r="R30" s="175">
        <v>26</v>
      </c>
      <c r="S30" s="45">
        <v>5518.6075000000001</v>
      </c>
      <c r="T30" s="45">
        <v>123.26920368843527</v>
      </c>
    </row>
    <row r="31" spans="1:20" x14ac:dyDescent="0.3">
      <c r="A31" s="38">
        <v>42.623890314627921</v>
      </c>
      <c r="B31" s="184">
        <v>22</v>
      </c>
      <c r="C31" s="3">
        <v>33.091999999999999</v>
      </c>
      <c r="D31" s="3">
        <v>33.281999999999996</v>
      </c>
      <c r="E31" s="3">
        <v>1.8381700000000001</v>
      </c>
      <c r="F31" s="183">
        <v>31.787800000000001</v>
      </c>
      <c r="G31" s="99" t="s">
        <v>194</v>
      </c>
      <c r="I31" s="45">
        <v>9276.503999999999</v>
      </c>
      <c r="K31" s="45">
        <f t="shared" si="0"/>
        <v>217.63625824685536</v>
      </c>
      <c r="L31" s="45"/>
      <c r="M31" s="175">
        <f t="shared" si="3"/>
        <v>59.471498719474923</v>
      </c>
      <c r="O31" s="43">
        <f t="shared" si="1"/>
        <v>3.6595051904348055</v>
      </c>
      <c r="R31" s="175">
        <v>27</v>
      </c>
      <c r="S31" s="45">
        <v>4976.186999999999</v>
      </c>
      <c r="T31" s="45">
        <v>121.89989565929676</v>
      </c>
    </row>
    <row r="32" spans="1:20" x14ac:dyDescent="0.3">
      <c r="A32" s="38">
        <v>43.057657519326185</v>
      </c>
      <c r="B32" s="3">
        <v>5</v>
      </c>
      <c r="C32" s="3">
        <v>33.561</v>
      </c>
      <c r="D32" s="3">
        <v>1.4806999999999999</v>
      </c>
      <c r="E32" s="3">
        <v>32.657699999999998</v>
      </c>
      <c r="F32" s="183">
        <v>32.300600000000003</v>
      </c>
      <c r="G32" s="99" t="s">
        <v>196</v>
      </c>
      <c r="H32" s="38"/>
      <c r="I32" s="45">
        <v>780.43499999999983</v>
      </c>
      <c r="K32" s="45">
        <f t="shared" si="0"/>
        <v>18.12534738216323</v>
      </c>
      <c r="L32" s="45"/>
      <c r="M32" s="175">
        <f t="shared" si="3"/>
        <v>130.98847769366458</v>
      </c>
      <c r="O32" s="43">
        <f t="shared" si="1"/>
        <v>0.13837360126095949</v>
      </c>
      <c r="R32" s="175">
        <v>28</v>
      </c>
      <c r="S32" s="45">
        <v>3306.8075000000003</v>
      </c>
      <c r="T32" s="45">
        <v>84.38916414122383</v>
      </c>
    </row>
    <row r="33" spans="1:20" x14ac:dyDescent="0.3">
      <c r="A33" s="38">
        <v>42.390634830705686</v>
      </c>
      <c r="B33" s="3">
        <v>24</v>
      </c>
      <c r="C33" s="3">
        <v>33.561</v>
      </c>
      <c r="D33" s="3">
        <v>1.4806999999999999</v>
      </c>
      <c r="E33" s="3">
        <v>32.657699999999998</v>
      </c>
      <c r="F33" s="183">
        <v>32.300600000000003</v>
      </c>
      <c r="G33" s="99" t="s">
        <v>196</v>
      </c>
      <c r="H33" s="38"/>
      <c r="I33" s="45">
        <v>973.77949999999998</v>
      </c>
      <c r="K33" s="45">
        <f t="shared" si="0"/>
        <v>22.971571524912434</v>
      </c>
      <c r="L33" s="45"/>
      <c r="M33" s="175">
        <f t="shared" si="3"/>
        <v>130.98847769366458</v>
      </c>
      <c r="O33" s="43">
        <f t="shared" si="1"/>
        <v>0.17537093284368693</v>
      </c>
      <c r="R33" s="175">
        <v>29</v>
      </c>
      <c r="S33" s="45">
        <v>8971.4609999999993</v>
      </c>
      <c r="T33" s="45">
        <v>232.95138214939865</v>
      </c>
    </row>
    <row r="34" spans="1:20" x14ac:dyDescent="0.3">
      <c r="R34" s="175">
        <v>30</v>
      </c>
      <c r="S34" s="45">
        <v>8665.6679999999997</v>
      </c>
      <c r="T34" s="45">
        <v>216.90931079369687</v>
      </c>
    </row>
    <row r="35" spans="1:20" x14ac:dyDescent="0.3">
      <c r="R35" s="175">
        <v>31</v>
      </c>
      <c r="S35" s="88">
        <v>9050.6049999999977</v>
      </c>
      <c r="T35" s="45">
        <v>233.53541771988282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B1011-A82E-4B25-9CA2-407F7857FE2D}">
  <dimension ref="A3:X73"/>
  <sheetViews>
    <sheetView zoomScale="70" zoomScaleNormal="70" workbookViewId="0">
      <selection activeCell="P10" sqref="P10"/>
    </sheetView>
  </sheetViews>
  <sheetFormatPr baseColWidth="10" defaultRowHeight="14.4" x14ac:dyDescent="0.3"/>
  <cols>
    <col min="1" max="1" width="9.33203125" style="162" customWidth="1"/>
    <col min="2" max="5" width="11.5546875" style="162"/>
    <col min="6" max="6" width="16.5546875" style="162" customWidth="1"/>
    <col min="7" max="7" width="27.109375" style="162" customWidth="1"/>
    <col min="8" max="14" width="11.5546875" style="162"/>
    <col min="15" max="15" width="13.44140625" style="162" bestFit="1" customWidth="1"/>
    <col min="16" max="16" width="13.44140625" style="38" customWidth="1"/>
    <col min="17" max="16384" width="11.5546875" style="162"/>
  </cols>
  <sheetData>
    <row r="3" spans="1:24" x14ac:dyDescent="0.3">
      <c r="G3" s="120"/>
    </row>
    <row r="4" spans="1:24" x14ac:dyDescent="0.3">
      <c r="A4" s="162" t="s">
        <v>81</v>
      </c>
      <c r="B4" s="1" t="s">
        <v>169</v>
      </c>
      <c r="C4" s="1" t="s">
        <v>46</v>
      </c>
      <c r="D4" s="1" t="s">
        <v>248</v>
      </c>
      <c r="E4" s="1" t="s">
        <v>48</v>
      </c>
      <c r="F4" s="114" t="s">
        <v>54</v>
      </c>
      <c r="G4" s="114"/>
      <c r="H4" s="2" t="s">
        <v>41</v>
      </c>
      <c r="I4" s="2" t="s">
        <v>206</v>
      </c>
      <c r="K4" s="162" t="s">
        <v>208</v>
      </c>
      <c r="M4" s="162" t="s">
        <v>207</v>
      </c>
      <c r="O4" s="162" t="s">
        <v>204</v>
      </c>
      <c r="R4" s="162" t="s">
        <v>203</v>
      </c>
      <c r="S4" s="162" t="s">
        <v>202</v>
      </c>
      <c r="T4" s="162" t="s">
        <v>225</v>
      </c>
      <c r="X4" s="199" t="s">
        <v>268</v>
      </c>
    </row>
    <row r="5" spans="1:24" x14ac:dyDescent="0.3">
      <c r="A5" s="38">
        <v>46.648958784952079</v>
      </c>
      <c r="B5" s="3">
        <v>9</v>
      </c>
      <c r="C5" s="3">
        <v>100</v>
      </c>
      <c r="D5" s="3">
        <v>0</v>
      </c>
      <c r="E5" s="3">
        <v>0</v>
      </c>
      <c r="F5" s="125">
        <v>0</v>
      </c>
      <c r="G5" s="121" t="s">
        <v>268</v>
      </c>
      <c r="H5" s="164">
        <v>8.9</v>
      </c>
      <c r="I5" s="45">
        <v>7077.4839999999995</v>
      </c>
      <c r="J5" s="11"/>
      <c r="K5" s="45">
        <f t="shared" ref="K5:K18" si="0">I5/A5</f>
        <v>151.71794150061586</v>
      </c>
      <c r="L5" s="45"/>
      <c r="Q5" s="162">
        <v>1</v>
      </c>
      <c r="R5" s="51">
        <v>11.268957079060826</v>
      </c>
      <c r="S5" s="11">
        <v>0.26333419454065005</v>
      </c>
      <c r="T5" s="11"/>
      <c r="U5" s="7">
        <v>1</v>
      </c>
      <c r="V5" s="164">
        <v>21.489843896047748</v>
      </c>
      <c r="X5" s="199" t="s">
        <v>267</v>
      </c>
    </row>
    <row r="6" spans="1:24" x14ac:dyDescent="0.3">
      <c r="A6" s="38">
        <v>39.426281618725518</v>
      </c>
      <c r="B6" s="3">
        <v>2</v>
      </c>
      <c r="C6" s="3">
        <v>0</v>
      </c>
      <c r="D6" s="3">
        <v>100</v>
      </c>
      <c r="E6" s="3">
        <v>0</v>
      </c>
      <c r="F6" s="125">
        <v>0</v>
      </c>
      <c r="G6" s="121" t="s">
        <v>267</v>
      </c>
      <c r="H6" s="190">
        <v>30.572289156626507</v>
      </c>
      <c r="I6" s="45">
        <v>130.3900000000001</v>
      </c>
      <c r="J6" s="11"/>
      <c r="K6" s="45">
        <f>I6/A6</f>
        <v>3.3071848180090955</v>
      </c>
      <c r="L6" s="45"/>
      <c r="Q6" s="188">
        <v>2</v>
      </c>
      <c r="R6" s="51">
        <v>10.116917799265302</v>
      </c>
      <c r="S6" s="11">
        <v>0.25660339712229596</v>
      </c>
      <c r="T6" s="11"/>
      <c r="U6" s="7">
        <v>2</v>
      </c>
      <c r="V6" s="190">
        <v>30.572289156626507</v>
      </c>
      <c r="X6" s="199" t="s">
        <v>266</v>
      </c>
    </row>
    <row r="7" spans="1:24" x14ac:dyDescent="0.3">
      <c r="A7" s="38">
        <v>44.088437042204063</v>
      </c>
      <c r="B7" s="3">
        <v>13</v>
      </c>
      <c r="C7" s="3">
        <v>0</v>
      </c>
      <c r="D7" s="3">
        <v>0</v>
      </c>
      <c r="E7" s="3">
        <v>0</v>
      </c>
      <c r="F7" s="125">
        <v>100</v>
      </c>
      <c r="G7" s="121" t="s">
        <v>266</v>
      </c>
      <c r="H7" s="191">
        <v>19.329588014981272</v>
      </c>
      <c r="I7" s="45">
        <v>538.45400000000006</v>
      </c>
      <c r="J7" s="11"/>
      <c r="K7" s="45">
        <f>I7/A7</f>
        <v>12.213043512623504</v>
      </c>
      <c r="L7" s="45"/>
      <c r="Q7" s="162">
        <v>3</v>
      </c>
      <c r="R7" s="51">
        <v>18.606157387772697</v>
      </c>
      <c r="S7" s="11">
        <v>0.42988616348606024</v>
      </c>
      <c r="T7" s="11"/>
      <c r="U7" s="7">
        <v>3</v>
      </c>
      <c r="V7" s="164">
        <v>15.478857239362638</v>
      </c>
      <c r="X7" s="199" t="s">
        <v>265</v>
      </c>
    </row>
    <row r="8" spans="1:24" x14ac:dyDescent="0.3">
      <c r="A8" s="38">
        <v>38.51216042258266</v>
      </c>
      <c r="B8" s="3">
        <v>29</v>
      </c>
      <c r="C8" s="3">
        <v>0</v>
      </c>
      <c r="D8" s="3">
        <v>0</v>
      </c>
      <c r="E8" s="3">
        <v>100</v>
      </c>
      <c r="F8" s="125">
        <v>0</v>
      </c>
      <c r="G8" s="121" t="s">
        <v>265</v>
      </c>
      <c r="H8" s="164">
        <v>19.084444444444443</v>
      </c>
      <c r="I8" s="45">
        <v>8971.4609999999993</v>
      </c>
      <c r="J8" s="11"/>
      <c r="K8" s="45">
        <f t="shared" si="0"/>
        <v>232.95138214939865</v>
      </c>
      <c r="L8" s="45"/>
      <c r="N8" s="175"/>
      <c r="Q8" s="34" t="s">
        <v>171</v>
      </c>
      <c r="R8" s="51">
        <v>25.200351202951541</v>
      </c>
      <c r="S8" s="11">
        <v>0.60584970801373594</v>
      </c>
      <c r="T8" s="11">
        <f>(R8-R25)/R25</f>
        <v>1.170240648578682</v>
      </c>
      <c r="U8" s="7">
        <v>4</v>
      </c>
      <c r="V8" s="192">
        <v>14.269883991083708</v>
      </c>
      <c r="X8" s="199" t="s">
        <v>278</v>
      </c>
    </row>
    <row r="9" spans="1:24" x14ac:dyDescent="0.3">
      <c r="A9" s="38">
        <v>40.821913530657625</v>
      </c>
      <c r="B9" s="3">
        <v>27</v>
      </c>
      <c r="C9" s="3">
        <v>72.5886</v>
      </c>
      <c r="D9" s="3">
        <v>27.4114</v>
      </c>
      <c r="E9" s="3">
        <v>0</v>
      </c>
      <c r="F9" s="125">
        <v>0</v>
      </c>
      <c r="G9" s="122" t="s">
        <v>278</v>
      </c>
      <c r="H9" s="190">
        <v>18.830340516579795</v>
      </c>
      <c r="I9" s="45">
        <v>4976.186999999999</v>
      </c>
      <c r="J9" s="11"/>
      <c r="K9" s="45">
        <f t="shared" si="0"/>
        <v>121.89989565929676</v>
      </c>
      <c r="L9" s="45"/>
      <c r="M9" s="162">
        <f>($K$5*C9+$K$6*D9)/100</f>
        <v>111.03647534331979</v>
      </c>
      <c r="N9" s="175"/>
      <c r="O9" s="187">
        <f>K9/M9</f>
        <v>1.0978365017656384</v>
      </c>
      <c r="P9" s="185"/>
      <c r="Q9" s="162">
        <v>5</v>
      </c>
      <c r="R9" s="51">
        <v>17.675855597259932</v>
      </c>
      <c r="S9" s="11">
        <v>0.41051595966004945</v>
      </c>
      <c r="T9" s="11"/>
      <c r="U9" s="7">
        <v>5</v>
      </c>
      <c r="V9" s="164">
        <v>13.853544486467742</v>
      </c>
      <c r="X9" s="199" t="s">
        <v>279</v>
      </c>
    </row>
    <row r="10" spans="1:24" x14ac:dyDescent="0.3">
      <c r="A10" s="38">
        <v>44.669121856209038</v>
      </c>
      <c r="B10" s="3">
        <v>6</v>
      </c>
      <c r="C10" s="3">
        <v>26.6587</v>
      </c>
      <c r="D10" s="3">
        <v>73.341300000000004</v>
      </c>
      <c r="E10" s="3">
        <v>0</v>
      </c>
      <c r="F10" s="125">
        <v>0</v>
      </c>
      <c r="G10" s="122" t="s">
        <v>279</v>
      </c>
      <c r="H10" s="190">
        <v>11.154158936927884</v>
      </c>
      <c r="I10" s="45">
        <v>2571.8319999999994</v>
      </c>
      <c r="J10" s="11"/>
      <c r="K10" s="45">
        <f>I10/A10</f>
        <v>57.575163628216991</v>
      </c>
      <c r="L10" s="45"/>
      <c r="M10" s="162">
        <f>($K$5*C10+$K$6*D10)/100</f>
        <v>42.871563209755188</v>
      </c>
      <c r="O10" s="187">
        <f t="shared" ref="O10:O23" si="1">K10/M10</f>
        <v>1.3429686094375042</v>
      </c>
      <c r="P10" s="185">
        <f>I10/I6</f>
        <v>19.724150625047912</v>
      </c>
      <c r="Q10" s="188">
        <v>6</v>
      </c>
      <c r="R10" s="51">
        <v>15.828420174216461</v>
      </c>
      <c r="S10" s="11">
        <v>0.35434813841132856</v>
      </c>
      <c r="T10" s="11">
        <f>(R10-R6)/R6</f>
        <v>0.56454964726173151</v>
      </c>
      <c r="U10" s="7">
        <v>6</v>
      </c>
      <c r="V10" s="190">
        <v>11.154158936927884</v>
      </c>
      <c r="X10" s="199" t="s">
        <v>262</v>
      </c>
    </row>
    <row r="11" spans="1:24" x14ac:dyDescent="0.3">
      <c r="A11" s="38">
        <v>40.725158020389721</v>
      </c>
      <c r="B11" s="3" t="s">
        <v>276</v>
      </c>
      <c r="C11" s="3">
        <v>27.197399999999998</v>
      </c>
      <c r="D11" s="3">
        <v>0</v>
      </c>
      <c r="E11" s="3">
        <v>72.802599999999998</v>
      </c>
      <c r="F11" s="125">
        <v>0</v>
      </c>
      <c r="G11" s="122" t="s">
        <v>262</v>
      </c>
      <c r="H11" s="164">
        <v>14.269883991083708</v>
      </c>
      <c r="I11" s="51">
        <v>11500.878249999998</v>
      </c>
      <c r="J11" s="189">
        <f>(I11-I8)/I8</f>
        <v>0.28194039410080463</v>
      </c>
      <c r="K11" s="45">
        <v>270.3209326588937</v>
      </c>
      <c r="L11" s="45"/>
      <c r="M11" s="162">
        <f>($K$5*C11+$K$8*E11)/100</f>
        <v>210.85799836238661</v>
      </c>
      <c r="O11" s="200">
        <f>K11/M11</f>
        <v>1.2820046417888895</v>
      </c>
      <c r="P11" s="185">
        <f>I11/I8</f>
        <v>1.2819403941008047</v>
      </c>
      <c r="Q11" s="36">
        <v>7</v>
      </c>
      <c r="R11" s="51">
        <v>27.856724235015207</v>
      </c>
      <c r="S11" s="11">
        <v>0.60589769055724685</v>
      </c>
      <c r="T11" s="11" t="e">
        <f>(R11-#REF!)/#REF!</f>
        <v>#REF!</v>
      </c>
      <c r="U11" s="7">
        <v>7</v>
      </c>
      <c r="V11" s="191">
        <v>10.463130063892008</v>
      </c>
      <c r="X11" s="199" t="s">
        <v>271</v>
      </c>
    </row>
    <row r="12" spans="1:24" x14ac:dyDescent="0.3">
      <c r="A12" s="38">
        <v>44.365390734948178</v>
      </c>
      <c r="B12" s="3" t="s">
        <v>277</v>
      </c>
      <c r="C12" s="3">
        <v>71.935299999999998</v>
      </c>
      <c r="D12" s="3">
        <v>0</v>
      </c>
      <c r="E12" s="3">
        <v>28.064699999999998</v>
      </c>
      <c r="F12" s="125">
        <v>0</v>
      </c>
      <c r="G12" s="122" t="s">
        <v>271</v>
      </c>
      <c r="H12" s="164">
        <v>10.324065586956506</v>
      </c>
      <c r="I12" s="51">
        <v>7285.8732499999996</v>
      </c>
      <c r="J12" s="189">
        <f>(I12-I8)/I8</f>
        <v>-0.1878833057402802</v>
      </c>
      <c r="K12" s="45">
        <v>170.50279977368561</v>
      </c>
      <c r="L12" s="45"/>
      <c r="M12" s="162">
        <f t="shared" ref="M12" si="2">($K$5*C12+$K$8*E12)/100</f>
        <v>174.51586291837481</v>
      </c>
      <c r="O12" s="200">
        <f t="shared" si="1"/>
        <v>0.97700459386568084</v>
      </c>
      <c r="P12" s="185"/>
      <c r="Q12" s="162">
        <v>8</v>
      </c>
      <c r="R12" s="51">
        <v>16.531912465245426</v>
      </c>
      <c r="S12" s="11">
        <v>0.38681053562422901</v>
      </c>
      <c r="T12" s="11"/>
      <c r="U12" s="7">
        <v>8</v>
      </c>
      <c r="V12" s="164">
        <v>14.254333207876655</v>
      </c>
      <c r="X12" s="199" t="s">
        <v>261</v>
      </c>
    </row>
    <row r="13" spans="1:24" x14ac:dyDescent="0.3">
      <c r="A13" s="38">
        <v>45.975953810609923</v>
      </c>
      <c r="B13" s="3">
        <v>7</v>
      </c>
      <c r="C13" s="3">
        <v>73.716099999999997</v>
      </c>
      <c r="D13" s="3">
        <v>0</v>
      </c>
      <c r="E13" s="3">
        <v>0</v>
      </c>
      <c r="F13" s="125">
        <v>26.283899999999999</v>
      </c>
      <c r="G13" s="122" t="s">
        <v>260</v>
      </c>
      <c r="H13" s="191">
        <v>10.463130063892008</v>
      </c>
      <c r="I13" s="45">
        <v>7067.2164999999986</v>
      </c>
      <c r="J13" s="11"/>
      <c r="K13" s="45">
        <f t="shared" si="0"/>
        <v>153.7154950414338</v>
      </c>
      <c r="L13" s="45"/>
      <c r="M13" s="162">
        <f>($K$5*C13+$K$7*F13)/100</f>
        <v>115.05061361834994</v>
      </c>
      <c r="O13" s="187">
        <f t="shared" si="1"/>
        <v>1.3360684502852318</v>
      </c>
      <c r="P13" s="185"/>
      <c r="Q13" s="162">
        <v>9</v>
      </c>
      <c r="R13" s="51">
        <v>32.274897515384581</v>
      </c>
      <c r="S13" s="11">
        <v>0.69186747906141366</v>
      </c>
      <c r="T13" s="11"/>
      <c r="U13" s="7">
        <v>9</v>
      </c>
      <c r="V13" s="190">
        <v>8.9</v>
      </c>
      <c r="X13" s="199" t="s">
        <v>260</v>
      </c>
    </row>
    <row r="14" spans="1:24" x14ac:dyDescent="0.3">
      <c r="A14" s="38">
        <v>44.768744624556525</v>
      </c>
      <c r="B14" s="3">
        <v>26</v>
      </c>
      <c r="C14" s="3">
        <v>26.569099999999999</v>
      </c>
      <c r="D14" s="3">
        <v>0</v>
      </c>
      <c r="E14" s="3">
        <v>0</v>
      </c>
      <c r="F14" s="125">
        <v>73.430899999999994</v>
      </c>
      <c r="G14" s="122" t="s">
        <v>261</v>
      </c>
      <c r="H14" s="191">
        <v>14.922467329695515</v>
      </c>
      <c r="I14" s="45">
        <v>5518.6075000000001</v>
      </c>
      <c r="J14" s="11"/>
      <c r="K14" s="45">
        <f t="shared" si="0"/>
        <v>123.26920368843527</v>
      </c>
      <c r="L14" s="45"/>
      <c r="M14" s="162">
        <f>($K$5*C14+$K$7*F14)/100</f>
        <v>49.27823936395118</v>
      </c>
      <c r="O14" s="187">
        <f t="shared" si="1"/>
        <v>2.5014936669716161</v>
      </c>
      <c r="P14" s="185">
        <f>I14/I7</f>
        <v>10.248985985803801</v>
      </c>
      <c r="Q14" s="162">
        <v>10</v>
      </c>
      <c r="R14" s="51">
        <v>15.696700461979987</v>
      </c>
      <c r="S14" s="11">
        <v>0.37761591062951394</v>
      </c>
      <c r="T14" s="11"/>
      <c r="U14" s="7">
        <v>10</v>
      </c>
      <c r="V14" s="164">
        <v>15.313108129161261</v>
      </c>
      <c r="X14" s="199" t="s">
        <v>259</v>
      </c>
    </row>
    <row r="15" spans="1:24" x14ac:dyDescent="0.3">
      <c r="A15" s="38">
        <v>42.739043905736629</v>
      </c>
      <c r="B15" s="3">
        <v>8</v>
      </c>
      <c r="C15" s="3">
        <v>46.627800000000001</v>
      </c>
      <c r="D15" s="3">
        <v>47.356999999999999</v>
      </c>
      <c r="E15" s="3">
        <v>6.0151300000000001</v>
      </c>
      <c r="F15" s="125">
        <v>0</v>
      </c>
      <c r="G15" s="123" t="s">
        <v>259</v>
      </c>
      <c r="H15" s="193">
        <v>14.254333207876655</v>
      </c>
      <c r="I15" s="45">
        <v>4936.444199999999</v>
      </c>
      <c r="J15" s="11"/>
      <c r="K15" s="45">
        <f t="shared" si="0"/>
        <v>115.50198013057113</v>
      </c>
      <c r="L15" s="45"/>
      <c r="M15" s="162">
        <f>(K5*C15+K6*D15+K8*E15)/100</f>
        <v>86.321250314371852</v>
      </c>
      <c r="O15" s="187">
        <f>K15/M15</f>
        <v>1.3380480439049074</v>
      </c>
      <c r="P15" s="185"/>
      <c r="Q15" s="162">
        <v>15</v>
      </c>
      <c r="R15" s="51">
        <v>6.6375771726543462</v>
      </c>
      <c r="S15" s="11">
        <v>0.15781791243192134</v>
      </c>
      <c r="T15" s="11"/>
      <c r="U15" s="7">
        <v>15</v>
      </c>
      <c r="V15" s="164">
        <v>26.335928075309294</v>
      </c>
      <c r="X15" s="199" t="s">
        <v>254</v>
      </c>
    </row>
    <row r="16" spans="1:24" x14ac:dyDescent="0.3">
      <c r="A16" s="38">
        <v>42.793367943414857</v>
      </c>
      <c r="B16" s="3">
        <v>1</v>
      </c>
      <c r="C16" s="3">
        <v>4.4064600000000002E-2</v>
      </c>
      <c r="D16" s="3">
        <v>27.802199999999999</v>
      </c>
      <c r="E16" s="3">
        <v>0</v>
      </c>
      <c r="F16" s="125">
        <v>72.153700000000001</v>
      </c>
      <c r="G16" s="123" t="s">
        <v>258</v>
      </c>
      <c r="H16" s="193">
        <v>21.489843896047748</v>
      </c>
      <c r="I16" s="45">
        <v>1000.7234</v>
      </c>
      <c r="J16" s="11"/>
      <c r="K16" s="45">
        <f>I16/A16</f>
        <v>23.385011465403803</v>
      </c>
      <c r="L16" s="45"/>
      <c r="M16" s="162">
        <f>($K$5*C16+$K$6*D16+$K$7*F16)/100</f>
        <v>9.7984868184908311</v>
      </c>
      <c r="O16" s="187">
        <f t="shared" si="1"/>
        <v>2.3865941648534643</v>
      </c>
      <c r="P16" s="185"/>
      <c r="Q16" s="162">
        <v>16</v>
      </c>
      <c r="R16" s="51">
        <v>12.034070697852854</v>
      </c>
      <c r="S16" s="11">
        <v>0.29567703195592487</v>
      </c>
      <c r="T16" s="11"/>
      <c r="U16" s="7">
        <v>16</v>
      </c>
      <c r="V16" s="164">
        <v>12.695020420276816</v>
      </c>
      <c r="X16" s="199" t="s">
        <v>253</v>
      </c>
    </row>
    <row r="17" spans="1:24" x14ac:dyDescent="0.3">
      <c r="A17" s="38">
        <v>43.281591658802093</v>
      </c>
      <c r="B17" s="3">
        <v>14</v>
      </c>
      <c r="C17" s="3">
        <v>6.4521899999999999</v>
      </c>
      <c r="D17" s="3">
        <v>47.085299999999997</v>
      </c>
      <c r="E17" s="3">
        <v>0</v>
      </c>
      <c r="F17" s="125">
        <v>46.462499999999999</v>
      </c>
      <c r="G17" s="123" t="s">
        <v>257</v>
      </c>
      <c r="H17" s="193">
        <v>21.503574744708686</v>
      </c>
      <c r="I17" s="45">
        <v>4442.4029999999993</v>
      </c>
      <c r="J17" s="11"/>
      <c r="K17" s="45">
        <f t="shared" si="0"/>
        <v>102.63954789418094</v>
      </c>
      <c r="L17" s="45"/>
      <c r="M17" s="162">
        <f>($K$5*C17+$K$6*D17+$K$7*F17)/100</f>
        <v>17.020813084875318</v>
      </c>
      <c r="O17" s="187">
        <f t="shared" si="1"/>
        <v>6.0302376497739916</v>
      </c>
      <c r="P17" s="185"/>
      <c r="Q17" s="162">
        <v>17</v>
      </c>
      <c r="R17" s="51">
        <v>17.82557325272797</v>
      </c>
      <c r="S17" s="11">
        <v>0.39533372934371896</v>
      </c>
      <c r="T17" s="11"/>
      <c r="U17" s="7">
        <v>17</v>
      </c>
      <c r="V17" s="164">
        <v>21.328309255288907</v>
      </c>
      <c r="X17" s="199" t="s">
        <v>252</v>
      </c>
    </row>
    <row r="18" spans="1:24" x14ac:dyDescent="0.3">
      <c r="A18" s="38">
        <v>40.700052412751205</v>
      </c>
      <c r="B18" s="3">
        <v>16</v>
      </c>
      <c r="C18" s="3">
        <v>47.869199999999999</v>
      </c>
      <c r="D18" s="3">
        <v>4.8092300000000003</v>
      </c>
      <c r="E18" s="3">
        <v>0</v>
      </c>
      <c r="F18" s="125">
        <v>47.321599999999997</v>
      </c>
      <c r="G18" s="123" t="s">
        <v>256</v>
      </c>
      <c r="H18" s="164">
        <v>12.695020420276816</v>
      </c>
      <c r="I18" s="45">
        <v>5755.0084999999999</v>
      </c>
      <c r="J18" s="11"/>
      <c r="K18" s="45">
        <f t="shared" si="0"/>
        <v>141.40051815257547</v>
      </c>
      <c r="L18" s="45"/>
      <c r="M18" s="162">
        <f>($K$5*C18+$K$6*D18+$K$7*F18)/100</f>
        <v>78.564622576105592</v>
      </c>
      <c r="O18" s="187">
        <f t="shared" si="1"/>
        <v>1.7997988600479906</v>
      </c>
      <c r="P18" s="185"/>
      <c r="Q18" s="162">
        <v>18</v>
      </c>
      <c r="R18" s="51">
        <v>17.368108180799346</v>
      </c>
      <c r="S18" s="11">
        <v>0.42536664148991132</v>
      </c>
      <c r="T18" s="11"/>
      <c r="U18" s="7">
        <v>19</v>
      </c>
      <c r="V18" s="164">
        <v>19.269105399342585</v>
      </c>
      <c r="X18" s="199" t="s">
        <v>251</v>
      </c>
    </row>
    <row r="19" spans="1:24" x14ac:dyDescent="0.3">
      <c r="A19" s="38">
        <v>45.089937765542146</v>
      </c>
      <c r="B19" s="177" t="s">
        <v>223</v>
      </c>
      <c r="C19" s="3">
        <v>2.0130699999999999</v>
      </c>
      <c r="D19" s="3">
        <v>31.355499999999999</v>
      </c>
      <c r="E19" s="3">
        <v>33.126300000000001</v>
      </c>
      <c r="F19" s="183">
        <v>33.505099999999999</v>
      </c>
      <c r="G19" s="99" t="s">
        <v>255</v>
      </c>
      <c r="H19" s="164">
        <v>21.328309255288907</v>
      </c>
      <c r="I19" s="51">
        <v>3426.1405000000004</v>
      </c>
      <c r="J19" s="11"/>
      <c r="K19" s="45">
        <v>79.290133402176593</v>
      </c>
      <c r="L19" s="45"/>
      <c r="M19" s="162">
        <f>(C19*$K$5+$K$6*D19+E19*$K$8+$K$7*F19)/100</f>
        <v>85.351338847481543</v>
      </c>
      <c r="O19" s="43">
        <f t="shared" si="1"/>
        <v>0.92898523295415425</v>
      </c>
      <c r="P19" s="185"/>
      <c r="Q19" s="162">
        <v>22</v>
      </c>
      <c r="R19" s="51">
        <v>7.5615878068340763</v>
      </c>
      <c r="S19" s="11">
        <v>0.17740257285335229</v>
      </c>
      <c r="T19" s="11"/>
      <c r="U19" s="7">
        <v>27</v>
      </c>
      <c r="V19" s="192">
        <v>18.830340516579795</v>
      </c>
    </row>
    <row r="20" spans="1:24" s="175" customFormat="1" x14ac:dyDescent="0.3">
      <c r="A20" s="38">
        <v>40.725158020389721</v>
      </c>
      <c r="B20" s="177">
        <v>21</v>
      </c>
      <c r="C20" s="3">
        <v>5.5069600000000003</v>
      </c>
      <c r="D20" s="3">
        <v>2.4822700000000002</v>
      </c>
      <c r="E20" s="3">
        <v>47.348799999999997</v>
      </c>
      <c r="F20" s="183">
        <v>44.661900000000003</v>
      </c>
      <c r="G20" s="99" t="s">
        <v>254</v>
      </c>
      <c r="H20" s="164">
        <v>18.212886032807219</v>
      </c>
      <c r="I20" s="45">
        <v>5442.6194999999998</v>
      </c>
      <c r="J20" s="11"/>
      <c r="K20" s="45">
        <v>133.64268586201834</v>
      </c>
      <c r="L20" s="45"/>
      <c r="M20" s="175">
        <f>(C20*$K$5+$K$6*D20+E20*$K$8+$K$7*F20)/100</f>
        <v>124.19140091956316</v>
      </c>
      <c r="O20" s="187">
        <f t="shared" si="1"/>
        <v>1.0761025712929724</v>
      </c>
      <c r="P20" s="185"/>
      <c r="Q20" s="162">
        <v>24</v>
      </c>
      <c r="R20" s="51">
        <v>10.762022475591074</v>
      </c>
      <c r="S20" s="11">
        <v>0.25387736037856162</v>
      </c>
      <c r="T20" s="11"/>
      <c r="U20" s="7">
        <v>28</v>
      </c>
      <c r="V20" s="164">
        <v>26.662906254120497</v>
      </c>
    </row>
    <row r="21" spans="1:24" x14ac:dyDescent="0.3">
      <c r="A21" s="38">
        <v>41.567900133795774</v>
      </c>
      <c r="B21" s="3" t="s">
        <v>222</v>
      </c>
      <c r="C21" s="85">
        <v>32.387099999999997</v>
      </c>
      <c r="D21" s="78">
        <v>32.2241</v>
      </c>
      <c r="E21" s="85">
        <v>33.130400000000002</v>
      </c>
      <c r="F21" s="195">
        <v>2.2583199999999999</v>
      </c>
      <c r="G21" s="99" t="s">
        <v>253</v>
      </c>
      <c r="H21" s="164">
        <v>15.313108129161261</v>
      </c>
      <c r="I21" s="51">
        <v>3773.1684999999993</v>
      </c>
      <c r="J21" s="11"/>
      <c r="K21" s="45">
        <v>91.483179327293044</v>
      </c>
      <c r="L21" s="45"/>
      <c r="M21" s="162">
        <f t="shared" ref="M21" si="3">(C21*$K$5+$K$6*D21+E21*$K$8+$K$7*F21)/100</f>
        <v>127.65628629056468</v>
      </c>
      <c r="O21" s="43">
        <f t="shared" si="1"/>
        <v>0.71663669675509545</v>
      </c>
      <c r="P21" s="185"/>
      <c r="Q21" s="162">
        <v>25</v>
      </c>
      <c r="R21" s="51">
        <v>11.339709388429945</v>
      </c>
      <c r="S21" s="11">
        <v>0.27799603714733223</v>
      </c>
      <c r="T21" s="11"/>
      <c r="U21" s="7">
        <v>29</v>
      </c>
      <c r="V21" s="164">
        <v>19.084444444444443</v>
      </c>
    </row>
    <row r="22" spans="1:24" x14ac:dyDescent="0.3">
      <c r="A22" s="38">
        <v>43.281591658802093</v>
      </c>
      <c r="B22" s="186" t="s">
        <v>221</v>
      </c>
      <c r="C22" s="3">
        <v>33.091999999999999</v>
      </c>
      <c r="D22" s="3">
        <v>33.281999999999996</v>
      </c>
      <c r="E22" s="3">
        <v>1.8381700000000001</v>
      </c>
      <c r="F22" s="183">
        <v>31.787800000000001</v>
      </c>
      <c r="G22" s="99" t="s">
        <v>252</v>
      </c>
      <c r="H22" s="164">
        <v>15.478857239362638</v>
      </c>
      <c r="I22" s="51">
        <v>9147.0419000000002</v>
      </c>
      <c r="J22" s="11"/>
      <c r="K22" s="45">
        <v>212.99151386268915</v>
      </c>
      <c r="L22" s="45"/>
      <c r="M22" s="162">
        <f t="shared" ref="M22:M23" si="4">(C22*$K$5+$K$6*D22+E22*$K$8+$K$7*F22)/100</f>
        <v>59.471498719474923</v>
      </c>
      <c r="O22" s="187">
        <f t="shared" si="1"/>
        <v>3.5814048485201795</v>
      </c>
      <c r="P22" s="185"/>
      <c r="Q22" s="36">
        <v>26</v>
      </c>
      <c r="R22" s="45">
        <v>15.178609576324888</v>
      </c>
      <c r="S22" s="11">
        <v>0.33904478902897639</v>
      </c>
      <c r="T22" s="11" t="e">
        <f>(R22-#REF!)/#REF!</f>
        <v>#REF!</v>
      </c>
      <c r="U22" s="7">
        <v>30</v>
      </c>
      <c r="V22" s="164">
        <v>19.156040116120042</v>
      </c>
    </row>
    <row r="23" spans="1:24" x14ac:dyDescent="0.3">
      <c r="A23" s="38">
        <v>43.057657519326185</v>
      </c>
      <c r="B23" s="3" t="s">
        <v>224</v>
      </c>
      <c r="C23" s="85">
        <v>33.561</v>
      </c>
      <c r="D23" s="78">
        <v>1.4806999999999999</v>
      </c>
      <c r="E23" s="85">
        <v>32.657699999999998</v>
      </c>
      <c r="F23" s="195">
        <v>32.300600000000003</v>
      </c>
      <c r="G23" s="99" t="s">
        <v>251</v>
      </c>
      <c r="H23" s="193">
        <v>13.853544486467742</v>
      </c>
      <c r="I23" s="51">
        <v>877.10724999999991</v>
      </c>
      <c r="J23" s="11"/>
      <c r="K23" s="45">
        <v>20.548459453537831</v>
      </c>
      <c r="L23" s="45"/>
      <c r="M23" s="162">
        <f t="shared" si="4"/>
        <v>130.98847769366458</v>
      </c>
      <c r="O23" s="43">
        <f t="shared" si="1"/>
        <v>0.15687226705232321</v>
      </c>
      <c r="P23" s="185"/>
      <c r="Q23" s="188">
        <v>27</v>
      </c>
      <c r="R23" s="45">
        <v>24.087865099163487</v>
      </c>
      <c r="S23" s="11">
        <v>0.59007192499864769</v>
      </c>
      <c r="T23" s="11">
        <f>(R23-R6)/R6</f>
        <v>1.3809489784440836</v>
      </c>
      <c r="U23" s="7">
        <v>31</v>
      </c>
      <c r="V23" s="164">
        <v>21.5018147915413</v>
      </c>
    </row>
    <row r="24" spans="1:24" x14ac:dyDescent="0.3">
      <c r="I24" s="175"/>
      <c r="Q24" s="162">
        <v>28</v>
      </c>
      <c r="R24" s="45">
        <v>7.7490804666811073</v>
      </c>
      <c r="S24" s="11">
        <v>0.19775521358479539</v>
      </c>
      <c r="T24" s="11"/>
    </row>
    <row r="25" spans="1:24" x14ac:dyDescent="0.3">
      <c r="B25" s="162" t="s">
        <v>231</v>
      </c>
      <c r="C25" s="162" t="s">
        <v>228</v>
      </c>
      <c r="D25" s="162" t="s">
        <v>229</v>
      </c>
      <c r="E25" s="162" t="s">
        <v>230</v>
      </c>
      <c r="I25" s="175"/>
      <c r="J25" s="189">
        <f>(I11-I5)/I5</f>
        <v>0.62499530200280196</v>
      </c>
      <c r="Q25" s="34">
        <v>29</v>
      </c>
      <c r="R25" s="45">
        <v>11.611777348035375</v>
      </c>
      <c r="S25" s="11">
        <v>0.30150937315961351</v>
      </c>
      <c r="T25" s="11"/>
    </row>
    <row r="26" spans="1:24" x14ac:dyDescent="0.3">
      <c r="B26" s="43">
        <f>D19/F19</f>
        <v>0.93584260306639888</v>
      </c>
      <c r="C26" s="185">
        <f>C19/E19</f>
        <v>6.0769539610520944E-2</v>
      </c>
      <c r="D26" s="43">
        <f>C19/D19</f>
        <v>6.4201495750346824E-2</v>
      </c>
      <c r="E26" s="43">
        <f>C19/F19</f>
        <v>6.008249490376092E-2</v>
      </c>
      <c r="F26" s="43">
        <v>0.92898523295415425</v>
      </c>
      <c r="I26" s="175"/>
      <c r="J26" s="189">
        <f>(I12-I5)/I5</f>
        <v>2.944397331028939E-2</v>
      </c>
      <c r="K26" s="175"/>
      <c r="L26" s="175"/>
      <c r="M26" s="175"/>
      <c r="N26" s="175"/>
      <c r="O26" s="175"/>
      <c r="Q26" s="162">
        <v>30</v>
      </c>
      <c r="R26" s="45">
        <v>13.776313228914361</v>
      </c>
      <c r="S26" s="11">
        <v>0.34483326706745554</v>
      </c>
      <c r="T26" s="11"/>
    </row>
    <row r="27" spans="1:24" x14ac:dyDescent="0.3">
      <c r="B27" s="194">
        <f>D20/F20</f>
        <v>5.5579140161972511E-2</v>
      </c>
      <c r="C27" s="197">
        <f>C20/E20</f>
        <v>0.11630622106579259</v>
      </c>
      <c r="D27" s="185">
        <f t="shared" ref="D27:D30" si="5">C20/D20</f>
        <v>2.2185177277250259</v>
      </c>
      <c r="E27" s="185">
        <f t="shared" ref="E27:E30" si="6">C20/F20</f>
        <v>0.12330330774104997</v>
      </c>
      <c r="F27" s="43">
        <v>1.0761025712929724</v>
      </c>
      <c r="I27" s="175"/>
      <c r="K27" s="175"/>
      <c r="L27" s="175"/>
      <c r="M27" s="175"/>
      <c r="N27" s="175"/>
      <c r="O27" s="175"/>
      <c r="Q27" s="162">
        <v>31</v>
      </c>
      <c r="R27" s="45">
        <v>20.054943528509654</v>
      </c>
      <c r="S27" s="11">
        <v>0.51748359521591802</v>
      </c>
      <c r="T27" s="11"/>
    </row>
    <row r="28" spans="1:24" x14ac:dyDescent="0.3">
      <c r="B28" s="43">
        <f>D21/F21</f>
        <v>14.269058415105034</v>
      </c>
      <c r="C28" s="185">
        <f>C21/E21</f>
        <v>0.977564412141115</v>
      </c>
      <c r="D28" s="185">
        <f t="shared" si="5"/>
        <v>1.0050583259113519</v>
      </c>
      <c r="E28" s="185">
        <f t="shared" si="6"/>
        <v>14.341235963016755</v>
      </c>
      <c r="F28" s="43">
        <v>0.71663669675509545</v>
      </c>
      <c r="I28" s="175"/>
      <c r="J28" s="175"/>
      <c r="K28" s="175"/>
      <c r="L28" s="189">
        <f>(K11-K8)/K8</f>
        <v>0.16041780977941927</v>
      </c>
      <c r="M28" s="175"/>
      <c r="N28" s="175"/>
      <c r="O28" s="175"/>
    </row>
    <row r="29" spans="1:24" x14ac:dyDescent="0.3">
      <c r="B29" s="194">
        <f t="shared" ref="B29:B30" si="7">D22/F22</f>
        <v>1.0470054549229577</v>
      </c>
      <c r="C29" s="196">
        <f>C22/E22</f>
        <v>18.002687455458418</v>
      </c>
      <c r="D29" s="185">
        <f t="shared" si="5"/>
        <v>0.99429120846103003</v>
      </c>
      <c r="E29" s="185">
        <f t="shared" si="6"/>
        <v>1.0410283190406382</v>
      </c>
      <c r="F29" s="43">
        <v>3.5814048485201795</v>
      </c>
      <c r="L29" s="189">
        <f>(K12-K8)/K8</f>
        <v>-0.26807560358522753</v>
      </c>
    </row>
    <row r="30" spans="1:24" x14ac:dyDescent="0.3">
      <c r="B30" s="43">
        <f t="shared" si="7"/>
        <v>4.5841253722841056E-2</v>
      </c>
      <c r="C30" s="185">
        <f t="shared" ref="C30" si="8">C23/E23</f>
        <v>1.0276596331033723</v>
      </c>
      <c r="D30" s="185">
        <f t="shared" si="5"/>
        <v>22.66563112041602</v>
      </c>
      <c r="E30" s="185">
        <f t="shared" si="6"/>
        <v>1.039020946979313</v>
      </c>
      <c r="F30" s="43">
        <v>0.15687226705232321</v>
      </c>
      <c r="L30" s="11"/>
    </row>
    <row r="31" spans="1:24" x14ac:dyDescent="0.3">
      <c r="L31" s="189">
        <f>(K11-K5)/K5</f>
        <v>0.78173345871421795</v>
      </c>
      <c r="O31" s="3">
        <v>6.4521899999999999</v>
      </c>
      <c r="P31" s="3">
        <v>47.085299999999997</v>
      </c>
      <c r="Q31" s="125">
        <v>46.462499999999999</v>
      </c>
    </row>
    <row r="32" spans="1:24" x14ac:dyDescent="0.3">
      <c r="C32" s="162" t="s">
        <v>249</v>
      </c>
      <c r="L32" s="189">
        <f>(K12-K5)/K5</f>
        <v>0.12381434975502546</v>
      </c>
    </row>
    <row r="33" spans="1:24" x14ac:dyDescent="0.3">
      <c r="C33" s="162">
        <f>E19/C19</f>
        <v>16.455612571843005</v>
      </c>
      <c r="F33" s="43">
        <f>C15/E15</f>
        <v>7.7517526636997038</v>
      </c>
      <c r="O33" s="3">
        <v>26.569099999999999</v>
      </c>
      <c r="P33" s="3">
        <v>0</v>
      </c>
      <c r="Q33" s="125">
        <v>73.430899999999994</v>
      </c>
    </row>
    <row r="34" spans="1:24" x14ac:dyDescent="0.3">
      <c r="C34" s="175">
        <f>E20/C20</f>
        <v>8.5979923587605498</v>
      </c>
    </row>
    <row r="35" spans="1:24" x14ac:dyDescent="0.3">
      <c r="C35" s="175">
        <f t="shared" ref="C35:C37" si="9">E21/C21</f>
        <v>1.0229504957220623</v>
      </c>
    </row>
    <row r="36" spans="1:24" x14ac:dyDescent="0.3">
      <c r="C36" s="175">
        <f t="shared" si="9"/>
        <v>5.5547262178169958E-2</v>
      </c>
    </row>
    <row r="37" spans="1:24" x14ac:dyDescent="0.3">
      <c r="C37" s="175">
        <f t="shared" si="9"/>
        <v>0.9730848306069545</v>
      </c>
    </row>
    <row r="41" spans="1:24" x14ac:dyDescent="0.3">
      <c r="A41" s="162" t="s">
        <v>81</v>
      </c>
      <c r="B41" s="162" t="s">
        <v>169</v>
      </c>
      <c r="C41" s="162" t="s">
        <v>46</v>
      </c>
      <c r="D41" s="162" t="s">
        <v>248</v>
      </c>
      <c r="E41" s="162" t="s">
        <v>48</v>
      </c>
      <c r="F41" s="162" t="s">
        <v>54</v>
      </c>
      <c r="H41" s="162" t="s">
        <v>41</v>
      </c>
      <c r="I41" s="162" t="s">
        <v>206</v>
      </c>
      <c r="K41" s="162" t="s">
        <v>208</v>
      </c>
      <c r="M41" s="162" t="s">
        <v>207</v>
      </c>
      <c r="O41" s="162" t="s">
        <v>204</v>
      </c>
      <c r="R41" s="162" t="s">
        <v>203</v>
      </c>
      <c r="S41" s="162" t="s">
        <v>202</v>
      </c>
      <c r="T41" s="162" t="s">
        <v>225</v>
      </c>
      <c r="X41" s="162" t="s">
        <v>268</v>
      </c>
    </row>
    <row r="42" spans="1:24" x14ac:dyDescent="0.3">
      <c r="A42" s="162">
        <v>46.648958784952079</v>
      </c>
      <c r="B42" s="162">
        <v>9</v>
      </c>
      <c r="C42" s="162">
        <v>100</v>
      </c>
      <c r="D42" s="162">
        <v>0</v>
      </c>
      <c r="E42" s="162">
        <v>0</v>
      </c>
      <c r="F42" s="162">
        <v>0</v>
      </c>
      <c r="G42" s="162" t="s">
        <v>268</v>
      </c>
      <c r="H42" s="162">
        <v>8.9</v>
      </c>
      <c r="I42" s="162">
        <v>7077.4839999999995</v>
      </c>
      <c r="K42" s="162">
        <v>151.71794150061586</v>
      </c>
      <c r="Q42" s="162">
        <v>1</v>
      </c>
      <c r="R42" s="162">
        <v>11.268957079060826</v>
      </c>
      <c r="S42" s="162">
        <v>0.26333419454065005</v>
      </c>
      <c r="U42" s="162">
        <v>1</v>
      </c>
      <c r="V42" s="162">
        <v>21.489843896047748</v>
      </c>
      <c r="X42" s="162" t="s">
        <v>267</v>
      </c>
    </row>
    <row r="43" spans="1:24" x14ac:dyDescent="0.3">
      <c r="A43" s="162">
        <v>39.426281618725518</v>
      </c>
      <c r="B43" s="162">
        <v>2</v>
      </c>
      <c r="C43" s="162">
        <v>0</v>
      </c>
      <c r="D43" s="162">
        <v>100</v>
      </c>
      <c r="E43" s="162">
        <v>0</v>
      </c>
      <c r="F43" s="162">
        <v>0</v>
      </c>
      <c r="G43" s="162" t="s">
        <v>267</v>
      </c>
      <c r="H43" s="162">
        <v>30.572289156626507</v>
      </c>
      <c r="I43" s="162">
        <v>130.3900000000001</v>
      </c>
      <c r="K43" s="162">
        <v>3.3071848180090955</v>
      </c>
      <c r="Q43" s="162">
        <v>2</v>
      </c>
      <c r="R43" s="162">
        <v>10.116917799265302</v>
      </c>
      <c r="S43" s="162">
        <v>0.25660339712229596</v>
      </c>
      <c r="U43" s="162">
        <v>2</v>
      </c>
      <c r="V43" s="162">
        <v>30.572289156626507</v>
      </c>
      <c r="X43" s="162" t="s">
        <v>266</v>
      </c>
    </row>
    <row r="44" spans="1:24" x14ac:dyDescent="0.3">
      <c r="A44" s="162">
        <v>44.088437042204063</v>
      </c>
      <c r="B44" s="162">
        <v>13</v>
      </c>
      <c r="C44" s="162">
        <v>0</v>
      </c>
      <c r="D44" s="162">
        <v>0</v>
      </c>
      <c r="E44" s="162">
        <v>0</v>
      </c>
      <c r="F44" s="162">
        <v>100</v>
      </c>
      <c r="G44" s="162" t="s">
        <v>266</v>
      </c>
      <c r="H44" s="162">
        <v>19.329588014981272</v>
      </c>
      <c r="I44" s="162">
        <v>538.45400000000006</v>
      </c>
      <c r="K44" s="162">
        <v>12.213043512623504</v>
      </c>
      <c r="Q44" s="162">
        <v>3</v>
      </c>
      <c r="R44" s="162">
        <v>18.606157387772697</v>
      </c>
      <c r="S44" s="162">
        <v>0.42988616348606024</v>
      </c>
      <c r="U44" s="162">
        <v>3</v>
      </c>
      <c r="V44" s="162">
        <v>15.478857239362638</v>
      </c>
      <c r="X44" s="162" t="s">
        <v>265</v>
      </c>
    </row>
    <row r="45" spans="1:24" x14ac:dyDescent="0.3">
      <c r="A45" s="162">
        <v>38.51216042258266</v>
      </c>
      <c r="B45" s="162">
        <v>29</v>
      </c>
      <c r="C45" s="162">
        <v>0</v>
      </c>
      <c r="D45" s="162">
        <v>0</v>
      </c>
      <c r="E45" s="162">
        <v>100</v>
      </c>
      <c r="F45" s="162">
        <v>0</v>
      </c>
      <c r="G45" s="162" t="s">
        <v>265</v>
      </c>
      <c r="H45" s="162">
        <v>19.084444444444443</v>
      </c>
      <c r="I45" s="162">
        <v>8971.4609999999993</v>
      </c>
      <c r="K45" s="162">
        <v>232.95138214939865</v>
      </c>
      <c r="Q45" s="162" t="s">
        <v>171</v>
      </c>
      <c r="R45" s="162">
        <v>25.200351202951541</v>
      </c>
      <c r="S45" s="162">
        <v>0.60584970801373594</v>
      </c>
      <c r="T45" s="162">
        <v>1.170240648578682</v>
      </c>
      <c r="U45" s="162">
        <v>4</v>
      </c>
      <c r="V45" s="162">
        <v>14.269883991083708</v>
      </c>
      <c r="X45" s="162" t="s">
        <v>278</v>
      </c>
    </row>
    <row r="46" spans="1:24" x14ac:dyDescent="0.3">
      <c r="A46" s="162">
        <v>40.821913530657625</v>
      </c>
      <c r="B46" s="162">
        <v>27</v>
      </c>
      <c r="C46" s="162">
        <v>72.5886</v>
      </c>
      <c r="D46" s="162">
        <v>27.4114</v>
      </c>
      <c r="E46" s="162">
        <v>0</v>
      </c>
      <c r="F46" s="162">
        <v>0</v>
      </c>
      <c r="G46" s="162" t="s">
        <v>278</v>
      </c>
      <c r="H46" s="162">
        <v>18.830340516579795</v>
      </c>
      <c r="I46" s="162">
        <v>4976.186999999999</v>
      </c>
      <c r="K46" s="162">
        <v>121.89989565929676</v>
      </c>
      <c r="M46" s="162">
        <v>111.03647534331979</v>
      </c>
      <c r="O46" s="162">
        <v>1.0978365017656384</v>
      </c>
      <c r="Q46" s="162">
        <v>5</v>
      </c>
      <c r="R46" s="162">
        <v>17.675855597259932</v>
      </c>
      <c r="S46" s="162">
        <v>0.41051595966004945</v>
      </c>
      <c r="U46" s="162">
        <v>5</v>
      </c>
      <c r="V46" s="162">
        <v>13.853544486467742</v>
      </c>
      <c r="X46" s="162" t="s">
        <v>279</v>
      </c>
    </row>
    <row r="47" spans="1:24" x14ac:dyDescent="0.3">
      <c r="A47" s="162">
        <v>44.669121856209038</v>
      </c>
      <c r="B47" s="162">
        <v>6</v>
      </c>
      <c r="C47" s="162">
        <v>26.6587</v>
      </c>
      <c r="D47" s="162">
        <v>73.341300000000004</v>
      </c>
      <c r="E47" s="162">
        <v>0</v>
      </c>
      <c r="F47" s="162">
        <v>0</v>
      </c>
      <c r="G47" s="162" t="s">
        <v>279</v>
      </c>
      <c r="H47" s="162">
        <v>11.154158936927884</v>
      </c>
      <c r="I47" s="162">
        <v>2571.8319999999994</v>
      </c>
      <c r="K47" s="162">
        <v>57.575163628216991</v>
      </c>
      <c r="M47" s="162">
        <v>42.871563209755188</v>
      </c>
      <c r="O47" s="162">
        <v>1.3429686094375042</v>
      </c>
      <c r="P47" s="38">
        <v>19.724150625047912</v>
      </c>
      <c r="Q47" s="162">
        <v>6</v>
      </c>
      <c r="R47" s="162">
        <v>15.828420174216461</v>
      </c>
      <c r="S47" s="162">
        <v>0.35434813841132856</v>
      </c>
      <c r="T47" s="162">
        <v>0.56454964726173151</v>
      </c>
      <c r="U47" s="162">
        <v>6</v>
      </c>
      <c r="V47" s="162">
        <v>11.154158936927884</v>
      </c>
      <c r="X47" s="162" t="s">
        <v>262</v>
      </c>
    </row>
    <row r="48" spans="1:24" x14ac:dyDescent="0.3">
      <c r="A48" s="162">
        <v>40.725158020389721</v>
      </c>
      <c r="B48" s="162" t="s">
        <v>276</v>
      </c>
      <c r="C48" s="162">
        <v>27.197399999999998</v>
      </c>
      <c r="D48" s="162">
        <v>0</v>
      </c>
      <c r="E48" s="162">
        <v>72.802599999999998</v>
      </c>
      <c r="F48" s="162">
        <v>0</v>
      </c>
      <c r="G48" s="162" t="s">
        <v>262</v>
      </c>
      <c r="H48" s="162">
        <v>14.269883991083708</v>
      </c>
      <c r="I48" s="162">
        <v>8661.4079999999976</v>
      </c>
      <c r="J48" s="162">
        <v>-3.4559922848686711E-2</v>
      </c>
      <c r="K48" s="162">
        <v>249.28385986453446</v>
      </c>
      <c r="M48" s="162">
        <v>210.85799836238661</v>
      </c>
      <c r="O48" s="162">
        <v>1.1822357311583129</v>
      </c>
      <c r="Q48" s="162">
        <v>7</v>
      </c>
      <c r="R48" s="162">
        <v>27.856724235015207</v>
      </c>
      <c r="S48" s="162">
        <v>0.60589769055724685</v>
      </c>
      <c r="T48" s="162">
        <v>4.4318405489972985</v>
      </c>
      <c r="U48" s="162">
        <v>7</v>
      </c>
      <c r="V48" s="162">
        <v>10.463130063892008</v>
      </c>
      <c r="X48" s="162" t="s">
        <v>271</v>
      </c>
    </row>
    <row r="49" spans="1:24" x14ac:dyDescent="0.3">
      <c r="A49" s="162">
        <v>44.365390734948178</v>
      </c>
      <c r="B49" s="162" t="s">
        <v>277</v>
      </c>
      <c r="C49" s="162">
        <v>71.935299999999998</v>
      </c>
      <c r="D49" s="162">
        <v>0</v>
      </c>
      <c r="E49" s="162">
        <v>28.064699999999998</v>
      </c>
      <c r="F49" s="162">
        <v>0</v>
      </c>
      <c r="G49" s="162" t="s">
        <v>271</v>
      </c>
      <c r="H49" s="162">
        <v>10.324065586956506</v>
      </c>
      <c r="I49" s="162">
        <v>7689.0565000000006</v>
      </c>
      <c r="J49" s="162">
        <v>-0.14294266006395154</v>
      </c>
      <c r="K49" s="162">
        <v>121.22871417100583</v>
      </c>
      <c r="M49" s="162">
        <v>174.51586291837481</v>
      </c>
      <c r="O49" s="162">
        <v>0.69465727724537774</v>
      </c>
      <c r="Q49" s="162">
        <v>8</v>
      </c>
      <c r="R49" s="162">
        <v>16.531912465245426</v>
      </c>
      <c r="S49" s="162">
        <v>0.38681053562422901</v>
      </c>
      <c r="U49" s="162">
        <v>8</v>
      </c>
      <c r="V49" s="162">
        <v>14.254333207876655</v>
      </c>
      <c r="X49" s="162" t="s">
        <v>261</v>
      </c>
    </row>
    <row r="50" spans="1:24" x14ac:dyDescent="0.3">
      <c r="A50" s="162">
        <v>45.975953810609923</v>
      </c>
      <c r="B50" s="162">
        <v>7</v>
      </c>
      <c r="C50" s="162">
        <v>73.716099999999997</v>
      </c>
      <c r="D50" s="162">
        <v>0</v>
      </c>
      <c r="E50" s="162">
        <v>0</v>
      </c>
      <c r="F50" s="162">
        <v>26.283899999999999</v>
      </c>
      <c r="G50" s="162" t="s">
        <v>260</v>
      </c>
      <c r="H50" s="162">
        <v>10.463130063892008</v>
      </c>
      <c r="I50" s="162">
        <v>7067.2164999999986</v>
      </c>
      <c r="K50" s="162">
        <v>153.7154950414338</v>
      </c>
      <c r="M50" s="162">
        <v>115.05061361834994</v>
      </c>
      <c r="O50" s="162">
        <v>1.3360684502852318</v>
      </c>
      <c r="Q50" s="162">
        <v>9</v>
      </c>
      <c r="R50" s="162">
        <v>32.274897515384581</v>
      </c>
      <c r="S50" s="162">
        <v>0.69186747906141366</v>
      </c>
      <c r="U50" s="162">
        <v>9</v>
      </c>
      <c r="V50" s="162">
        <v>8.9</v>
      </c>
      <c r="X50" s="162" t="s">
        <v>260</v>
      </c>
    </row>
    <row r="51" spans="1:24" x14ac:dyDescent="0.3">
      <c r="A51" s="162">
        <v>44.768744624556525</v>
      </c>
      <c r="B51" s="162">
        <v>26</v>
      </c>
      <c r="C51" s="162">
        <v>26.569099999999999</v>
      </c>
      <c r="D51" s="162">
        <v>0</v>
      </c>
      <c r="E51" s="162">
        <v>0</v>
      </c>
      <c r="F51" s="162">
        <v>73.430899999999994</v>
      </c>
      <c r="G51" s="162" t="s">
        <v>261</v>
      </c>
      <c r="H51" s="162">
        <v>14.922467329695515</v>
      </c>
      <c r="I51" s="162">
        <v>5518.6075000000001</v>
      </c>
      <c r="K51" s="162">
        <v>123.26920368843527</v>
      </c>
      <c r="M51" s="162">
        <v>49.27823936395118</v>
      </c>
      <c r="O51" s="162">
        <v>2.5014936669716161</v>
      </c>
      <c r="P51" s="38">
        <v>10.248985985803801</v>
      </c>
      <c r="Q51" s="162">
        <v>10</v>
      </c>
      <c r="R51" s="162">
        <v>15.696700461979987</v>
      </c>
      <c r="S51" s="162">
        <v>0.37761591062951394</v>
      </c>
      <c r="U51" s="162">
        <v>10</v>
      </c>
      <c r="V51" s="162">
        <v>15.313108129161261</v>
      </c>
      <c r="X51" s="162" t="s">
        <v>259</v>
      </c>
    </row>
    <row r="52" spans="1:24" x14ac:dyDescent="0.3">
      <c r="A52" s="162">
        <v>38.754742592645485</v>
      </c>
      <c r="B52" s="162">
        <v>31</v>
      </c>
      <c r="C52" s="162">
        <v>0</v>
      </c>
      <c r="D52" s="162">
        <v>26.537199999999999</v>
      </c>
      <c r="E52" s="162">
        <v>73.462800000000001</v>
      </c>
      <c r="F52" s="162">
        <v>0</v>
      </c>
      <c r="G52" s="162" t="s">
        <v>236</v>
      </c>
      <c r="H52" s="162">
        <v>21.5018147915413</v>
      </c>
      <c r="I52" s="162">
        <v>9050.6049999999977</v>
      </c>
      <c r="K52" s="162">
        <v>233.53541771988282</v>
      </c>
      <c r="M52" s="162">
        <v>172.01024221517312</v>
      </c>
      <c r="O52" s="162">
        <v>1.3576832095134537</v>
      </c>
      <c r="Q52" s="162">
        <v>11</v>
      </c>
      <c r="R52" s="162">
        <v>13.167522976488655</v>
      </c>
      <c r="S52" s="162">
        <v>0.33481187635084103</v>
      </c>
      <c r="U52" s="162">
        <v>11</v>
      </c>
      <c r="V52" s="162">
        <v>23.481854064745075</v>
      </c>
      <c r="X52" s="162" t="s">
        <v>258</v>
      </c>
    </row>
    <row r="53" spans="1:24" x14ac:dyDescent="0.3">
      <c r="A53" s="162">
        <v>42.058452493582628</v>
      </c>
      <c r="B53" s="162">
        <v>15</v>
      </c>
      <c r="C53" s="162">
        <v>0</v>
      </c>
      <c r="D53" s="162">
        <v>72.6785</v>
      </c>
      <c r="E53" s="162">
        <v>0</v>
      </c>
      <c r="F53" s="162">
        <v>27.3215</v>
      </c>
      <c r="G53" s="162" t="s">
        <v>237</v>
      </c>
      <c r="H53" s="162">
        <v>26.335928075309294</v>
      </c>
      <c r="I53" s="162">
        <v>655.78999999999985</v>
      </c>
      <c r="K53" s="162">
        <v>15.592347343261423</v>
      </c>
      <c r="M53" s="162">
        <v>5.7403990012581714</v>
      </c>
      <c r="O53" s="162">
        <v>2.7162480064267167</v>
      </c>
      <c r="Q53" s="162" t="s">
        <v>172</v>
      </c>
      <c r="R53" s="162">
        <v>31.140721309726583</v>
      </c>
      <c r="S53" s="162">
        <v>0.71451763126481782</v>
      </c>
      <c r="U53" s="162">
        <v>12</v>
      </c>
      <c r="V53" s="162">
        <v>10.324065586956506</v>
      </c>
      <c r="X53" s="162" t="s">
        <v>257</v>
      </c>
    </row>
    <row r="54" spans="1:24" x14ac:dyDescent="0.3">
      <c r="A54" s="162">
        <v>41.567900133795774</v>
      </c>
      <c r="B54" s="162">
        <v>19</v>
      </c>
      <c r="C54" s="162">
        <v>0</v>
      </c>
      <c r="D54" s="162">
        <v>0</v>
      </c>
      <c r="E54" s="162">
        <v>27.988800000000001</v>
      </c>
      <c r="F54" s="162">
        <v>72.011200000000002</v>
      </c>
      <c r="G54" s="162" t="s">
        <v>186</v>
      </c>
      <c r="H54" s="162">
        <v>19.269105399342585</v>
      </c>
      <c r="I54" s="162">
        <v>5575.2164999999995</v>
      </c>
      <c r="K54" s="162">
        <v>134.12312101537228</v>
      </c>
      <c r="M54" s="162">
        <v>73.995055636993229</v>
      </c>
      <c r="O54" s="162">
        <v>1.8125957181971293</v>
      </c>
      <c r="Q54" s="162">
        <v>13</v>
      </c>
      <c r="R54" s="162">
        <v>5.1284134693823944</v>
      </c>
      <c r="S54" s="162">
        <v>0.1163210540775844</v>
      </c>
      <c r="U54" s="162">
        <v>13</v>
      </c>
      <c r="V54" s="162">
        <v>19.329588014981272</v>
      </c>
      <c r="X54" s="162" t="s">
        <v>256</v>
      </c>
    </row>
    <row r="55" spans="1:24" x14ac:dyDescent="0.3">
      <c r="A55" s="162">
        <v>39.95065019703992</v>
      </c>
      <c r="B55" s="162">
        <v>30</v>
      </c>
      <c r="C55" s="162">
        <v>0</v>
      </c>
      <c r="D55" s="162">
        <v>0</v>
      </c>
      <c r="E55" s="162">
        <v>74.203400000000002</v>
      </c>
      <c r="F55" s="162">
        <v>25.796600000000002</v>
      </c>
      <c r="G55" s="162" t="s">
        <v>187</v>
      </c>
      <c r="H55" s="162">
        <v>19.156040116120042</v>
      </c>
      <c r="I55" s="162">
        <v>8665.6679999999997</v>
      </c>
      <c r="K55" s="162">
        <v>216.90931079369687</v>
      </c>
      <c r="M55" s="162">
        <v>176.00839588462432</v>
      </c>
      <c r="O55" s="162">
        <v>1.2323804765306969</v>
      </c>
      <c r="Q55" s="162">
        <v>14</v>
      </c>
      <c r="R55" s="162">
        <v>11.992629614372817</v>
      </c>
      <c r="S55" s="162">
        <v>0.27708383991312618</v>
      </c>
      <c r="U55" s="162">
        <v>14</v>
      </c>
      <c r="V55" s="162">
        <v>21.503574744708686</v>
      </c>
      <c r="X55" s="162" t="s">
        <v>255</v>
      </c>
    </row>
    <row r="56" spans="1:24" x14ac:dyDescent="0.3">
      <c r="A56" s="162">
        <v>42.739043905736629</v>
      </c>
      <c r="B56" s="162">
        <v>8</v>
      </c>
      <c r="C56" s="162">
        <v>46.627800000000001</v>
      </c>
      <c r="D56" s="162">
        <v>47.356999999999999</v>
      </c>
      <c r="E56" s="162">
        <v>6.0151300000000001</v>
      </c>
      <c r="F56" s="162">
        <v>0</v>
      </c>
      <c r="G56" s="162" t="s">
        <v>259</v>
      </c>
      <c r="H56" s="162">
        <v>14.254333207876655</v>
      </c>
      <c r="I56" s="162">
        <v>4936.444199999999</v>
      </c>
      <c r="K56" s="162">
        <v>115.50198013057113</v>
      </c>
      <c r="M56" s="162">
        <v>86.321250314371852</v>
      </c>
      <c r="O56" s="162">
        <v>1.3380480439049074</v>
      </c>
      <c r="Q56" s="162">
        <v>15</v>
      </c>
      <c r="R56" s="162">
        <v>6.6375771726543462</v>
      </c>
      <c r="S56" s="162">
        <v>0.15781791243192134</v>
      </c>
      <c r="U56" s="162">
        <v>15</v>
      </c>
      <c r="V56" s="162">
        <v>26.335928075309294</v>
      </c>
      <c r="X56" s="162" t="s">
        <v>254</v>
      </c>
    </row>
    <row r="57" spans="1:24" x14ac:dyDescent="0.3">
      <c r="A57" s="162">
        <v>42.793367943414857</v>
      </c>
      <c r="B57" s="162">
        <v>1</v>
      </c>
      <c r="C57" s="162">
        <v>4.4064600000000002E-2</v>
      </c>
      <c r="D57" s="162">
        <v>27.802199999999999</v>
      </c>
      <c r="E57" s="162">
        <v>0</v>
      </c>
      <c r="F57" s="162">
        <v>72.153700000000001</v>
      </c>
      <c r="G57" s="162" t="s">
        <v>258</v>
      </c>
      <c r="H57" s="162">
        <v>21.489843896047748</v>
      </c>
      <c r="I57" s="162">
        <v>1000.7234</v>
      </c>
      <c r="K57" s="162">
        <v>23.385011465403803</v>
      </c>
      <c r="M57" s="162">
        <v>9.7984868184908311</v>
      </c>
      <c r="O57" s="162">
        <v>2.3865941648534643</v>
      </c>
      <c r="Q57" s="162">
        <v>16</v>
      </c>
      <c r="R57" s="162">
        <v>12.034070697852854</v>
      </c>
      <c r="S57" s="162">
        <v>0.29567703195592487</v>
      </c>
      <c r="U57" s="162">
        <v>16</v>
      </c>
      <c r="V57" s="162">
        <v>12.695020420276816</v>
      </c>
      <c r="X57" s="162" t="s">
        <v>253</v>
      </c>
    </row>
    <row r="58" spans="1:24" x14ac:dyDescent="0.3">
      <c r="A58" s="162">
        <v>43.281591658802093</v>
      </c>
      <c r="B58" s="162">
        <v>14</v>
      </c>
      <c r="C58" s="162">
        <v>6.4521899999999999</v>
      </c>
      <c r="D58" s="162">
        <v>47.085299999999997</v>
      </c>
      <c r="E58" s="162">
        <v>0</v>
      </c>
      <c r="F58" s="162">
        <v>46.462499999999999</v>
      </c>
      <c r="G58" s="162" t="s">
        <v>257</v>
      </c>
      <c r="H58" s="162">
        <v>21.503574744708686</v>
      </c>
      <c r="I58" s="162">
        <v>4442.4029999999993</v>
      </c>
      <c r="K58" s="162">
        <v>102.63954789418094</v>
      </c>
      <c r="M58" s="162">
        <v>17.020813084875318</v>
      </c>
      <c r="O58" s="162">
        <v>6.0302376497739916</v>
      </c>
      <c r="Q58" s="162">
        <v>17</v>
      </c>
      <c r="R58" s="162">
        <v>17.82557325272797</v>
      </c>
      <c r="S58" s="162">
        <v>0.39533372934371896</v>
      </c>
      <c r="U58" s="162">
        <v>17</v>
      </c>
      <c r="V58" s="162">
        <v>21.328309255288907</v>
      </c>
      <c r="X58" s="162" t="s">
        <v>252</v>
      </c>
    </row>
    <row r="59" spans="1:24" x14ac:dyDescent="0.3">
      <c r="A59" s="162">
        <v>40.700052412751205</v>
      </c>
      <c r="B59" s="162">
        <v>16</v>
      </c>
      <c r="C59" s="162">
        <v>47.869199999999999</v>
      </c>
      <c r="D59" s="162">
        <v>4.8092300000000003</v>
      </c>
      <c r="E59" s="162">
        <v>0</v>
      </c>
      <c r="F59" s="162">
        <v>47.321599999999997</v>
      </c>
      <c r="G59" s="162" t="s">
        <v>256</v>
      </c>
      <c r="H59" s="162">
        <v>12.695020420276816</v>
      </c>
      <c r="I59" s="162">
        <v>5755.0084999999999</v>
      </c>
      <c r="K59" s="162">
        <v>141.40051815257547</v>
      </c>
      <c r="M59" s="162">
        <v>78.564622576105592</v>
      </c>
      <c r="O59" s="162">
        <v>1.7997988600479906</v>
      </c>
      <c r="Q59" s="162">
        <v>18</v>
      </c>
      <c r="R59" s="162">
        <v>17.368108180799346</v>
      </c>
      <c r="S59" s="162">
        <v>0.42536664148991132</v>
      </c>
      <c r="U59" s="162">
        <v>19</v>
      </c>
      <c r="V59" s="162">
        <v>19.269105399342585</v>
      </c>
      <c r="X59" s="162" t="s">
        <v>251</v>
      </c>
    </row>
    <row r="60" spans="1:24" x14ac:dyDescent="0.3">
      <c r="A60" s="162">
        <v>39.328123960246664</v>
      </c>
      <c r="B60" s="162">
        <v>11</v>
      </c>
      <c r="C60" s="162">
        <v>0</v>
      </c>
      <c r="D60" s="162">
        <v>46.060200000000002</v>
      </c>
      <c r="E60" s="162">
        <v>46.857700000000001</v>
      </c>
      <c r="F60" s="162">
        <v>7.0820999999999996</v>
      </c>
      <c r="G60" s="162" t="s">
        <v>232</v>
      </c>
      <c r="H60" s="162">
        <v>23.481854064745075</v>
      </c>
      <c r="I60" s="162">
        <v>4856.6624999999995</v>
      </c>
      <c r="K60" s="162">
        <v>123.49082567246715</v>
      </c>
      <c r="M60" s="162">
        <v>111.5438956895709</v>
      </c>
      <c r="O60" s="162">
        <v>1.1071051885810481</v>
      </c>
      <c r="Q60" s="162">
        <v>19</v>
      </c>
      <c r="R60" s="162">
        <v>9.0844313094100002</v>
      </c>
      <c r="S60" s="162">
        <v>0.21854438834219878</v>
      </c>
      <c r="U60" s="162">
        <v>21</v>
      </c>
      <c r="V60" s="162">
        <v>18.212886032807219</v>
      </c>
    </row>
    <row r="61" spans="1:24" x14ac:dyDescent="0.3">
      <c r="A61" s="162">
        <v>39.185214519557441</v>
      </c>
      <c r="B61" s="162">
        <v>28</v>
      </c>
      <c r="C61" s="162">
        <v>0</v>
      </c>
      <c r="D61" s="162">
        <v>72.453699999999998</v>
      </c>
      <c r="E61" s="162">
        <v>27.3537</v>
      </c>
      <c r="F61" s="162">
        <v>0.19259899999999999</v>
      </c>
      <c r="G61" s="162" t="s">
        <v>242</v>
      </c>
      <c r="H61" s="162">
        <v>26.662906254120497</v>
      </c>
      <c r="I61" s="162">
        <v>3306.8075000000003</v>
      </c>
      <c r="K61" s="162">
        <v>84.38916414122383</v>
      </c>
      <c r="M61" s="162">
        <v>66.140522185160791</v>
      </c>
      <c r="O61" s="162">
        <v>1.2759071345849955</v>
      </c>
      <c r="Q61" s="162">
        <v>21</v>
      </c>
      <c r="R61" s="162">
        <v>8.1165150040305889</v>
      </c>
      <c r="S61" s="162">
        <v>0.19929977926585141</v>
      </c>
      <c r="U61" s="162">
        <v>26</v>
      </c>
      <c r="V61" s="162">
        <v>14.922467329695515</v>
      </c>
    </row>
    <row r="62" spans="1:24" x14ac:dyDescent="0.3">
      <c r="A62" s="162">
        <v>45.089937765542146</v>
      </c>
      <c r="B62" s="162" t="s">
        <v>223</v>
      </c>
      <c r="C62" s="162">
        <v>2.0130699999999999</v>
      </c>
      <c r="D62" s="162">
        <v>31.355499999999999</v>
      </c>
      <c r="E62" s="162">
        <v>33.126300000000001</v>
      </c>
      <c r="F62" s="162">
        <v>33.505099999999999</v>
      </c>
      <c r="G62" s="162" t="s">
        <v>255</v>
      </c>
      <c r="H62" s="162">
        <v>21.328309255288907</v>
      </c>
      <c r="I62" s="162">
        <v>3426.1405000000004</v>
      </c>
      <c r="K62" s="162">
        <v>79.290133402176593</v>
      </c>
      <c r="M62" s="162">
        <v>85.351338847481543</v>
      </c>
      <c r="O62" s="162">
        <v>0.92898523295415425</v>
      </c>
      <c r="Q62" s="162">
        <v>22</v>
      </c>
      <c r="R62" s="162">
        <v>7.5615878068340763</v>
      </c>
      <c r="S62" s="162">
        <v>0.17740257285335229</v>
      </c>
      <c r="U62" s="162">
        <v>27</v>
      </c>
      <c r="V62" s="162">
        <v>18.830340516579795</v>
      </c>
    </row>
    <row r="63" spans="1:24" x14ac:dyDescent="0.3">
      <c r="A63" s="162">
        <v>40.725158020389721</v>
      </c>
      <c r="B63" s="162">
        <v>21</v>
      </c>
      <c r="C63" s="162">
        <v>5.5069600000000003</v>
      </c>
      <c r="D63" s="162">
        <v>2.4822700000000002</v>
      </c>
      <c r="E63" s="162">
        <v>47.348799999999997</v>
      </c>
      <c r="F63" s="162">
        <v>44.661900000000003</v>
      </c>
      <c r="G63" s="162" t="s">
        <v>254</v>
      </c>
      <c r="H63" s="162">
        <v>18.212886032807219</v>
      </c>
      <c r="I63" s="162">
        <v>5442.6194999999998</v>
      </c>
      <c r="K63" s="162">
        <v>133.64268586201834</v>
      </c>
      <c r="M63" s="162">
        <v>124.19140091956316</v>
      </c>
      <c r="O63" s="162">
        <v>1.0761025712929724</v>
      </c>
      <c r="Q63" s="162">
        <v>24</v>
      </c>
      <c r="R63" s="162">
        <v>10.762022475591074</v>
      </c>
      <c r="S63" s="162">
        <v>0.25387736037856162</v>
      </c>
      <c r="U63" s="162">
        <v>28</v>
      </c>
      <c r="V63" s="162">
        <v>26.662906254120497</v>
      </c>
    </row>
    <row r="64" spans="1:24" x14ac:dyDescent="0.3">
      <c r="A64" s="162">
        <v>41.567900133795774</v>
      </c>
      <c r="B64" s="162" t="s">
        <v>222</v>
      </c>
      <c r="C64" s="162">
        <v>32.387099999999997</v>
      </c>
      <c r="D64" s="162">
        <v>32.2241</v>
      </c>
      <c r="E64" s="162">
        <v>33.130400000000002</v>
      </c>
      <c r="F64" s="162">
        <v>2.2583199999999999</v>
      </c>
      <c r="G64" s="162" t="s">
        <v>253</v>
      </c>
      <c r="H64" s="162">
        <v>15.313108129161261</v>
      </c>
      <c r="I64" s="162">
        <v>3773.1684999999993</v>
      </c>
      <c r="K64" s="162">
        <v>91.483179327293044</v>
      </c>
      <c r="M64" s="162">
        <v>127.65628629056468</v>
      </c>
      <c r="O64" s="162">
        <v>0.71663669675509545</v>
      </c>
      <c r="Q64" s="162">
        <v>25</v>
      </c>
      <c r="R64" s="162">
        <v>11.339709388429945</v>
      </c>
      <c r="S64" s="162">
        <v>0.27799603714733223</v>
      </c>
      <c r="U64" s="162">
        <v>29</v>
      </c>
      <c r="V64" s="162">
        <v>19.084444444444443</v>
      </c>
    </row>
    <row r="65" spans="1:22" x14ac:dyDescent="0.3">
      <c r="A65" s="162">
        <v>43.281591658802093</v>
      </c>
      <c r="B65" s="162" t="s">
        <v>221</v>
      </c>
      <c r="C65" s="162">
        <v>33.091999999999999</v>
      </c>
      <c r="D65" s="162">
        <v>33.281999999999996</v>
      </c>
      <c r="E65" s="162">
        <v>1.8381700000000001</v>
      </c>
      <c r="F65" s="162">
        <v>31.787800000000001</v>
      </c>
      <c r="G65" s="162" t="s">
        <v>252</v>
      </c>
      <c r="H65" s="162">
        <v>15.478857239362638</v>
      </c>
      <c r="I65" s="162">
        <v>9147.0419000000002</v>
      </c>
      <c r="K65" s="162">
        <v>212.99151386268915</v>
      </c>
      <c r="M65" s="162">
        <v>59.471498719474923</v>
      </c>
      <c r="O65" s="162">
        <v>3.5814048485201795</v>
      </c>
      <c r="Q65" s="162">
        <v>26</v>
      </c>
      <c r="R65" s="162">
        <v>15.178609576324888</v>
      </c>
      <c r="S65" s="162">
        <v>0.33904478902897639</v>
      </c>
      <c r="T65" s="162">
        <v>1.9597086246934026</v>
      </c>
      <c r="U65" s="162">
        <v>30</v>
      </c>
      <c r="V65" s="162">
        <v>19.156040116120042</v>
      </c>
    </row>
    <row r="66" spans="1:22" x14ac:dyDescent="0.3">
      <c r="A66" s="162">
        <v>43.057657519326185</v>
      </c>
      <c r="B66" s="162" t="s">
        <v>224</v>
      </c>
      <c r="C66" s="162">
        <v>33.561</v>
      </c>
      <c r="D66" s="162">
        <v>1.4806999999999999</v>
      </c>
      <c r="E66" s="162">
        <v>32.657699999999998</v>
      </c>
      <c r="F66" s="162">
        <v>32.300600000000003</v>
      </c>
      <c r="G66" s="162" t="s">
        <v>251</v>
      </c>
      <c r="H66" s="162">
        <v>13.853544486467742</v>
      </c>
      <c r="I66" s="162">
        <v>877.10724999999991</v>
      </c>
      <c r="K66" s="162">
        <v>20.548459453537831</v>
      </c>
      <c r="M66" s="162">
        <v>130.98847769366458</v>
      </c>
      <c r="O66" s="162">
        <v>0.15687226705232321</v>
      </c>
      <c r="Q66" s="162">
        <v>27</v>
      </c>
      <c r="R66" s="162">
        <v>24.087865099163487</v>
      </c>
      <c r="S66" s="162">
        <v>0.59007192499864769</v>
      </c>
      <c r="T66" s="162">
        <v>1.3809489784440836</v>
      </c>
      <c r="U66" s="162">
        <v>31</v>
      </c>
      <c r="V66" s="162">
        <v>21.5018147915413</v>
      </c>
    </row>
    <row r="67" spans="1:22" x14ac:dyDescent="0.3">
      <c r="Q67" s="162">
        <v>28</v>
      </c>
      <c r="R67" s="162">
        <v>7.7490804666811073</v>
      </c>
      <c r="S67" s="162">
        <v>0.19775521358479539</v>
      </c>
    </row>
    <row r="68" spans="1:22" x14ac:dyDescent="0.3">
      <c r="B68" s="162" t="s">
        <v>231</v>
      </c>
      <c r="C68" s="162" t="s">
        <v>228</v>
      </c>
      <c r="D68" s="162" t="s">
        <v>229</v>
      </c>
      <c r="E68" s="162" t="s">
        <v>230</v>
      </c>
      <c r="J68" s="162">
        <v>0.22379760943295643</v>
      </c>
      <c r="Q68" s="162">
        <v>29</v>
      </c>
      <c r="R68" s="162">
        <v>11.611777348035375</v>
      </c>
      <c r="S68" s="162">
        <v>0.30150937315961351</v>
      </c>
    </row>
    <row r="69" spans="1:22" x14ac:dyDescent="0.3">
      <c r="B69" s="162">
        <v>0.93584260306639888</v>
      </c>
      <c r="C69" s="162">
        <v>6.0769539610520944E-2</v>
      </c>
      <c r="D69" s="162">
        <v>6.4201495750346824E-2</v>
      </c>
      <c r="E69" s="162">
        <v>6.008249490376092E-2</v>
      </c>
      <c r="F69" s="162">
        <v>0.92898523295415425</v>
      </c>
      <c r="J69" s="162">
        <v>8.6411004249532908E-2</v>
      </c>
      <c r="Q69" s="162">
        <v>30</v>
      </c>
      <c r="R69" s="162">
        <v>13.776313228914361</v>
      </c>
      <c r="S69" s="162">
        <v>0.34483326706745554</v>
      </c>
    </row>
    <row r="70" spans="1:22" x14ac:dyDescent="0.3">
      <c r="B70" s="162">
        <v>5.5579140161972511E-2</v>
      </c>
      <c r="C70" s="162">
        <v>0.11630622106579259</v>
      </c>
      <c r="D70" s="162">
        <v>2.2185177277250259</v>
      </c>
      <c r="E70" s="162">
        <v>0.12330330774104997</v>
      </c>
      <c r="F70" s="162">
        <v>1.0761025712929724</v>
      </c>
      <c r="Q70" s="162">
        <v>31</v>
      </c>
      <c r="R70" s="162">
        <v>20.054943528509654</v>
      </c>
      <c r="S70" s="162">
        <v>0.51748359521591802</v>
      </c>
    </row>
    <row r="71" spans="1:22" x14ac:dyDescent="0.3">
      <c r="B71" s="162">
        <v>14.269058415105034</v>
      </c>
      <c r="C71" s="162">
        <v>0.977564412141115</v>
      </c>
      <c r="D71" s="162">
        <v>1.0050583259113519</v>
      </c>
      <c r="E71" s="162">
        <v>14.341235963016755</v>
      </c>
      <c r="F71" s="162">
        <v>0.71663669675509545</v>
      </c>
      <c r="L71" s="162">
        <v>7.0111100283840794E-2</v>
      </c>
    </row>
    <row r="72" spans="1:22" x14ac:dyDescent="0.3">
      <c r="B72" s="162">
        <v>1.0470054549229577</v>
      </c>
      <c r="C72" s="162">
        <v>18.002687455458418</v>
      </c>
      <c r="D72" s="162">
        <v>0.99429120846103003</v>
      </c>
      <c r="E72" s="162">
        <v>1.0410283190406382</v>
      </c>
      <c r="F72" s="162">
        <v>3.5814048485201795</v>
      </c>
      <c r="L72" s="162">
        <v>-0.47959650184321184</v>
      </c>
    </row>
    <row r="73" spans="1:22" x14ac:dyDescent="0.3">
      <c r="B73" s="162">
        <v>4.5841253722841056E-2</v>
      </c>
      <c r="C73" s="162">
        <v>1.0276596331033723</v>
      </c>
      <c r="D73" s="162">
        <v>22.66563112041602</v>
      </c>
      <c r="E73" s="162">
        <v>1.039020946979313</v>
      </c>
      <c r="F73" s="162">
        <v>0.15687226705232321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Graphiques</vt:lpstr>
      </vt:variant>
      <vt:variant>
        <vt:i4>6</vt:i4>
      </vt:variant>
    </vt:vector>
  </HeadingPairs>
  <TitlesOfParts>
    <vt:vector size="15" baseType="lpstr">
      <vt:lpstr>Test HBPM</vt:lpstr>
      <vt:lpstr>BMP test results</vt:lpstr>
      <vt:lpstr>VS reduction</vt:lpstr>
      <vt:lpstr>C-N ratio</vt:lpstr>
      <vt:lpstr>BMP test compil</vt:lpstr>
      <vt:lpstr>BMP test compil_daily</vt:lpstr>
      <vt:lpstr>BMP test compil_cumulative</vt:lpstr>
      <vt:lpstr>SI</vt:lpstr>
      <vt:lpstr>SI (2)</vt:lpstr>
      <vt:lpstr>VS reduction graph</vt:lpstr>
      <vt:lpstr>Monodigestion_daily</vt:lpstr>
      <vt:lpstr>Codigestion_daily</vt:lpstr>
      <vt:lpstr>Tridigestion_daily</vt:lpstr>
      <vt:lpstr>Quadridigestion_daily</vt:lpstr>
      <vt:lpstr>Synergy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2023-05-03T23:28:50Z</dcterms:created>
  <dcterms:modified xsi:type="dcterms:W3CDTF">2024-12-27T18:03:59Z</dcterms:modified>
</cp:coreProperties>
</file>