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FuQingchen\Documents\Finance_Manager\data\"/>
    </mc:Choice>
  </mc:AlternateContent>
  <xr:revisionPtr revIDLastSave="0" documentId="13_ncr:1_{FC185DFB-C441-46CA-804E-8BF747CBB26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资金统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2" i="2"/>
  <c r="H3" i="2"/>
  <c r="E3" i="2"/>
  <c r="N3" i="2" s="1"/>
  <c r="D3" i="2"/>
  <c r="K2" i="2"/>
  <c r="O2" i="2" s="1"/>
  <c r="G2" i="2"/>
  <c r="E2" i="2"/>
  <c r="B3" i="2" l="1"/>
  <c r="N2" i="2"/>
  <c r="B2" i="2"/>
  <c r="J2" i="2"/>
  <c r="P3" i="2" l="1"/>
  <c r="Q3" i="2"/>
  <c r="O3" i="2"/>
  <c r="L3" i="2" s="1"/>
  <c r="P2" i="2"/>
  <c r="K3" i="2"/>
  <c r="J3" i="2" s="1"/>
  <c r="M3" i="2" l="1"/>
</calcChain>
</file>

<file path=xl/sharedStrings.xml><?xml version="1.0" encoding="utf-8"?>
<sst xmlns="http://schemas.openxmlformats.org/spreadsheetml/2006/main" count="18" uniqueCount="18">
  <si>
    <t>日期</t>
  </si>
  <si>
    <t>灵活取用</t>
  </si>
  <si>
    <t>其他资金</t>
  </si>
  <si>
    <t>主动收入</t>
  </si>
  <si>
    <t>备注</t>
  </si>
  <si>
    <t>长期投资</t>
    <phoneticPr fontId="4" type="noConversion"/>
  </si>
  <si>
    <t>短期投资</t>
    <phoneticPr fontId="4" type="noConversion"/>
  </si>
  <si>
    <t>被动收入</t>
    <phoneticPr fontId="4" type="noConversion"/>
  </si>
  <si>
    <t>近一年消费</t>
    <phoneticPr fontId="4" type="noConversion"/>
  </si>
  <si>
    <t>近一年储蓄</t>
    <phoneticPr fontId="4" type="noConversion"/>
  </si>
  <si>
    <t>近一年储蓄率</t>
    <phoneticPr fontId="4" type="noConversion"/>
  </si>
  <si>
    <t>负债与现金比率</t>
    <phoneticPr fontId="4" type="noConversion"/>
  </si>
  <si>
    <t>总资产</t>
    <phoneticPr fontId="4" type="noConversion"/>
  </si>
  <si>
    <t>预估年消费</t>
    <phoneticPr fontId="4" type="noConversion"/>
  </si>
  <si>
    <t>近一年存款</t>
    <phoneticPr fontId="4" type="noConversion"/>
  </si>
  <si>
    <t>近一年存款率</t>
    <phoneticPr fontId="4" type="noConversion"/>
  </si>
  <si>
    <t>借贷金额</t>
    <phoneticPr fontId="4" type="noConversion"/>
  </si>
  <si>
    <t>日均消费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</si>
</sst>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yyyy&quot;年&quot;mm&quot;月&quot;dd&quot;日&quot;"/>
  </numFmts>
  <fonts count="9" x14ac:knownFonts="1">
    <font>
      <sz val="11"/>
      <color theme="1"/>
      <name val="仿宋"/>
      <scheme val="minor"/>
    </font>
    <font>
      <b/>
      <sz val="12"/>
      <color rgb="FFFA7D00"/>
      <name val="仿宋"/>
      <family val="3"/>
      <charset val="134"/>
      <scheme val="minor"/>
    </font>
    <font>
      <sz val="12"/>
      <color theme="1"/>
      <name val="仿宋"/>
      <family val="3"/>
      <charset val="134"/>
      <scheme val="minor"/>
    </font>
    <font>
      <sz val="11"/>
      <color theme="1"/>
      <name val="仿宋"/>
      <family val="3"/>
      <charset val="134"/>
      <scheme val="minor"/>
    </font>
    <font>
      <sz val="9"/>
      <name val="仿宋"/>
      <family val="3"/>
      <charset val="134"/>
      <scheme val="minor"/>
    </font>
    <font>
      <sz val="11"/>
      <color theme="1"/>
      <name val="仿宋"/>
      <family val="3"/>
      <charset val="134"/>
      <scheme val="minor"/>
    </font>
    <font>
      <sz val="12"/>
      <color theme="1"/>
      <name val="JetBrains Mono"/>
      <family val="3"/>
    </font>
    <font>
      <b/>
      <sz val="12"/>
      <color rgb="FFFA7D00"/>
      <name val="JetBrains Mono"/>
      <family val="3"/>
    </font>
    <font>
      <sz val="12"/>
      <color theme="1"/>
      <name val="黑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3" fillId="0" borderId="0" applyFont="0" applyFill="0" applyBorder="0" applyProtection="0">
      <alignment vertical="center"/>
    </xf>
    <xf numFmtId="0" fontId="1" fillId="2" borderId="1" applyNumberForma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76" fontId="6" fillId="0" borderId="0" xfId="0" applyNumberFormat="1" applyFont="1" applyAlignment="1">
      <alignment horizontal="right" vertical="center"/>
    </xf>
    <xf numFmtId="44" fontId="6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 applyAlignment="1">
      <alignment horizontal="right" vertical="center"/>
    </xf>
    <xf numFmtId="10" fontId="6" fillId="0" borderId="0" xfId="3" applyNumberFormat="1" applyFont="1" applyAlignment="1">
      <alignment horizontal="right" vertical="center"/>
    </xf>
    <xf numFmtId="44" fontId="7" fillId="2" borderId="1" xfId="2" applyNumberFormat="1" applyFont="1" applyAlignment="1">
      <alignment horizontal="right" vertical="center"/>
    </xf>
    <xf numFmtId="176" fontId="8" fillId="0" borderId="0" xfId="0" applyNumberFormat="1" applyFont="1" applyAlignment="1">
      <alignment horizontal="center" vertical="center"/>
    </xf>
    <xf numFmtId="44" fontId="8" fillId="0" borderId="0" xfId="1" applyFont="1" applyAlignment="1">
      <alignment horizontal="center" vertical="center"/>
    </xf>
    <xf numFmtId="44" fontId="8" fillId="0" borderId="0" xfId="1" applyFont="1" applyAlignment="1">
      <alignment horizontal="center" vertical="center" wrapText="1"/>
    </xf>
    <xf numFmtId="10" fontId="8" fillId="0" borderId="0" xfId="1" applyNumberFormat="1" applyFont="1" applyAlignment="1">
      <alignment horizontal="center" vertical="center" wrapText="1"/>
    </xf>
    <xf numFmtId="10" fontId="8" fillId="0" borderId="0" xfId="3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4">
    <cellStyle name="百分比" xfId="3" builtinId="5"/>
    <cellStyle name="常规" xfId="0" builtinId="0"/>
    <cellStyle name="货币" xfId="1" builtinId="4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u-OfficeThemeColor">
      <a:dk1>
        <a:sysClr val="windowText" lastClr="000000"/>
      </a:dk1>
      <a:lt1>
        <a:sysClr val="window" lastClr="FFFFFF"/>
      </a:lt1>
      <a:dk2>
        <a:srgbClr val="1E1E1E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954F72"/>
      </a:folHlink>
    </a:clrScheme>
    <a:fontScheme name="Fu-OfficeThemeFont">
      <a:majorFont>
        <a:latin typeface="Times New Roman"/>
        <a:ea typeface="黑体"/>
        <a:cs typeface="Arial"/>
      </a:majorFont>
      <a:minorFont>
        <a:latin typeface="Times New Roman"/>
        <a:ea typeface="仿宋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"/>
  <sheetViews>
    <sheetView tabSelected="1" zoomScale="90" zoomScaleNormal="90" workbookViewId="0">
      <pane ySplit="1" topLeftCell="A2" activePane="bottomLeft" state="frozen"/>
      <selection activeCell="G90" sqref="G90"/>
      <selection pane="bottomLeft" activeCell="C19" sqref="C19"/>
    </sheetView>
  </sheetViews>
  <sheetFormatPr defaultColWidth="8.84375" defaultRowHeight="16.75" x14ac:dyDescent="0.3"/>
  <cols>
    <col min="1" max="1" width="18.84375" style="1" bestFit="1" customWidth="1"/>
    <col min="2" max="2" width="18.921875" style="2" bestFit="1" customWidth="1"/>
    <col min="3" max="3" width="17.53515625" style="2" bestFit="1" customWidth="1"/>
    <col min="4" max="4" width="18.921875" style="2" bestFit="1" customWidth="1"/>
    <col min="5" max="6" width="17.53515625" style="2" bestFit="1" customWidth="1"/>
    <col min="7" max="7" width="18.921875" style="2" bestFit="1" customWidth="1"/>
    <col min="8" max="9" width="17.53515625" style="2" bestFit="1" customWidth="1"/>
    <col min="10" max="10" width="18.921875" style="2" bestFit="1" customWidth="1"/>
    <col min="11" max="11" width="17.53515625" style="2" bestFit="1" customWidth="1"/>
    <col min="12" max="13" width="10.61328125" style="4" bestFit="1" customWidth="1"/>
    <col min="14" max="14" width="10.61328125" style="5" bestFit="1" customWidth="1"/>
    <col min="15" max="15" width="18.921875" style="3" bestFit="1" customWidth="1"/>
    <col min="16" max="17" width="20.3828125" style="3" bestFit="1" customWidth="1"/>
    <col min="18" max="18" width="12.3046875" style="14" bestFit="1" customWidth="1"/>
    <col min="19" max="19" width="16.4609375" style="3" bestFit="1" customWidth="1"/>
    <col min="20" max="16384" width="8.84375" style="3"/>
  </cols>
  <sheetData>
    <row r="1" spans="1:18" s="13" customFormat="1" ht="30" x14ac:dyDescent="0.3">
      <c r="A1" s="7" t="s">
        <v>0</v>
      </c>
      <c r="B1" s="8" t="s">
        <v>12</v>
      </c>
      <c r="C1" s="8" t="s">
        <v>5</v>
      </c>
      <c r="D1" s="8" t="s">
        <v>6</v>
      </c>
      <c r="E1" s="8" t="s">
        <v>1</v>
      </c>
      <c r="F1" s="8" t="s">
        <v>2</v>
      </c>
      <c r="G1" s="8" t="s">
        <v>16</v>
      </c>
      <c r="H1" s="8" t="s">
        <v>3</v>
      </c>
      <c r="I1" s="9" t="s">
        <v>7</v>
      </c>
      <c r="J1" s="8" t="s">
        <v>13</v>
      </c>
      <c r="K1" s="8" t="s">
        <v>17</v>
      </c>
      <c r="L1" s="10" t="s">
        <v>10</v>
      </c>
      <c r="M1" s="10" t="s">
        <v>15</v>
      </c>
      <c r="N1" s="11" t="s">
        <v>11</v>
      </c>
      <c r="O1" s="12" t="s">
        <v>8</v>
      </c>
      <c r="P1" s="12" t="s">
        <v>9</v>
      </c>
      <c r="Q1" s="12" t="s">
        <v>14</v>
      </c>
      <c r="R1" s="13" t="s">
        <v>4</v>
      </c>
    </row>
    <row r="2" spans="1:18" x14ac:dyDescent="0.3">
      <c r="A2" s="1">
        <v>44197</v>
      </c>
      <c r="B2" s="2">
        <f t="shared" ref="B2" si="0">SUM(C2:G2)</f>
        <v>16160.040000000003</v>
      </c>
      <c r="C2" s="2">
        <v>0</v>
      </c>
      <c r="D2" s="2">
        <v>5000</v>
      </c>
      <c r="E2" s="2">
        <f>10660.04+1291.15</f>
        <v>11951.19</v>
      </c>
      <c r="F2" s="2">
        <f>500</f>
        <v>500</v>
      </c>
      <c r="G2" s="2">
        <f>-1291.15</f>
        <v>-1291.1500000000001</v>
      </c>
      <c r="H2" s="2">
        <v>0</v>
      </c>
      <c r="I2" s="2">
        <v>0</v>
      </c>
      <c r="J2" s="2">
        <f>K2*365</f>
        <v>38427.618852458792</v>
      </c>
      <c r="K2" s="2">
        <f>105.281147540983</f>
        <v>105.281147540983</v>
      </c>
      <c r="L2" s="4">
        <v>0</v>
      </c>
      <c r="M2" s="4">
        <v>0</v>
      </c>
      <c r="N2" s="5">
        <f>G2/(E2)*-1</f>
        <v>0.10803526678096491</v>
      </c>
      <c r="O2" s="6">
        <f>K2*365</f>
        <v>38427.618852458792</v>
      </c>
      <c r="P2" s="6">
        <f>IFERROR(IF(DATEDIF("2021-01-01",A2,"d")&lt;365,(B2-B$2)/DATEDIF(A$2,A2,"d")*365,(B2-INDEX(B:B, MATCH(A2-365, A$2:A2,1)))/DATEDIF(INDEX(A:A, MATCH(A2-365, A$2:A2,1)),A2,"d")*365),0)</f>
        <v>0</v>
      </c>
      <c r="Q2" s="6">
        <v>0</v>
      </c>
    </row>
    <row r="3" spans="1:18" x14ac:dyDescent="0.3">
      <c r="A3" s="1">
        <v>44252</v>
      </c>
      <c r="B3" s="2">
        <f>SUM(C3:G3)</f>
        <v>20894.689999999999</v>
      </c>
      <c r="C3" s="2">
        <v>1322.23</v>
      </c>
      <c r="D3" s="2">
        <f>7334.17-18</f>
        <v>7316.17</v>
      </c>
      <c r="E3" s="2">
        <f>1981.4+10797.37</f>
        <v>12778.77</v>
      </c>
      <c r="F3" s="2">
        <f>549.55</f>
        <v>549.54999999999995</v>
      </c>
      <c r="G3" s="2">
        <v>-1072.03</v>
      </c>
      <c r="H3" s="2">
        <f>3060+2000+3800</f>
        <v>8860</v>
      </c>
      <c r="I3" s="2">
        <v>0</v>
      </c>
      <c r="J3" s="2">
        <f>POWER(POWER(1-0.125,1/45), DATEDIF(A2,A3,"d"))*J2+(1-POWER(POWER(1-0.125,1/45), DATEDIF(A2,A3,"d")))*K3*365</f>
        <v>36763.632221288266</v>
      </c>
      <c r="K3" s="2">
        <f>(B3-B2-H3-I3+I2)/DATEDIF(A2,A3,"d")*-1</f>
        <v>75.006363636363716</v>
      </c>
      <c r="L3" s="4">
        <f>P3/(P3+O3-I3)</f>
        <v>0.14744189154031168</v>
      </c>
      <c r="M3" s="4">
        <f>Q3/(O3+Q3)</f>
        <v>0.13259755235404336</v>
      </c>
      <c r="N3" s="5">
        <f t="shared" ref="N3" si="1">G3/(E3)*-1</f>
        <v>8.3891485643766958E-2</v>
      </c>
      <c r="O3" s="6">
        <f>IFERROR(IF(DATEDIF("2021-02-25",A3,"d")&lt;365,(SUMIFS($H$2:$H3, $A$2:$A3, "&gt;="&amp;DATE(YEAR(A3)-1,MONTH(A3),DAY(A3)))+I3-I$2-B3+B$2)/DATEDIF(A$2,A3,"d")*365,(SUMIFS($H$2:$H3, $A$2:$A3, "&gt;="&amp;DATE(YEAR(A3)-1,MONTH(A3),DAY(A3)))+I3-INDEX(I:I, MATCH(A3-365, A$2:A3,1))-B3+INDEX(B:B, MATCH(A3-365, A$2:A3,1)))/DATEDIF(INDEX(A:A, MATCH(A3-365, A$2:A3,1)),A3,"d")*365),0)</f>
        <v>27377.322727272756</v>
      </c>
      <c r="P3" s="6">
        <f>IF(DATEDIF("2021-02-25",A3,"d")&lt;365,B3-B$2,(B3-INDEX(B:B, MATCH(A3-365, A$2:A3,1)))/DATEDIF(INDEX(A:A, MATCH(A3-365, A$2:A3,1)),A3,"d")*365)</f>
        <v>4734.649999999996</v>
      </c>
      <c r="Q3" s="6">
        <f>IF(DATEDIF("2021-02-25",A3,"d")&lt;365,SUM(C3:E3,G3)-B$2,(SUM(C3:E3,G3)-INDEX(B:B, MATCH(A3-365, A$2:A3,1)))/DATEDIF(INDEX(A:A, MATCH(A3-365, A$2:A3,1)),A3,"d")*365)</f>
        <v>4185.0999999999967</v>
      </c>
    </row>
  </sheetData>
  <phoneticPr fontId="4" type="noConversion"/>
  <conditionalFormatting sqref="B1:B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048576 B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48576 J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M1 J3 K3:M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M1 K3:M104857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M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M3 K2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 fu</dc:creator>
  <cp:lastModifiedBy>Qingchen FU</cp:lastModifiedBy>
  <cp:revision>1</cp:revision>
  <cp:lastPrinted>2023-08-13T02:12:47Z</cp:lastPrinted>
  <dcterms:created xsi:type="dcterms:W3CDTF">2015-06-05T18:19:34Z</dcterms:created>
  <dcterms:modified xsi:type="dcterms:W3CDTF">2024-08-04T03:35:33Z</dcterms:modified>
</cp:coreProperties>
</file>