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dereklai/Documents/"/>
    </mc:Choice>
  </mc:AlternateContent>
  <xr:revisionPtr revIDLastSave="0" documentId="8_{B1572189-9BDA-BC44-BC2E-FCAC1E9A1015}" xr6:coauthVersionLast="45" xr6:coauthVersionMax="45" xr10:uidLastSave="{00000000-0000-0000-0000-000000000000}"/>
  <bookViews>
    <workbookView xWindow="0" yWindow="500" windowWidth="28800" windowHeight="16320" tabRatio="812" activeTab="3" xr2:uid="{8ECECC59-FCA5-4BB0-A4D3-6AE7F8CCCEEA}"/>
  </bookViews>
  <sheets>
    <sheet name="Cover" sheetId="26" r:id="rId1"/>
    <sheet name="Function1" sheetId="30" r:id="rId2"/>
    <sheet name="Function2" sheetId="31" r:id="rId3"/>
    <sheet name="Function3" sheetId="16" r:id="rId4"/>
    <sheet name="Function4" sheetId="5" r:id="rId5"/>
    <sheet name="Function5" sheetId="15" r:id="rId6"/>
    <sheet name="Function6" sheetId="27" r:id="rId7"/>
    <sheet name="Function7" sheetId="19" r:id="rId8"/>
    <sheet name="Function8" sheetId="17" r:id="rId9"/>
    <sheet name="Function9" sheetId="21" r:id="rId10"/>
    <sheet name="Admin" sheetId="28" r:id="rId11"/>
    <sheet name="Asset" sheetId="29"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16" l="1"/>
  <c r="H6" i="16"/>
  <c r="G13" i="31"/>
  <c r="H6" i="31"/>
  <c r="N21" i="29" l="1"/>
  <c r="H20" i="28"/>
  <c r="G31" i="5"/>
  <c r="G30" i="5"/>
  <c r="G26" i="5"/>
  <c r="H21" i="28"/>
  <c r="H41" i="5"/>
  <c r="G32" i="5"/>
  <c r="H13" i="19"/>
  <c r="G20" i="15" l="1"/>
  <c r="G21" i="15"/>
  <c r="N20" i="29"/>
  <c r="G15" i="28"/>
  <c r="G28" i="5"/>
  <c r="G27" i="5"/>
  <c r="H42" i="5"/>
  <c r="H11" i="21"/>
  <c r="F9" i="26" l="1"/>
  <c r="H7" i="19"/>
  <c r="G10" i="26"/>
  <c r="G12" i="26"/>
  <c r="H22" i="28"/>
  <c r="G8" i="26"/>
  <c r="H6" i="17"/>
  <c r="I13" i="19" l="1"/>
  <c r="G13" i="16"/>
  <c r="H11" i="26"/>
  <c r="B11" i="26"/>
  <c r="B12" i="26"/>
  <c r="H13" i="26"/>
  <c r="I6" i="31"/>
  <c r="I7" i="31" s="1"/>
  <c r="I7" i="16"/>
  <c r="I8" i="16" s="1"/>
  <c r="F8" i="26" s="1"/>
  <c r="B9" i="26"/>
  <c r="F6" i="26"/>
  <c r="I6" i="26"/>
  <c r="H6" i="26"/>
  <c r="B8" i="26"/>
  <c r="B7" i="26"/>
  <c r="B6" i="26"/>
  <c r="B13" i="26"/>
  <c r="B10" i="26"/>
  <c r="G23" i="16"/>
  <c r="H13" i="31"/>
  <c r="I14" i="31" l="1"/>
  <c r="I13" i="31"/>
  <c r="I16" i="31"/>
  <c r="F7" i="26"/>
  <c r="I11" i="21"/>
  <c r="I12" i="21" s="1"/>
  <c r="G35" i="5"/>
  <c r="G36" i="5"/>
  <c r="H38" i="5"/>
  <c r="G11" i="27"/>
  <c r="G12" i="27"/>
  <c r="H12" i="27"/>
  <c r="H13" i="27"/>
  <c r="H14" i="27"/>
  <c r="I15" i="27"/>
  <c r="H11" i="15"/>
  <c r="G13" i="15"/>
  <c r="G14" i="15"/>
  <c r="G15" i="15"/>
  <c r="G17" i="15"/>
  <c r="G18" i="15"/>
  <c r="G19" i="15"/>
  <c r="G22" i="15"/>
  <c r="H23" i="15"/>
  <c r="G37" i="5"/>
  <c r="G38" i="5"/>
  <c r="G12" i="5"/>
  <c r="G13" i="5"/>
  <c r="G14" i="5"/>
  <c r="H16" i="5"/>
  <c r="G18" i="5"/>
  <c r="H19" i="5" s="1"/>
  <c r="G19" i="5"/>
  <c r="G21" i="5"/>
  <c r="G22" i="5"/>
  <c r="H22" i="5"/>
  <c r="H23" i="5"/>
  <c r="H24" i="5"/>
  <c r="H33" i="5"/>
  <c r="I43" i="5" s="1"/>
  <c r="G29" i="5"/>
  <c r="G33" i="5"/>
  <c r="H39" i="5"/>
  <c r="H43" i="5"/>
  <c r="H20" i="16"/>
  <c r="H17" i="16"/>
  <c r="H23" i="28"/>
  <c r="H7" i="5"/>
  <c r="I14" i="19"/>
  <c r="H6" i="19" s="1"/>
  <c r="G22" i="16"/>
  <c r="H23" i="16" s="1"/>
  <c r="G12" i="16"/>
  <c r="H13" i="16" s="1"/>
  <c r="H15" i="17"/>
  <c r="H13" i="17"/>
  <c r="G25" i="26"/>
  <c r="N7" i="29"/>
  <c r="N8" i="29"/>
  <c r="N9" i="29"/>
  <c r="G17" i="28"/>
  <c r="G12" i="28"/>
  <c r="G13" i="28"/>
  <c r="G14" i="28"/>
  <c r="G16" i="28"/>
  <c r="G18" i="28"/>
  <c r="H18" i="28"/>
  <c r="H19" i="28"/>
  <c r="I23" i="28"/>
  <c r="I24" i="28" s="1"/>
  <c r="H24" i="26" s="1"/>
  <c r="I24" i="26" s="1"/>
  <c r="I16" i="27"/>
  <c r="H6" i="27"/>
  <c r="I6" i="27"/>
  <c r="I7" i="27"/>
  <c r="D29" i="26"/>
  <c r="I13" i="26"/>
  <c r="H14" i="17"/>
  <c r="I16" i="17"/>
  <c r="I17" i="17"/>
  <c r="B14" i="26"/>
  <c r="I15" i="26"/>
  <c r="I16" i="26"/>
  <c r="I17" i="26"/>
  <c r="I18" i="26"/>
  <c r="I19" i="26"/>
  <c r="I20" i="26"/>
  <c r="I21" i="26"/>
  <c r="I22" i="26"/>
  <c r="I23" i="26"/>
  <c r="I6" i="17"/>
  <c r="I7" i="17" s="1"/>
  <c r="I26" i="16"/>
  <c r="I44" i="5" l="1"/>
  <c r="H9" i="26" s="1"/>
  <c r="I9" i="26" s="1"/>
  <c r="H6" i="21"/>
  <c r="I6" i="21" s="1"/>
  <c r="I7" i="21" s="1"/>
  <c r="H14" i="26"/>
  <c r="I14" i="26" s="1"/>
  <c r="I23" i="16"/>
  <c r="H7" i="26"/>
  <c r="I7" i="26" s="1"/>
  <c r="I17" i="31"/>
  <c r="I18" i="31" s="1"/>
  <c r="H12" i="26"/>
  <c r="I12" i="26" s="1"/>
  <c r="I7" i="19"/>
  <c r="N10" i="29"/>
  <c r="H26" i="26" s="1"/>
  <c r="H6" i="28"/>
  <c r="I6" i="28" s="1"/>
  <c r="I7" i="28" s="1"/>
  <c r="H22" i="15"/>
  <c r="I24" i="15" s="1"/>
  <c r="H15" i="15"/>
  <c r="I24" i="16"/>
  <c r="H8" i="26" s="1"/>
  <c r="F25" i="26"/>
  <c r="D30" i="26" s="1"/>
  <c r="I11" i="26"/>
  <c r="I8" i="19"/>
  <c r="H6" i="5" l="1"/>
  <c r="I7" i="5" s="1"/>
  <c r="I8" i="5" s="1"/>
  <c r="I47" i="5" s="1"/>
  <c r="I48" i="5"/>
  <c r="N13" i="29"/>
  <c r="N14" i="29" s="1"/>
  <c r="D32" i="26"/>
  <c r="I26" i="26"/>
  <c r="I25" i="15"/>
  <c r="I27" i="16"/>
  <c r="I28" i="16" s="1"/>
  <c r="H6" i="15" l="1"/>
  <c r="H10" i="26"/>
  <c r="I10" i="26" s="1"/>
  <c r="I8" i="15"/>
  <c r="I8" i="26"/>
  <c r="H25" i="26" l="1"/>
  <c r="D31" i="26" s="1"/>
  <c r="D33" i="26" s="1"/>
  <c r="I2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F20" authorId="0" shapeId="0" xr:uid="{F34FD79C-9C7D-4566-808D-DBC118419CAA}">
      <text>
        <r>
          <rPr>
            <sz val="9"/>
            <color rgb="FF000000"/>
            <rFont val="Tahoma"/>
            <family val="2"/>
          </rPr>
          <t xml:space="preserve">800 A5 promotional leaflet
</t>
        </r>
        <r>
          <rPr>
            <sz val="9"/>
            <color rgb="FF000000"/>
            <rFont val="Tahoma"/>
            <family val="2"/>
          </rPr>
          <t xml:space="preserve">200 A5 registration form
</t>
        </r>
      </text>
    </comment>
  </commentList>
</comments>
</file>

<file path=xl/sharedStrings.xml><?xml version="1.0" encoding="utf-8"?>
<sst xmlns="http://schemas.openxmlformats.org/spreadsheetml/2006/main" count="405" uniqueCount="260">
  <si>
    <t>Function 8</t>
  </si>
  <si>
    <t>$</t>
  </si>
  <si>
    <t>Subsidy from Society</t>
  </si>
  <si>
    <t>Total Income</t>
  </si>
  <si>
    <t>Prize</t>
  </si>
  <si>
    <t>Game Materials</t>
  </si>
  <si>
    <t>Promotional Item</t>
  </si>
  <si>
    <t>Ordinary Decoration Item</t>
  </si>
  <si>
    <t>($170.00 * 1)</t>
  </si>
  <si>
    <t>Total Expenditure</t>
  </si>
  <si>
    <t>Function 1</t>
  </si>
  <si>
    <t>Income:</t>
  </si>
  <si>
    <t>Subscription Fee</t>
  </si>
  <si>
    <t xml:space="preserve">  Menbership Cards</t>
  </si>
  <si>
    <t>Subscription Related</t>
  </si>
  <si>
    <t>Souvenir</t>
  </si>
  <si>
    <t xml:space="preserve">  Receipt Books</t>
  </si>
  <si>
    <t>Logistics</t>
  </si>
  <si>
    <t xml:space="preserve">  Table Cloth</t>
  </si>
  <si>
    <t xml:space="preserve">  PVC Book Cover Roll</t>
  </si>
  <si>
    <t xml:space="preserve">  Banner</t>
  </si>
  <si>
    <t xml:space="preserve">  Posters</t>
  </si>
  <si>
    <t>Function 3</t>
  </si>
  <si>
    <t>Orientation Night 2020</t>
  </si>
  <si>
    <t>Subsidy from society</t>
  </si>
  <si>
    <t>OSD Funding: Student Society Development Grant (Merit Grant)</t>
  </si>
  <si>
    <t>Refreshment</t>
  </si>
  <si>
    <t>Tableware</t>
  </si>
  <si>
    <t>Function 4</t>
  </si>
  <si>
    <t>1st Comics Meeting</t>
  </si>
  <si>
    <t>Function 6</t>
  </si>
  <si>
    <t>Function 2</t>
  </si>
  <si>
    <t>Orientation Camp 2020</t>
  </si>
  <si>
    <t>Admission fee from participants</t>
  </si>
  <si>
    <t>($95.00 * 2)</t>
  </si>
  <si>
    <t>($10.00 * 2)</t>
  </si>
  <si>
    <t>Camp Bags</t>
  </si>
  <si>
    <t>Camp T-shirts</t>
  </si>
  <si>
    <t>($10.00 * 3)</t>
  </si>
  <si>
    <t>Ordinary Decoration Items</t>
  </si>
  <si>
    <t>Receipt Books</t>
  </si>
  <si>
    <t>($5.00 * 3)</t>
  </si>
  <si>
    <t>Meal</t>
  </si>
  <si>
    <t xml:space="preserve">  Breakfast</t>
  </si>
  <si>
    <t xml:space="preserve">  Dinner</t>
  </si>
  <si>
    <t xml:space="preserve">  Van Hiring</t>
  </si>
  <si>
    <t>Expenditure:</t>
  </si>
  <si>
    <t>The Hong Kong Polytechnic University Students' Union</t>
  </si>
  <si>
    <t>Function 5</t>
  </si>
  <si>
    <t>Society Magazine</t>
  </si>
  <si>
    <t>Rental</t>
  </si>
  <si>
    <t xml:space="preserve">  Dormitory Rent</t>
  </si>
  <si>
    <t xml:space="preserve">  Air Conditioning (Dining Hall)</t>
  </si>
  <si>
    <t xml:space="preserve">  Air Conditioning (Activity Hall)</t>
  </si>
  <si>
    <t xml:space="preserve">  Projector</t>
  </si>
  <si>
    <t>($50.00 * 3hrs)</t>
  </si>
  <si>
    <t xml:space="preserve">  Bean Bag</t>
  </si>
  <si>
    <t xml:space="preserve">  Yoga Mats</t>
  </si>
  <si>
    <t xml:space="preserve">  Balloons</t>
  </si>
  <si>
    <t xml:space="preserve">  Toy Fishing Poles</t>
  </si>
  <si>
    <t>($20.00 * 2)</t>
  </si>
  <si>
    <t xml:space="preserve">  Time Counters</t>
  </si>
  <si>
    <t>Garbage Bags</t>
  </si>
  <si>
    <t>head count</t>
  </si>
  <si>
    <t xml:space="preserve">  Society Lined Papers</t>
  </si>
  <si>
    <t>($25.00 * 3yards)</t>
  </si>
  <si>
    <t>($35.00 * 2)</t>
  </si>
  <si>
    <t>($150.00 * 1)</t>
  </si>
  <si>
    <t>Reserve</t>
  </si>
  <si>
    <t>A5, B/W, Double-sided</t>
  </si>
  <si>
    <t>A3, Coloured, Single-sided</t>
  </si>
  <si>
    <t>($20.00 * 5)</t>
  </si>
  <si>
    <t xml:space="preserve">  Plastic Chopsticks</t>
  </si>
  <si>
    <t xml:space="preserve">  Labels</t>
  </si>
  <si>
    <t>Cartoon Notebooks</t>
  </si>
  <si>
    <t>($20.00 * 1)</t>
  </si>
  <si>
    <t>($25.00 * 1pack)</t>
  </si>
  <si>
    <t>4 pairs / 1 pack</t>
  </si>
  <si>
    <t>1st Society Magazine</t>
  </si>
  <si>
    <t>A4, B/W, Double-sided</t>
  </si>
  <si>
    <t>Function 9</t>
  </si>
  <si>
    <t>Function 10</t>
  </si>
  <si>
    <t>Function 12</t>
  </si>
  <si>
    <t>Function 11</t>
  </si>
  <si>
    <t>Annual General Meeting 2021</t>
  </si>
  <si>
    <t>Questionaires</t>
  </si>
  <si>
    <t>Function 13</t>
  </si>
  <si>
    <t>Purchase of Assets:</t>
  </si>
  <si>
    <t>Books</t>
  </si>
  <si>
    <t>Total</t>
  </si>
  <si>
    <t>Book List:</t>
  </si>
  <si>
    <t xml:space="preserve">  Poker Cards</t>
  </si>
  <si>
    <t xml:space="preserve">  Memos</t>
  </si>
  <si>
    <t xml:space="preserve">  Disposable Dishes</t>
  </si>
  <si>
    <t xml:space="preserve">  Disposable Forks</t>
  </si>
  <si>
    <t xml:space="preserve">  Disposable Gloves</t>
  </si>
  <si>
    <t xml:space="preserve">  Tablecloth</t>
  </si>
  <si>
    <t xml:space="preserve">  Plastic Wrap</t>
  </si>
  <si>
    <t xml:space="preserve">  Kitchen Paper</t>
  </si>
  <si>
    <t xml:space="preserve">  Game Cards</t>
  </si>
  <si>
    <t>($25.00 * 1yard)</t>
  </si>
  <si>
    <t>($10.00 * 10)</t>
  </si>
  <si>
    <t>($15.00 * 5)</t>
  </si>
  <si>
    <t>($6.00 * 1)</t>
  </si>
  <si>
    <t>100pcs / 1pack</t>
  </si>
  <si>
    <t>The 27th Session of HKPUSU</t>
  </si>
  <si>
    <t>Function Name</t>
    <phoneticPr fontId="0" type="noConversion"/>
  </si>
  <si>
    <t>Income (except OSD funding and subsidy from society)</t>
    <phoneticPr fontId="0" type="noConversion"/>
  </si>
  <si>
    <t>OSD funding</t>
    <phoneticPr fontId="0" type="noConversion"/>
  </si>
  <si>
    <t>Expenditure</t>
    <phoneticPr fontId="0" type="noConversion"/>
  </si>
  <si>
    <t>Subsidy from/ Reserve for Society</t>
    <phoneticPr fontId="0" type="noConversion"/>
  </si>
  <si>
    <t>Function 1</t>
    <phoneticPr fontId="0" type="noConversion"/>
  </si>
  <si>
    <t>Function 3</t>
    <phoneticPr fontId="0" type="noConversion"/>
  </si>
  <si>
    <t>Function 7</t>
  </si>
  <si>
    <t>Function 14</t>
  </si>
  <si>
    <t>Function 15</t>
  </si>
  <si>
    <t>Function 16</t>
  </si>
  <si>
    <t>Function 17</t>
  </si>
  <si>
    <t>Function 18</t>
    <phoneticPr fontId="0" type="noConversion"/>
  </si>
  <si>
    <t>Administrative Expense</t>
    <phoneticPr fontId="0" type="noConversion"/>
  </si>
  <si>
    <t>Sub-Total</t>
    <phoneticPr fontId="0" type="noConversion"/>
  </si>
  <si>
    <t>Purchase of assets</t>
    <phoneticPr fontId="0" type="noConversion"/>
  </si>
  <si>
    <t>Opening Bank Balance</t>
    <phoneticPr fontId="0" type="noConversion"/>
  </si>
  <si>
    <t>Income from HKPUSU Subscription Fee</t>
    <phoneticPr fontId="0" type="noConversion"/>
  </si>
  <si>
    <t>Total Expenditure</t>
    <phoneticPr fontId="0" type="noConversion"/>
  </si>
  <si>
    <t>Closing Bank Balance</t>
    <phoneticPr fontId="0" type="noConversion"/>
  </si>
  <si>
    <t>We hereby submit our master budget and we confirmed that the master budget fairly represents the financial status of our society in the best of our knowledge and there is no material error. We understood that the Finance Committee reserves the right to require modifications if necessary. We will bear ALL risks of financial problem upon the approval of the master budget.</t>
    <phoneticPr fontId="0" type="noConversion"/>
  </si>
  <si>
    <t>Prepared by:</t>
    <phoneticPr fontId="0" type="noConversion"/>
  </si>
  <si>
    <t>Approved by:</t>
    <phoneticPr fontId="0" type="noConversion"/>
  </si>
  <si>
    <t>Financial Secretary</t>
    <phoneticPr fontId="0" type="noConversion"/>
  </si>
  <si>
    <t>President</t>
    <phoneticPr fontId="0" type="noConversion"/>
  </si>
  <si>
    <t xml:space="preserve">Name: </t>
    <phoneticPr fontId="0" type="noConversion"/>
  </si>
  <si>
    <t>Contact:</t>
    <phoneticPr fontId="0" type="noConversion"/>
  </si>
  <si>
    <t>Student ID:</t>
    <phoneticPr fontId="0" type="noConversion"/>
  </si>
  <si>
    <t xml:space="preserve">Society Chop: </t>
    <phoneticPr fontId="0" type="noConversion"/>
  </si>
  <si>
    <t>Email Address of the Society:</t>
  </si>
  <si>
    <t>LAI Ka Hei Derek</t>
  </si>
  <si>
    <t xml:space="preserve">  Pencils</t>
  </si>
  <si>
    <t>12 pcs / 1pack</t>
  </si>
  <si>
    <t>Fung Pak Wing Larry</t>
  </si>
  <si>
    <t>18048752D</t>
  </si>
  <si>
    <t>19067821D</t>
  </si>
  <si>
    <t>Book Name</t>
  </si>
  <si>
    <t xml:space="preserve">  Comics(C)</t>
  </si>
  <si>
    <t xml:space="preserve">  Light Novels(LN)</t>
  </si>
  <si>
    <t xml:space="preserve">  Reserve for New Comics(C)</t>
  </si>
  <si>
    <t xml:space="preserve">  Reserve for New Light Novels(LN)</t>
  </si>
  <si>
    <t>Genre</t>
  </si>
  <si>
    <t>Volume</t>
  </si>
  <si>
    <t>Quantity</t>
  </si>
  <si>
    <t>Price Per Copy($)</t>
  </si>
  <si>
    <t>Gross Total Price($)</t>
  </si>
  <si>
    <t>C</t>
  </si>
  <si>
    <t>LN</t>
  </si>
  <si>
    <t>Cash Box</t>
  </si>
  <si>
    <t>Administrative Expenses</t>
  </si>
  <si>
    <t>Document Copying Cost</t>
  </si>
  <si>
    <t>Manila Envelopes</t>
  </si>
  <si>
    <t xml:space="preserve">  Staples</t>
  </si>
  <si>
    <t xml:space="preserve">  Staplers</t>
  </si>
  <si>
    <t xml:space="preserve">  White Board Markers</t>
  </si>
  <si>
    <t xml:space="preserve">  Markers</t>
  </si>
  <si>
    <t xml:space="preserve">  Pens</t>
  </si>
  <si>
    <t xml:space="preserve">  Correction Tapes</t>
  </si>
  <si>
    <t xml:space="preserve">  Transparent Files</t>
  </si>
  <si>
    <t>($1.00 * 25)</t>
  </si>
  <si>
    <t>($15.00 * 3)</t>
  </si>
  <si>
    <t>($5.00 * 10)</t>
  </si>
  <si>
    <t>Stationeries</t>
  </si>
  <si>
    <t>White Papers</t>
  </si>
  <si>
    <t>(500 pcs / 1 pack)</t>
  </si>
  <si>
    <t>($30.00 * 6)</t>
  </si>
  <si>
    <t>預留新書</t>
  </si>
  <si>
    <t>($20*00 * 3)</t>
  </si>
  <si>
    <t>($189.00 * 1)</t>
  </si>
  <si>
    <t>10pcs / 1pack</t>
  </si>
  <si>
    <t>20pcs / 1pack</t>
  </si>
  <si>
    <t xml:space="preserve">  Trolleys</t>
  </si>
  <si>
    <t xml:space="preserve">  Society Files</t>
  </si>
  <si>
    <t>Display Board Decorations</t>
  </si>
  <si>
    <t>($22.00 * 101)</t>
  </si>
  <si>
    <t>($38.00 * 101)</t>
  </si>
  <si>
    <t xml:space="preserve">  Pen</t>
  </si>
  <si>
    <t>($0.50 * 26)</t>
  </si>
  <si>
    <t>($8.00 * 10)</t>
  </si>
  <si>
    <t>A4, B/W, varies</t>
  </si>
  <si>
    <t>($0.20 * 100)</t>
  </si>
  <si>
    <t>($9.00 * 90)</t>
  </si>
  <si>
    <t>($0.20 * 50 + $1.50 * 8)</t>
  </si>
  <si>
    <t xml:space="preserve">  Rubber</t>
  </si>
  <si>
    <t>($5.00 * 5)</t>
  </si>
  <si>
    <t>($0.20 * 80)</t>
  </si>
  <si>
    <t>($6.00 * 20)</t>
  </si>
  <si>
    <t>Photocopying</t>
  </si>
  <si>
    <t xml:space="preserve">  Adhesive Cloth Tape(small)</t>
  </si>
  <si>
    <t>Photocopying/Printing</t>
  </si>
  <si>
    <t>($80.00 * 6hrs)</t>
  </si>
  <si>
    <t xml:space="preserve">  Tent</t>
  </si>
  <si>
    <t>$50.00 / hr</t>
  </si>
  <si>
    <t>$100.00 / session</t>
  </si>
  <si>
    <t>($100.00 * 2)</t>
  </si>
  <si>
    <t>$20.00 / pack</t>
  </si>
  <si>
    <t xml:space="preserve">  Air Pump</t>
  </si>
  <si>
    <t>($6.00 * 30)</t>
  </si>
  <si>
    <t>($50.00 * 6hrs)</t>
  </si>
  <si>
    <t>($0.15 * 900 + $1.50 * 100)</t>
  </si>
  <si>
    <t>OSD Funding: Student Society Development Grant (iSo Sponsorship)</t>
  </si>
  <si>
    <t>($49.00 * 3)</t>
  </si>
  <si>
    <t>30th Cartoons Art Society</t>
  </si>
  <si>
    <t xml:space="preserve"> 30th Cartoons Art Society</t>
  </si>
  <si>
    <t>($14.00 * 101)</t>
  </si>
  <si>
    <t>($19.50 * 101)</t>
  </si>
  <si>
    <t>($220.00 * 101)</t>
  </si>
  <si>
    <t>($30.00 * 5)</t>
  </si>
  <si>
    <t>($75.00 * 101)</t>
  </si>
  <si>
    <t xml:space="preserve">  Small Figures</t>
  </si>
  <si>
    <t xml:space="preserve">  Medium Figures</t>
  </si>
  <si>
    <t xml:space="preserve">  Large Figures</t>
  </si>
  <si>
    <t xml:space="preserve">  Drawing Tablets</t>
  </si>
  <si>
    <t>($0.10 * 2000)</t>
  </si>
  <si>
    <t>($150.00 * 4)</t>
  </si>
  <si>
    <t>($450.00 * 2)</t>
  </si>
  <si>
    <t>($0.15 / 2 * 800 + 0.15 / 2 * 200)</t>
  </si>
  <si>
    <t>Orientation Info Day</t>
  </si>
  <si>
    <t>N/A</t>
  </si>
  <si>
    <t xml:space="preserve">A4, Coloured, Double sided, </t>
  </si>
  <si>
    <t>($6.00* 20)</t>
  </si>
  <si>
    <t>($0.18 / pg  * 2000pgs )</t>
  </si>
  <si>
    <t>A4, Coloured, Double-sided</t>
  </si>
  <si>
    <t>($90.00 * 7)</t>
  </si>
  <si>
    <t>($40.00 * 12)</t>
  </si>
  <si>
    <t>Nylon Bags</t>
  </si>
  <si>
    <t>comic@su.polyu.edu.hk</t>
  </si>
  <si>
    <t>Online Orientation Week 2020</t>
  </si>
  <si>
    <t>Physical Orientation Week 2021</t>
  </si>
  <si>
    <t>2rd Comics Meeting</t>
  </si>
  <si>
    <t>$480 per 500 pcs</t>
  </si>
  <si>
    <t>($0.96/card * 500)</t>
  </si>
  <si>
    <t>($3.00 * 10)</t>
  </si>
  <si>
    <t>Total Function Income</t>
  </si>
  <si>
    <t>($3.60 / folder * 500)</t>
  </si>
  <si>
    <t>$1800.00 per 500 pcs</t>
  </si>
  <si>
    <t>68pgs / magazines</t>
  </si>
  <si>
    <t>First Aid Kit</t>
  </si>
  <si>
    <t>($300.00 * 1)</t>
  </si>
  <si>
    <t>($0.10 * 8pgs * 302)</t>
  </si>
  <si>
    <t>($3.00 * 2)</t>
  </si>
  <si>
    <t>($11.00 * 5)</t>
  </si>
  <si>
    <t>($14.00 * 4)</t>
  </si>
  <si>
    <t>($25.00 * 2)</t>
  </si>
  <si>
    <t>($30.00 * 2)</t>
  </si>
  <si>
    <t>($79.00 / magazine * 80)</t>
  </si>
  <si>
    <t>($18.00 * 40)</t>
  </si>
  <si>
    <t>($20.00 * 1pack)</t>
  </si>
  <si>
    <t>($5.00 * 40)</t>
  </si>
  <si>
    <t>Master Budget for the Financial Year 2020-2021 Version 6</t>
  </si>
  <si>
    <t>Master Budget from 2020 to 2021 Version 6</t>
  </si>
  <si>
    <t>($30.00 * 151)</t>
  </si>
  <si>
    <t>($5.00 * 4)</t>
  </si>
  <si>
    <t xml:space="preserve"> Master Budget from 2020 to 2021 Version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</si>
</sst>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_-* #,##0.00_-;\-* #,##0.00_-;_-* &quot;-&quot;??_-;_-@_-"/>
    <numFmt numFmtId="166" formatCode="_-* #,##0.00_-;\-* #,##0.00_-;_-* &quot;-&quot;?_-;_-@_-"/>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name val="Calibri"/>
      <family val="1"/>
      <charset val="136"/>
      <scheme val="minor"/>
    </font>
    <font>
      <sz val="11"/>
      <color rgb="FFFF0000"/>
      <name val="Calibri"/>
      <family val="1"/>
      <charset val="136"/>
      <scheme val="minor"/>
    </font>
    <font>
      <sz val="8"/>
      <name val="Calibri"/>
      <family val="1"/>
      <charset val="136"/>
      <scheme val="minor"/>
    </font>
    <font>
      <sz val="9"/>
      <color rgb="FF000000"/>
      <name val="Tahoma"/>
      <family val="2"/>
    </font>
    <font>
      <sz val="11"/>
      <color rgb="FF000000"/>
      <name val="Calibri"/>
      <family val="2"/>
      <scheme val="minor"/>
    </font>
  </fonts>
  <fills count="2">
    <fill>
      <patternFill patternType="none"/>
    </fill>
    <fill>
      <patternFill patternType="gray125"/>
    </fill>
  </fills>
  <borders count="42">
    <border>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double">
        <color auto="1"/>
      </left>
      <right style="double">
        <color auto="1"/>
      </right>
      <top style="double">
        <color auto="1"/>
      </top>
      <bottom/>
      <diagonal/>
    </border>
    <border>
      <left style="thin">
        <color auto="1"/>
      </left>
      <right/>
      <top style="thin">
        <color auto="1"/>
      </top>
      <bottom style="thin">
        <color auto="1"/>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ck">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double">
        <color indexed="8"/>
      </right>
      <top style="thin">
        <color indexed="8"/>
      </top>
      <bottom style="thin">
        <color indexed="8"/>
      </bottom>
      <diagonal/>
    </border>
    <border>
      <left style="double">
        <color indexed="8"/>
      </left>
      <right style="double">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ck">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ck">
        <color indexed="8"/>
      </right>
      <top style="thin">
        <color indexed="8"/>
      </top>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double">
        <color indexed="8"/>
      </right>
      <top style="thin">
        <color indexed="8"/>
      </top>
      <bottom style="thin">
        <color indexed="8"/>
      </bottom>
      <diagonal/>
    </border>
    <border>
      <left style="double">
        <color indexed="8"/>
      </left>
      <right style="double">
        <color indexed="8"/>
      </right>
      <top style="thin">
        <color indexed="8"/>
      </top>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ck">
        <color auto="1"/>
      </right>
      <top style="medium">
        <color auto="1"/>
      </top>
      <bottom style="medium">
        <color auto="1"/>
      </bottom>
      <diagonal/>
    </border>
    <border diagonalUp="1" diagonalDown="1">
      <left style="thick">
        <color auto="1"/>
      </left>
      <right style="thin">
        <color auto="1"/>
      </right>
      <top style="medium">
        <color auto="1"/>
      </top>
      <bottom style="medium">
        <color auto="1"/>
      </bottom>
      <diagonal style="dashDot">
        <color auto="1"/>
      </diagonal>
    </border>
    <border diagonalUp="1" diagonalDown="1">
      <left style="thin">
        <color auto="1"/>
      </left>
      <right style="thick">
        <color auto="1"/>
      </right>
      <top style="medium">
        <color auto="1"/>
      </top>
      <bottom style="medium">
        <color auto="1"/>
      </bottom>
      <diagonal style="dashDot">
        <color auto="1"/>
      </diagonal>
    </border>
    <border>
      <left style="thick">
        <color indexed="8"/>
      </left>
      <right style="double">
        <color indexed="8"/>
      </right>
      <top style="medium">
        <color auto="1"/>
      </top>
      <bottom style="medium">
        <color auto="1"/>
      </bottom>
      <diagonal/>
    </border>
    <border>
      <left style="double">
        <color indexed="8"/>
      </left>
      <right style="double">
        <color indexed="8"/>
      </right>
      <top style="medium">
        <color indexed="8"/>
      </top>
      <bottom style="medium">
        <color auto="1"/>
      </bottom>
      <diagonal/>
    </border>
    <border>
      <left style="thick">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double">
        <color auto="1"/>
      </left>
      <right style="double">
        <color auto="1"/>
      </right>
      <top style="medium">
        <color auto="1"/>
      </top>
      <bottom style="medium">
        <color auto="1"/>
      </bottom>
      <diagonal/>
    </border>
    <border>
      <left/>
      <right/>
      <top style="thin">
        <color auto="1"/>
      </top>
      <bottom style="double">
        <color auto="1"/>
      </bottom>
      <diagonal/>
    </border>
    <border>
      <left/>
      <right/>
      <top style="thin">
        <color auto="1"/>
      </top>
      <bottom style="thin">
        <color auto="1"/>
      </bottom>
      <diagonal/>
    </border>
  </borders>
  <cellStyleXfs count="4">
    <xf numFmtId="0" fontId="0" fillId="0" borderId="0"/>
    <xf numFmtId="164" fontId="1" fillId="0" borderId="0" applyFont="0" applyFill="0" applyBorder="0" applyAlignment="0" applyProtection="0"/>
    <xf numFmtId="0" fontId="2" fillId="0" borderId="0" applyNumberFormat="0" applyFill="0" applyBorder="0" applyAlignment="0" applyProtection="0"/>
    <xf numFmtId="165" fontId="1" fillId="0" borderId="0" applyFont="0" applyFill="0" applyBorder="0" applyAlignment="0" applyProtection="0"/>
  </cellStyleXfs>
  <cellXfs count="76">
    <xf numFmtId="0" fontId="0" fillId="0" borderId="0" xfId="0"/>
    <xf numFmtId="0" fontId="0" fillId="0" borderId="1" xfId="0" applyBorder="1"/>
    <xf numFmtId="0" fontId="0" fillId="0" borderId="2" xfId="0" applyBorder="1"/>
    <xf numFmtId="0" fontId="0" fillId="0" borderId="0" xfId="0" applyBorder="1"/>
    <xf numFmtId="2" fontId="0" fillId="0" borderId="0" xfId="0" applyNumberFormat="1" applyBorder="1"/>
    <xf numFmtId="2" fontId="0" fillId="0" borderId="1" xfId="0" applyNumberFormat="1" applyBorder="1"/>
    <xf numFmtId="2" fontId="0" fillId="0" borderId="0" xfId="0" applyNumberFormat="1"/>
    <xf numFmtId="0" fontId="0" fillId="0" borderId="0" xfId="0" applyFill="1" applyBorder="1"/>
    <xf numFmtId="0" fontId="0" fillId="0" borderId="0" xfId="0" applyAlignment="1"/>
    <xf numFmtId="2" fontId="0" fillId="0" borderId="2" xfId="0" applyNumberFormat="1" applyBorder="1"/>
    <xf numFmtId="2" fontId="0" fillId="0" borderId="3" xfId="0" applyNumberFormat="1" applyBorder="1"/>
    <xf numFmtId="0" fontId="0" fillId="0" borderId="3" xfId="0" applyBorder="1"/>
    <xf numFmtId="0" fontId="0" fillId="0" borderId="0" xfId="0" applyAlignment="1">
      <alignment vertical="center"/>
    </xf>
    <xf numFmtId="0" fontId="3" fillId="0" borderId="1" xfId="0" applyFont="1" applyBorder="1" applyAlignment="1">
      <alignment horizontal="right" vertical="center"/>
    </xf>
    <xf numFmtId="0" fontId="3" fillId="0" borderId="0" xfId="0" applyFont="1" applyAlignment="1">
      <alignment horizontal="left" vertical="center"/>
    </xf>
    <xf numFmtId="0" fontId="3" fillId="0" borderId="0" xfId="0" applyFont="1" applyAlignment="1">
      <alignment vertical="center"/>
    </xf>
    <xf numFmtId="0" fontId="3" fillId="0" borderId="5" xfId="0" applyFont="1" applyBorder="1" applyAlignment="1">
      <alignment vertic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4" xfId="0" applyFont="1" applyBorder="1" applyAlignment="1">
      <alignment horizontal="center" vertical="center"/>
    </xf>
    <xf numFmtId="0" fontId="5" fillId="0" borderId="10" xfId="0" applyFont="1" applyBorder="1" applyAlignment="1">
      <alignment horizontal="center" vertical="center" wrapText="1"/>
    </xf>
    <xf numFmtId="0" fontId="3" fillId="0" borderId="11" xfId="0" applyFont="1" applyBorder="1" applyAlignment="1">
      <alignment vertical="center"/>
    </xf>
    <xf numFmtId="166" fontId="3" fillId="0" borderId="15" xfId="0" applyNumberFormat="1" applyFont="1" applyBorder="1" applyAlignment="1">
      <alignment horizontal="left" vertical="center"/>
    </xf>
    <xf numFmtId="166" fontId="3" fillId="0" borderId="16" xfId="0" applyNumberFormat="1" applyFont="1" applyBorder="1" applyAlignment="1">
      <alignment horizontal="left" vertical="center"/>
    </xf>
    <xf numFmtId="166" fontId="3" fillId="0" borderId="17" xfId="0" applyNumberFormat="1" applyFont="1" applyBorder="1" applyAlignment="1">
      <alignment horizontal="left" vertical="center"/>
    </xf>
    <xf numFmtId="166" fontId="3" fillId="0" borderId="18" xfId="0" applyNumberFormat="1" applyFont="1" applyBorder="1" applyAlignment="1">
      <alignment horizontal="left" vertical="center"/>
    </xf>
    <xf numFmtId="166" fontId="3" fillId="0" borderId="19" xfId="0" applyNumberFormat="1" applyFont="1" applyBorder="1" applyAlignment="1">
      <alignment horizontal="left" vertical="center"/>
    </xf>
    <xf numFmtId="0" fontId="3" fillId="0" borderId="7" xfId="0" applyFont="1" applyBorder="1" applyAlignment="1">
      <alignment vertical="center"/>
    </xf>
    <xf numFmtId="166" fontId="3" fillId="0" borderId="26" xfId="0" applyNumberFormat="1" applyFont="1" applyBorder="1" applyAlignment="1">
      <alignment horizontal="left" vertical="center"/>
    </xf>
    <xf numFmtId="166" fontId="3" fillId="0" borderId="27" xfId="0" applyNumberFormat="1" applyFont="1" applyBorder="1" applyAlignment="1">
      <alignment horizontal="left" vertical="center"/>
    </xf>
    <xf numFmtId="166" fontId="3" fillId="0" borderId="28" xfId="0" applyNumberFormat="1" applyFont="1" applyBorder="1" applyAlignment="1">
      <alignment horizontal="left" vertical="center"/>
    </xf>
    <xf numFmtId="166" fontId="3" fillId="0" borderId="29" xfId="0" applyNumberFormat="1" applyFont="1" applyBorder="1" applyAlignment="1">
      <alignment horizontal="left" vertical="center"/>
    </xf>
    <xf numFmtId="166" fontId="3" fillId="0" borderId="33" xfId="1" applyNumberFormat="1" applyFont="1" applyBorder="1" applyAlignment="1">
      <alignment vertical="center"/>
    </xf>
    <xf numFmtId="166" fontId="3" fillId="0" borderId="34" xfId="1" applyNumberFormat="1" applyFont="1" applyBorder="1" applyAlignment="1">
      <alignment vertical="center"/>
    </xf>
    <xf numFmtId="166" fontId="3" fillId="0" borderId="35" xfId="0" applyNumberFormat="1" applyFont="1" applyBorder="1" applyAlignment="1">
      <alignment horizontal="left" vertical="center"/>
    </xf>
    <xf numFmtId="166" fontId="3" fillId="0" borderId="36" xfId="0" applyNumberFormat="1" applyFont="1" applyBorder="1" applyAlignment="1">
      <alignment horizontal="left" vertical="center"/>
    </xf>
    <xf numFmtId="166" fontId="3" fillId="0" borderId="37" xfId="1" applyNumberFormat="1" applyFont="1" applyBorder="1" applyAlignment="1">
      <alignment vertical="center"/>
    </xf>
    <xf numFmtId="166" fontId="3" fillId="0" borderId="38" xfId="1" applyNumberFormat="1" applyFont="1" applyBorder="1" applyAlignment="1">
      <alignment vertical="center"/>
    </xf>
    <xf numFmtId="166" fontId="3" fillId="0" borderId="39" xfId="1" applyNumberFormat="1" applyFont="1" applyBorder="1" applyAlignment="1">
      <alignment vertical="center"/>
    </xf>
    <xf numFmtId="166" fontId="3" fillId="0" borderId="31" xfId="1" applyNumberFormat="1" applyFont="1" applyBorder="1" applyAlignment="1">
      <alignment vertical="center"/>
    </xf>
    <xf numFmtId="0" fontId="3" fillId="0" borderId="1" xfId="0" applyFont="1" applyBorder="1" applyAlignment="1">
      <alignment vertical="center"/>
    </xf>
    <xf numFmtId="0" fontId="0" fillId="0" borderId="0" xfId="0" applyAlignment="1">
      <alignment horizontal="right"/>
    </xf>
    <xf numFmtId="2" fontId="0" fillId="0" borderId="0" xfId="0" applyNumberFormat="1" applyAlignment="1">
      <alignment horizontal="right"/>
    </xf>
    <xf numFmtId="0" fontId="7" fillId="0" borderId="0" xfId="0" applyFont="1"/>
    <xf numFmtId="2" fontId="7" fillId="0" borderId="1" xfId="0" applyNumberFormat="1" applyFont="1" applyBorder="1"/>
    <xf numFmtId="2" fontId="0" fillId="0" borderId="0" xfId="0" applyNumberFormat="1" applyAlignment="1">
      <alignment horizontal="left"/>
    </xf>
    <xf numFmtId="0" fontId="2" fillId="0" borderId="1" xfId="2" applyBorder="1" applyAlignment="1">
      <alignment horizontal="center" vertical="center"/>
    </xf>
    <xf numFmtId="0" fontId="3" fillId="0" borderId="1" xfId="0" applyFont="1" applyBorder="1" applyAlignment="1">
      <alignment horizontal="center" vertical="center"/>
    </xf>
    <xf numFmtId="166" fontId="3" fillId="0" borderId="40" xfId="1" applyNumberFormat="1" applyFont="1" applyBorder="1" applyAlignment="1">
      <alignment horizontal="right" vertical="center"/>
    </xf>
    <xf numFmtId="0" fontId="3" fillId="0" borderId="0" xfId="0" applyFont="1" applyAlignment="1">
      <alignment horizontal="left" vertical="center" wrapText="1"/>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3" fillId="0" borderId="41" xfId="0" applyFont="1" applyBorder="1" applyAlignment="1">
      <alignment horizontal="center" vertical="center"/>
    </xf>
    <xf numFmtId="0" fontId="3" fillId="0" borderId="0" xfId="0" applyFont="1" applyAlignment="1">
      <alignment horizontal="left" vertical="center"/>
    </xf>
    <xf numFmtId="166" fontId="3" fillId="0" borderId="0" xfId="1" applyNumberFormat="1" applyFont="1" applyAlignment="1">
      <alignment horizontal="righ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30"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165" fontId="0" fillId="0" borderId="0" xfId="3" applyFont="1" applyAlignment="1">
      <alignmen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xf>
    <xf numFmtId="0" fontId="0" fillId="0" borderId="4" xfId="0" applyBorder="1" applyAlignment="1">
      <alignment horizontal="right"/>
    </xf>
  </cellXfs>
  <cellStyles count="4">
    <cellStyle name="Comma" xfId="3" builtinId="3"/>
    <cellStyle name="Comma [0]" xfId="1" builtinId="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omic@su.polyu.edu.h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47C18-8749-48AD-B253-E1E17649A6A6}">
  <dimension ref="A1:I49"/>
  <sheetViews>
    <sheetView topLeftCell="A4" workbookViewId="0">
      <selection activeCell="A3" sqref="A3:I3"/>
    </sheetView>
  </sheetViews>
  <sheetFormatPr baseColWidth="10" defaultColWidth="9.1640625" defaultRowHeight="15" x14ac:dyDescent="0.2"/>
  <cols>
    <col min="1" max="1" width="11.5" style="12" customWidth="1"/>
    <col min="2" max="4" width="9.1640625" style="12"/>
    <col min="5" max="5" width="6.6640625" style="12" customWidth="1"/>
    <col min="6" max="6" width="11.33203125" style="12" bestFit="1" customWidth="1"/>
    <col min="7" max="7" width="10.5" style="12" bestFit="1" customWidth="1"/>
    <col min="8" max="9" width="11.33203125" style="12" bestFit="1" customWidth="1"/>
    <col min="10" max="16384" width="9.1640625" style="12"/>
  </cols>
  <sheetData>
    <row r="1" spans="1:9" x14ac:dyDescent="0.2">
      <c r="A1" s="68" t="s">
        <v>105</v>
      </c>
      <c r="B1" s="68"/>
      <c r="C1" s="68"/>
      <c r="D1" s="68"/>
      <c r="E1" s="68"/>
      <c r="F1" s="68"/>
      <c r="G1" s="68"/>
      <c r="H1" s="68"/>
      <c r="I1" s="68"/>
    </row>
    <row r="2" spans="1:9" x14ac:dyDescent="0.2">
      <c r="A2" s="68" t="s">
        <v>208</v>
      </c>
      <c r="B2" s="69"/>
      <c r="C2" s="69"/>
      <c r="D2" s="69"/>
      <c r="E2" s="69"/>
      <c r="F2" s="69"/>
      <c r="G2" s="69"/>
      <c r="H2" s="69"/>
      <c r="I2" s="69"/>
    </row>
    <row r="3" spans="1:9" x14ac:dyDescent="0.2">
      <c r="A3" s="68" t="s">
        <v>255</v>
      </c>
      <c r="B3" s="68"/>
      <c r="C3" s="68"/>
      <c r="D3" s="68"/>
      <c r="E3" s="68"/>
      <c r="F3" s="68"/>
      <c r="G3" s="68"/>
      <c r="H3" s="68"/>
      <c r="I3" s="68"/>
    </row>
    <row r="4" spans="1:9" ht="16" thickBot="1" x14ac:dyDescent="0.25">
      <c r="A4" s="13"/>
      <c r="B4" s="13"/>
      <c r="C4" s="13"/>
      <c r="D4" s="13"/>
      <c r="E4" s="13"/>
      <c r="F4" s="13"/>
      <c r="G4" s="13"/>
      <c r="H4" s="14"/>
      <c r="I4" s="15"/>
    </row>
    <row r="5" spans="1:9" ht="49" thickTop="1" x14ac:dyDescent="0.2">
      <c r="A5" s="16"/>
      <c r="B5" s="70" t="s">
        <v>106</v>
      </c>
      <c r="C5" s="70"/>
      <c r="D5" s="70"/>
      <c r="E5" s="71"/>
      <c r="F5" s="17" t="s">
        <v>107</v>
      </c>
      <c r="G5" s="18" t="s">
        <v>108</v>
      </c>
      <c r="H5" s="19" t="s">
        <v>109</v>
      </c>
      <c r="I5" s="20" t="s">
        <v>110</v>
      </c>
    </row>
    <row r="6" spans="1:9" x14ac:dyDescent="0.2">
      <c r="A6" s="21" t="s">
        <v>111</v>
      </c>
      <c r="B6" s="55" t="str">
        <f>Function1!B4</f>
        <v>Orientation Info Day</v>
      </c>
      <c r="C6" s="56"/>
      <c r="D6" s="56"/>
      <c r="E6" s="57"/>
      <c r="F6" s="22">
        <f>Function1!H6</f>
        <v>0</v>
      </c>
      <c r="G6" s="23">
        <v>0</v>
      </c>
      <c r="H6" s="24">
        <f>Function1!I25</f>
        <v>0</v>
      </c>
      <c r="I6" s="25">
        <f>H6-G6-F6</f>
        <v>0</v>
      </c>
    </row>
    <row r="7" spans="1:9" x14ac:dyDescent="0.2">
      <c r="A7" s="21" t="s">
        <v>31</v>
      </c>
      <c r="B7" s="55" t="str">
        <f>Function2!B4</f>
        <v>Online Orientation Week 2020</v>
      </c>
      <c r="C7" s="56"/>
      <c r="D7" s="56"/>
      <c r="E7" s="57"/>
      <c r="F7" s="26">
        <f>Function2!I7</f>
        <v>4530</v>
      </c>
      <c r="G7" s="23">
        <v>0</v>
      </c>
      <c r="H7" s="24">
        <f>Function2!I14</f>
        <v>500</v>
      </c>
      <c r="I7" s="25">
        <f t="shared" ref="I7:I24" si="0">H7-G7-F7</f>
        <v>-4030</v>
      </c>
    </row>
    <row r="8" spans="1:9" x14ac:dyDescent="0.2">
      <c r="A8" s="21" t="s">
        <v>112</v>
      </c>
      <c r="B8" s="55" t="str">
        <f>Function3!B4</f>
        <v>Physical Orientation Week 2021</v>
      </c>
      <c r="C8" s="56"/>
      <c r="D8" s="56"/>
      <c r="E8" s="57"/>
      <c r="F8" s="22">
        <f>Function3!I8</f>
        <v>5530</v>
      </c>
      <c r="G8" s="23">
        <f>Function3!H7</f>
        <v>1000</v>
      </c>
      <c r="H8" s="24">
        <f>Function3!I24</f>
        <v>2870</v>
      </c>
      <c r="I8" s="25">
        <f t="shared" si="0"/>
        <v>-3660</v>
      </c>
    </row>
    <row r="9" spans="1:9" x14ac:dyDescent="0.2">
      <c r="A9" s="21" t="s">
        <v>28</v>
      </c>
      <c r="B9" s="55" t="str">
        <f>Function4!B4</f>
        <v>Orientation Camp 2020</v>
      </c>
      <c r="C9" s="56"/>
      <c r="D9" s="56"/>
      <c r="E9" s="57"/>
      <c r="F9" s="26">
        <f>Function4!H7</f>
        <v>22220</v>
      </c>
      <c r="G9" s="23">
        <v>0</v>
      </c>
      <c r="H9" s="24">
        <f>Function4!I44</f>
        <v>22305.5</v>
      </c>
      <c r="I9" s="25">
        <f t="shared" si="0"/>
        <v>85.5</v>
      </c>
    </row>
    <row r="10" spans="1:9" x14ac:dyDescent="0.2">
      <c r="A10" s="21" t="s">
        <v>48</v>
      </c>
      <c r="B10" s="55" t="str">
        <f>Function5!B4</f>
        <v>Orientation Night 2020</v>
      </c>
      <c r="C10" s="56"/>
      <c r="D10" s="56"/>
      <c r="E10" s="57"/>
      <c r="F10" s="22">
        <v>0</v>
      </c>
      <c r="G10" s="23">
        <f>Function5!H7</f>
        <v>1500</v>
      </c>
      <c r="H10" s="24">
        <f>Function5!I25</f>
        <v>1559</v>
      </c>
      <c r="I10" s="25">
        <f t="shared" si="0"/>
        <v>59</v>
      </c>
    </row>
    <row r="11" spans="1:9" x14ac:dyDescent="0.2">
      <c r="A11" s="21" t="s">
        <v>30</v>
      </c>
      <c r="B11" s="55" t="str">
        <f>Function6!B4</f>
        <v>1st Comics Meeting</v>
      </c>
      <c r="C11" s="56"/>
      <c r="D11" s="56"/>
      <c r="E11" s="57"/>
      <c r="F11" s="26">
        <v>0</v>
      </c>
      <c r="G11" s="23">
        <v>0</v>
      </c>
      <c r="H11" s="24">
        <f>Function6!I16</f>
        <v>342</v>
      </c>
      <c r="I11" s="25">
        <f t="shared" si="0"/>
        <v>342</v>
      </c>
    </row>
    <row r="12" spans="1:9" x14ac:dyDescent="0.2">
      <c r="A12" s="21" t="s">
        <v>113</v>
      </c>
      <c r="B12" s="55" t="str">
        <f>Function7!B4</f>
        <v>1st Society Magazine</v>
      </c>
      <c r="C12" s="56"/>
      <c r="D12" s="56"/>
      <c r="E12" s="57"/>
      <c r="F12" s="22">
        <v>0</v>
      </c>
      <c r="G12" s="23">
        <f>Function7!H7</f>
        <v>3500</v>
      </c>
      <c r="H12" s="24">
        <f>Function7!I14</f>
        <v>6320</v>
      </c>
      <c r="I12" s="25">
        <f t="shared" si="0"/>
        <v>2820</v>
      </c>
    </row>
    <row r="13" spans="1:9" x14ac:dyDescent="0.2">
      <c r="A13" s="21" t="s">
        <v>0</v>
      </c>
      <c r="B13" s="55" t="str">
        <f>Function8!B4</f>
        <v>2rd Comics Meeting</v>
      </c>
      <c r="C13" s="56"/>
      <c r="D13" s="56"/>
      <c r="E13" s="57"/>
      <c r="F13" s="26">
        <v>0</v>
      </c>
      <c r="G13" s="23">
        <v>0</v>
      </c>
      <c r="H13" s="24">
        <f>Function8!I17</f>
        <v>331</v>
      </c>
      <c r="I13" s="25">
        <f t="shared" si="0"/>
        <v>331</v>
      </c>
    </row>
    <row r="14" spans="1:9" x14ac:dyDescent="0.2">
      <c r="A14" s="21" t="s">
        <v>80</v>
      </c>
      <c r="B14" s="55" t="str">
        <f>Function9!B4</f>
        <v>Annual General Meeting 2021</v>
      </c>
      <c r="C14" s="56"/>
      <c r="D14" s="56"/>
      <c r="E14" s="57"/>
      <c r="F14" s="22">
        <v>0</v>
      </c>
      <c r="G14" s="23">
        <v>0</v>
      </c>
      <c r="H14" s="24">
        <f>Function9!I12</f>
        <v>241.60000000000002</v>
      </c>
      <c r="I14" s="25">
        <f t="shared" si="0"/>
        <v>241.60000000000002</v>
      </c>
    </row>
    <row r="15" spans="1:9" x14ac:dyDescent="0.2">
      <c r="A15" s="21" t="s">
        <v>81</v>
      </c>
      <c r="B15" s="55"/>
      <c r="C15" s="56"/>
      <c r="D15" s="56"/>
      <c r="E15" s="57"/>
      <c r="F15" s="26">
        <v>0</v>
      </c>
      <c r="G15" s="23">
        <v>0</v>
      </c>
      <c r="H15" s="24">
        <v>0</v>
      </c>
      <c r="I15" s="25">
        <f t="shared" si="0"/>
        <v>0</v>
      </c>
    </row>
    <row r="16" spans="1:9" x14ac:dyDescent="0.2">
      <c r="A16" s="21" t="s">
        <v>83</v>
      </c>
      <c r="B16" s="65"/>
      <c r="C16" s="66"/>
      <c r="D16" s="66"/>
      <c r="E16" s="67"/>
      <c r="F16" s="22">
        <v>0</v>
      </c>
      <c r="G16" s="23">
        <v>0</v>
      </c>
      <c r="H16" s="24">
        <v>0</v>
      </c>
      <c r="I16" s="25">
        <f t="shared" si="0"/>
        <v>0</v>
      </c>
    </row>
    <row r="17" spans="1:9" x14ac:dyDescent="0.2">
      <c r="A17" s="21" t="s">
        <v>82</v>
      </c>
      <c r="B17" s="65"/>
      <c r="C17" s="66"/>
      <c r="D17" s="66"/>
      <c r="E17" s="67"/>
      <c r="F17" s="26">
        <v>0</v>
      </c>
      <c r="G17" s="23">
        <v>0</v>
      </c>
      <c r="H17" s="24">
        <v>0</v>
      </c>
      <c r="I17" s="25">
        <f t="shared" si="0"/>
        <v>0</v>
      </c>
    </row>
    <row r="18" spans="1:9" x14ac:dyDescent="0.2">
      <c r="A18" s="21" t="s">
        <v>86</v>
      </c>
      <c r="B18" s="65"/>
      <c r="C18" s="66"/>
      <c r="D18" s="66"/>
      <c r="E18" s="67"/>
      <c r="F18" s="22">
        <v>0</v>
      </c>
      <c r="G18" s="23">
        <v>0</v>
      </c>
      <c r="H18" s="24">
        <v>0</v>
      </c>
      <c r="I18" s="25">
        <f t="shared" si="0"/>
        <v>0</v>
      </c>
    </row>
    <row r="19" spans="1:9" x14ac:dyDescent="0.2">
      <c r="A19" s="21" t="s">
        <v>114</v>
      </c>
      <c r="B19" s="65"/>
      <c r="C19" s="66"/>
      <c r="D19" s="66"/>
      <c r="E19" s="67"/>
      <c r="F19" s="26">
        <v>0</v>
      </c>
      <c r="G19" s="23">
        <v>0</v>
      </c>
      <c r="H19" s="24">
        <v>0</v>
      </c>
      <c r="I19" s="25">
        <f t="shared" si="0"/>
        <v>0</v>
      </c>
    </row>
    <row r="20" spans="1:9" x14ac:dyDescent="0.2">
      <c r="A20" s="21" t="s">
        <v>115</v>
      </c>
      <c r="B20" s="55"/>
      <c r="C20" s="56"/>
      <c r="D20" s="56"/>
      <c r="E20" s="57"/>
      <c r="F20" s="22">
        <v>0</v>
      </c>
      <c r="G20" s="23">
        <v>0</v>
      </c>
      <c r="H20" s="24">
        <v>0</v>
      </c>
      <c r="I20" s="25">
        <f t="shared" si="0"/>
        <v>0</v>
      </c>
    </row>
    <row r="21" spans="1:9" x14ac:dyDescent="0.2">
      <c r="A21" s="21" t="s">
        <v>116</v>
      </c>
      <c r="B21" s="55"/>
      <c r="C21" s="56"/>
      <c r="D21" s="56"/>
      <c r="E21" s="57"/>
      <c r="F21" s="26">
        <v>0</v>
      </c>
      <c r="G21" s="23">
        <v>0</v>
      </c>
      <c r="H21" s="24">
        <v>0</v>
      </c>
      <c r="I21" s="25">
        <f t="shared" si="0"/>
        <v>0</v>
      </c>
    </row>
    <row r="22" spans="1:9" x14ac:dyDescent="0.2">
      <c r="A22" s="21" t="s">
        <v>117</v>
      </c>
      <c r="B22" s="55"/>
      <c r="C22" s="56"/>
      <c r="D22" s="56"/>
      <c r="E22" s="57"/>
      <c r="F22" s="22">
        <v>0</v>
      </c>
      <c r="G22" s="23">
        <v>0</v>
      </c>
      <c r="H22" s="24">
        <v>0</v>
      </c>
      <c r="I22" s="25">
        <f t="shared" si="0"/>
        <v>0</v>
      </c>
    </row>
    <row r="23" spans="1:9" ht="16" thickBot="1" x14ac:dyDescent="0.25">
      <c r="A23" s="27" t="s">
        <v>118</v>
      </c>
      <c r="B23" s="58"/>
      <c r="C23" s="59"/>
      <c r="D23" s="59"/>
      <c r="E23" s="60"/>
      <c r="F23" s="28">
        <v>0</v>
      </c>
      <c r="G23" s="29">
        <v>0</v>
      </c>
      <c r="H23" s="30">
        <v>0</v>
      </c>
      <c r="I23" s="31">
        <f t="shared" si="0"/>
        <v>0</v>
      </c>
    </row>
    <row r="24" spans="1:9" ht="16" thickBot="1" x14ac:dyDescent="0.25">
      <c r="A24" s="61" t="s">
        <v>119</v>
      </c>
      <c r="B24" s="62"/>
      <c r="C24" s="62"/>
      <c r="D24" s="62"/>
      <c r="E24" s="63"/>
      <c r="F24" s="32"/>
      <c r="G24" s="33"/>
      <c r="H24" s="34">
        <f>Admin!I24</f>
        <v>2056</v>
      </c>
      <c r="I24" s="35">
        <f t="shared" si="0"/>
        <v>2056</v>
      </c>
    </row>
    <row r="25" spans="1:9" ht="16" thickBot="1" x14ac:dyDescent="0.25">
      <c r="A25" s="61" t="s">
        <v>120</v>
      </c>
      <c r="B25" s="62"/>
      <c r="C25" s="62"/>
      <c r="D25" s="62"/>
      <c r="E25" s="63"/>
      <c r="F25" s="36">
        <f>SUM(F6:F23)</f>
        <v>32280</v>
      </c>
      <c r="G25" s="37">
        <f t="shared" ref="G25" si="1">SUM(G6:G23)</f>
        <v>6000</v>
      </c>
      <c r="H25" s="36">
        <f>SUM(H6:H24)</f>
        <v>36525.1</v>
      </c>
      <c r="I25" s="38">
        <f>SUM(I6:I24)</f>
        <v>-1754.9</v>
      </c>
    </row>
    <row r="26" spans="1:9" ht="16" thickBot="1" x14ac:dyDescent="0.25">
      <c r="A26" s="61" t="s">
        <v>121</v>
      </c>
      <c r="B26" s="62"/>
      <c r="C26" s="62"/>
      <c r="D26" s="62"/>
      <c r="E26" s="63"/>
      <c r="F26" s="32"/>
      <c r="G26" s="33"/>
      <c r="H26" s="39">
        <f>Asset!N10</f>
        <v>1740</v>
      </c>
      <c r="I26" s="38">
        <f>H26</f>
        <v>1740</v>
      </c>
    </row>
    <row r="27" spans="1:9" x14ac:dyDescent="0.2">
      <c r="A27" s="15"/>
      <c r="B27" s="15"/>
      <c r="C27" s="15"/>
      <c r="D27" s="15"/>
      <c r="E27" s="15"/>
      <c r="F27" s="15"/>
      <c r="G27" s="15"/>
      <c r="H27" s="15"/>
      <c r="I27" s="15"/>
    </row>
    <row r="28" spans="1:9" x14ac:dyDescent="0.2">
      <c r="A28" s="15" t="s">
        <v>122</v>
      </c>
      <c r="B28" s="15"/>
      <c r="C28" s="15"/>
      <c r="D28" s="64">
        <v>5340.29</v>
      </c>
      <c r="E28" s="64"/>
      <c r="F28" s="15"/>
      <c r="G28" s="15"/>
      <c r="H28" s="15"/>
      <c r="I28" s="15"/>
    </row>
    <row r="29" spans="1:9" x14ac:dyDescent="0.2">
      <c r="A29" s="15" t="s">
        <v>123</v>
      </c>
      <c r="B29" s="15"/>
      <c r="C29" s="15"/>
      <c r="D29" s="54">
        <f>Function3!H6</f>
        <v>4530</v>
      </c>
      <c r="E29" s="54"/>
      <c r="F29" s="15"/>
      <c r="G29" s="15"/>
      <c r="H29" s="15"/>
      <c r="I29" s="15"/>
    </row>
    <row r="30" spans="1:9" x14ac:dyDescent="0.2">
      <c r="A30" s="15" t="s">
        <v>239</v>
      </c>
      <c r="B30" s="15"/>
      <c r="C30" s="15"/>
      <c r="D30" s="54">
        <f>F25+G25</f>
        <v>38280</v>
      </c>
      <c r="E30" s="54"/>
      <c r="F30" s="15"/>
      <c r="G30" s="15"/>
      <c r="H30" s="15"/>
      <c r="I30" s="15"/>
    </row>
    <row r="31" spans="1:9" x14ac:dyDescent="0.2">
      <c r="A31" s="15" t="s">
        <v>124</v>
      </c>
      <c r="B31" s="15"/>
      <c r="C31" s="15"/>
      <c r="D31" s="54">
        <f>-H25</f>
        <v>-36525.1</v>
      </c>
      <c r="E31" s="54"/>
      <c r="F31" s="15"/>
      <c r="G31" s="15"/>
      <c r="H31" s="15"/>
      <c r="I31" s="15"/>
    </row>
    <row r="32" spans="1:9" x14ac:dyDescent="0.2">
      <c r="A32" s="15" t="s">
        <v>121</v>
      </c>
      <c r="B32" s="15"/>
      <c r="C32" s="15"/>
      <c r="D32" s="54">
        <f>-H26</f>
        <v>-1740</v>
      </c>
      <c r="E32" s="54"/>
      <c r="F32" s="15"/>
      <c r="G32" s="15"/>
      <c r="H32" s="15"/>
      <c r="I32" s="15"/>
    </row>
    <row r="33" spans="1:9" ht="16" thickBot="1" x14ac:dyDescent="0.25">
      <c r="A33" s="15" t="s">
        <v>125</v>
      </c>
      <c r="B33" s="15"/>
      <c r="C33" s="15"/>
      <c r="D33" s="48">
        <f>SUM(D28,D30,D31,D32)</f>
        <v>5355.1900000000023</v>
      </c>
      <c r="E33" s="48"/>
      <c r="F33" s="15"/>
      <c r="G33" s="15"/>
      <c r="H33" s="15"/>
      <c r="I33" s="15"/>
    </row>
    <row r="34" spans="1:9" ht="16" thickTop="1" x14ac:dyDescent="0.2">
      <c r="A34" s="15"/>
      <c r="B34" s="15"/>
      <c r="C34" s="15"/>
      <c r="D34" s="15"/>
      <c r="E34" s="15"/>
      <c r="F34" s="15"/>
      <c r="G34" s="15"/>
      <c r="H34" s="15"/>
      <c r="I34" s="15"/>
    </row>
    <row r="35" spans="1:9" ht="66.75" customHeight="1" x14ac:dyDescent="0.2">
      <c r="A35" s="49" t="s">
        <v>126</v>
      </c>
      <c r="B35" s="49"/>
      <c r="C35" s="49"/>
      <c r="D35" s="49"/>
      <c r="E35" s="49"/>
      <c r="F35" s="49"/>
      <c r="G35" s="49"/>
      <c r="H35" s="49"/>
      <c r="I35" s="49"/>
    </row>
    <row r="36" spans="1:9" x14ac:dyDescent="0.2">
      <c r="A36" s="15"/>
      <c r="B36" s="15"/>
      <c r="C36" s="15"/>
      <c r="D36" s="15"/>
      <c r="E36" s="15"/>
      <c r="F36" s="15"/>
      <c r="G36" s="15"/>
      <c r="H36" s="15"/>
      <c r="I36" s="15"/>
    </row>
    <row r="37" spans="1:9" x14ac:dyDescent="0.2">
      <c r="A37" s="15" t="s">
        <v>127</v>
      </c>
      <c r="B37" s="15"/>
      <c r="C37" s="15"/>
      <c r="D37" s="15"/>
      <c r="E37" s="15"/>
      <c r="F37" s="15" t="s">
        <v>128</v>
      </c>
      <c r="G37" s="15"/>
      <c r="H37" s="15"/>
      <c r="I37" s="15"/>
    </row>
    <row r="38" spans="1:9" x14ac:dyDescent="0.2">
      <c r="A38" s="15"/>
      <c r="B38" s="15"/>
      <c r="C38" s="15"/>
      <c r="D38" s="15"/>
      <c r="E38" s="15"/>
      <c r="F38" s="15"/>
      <c r="G38" s="15"/>
      <c r="H38" s="15"/>
      <c r="I38" s="15"/>
    </row>
    <row r="39" spans="1:9" x14ac:dyDescent="0.2">
      <c r="A39" s="15"/>
      <c r="B39" s="15"/>
      <c r="C39" s="15"/>
      <c r="D39" s="15"/>
      <c r="E39" s="15"/>
      <c r="F39" s="15"/>
      <c r="G39" s="15"/>
      <c r="H39" s="15"/>
      <c r="I39" s="15"/>
    </row>
    <row r="40" spans="1:9" x14ac:dyDescent="0.2">
      <c r="A40" s="40"/>
      <c r="B40" s="40"/>
      <c r="C40" s="40"/>
      <c r="D40" s="15"/>
      <c r="E40" s="15"/>
      <c r="F40" s="40"/>
      <c r="G40" s="40"/>
      <c r="H40" s="40"/>
      <c r="I40" s="15"/>
    </row>
    <row r="41" spans="1:9" x14ac:dyDescent="0.2">
      <c r="A41" s="50" t="s">
        <v>129</v>
      </c>
      <c r="B41" s="50"/>
      <c r="C41" s="50"/>
      <c r="D41" s="15"/>
      <c r="E41" s="15"/>
      <c r="F41" s="51" t="s">
        <v>130</v>
      </c>
      <c r="G41" s="51"/>
      <c r="H41" s="51"/>
      <c r="I41" s="15"/>
    </row>
    <row r="42" spans="1:9" x14ac:dyDescent="0.2">
      <c r="A42" s="15" t="s">
        <v>131</v>
      </c>
      <c r="B42" s="47" t="s">
        <v>136</v>
      </c>
      <c r="C42" s="47"/>
      <c r="D42" s="15"/>
      <c r="E42" s="15"/>
      <c r="F42" s="15" t="s">
        <v>131</v>
      </c>
      <c r="G42" s="47" t="s">
        <v>139</v>
      </c>
      <c r="H42" s="47"/>
      <c r="I42" s="15"/>
    </row>
    <row r="43" spans="1:9" x14ac:dyDescent="0.2">
      <c r="A43" s="15" t="s">
        <v>132</v>
      </c>
      <c r="B43" s="52">
        <v>67347128</v>
      </c>
      <c r="C43" s="52"/>
      <c r="D43" s="15"/>
      <c r="E43" s="15"/>
      <c r="F43" s="15" t="s">
        <v>132</v>
      </c>
      <c r="G43" s="52">
        <v>64489344</v>
      </c>
      <c r="H43" s="52"/>
      <c r="I43" s="15"/>
    </row>
    <row r="44" spans="1:9" x14ac:dyDescent="0.2">
      <c r="A44" s="15" t="s">
        <v>133</v>
      </c>
      <c r="B44" s="52" t="s">
        <v>140</v>
      </c>
      <c r="C44" s="52"/>
      <c r="D44" s="15"/>
      <c r="E44" s="15"/>
      <c r="F44" s="15" t="s">
        <v>133</v>
      </c>
      <c r="G44" s="52" t="s">
        <v>141</v>
      </c>
      <c r="H44" s="52"/>
      <c r="I44" s="15"/>
    </row>
    <row r="45" spans="1:9" x14ac:dyDescent="0.2">
      <c r="A45" s="15"/>
      <c r="B45" s="15"/>
      <c r="C45" s="15"/>
      <c r="D45" s="15"/>
      <c r="E45" s="15"/>
      <c r="F45" s="15"/>
      <c r="G45" s="15"/>
      <c r="H45" s="15"/>
      <c r="I45" s="15"/>
    </row>
    <row r="46" spans="1:9" x14ac:dyDescent="0.2">
      <c r="A46" s="15"/>
      <c r="B46" s="15"/>
      <c r="C46" s="15"/>
      <c r="D46" s="15"/>
      <c r="E46" s="15"/>
      <c r="F46" s="15"/>
      <c r="G46" s="15"/>
      <c r="H46" s="15"/>
      <c r="I46" s="15"/>
    </row>
    <row r="47" spans="1:9" x14ac:dyDescent="0.2">
      <c r="A47" s="53" t="s">
        <v>134</v>
      </c>
      <c r="B47" s="53"/>
      <c r="C47" s="15"/>
      <c r="D47" s="15"/>
      <c r="E47" s="15"/>
      <c r="F47" s="15" t="s">
        <v>135</v>
      </c>
      <c r="G47" s="15"/>
      <c r="H47" s="15"/>
      <c r="I47" s="15"/>
    </row>
    <row r="48" spans="1:9" x14ac:dyDescent="0.2">
      <c r="A48" s="15"/>
      <c r="B48" s="15"/>
      <c r="C48" s="15"/>
      <c r="D48" s="15"/>
      <c r="E48" s="15"/>
      <c r="F48" s="46" t="s">
        <v>232</v>
      </c>
      <c r="G48" s="47"/>
      <c r="H48" s="47"/>
      <c r="I48" s="47"/>
    </row>
    <row r="49" spans="1:9" x14ac:dyDescent="0.2">
      <c r="A49" s="15"/>
      <c r="B49" s="15"/>
      <c r="C49" s="15"/>
      <c r="D49" s="15"/>
      <c r="E49" s="15"/>
      <c r="F49" s="15"/>
      <c r="G49" s="15"/>
      <c r="H49" s="15"/>
      <c r="I49" s="15"/>
    </row>
  </sheetData>
  <mergeCells count="42">
    <mergeCell ref="B7:E7"/>
    <mergeCell ref="A1:I1"/>
    <mergeCell ref="A2:I2"/>
    <mergeCell ref="A3:I3"/>
    <mergeCell ref="B5:E5"/>
    <mergeCell ref="B6:E6"/>
    <mergeCell ref="B19:E19"/>
    <mergeCell ref="B8:E8"/>
    <mergeCell ref="B9:E9"/>
    <mergeCell ref="B10:E10"/>
    <mergeCell ref="B11:E11"/>
    <mergeCell ref="B12:E12"/>
    <mergeCell ref="B13:E13"/>
    <mergeCell ref="B14:E14"/>
    <mergeCell ref="B15:E15"/>
    <mergeCell ref="B16:E16"/>
    <mergeCell ref="B17:E17"/>
    <mergeCell ref="B18:E18"/>
    <mergeCell ref="D32:E32"/>
    <mergeCell ref="B20:E20"/>
    <mergeCell ref="B21:E21"/>
    <mergeCell ref="B22:E22"/>
    <mergeCell ref="B23:E23"/>
    <mergeCell ref="A24:E24"/>
    <mergeCell ref="A25:E25"/>
    <mergeCell ref="A26:E26"/>
    <mergeCell ref="D28:E28"/>
    <mergeCell ref="D29:E29"/>
    <mergeCell ref="D30:E30"/>
    <mergeCell ref="D31:E31"/>
    <mergeCell ref="F48:I48"/>
    <mergeCell ref="D33:E33"/>
    <mergeCell ref="A35:I35"/>
    <mergeCell ref="A41:C41"/>
    <mergeCell ref="F41:H41"/>
    <mergeCell ref="B42:C42"/>
    <mergeCell ref="G42:H42"/>
    <mergeCell ref="B43:C43"/>
    <mergeCell ref="G43:H43"/>
    <mergeCell ref="B44:C44"/>
    <mergeCell ref="G44:H44"/>
    <mergeCell ref="A47:B47"/>
  </mergeCells>
  <hyperlinks>
    <hyperlink ref="F48" r:id="rId1" xr:uid="{9B223317-4224-4FBD-BF77-98845EB7671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4475-1F17-411F-B19F-CF369A7E5FA0}">
  <sheetPr>
    <pageSetUpPr fitToPage="1"/>
  </sheetPr>
  <dimension ref="A1:P61"/>
  <sheetViews>
    <sheetView workbookViewId="0">
      <selection activeCell="A3" sqref="A3:I3"/>
    </sheetView>
  </sheetViews>
  <sheetFormatPr baseColWidth="10" defaultColWidth="8.83203125" defaultRowHeight="15" x14ac:dyDescent="0.2"/>
  <cols>
    <col min="1" max="1" width="26.5" customWidth="1"/>
    <col min="6" max="6" width="36" customWidth="1"/>
    <col min="9" max="9" width="9.5" bestFit="1" customWidth="1"/>
  </cols>
  <sheetData>
    <row r="1" spans="1:9" x14ac:dyDescent="0.2">
      <c r="A1" s="72" t="s">
        <v>47</v>
      </c>
      <c r="B1" s="72"/>
      <c r="C1" s="72"/>
      <c r="D1" s="72"/>
      <c r="E1" s="72"/>
      <c r="F1" s="72"/>
      <c r="G1" s="72"/>
      <c r="H1" s="72"/>
      <c r="I1" s="72"/>
    </row>
    <row r="2" spans="1:9" x14ac:dyDescent="0.2">
      <c r="A2" s="72" t="s">
        <v>209</v>
      </c>
      <c r="B2" s="72"/>
      <c r="C2" s="72"/>
      <c r="D2" s="72"/>
      <c r="E2" s="72"/>
      <c r="F2" s="72"/>
      <c r="G2" s="72"/>
      <c r="H2" s="72"/>
      <c r="I2" s="72"/>
    </row>
    <row r="3" spans="1:9" x14ac:dyDescent="0.2">
      <c r="A3" s="73" t="s">
        <v>259</v>
      </c>
      <c r="B3" s="73"/>
      <c r="C3" s="73"/>
      <c r="D3" s="73"/>
      <c r="E3" s="73"/>
      <c r="F3" s="73"/>
      <c r="G3" s="73"/>
      <c r="H3" s="73"/>
      <c r="I3" s="73"/>
    </row>
    <row r="4" spans="1:9" x14ac:dyDescent="0.2">
      <c r="A4" t="s">
        <v>80</v>
      </c>
      <c r="B4" s="74" t="s">
        <v>84</v>
      </c>
      <c r="C4" s="74"/>
      <c r="D4" s="74"/>
      <c r="E4" s="74"/>
      <c r="G4" t="s">
        <v>1</v>
      </c>
      <c r="H4" t="s">
        <v>1</v>
      </c>
      <c r="I4" t="s">
        <v>1</v>
      </c>
    </row>
    <row r="5" spans="1:9" x14ac:dyDescent="0.2">
      <c r="A5" s="1" t="s">
        <v>11</v>
      </c>
    </row>
    <row r="6" spans="1:9" x14ac:dyDescent="0.2">
      <c r="A6" t="s">
        <v>24</v>
      </c>
      <c r="H6" s="5">
        <f>I12</f>
        <v>241.60000000000002</v>
      </c>
      <c r="I6" s="5">
        <f>H6</f>
        <v>241.60000000000002</v>
      </c>
    </row>
    <row r="7" spans="1:9" ht="16" thickBot="1" x14ac:dyDescent="0.25">
      <c r="A7" t="s">
        <v>3</v>
      </c>
      <c r="G7" s="3"/>
      <c r="H7" s="4"/>
      <c r="I7" s="10">
        <f>I6</f>
        <v>241.60000000000002</v>
      </c>
    </row>
    <row r="8" spans="1:9" ht="16" thickTop="1" x14ac:dyDescent="0.2">
      <c r="I8" s="4"/>
    </row>
    <row r="9" spans="1:9" x14ac:dyDescent="0.2">
      <c r="G9" s="3"/>
      <c r="H9" s="3"/>
      <c r="I9" s="3"/>
    </row>
    <row r="10" spans="1:9" x14ac:dyDescent="0.2">
      <c r="A10" s="1" t="s">
        <v>46</v>
      </c>
      <c r="G10" s="3"/>
      <c r="H10" s="3"/>
      <c r="I10" s="3"/>
    </row>
    <row r="11" spans="1:9" x14ac:dyDescent="0.2">
      <c r="A11" s="7" t="s">
        <v>85</v>
      </c>
      <c r="C11" t="s">
        <v>79</v>
      </c>
      <c r="F11" t="s">
        <v>245</v>
      </c>
      <c r="H11" s="5">
        <f>0.1 *8 * 302</f>
        <v>241.60000000000002</v>
      </c>
      <c r="I11" s="5">
        <f>SUM(H10:H12)</f>
        <v>241.60000000000002</v>
      </c>
    </row>
    <row r="12" spans="1:9" ht="16" thickBot="1" x14ac:dyDescent="0.25">
      <c r="A12" s="7" t="s">
        <v>9</v>
      </c>
      <c r="H12" s="6"/>
      <c r="I12" s="9">
        <f>I11</f>
        <v>241.60000000000002</v>
      </c>
    </row>
    <row r="13" spans="1:9" ht="16" thickTop="1" x14ac:dyDescent="0.2">
      <c r="A13" s="7"/>
      <c r="G13" s="6"/>
      <c r="H13" s="4"/>
    </row>
    <row r="14" spans="1:9" x14ac:dyDescent="0.2">
      <c r="G14" s="6"/>
    </row>
    <row r="15" spans="1:9" x14ac:dyDescent="0.2">
      <c r="G15" s="6"/>
    </row>
    <row r="36" spans="11:16" x14ac:dyDescent="0.2">
      <c r="K36" s="8"/>
      <c r="L36" s="8"/>
      <c r="M36" s="8"/>
      <c r="N36" s="8"/>
      <c r="O36" s="8"/>
      <c r="P36" s="8"/>
    </row>
    <row r="37" spans="11:16" x14ac:dyDescent="0.2">
      <c r="K37" s="8"/>
      <c r="L37" s="8"/>
      <c r="M37" s="8"/>
      <c r="N37" s="8"/>
      <c r="O37" s="8"/>
      <c r="P37" s="8"/>
    </row>
    <row r="38" spans="11:16" x14ac:dyDescent="0.2">
      <c r="K38" s="8"/>
      <c r="L38" s="8"/>
      <c r="M38" s="8"/>
      <c r="N38" s="8"/>
      <c r="O38" s="8"/>
      <c r="P38" s="8"/>
    </row>
    <row r="50" spans="8:9" x14ac:dyDescent="0.2">
      <c r="H50" s="6"/>
    </row>
    <row r="51" spans="8:9" x14ac:dyDescent="0.2">
      <c r="H51" s="6"/>
    </row>
    <row r="52" spans="8:9" x14ac:dyDescent="0.2">
      <c r="H52" s="6"/>
    </row>
    <row r="53" spans="8:9" x14ac:dyDescent="0.2">
      <c r="H53" s="6"/>
    </row>
    <row r="54" spans="8:9" x14ac:dyDescent="0.2">
      <c r="H54" s="6"/>
    </row>
    <row r="55" spans="8:9" x14ac:dyDescent="0.2">
      <c r="H55" s="6"/>
    </row>
    <row r="56" spans="8:9" x14ac:dyDescent="0.2">
      <c r="H56" s="6"/>
    </row>
    <row r="61" spans="8:9" x14ac:dyDescent="0.2">
      <c r="I61" s="6"/>
    </row>
  </sheetData>
  <mergeCells count="4">
    <mergeCell ref="A1:I1"/>
    <mergeCell ref="A2:I2"/>
    <mergeCell ref="A3:I3"/>
    <mergeCell ref="B4:E4"/>
  </mergeCells>
  <pageMargins left="0.7" right="0.7" top="0.75" bottom="0.75" header="0.3" footer="0.3"/>
  <pageSetup paperSize="9" scale="6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E8924-2147-4E02-AE37-D189484FC0A7}">
  <sheetPr>
    <pageSetUpPr fitToPage="1"/>
  </sheetPr>
  <dimension ref="A1:P70"/>
  <sheetViews>
    <sheetView topLeftCell="A2" workbookViewId="0">
      <selection activeCell="A3" sqref="A3:I3"/>
    </sheetView>
  </sheetViews>
  <sheetFormatPr baseColWidth="10" defaultColWidth="8.83203125" defaultRowHeight="15" x14ac:dyDescent="0.2"/>
  <cols>
    <col min="1" max="1" width="26.5" customWidth="1"/>
    <col min="6" max="6" width="36" customWidth="1"/>
    <col min="9" max="9" width="9.5" bestFit="1" customWidth="1"/>
  </cols>
  <sheetData>
    <row r="1" spans="1:9" x14ac:dyDescent="0.2">
      <c r="A1" s="72" t="s">
        <v>47</v>
      </c>
      <c r="B1" s="72"/>
      <c r="C1" s="72"/>
      <c r="D1" s="72"/>
      <c r="E1" s="72"/>
      <c r="F1" s="72"/>
      <c r="G1" s="72"/>
      <c r="H1" s="72"/>
      <c r="I1" s="72"/>
    </row>
    <row r="2" spans="1:9" x14ac:dyDescent="0.2">
      <c r="A2" s="72" t="s">
        <v>208</v>
      </c>
      <c r="B2" s="72"/>
      <c r="C2" s="72"/>
      <c r="D2" s="72"/>
      <c r="E2" s="72"/>
      <c r="F2" s="72"/>
      <c r="G2" s="72"/>
      <c r="H2" s="72"/>
      <c r="I2" s="72"/>
    </row>
    <row r="3" spans="1:9" x14ac:dyDescent="0.2">
      <c r="A3" s="73" t="s">
        <v>259</v>
      </c>
      <c r="B3" s="73"/>
      <c r="C3" s="73"/>
      <c r="D3" s="73"/>
      <c r="E3" s="73"/>
      <c r="F3" s="73"/>
      <c r="G3" s="73"/>
      <c r="H3" s="73"/>
      <c r="I3" s="73"/>
    </row>
    <row r="4" spans="1:9" x14ac:dyDescent="0.2">
      <c r="A4" t="s">
        <v>155</v>
      </c>
      <c r="B4" s="74"/>
      <c r="C4" s="74"/>
      <c r="D4" s="74"/>
      <c r="E4" s="74"/>
      <c r="G4" t="s">
        <v>1</v>
      </c>
      <c r="H4" t="s">
        <v>1</v>
      </c>
      <c r="I4" t="s">
        <v>1</v>
      </c>
    </row>
    <row r="5" spans="1:9" x14ac:dyDescent="0.2">
      <c r="A5" s="1" t="s">
        <v>11</v>
      </c>
    </row>
    <row r="6" spans="1:9" x14ac:dyDescent="0.2">
      <c r="A6" t="s">
        <v>24</v>
      </c>
      <c r="H6" s="5">
        <f>I23</f>
        <v>2056</v>
      </c>
      <c r="I6" s="5">
        <f>H6</f>
        <v>2056</v>
      </c>
    </row>
    <row r="7" spans="1:9" ht="16" thickBot="1" x14ac:dyDescent="0.25">
      <c r="A7" t="s">
        <v>3</v>
      </c>
      <c r="I7" s="9">
        <f>I6</f>
        <v>2056</v>
      </c>
    </row>
    <row r="8" spans="1:9" ht="16" thickTop="1" x14ac:dyDescent="0.2"/>
    <row r="9" spans="1:9" x14ac:dyDescent="0.2">
      <c r="G9" s="3"/>
      <c r="H9" s="3"/>
      <c r="I9" s="3"/>
    </row>
    <row r="10" spans="1:9" x14ac:dyDescent="0.2">
      <c r="A10" s="1" t="s">
        <v>46</v>
      </c>
      <c r="G10" s="3"/>
      <c r="H10" s="3"/>
      <c r="I10" s="3"/>
    </row>
    <row r="11" spans="1:9" x14ac:dyDescent="0.2">
      <c r="A11" s="7" t="s">
        <v>168</v>
      </c>
      <c r="H11" s="6"/>
    </row>
    <row r="12" spans="1:9" x14ac:dyDescent="0.2">
      <c r="A12" s="7" t="s">
        <v>159</v>
      </c>
      <c r="F12" t="s">
        <v>166</v>
      </c>
      <c r="G12" s="6">
        <f>15*3</f>
        <v>45</v>
      </c>
    </row>
    <row r="13" spans="1:9" x14ac:dyDescent="0.2">
      <c r="A13" s="7" t="s">
        <v>158</v>
      </c>
      <c r="F13" t="s">
        <v>167</v>
      </c>
      <c r="G13" s="6">
        <f>5*10</f>
        <v>50</v>
      </c>
    </row>
    <row r="14" spans="1:9" x14ac:dyDescent="0.2">
      <c r="A14" s="7" t="s">
        <v>160</v>
      </c>
      <c r="F14" t="s">
        <v>101</v>
      </c>
      <c r="G14" s="6">
        <f>10*10</f>
        <v>100</v>
      </c>
    </row>
    <row r="15" spans="1:9" x14ac:dyDescent="0.2">
      <c r="A15" s="7" t="s">
        <v>161</v>
      </c>
      <c r="F15" t="s">
        <v>248</v>
      </c>
      <c r="G15" s="6">
        <f>14*4</f>
        <v>56</v>
      </c>
    </row>
    <row r="16" spans="1:9" x14ac:dyDescent="0.2">
      <c r="A16" s="7" t="s">
        <v>162</v>
      </c>
      <c r="F16" t="s">
        <v>226</v>
      </c>
      <c r="G16" s="6">
        <f>6*20</f>
        <v>120</v>
      </c>
    </row>
    <row r="17" spans="1:12" x14ac:dyDescent="0.2">
      <c r="A17" s="7" t="s">
        <v>163</v>
      </c>
      <c r="F17" t="s">
        <v>173</v>
      </c>
      <c r="G17" s="6">
        <f>20*3</f>
        <v>60</v>
      </c>
    </row>
    <row r="18" spans="1:12" x14ac:dyDescent="0.2">
      <c r="A18" s="7" t="s">
        <v>164</v>
      </c>
      <c r="F18" t="s">
        <v>165</v>
      </c>
      <c r="G18" s="5">
        <f>1*25</f>
        <v>25</v>
      </c>
      <c r="H18" s="6">
        <f>SUM(G12:G18)</f>
        <v>456</v>
      </c>
    </row>
    <row r="19" spans="1:12" x14ac:dyDescent="0.2">
      <c r="A19" s="7" t="s">
        <v>169</v>
      </c>
      <c r="C19" t="s">
        <v>170</v>
      </c>
      <c r="F19" t="s">
        <v>171</v>
      </c>
      <c r="G19" s="6"/>
      <c r="H19" s="6">
        <f>30*6</f>
        <v>180</v>
      </c>
    </row>
    <row r="20" spans="1:12" x14ac:dyDescent="0.2">
      <c r="A20" s="7" t="s">
        <v>157</v>
      </c>
      <c r="F20" t="s">
        <v>254</v>
      </c>
      <c r="H20" s="6">
        <f>5*40</f>
        <v>200</v>
      </c>
    </row>
    <row r="21" spans="1:12" x14ac:dyDescent="0.2">
      <c r="A21" s="7" t="s">
        <v>231</v>
      </c>
      <c r="F21" t="s">
        <v>252</v>
      </c>
      <c r="G21" s="6"/>
      <c r="H21" s="6">
        <f>18*40</f>
        <v>720</v>
      </c>
    </row>
    <row r="22" spans="1:12" x14ac:dyDescent="0.2">
      <c r="A22" s="7" t="s">
        <v>243</v>
      </c>
      <c r="F22" t="s">
        <v>244</v>
      </c>
      <c r="G22" s="6"/>
      <c r="H22" s="6">
        <f>300</f>
        <v>300</v>
      </c>
    </row>
    <row r="23" spans="1:12" x14ac:dyDescent="0.2">
      <c r="A23" s="7" t="s">
        <v>156</v>
      </c>
      <c r="F23" t="s">
        <v>219</v>
      </c>
      <c r="G23" s="6"/>
      <c r="H23" s="5">
        <f>0.1*2000</f>
        <v>200</v>
      </c>
      <c r="I23" s="5">
        <f>SUM(H18:H23)</f>
        <v>2056</v>
      </c>
    </row>
    <row r="24" spans="1:12" ht="16" thickBot="1" x14ac:dyDescent="0.25">
      <c r="A24" s="7" t="s">
        <v>9</v>
      </c>
      <c r="I24" s="9">
        <f>I23</f>
        <v>2056</v>
      </c>
    </row>
    <row r="25" spans="1:12" ht="16" thickTop="1" x14ac:dyDescent="0.2">
      <c r="L25" s="6"/>
    </row>
    <row r="45" spans="11:16" x14ac:dyDescent="0.2">
      <c r="K45" s="8"/>
      <c r="L45" s="8"/>
      <c r="M45" s="8"/>
      <c r="N45" s="8"/>
      <c r="O45" s="8"/>
      <c r="P45" s="8"/>
    </row>
    <row r="46" spans="11:16" x14ac:dyDescent="0.2">
      <c r="K46" s="8"/>
      <c r="L46" s="8"/>
      <c r="M46" s="8"/>
      <c r="N46" s="8"/>
      <c r="O46" s="8"/>
      <c r="P46" s="8"/>
    </row>
    <row r="47" spans="11:16" x14ac:dyDescent="0.2">
      <c r="K47" s="8"/>
      <c r="L47" s="8"/>
      <c r="M47" s="8"/>
      <c r="N47" s="8"/>
      <c r="O47" s="8"/>
      <c r="P47" s="8"/>
    </row>
    <row r="59" spans="8:8" x14ac:dyDescent="0.2">
      <c r="H59" s="6"/>
    </row>
    <row r="60" spans="8:8" x14ac:dyDescent="0.2">
      <c r="H60" s="6"/>
    </row>
    <row r="61" spans="8:8" x14ac:dyDescent="0.2">
      <c r="H61" s="6"/>
    </row>
    <row r="62" spans="8:8" x14ac:dyDescent="0.2">
      <c r="H62" s="6"/>
    </row>
    <row r="63" spans="8:8" x14ac:dyDescent="0.2">
      <c r="H63" s="6"/>
    </row>
    <row r="64" spans="8:8" x14ac:dyDescent="0.2">
      <c r="H64" s="6"/>
    </row>
    <row r="65" spans="8:9" x14ac:dyDescent="0.2">
      <c r="H65" s="6"/>
    </row>
    <row r="70" spans="8:9" x14ac:dyDescent="0.2">
      <c r="I70" s="6"/>
    </row>
  </sheetData>
  <mergeCells count="4">
    <mergeCell ref="A1:I1"/>
    <mergeCell ref="A2:I2"/>
    <mergeCell ref="A3:I3"/>
    <mergeCell ref="B4:E4"/>
  </mergeCells>
  <pageMargins left="0.7" right="0.7" top="0.75" bottom="0.75" header="0.3" footer="0.3"/>
  <pageSetup paperSize="9"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93914-BFA4-4262-8DF4-5A5916F71F71}">
  <dimension ref="A1:N45"/>
  <sheetViews>
    <sheetView topLeftCell="A2" zoomScaleNormal="100" workbookViewId="0">
      <selection activeCell="A3" sqref="A3:N3"/>
    </sheetView>
  </sheetViews>
  <sheetFormatPr baseColWidth="10" defaultColWidth="8.83203125" defaultRowHeight="15" x14ac:dyDescent="0.2"/>
  <sheetData>
    <row r="1" spans="1:14" x14ac:dyDescent="0.2">
      <c r="A1" s="72" t="s">
        <v>47</v>
      </c>
      <c r="B1" s="72"/>
      <c r="C1" s="72"/>
      <c r="D1" s="72"/>
      <c r="E1" s="72"/>
      <c r="F1" s="72"/>
      <c r="G1" s="72"/>
      <c r="H1" s="72"/>
      <c r="I1" s="72"/>
      <c r="J1" s="72"/>
      <c r="K1" s="72"/>
      <c r="L1" s="72"/>
      <c r="M1" s="72"/>
      <c r="N1" s="72"/>
    </row>
    <row r="2" spans="1:14" x14ac:dyDescent="0.2">
      <c r="A2" s="72" t="s">
        <v>208</v>
      </c>
      <c r="B2" s="72"/>
      <c r="C2" s="72"/>
      <c r="D2" s="72"/>
      <c r="E2" s="72"/>
      <c r="F2" s="72"/>
      <c r="G2" s="72"/>
      <c r="H2" s="72"/>
      <c r="I2" s="72"/>
      <c r="J2" s="72"/>
      <c r="K2" s="72"/>
      <c r="L2" s="72"/>
      <c r="M2" s="72"/>
      <c r="N2" s="72"/>
    </row>
    <row r="3" spans="1:14" x14ac:dyDescent="0.2">
      <c r="A3" s="72" t="s">
        <v>256</v>
      </c>
      <c r="B3" s="72"/>
      <c r="C3" s="72"/>
      <c r="D3" s="72"/>
      <c r="E3" s="72"/>
      <c r="F3" s="72"/>
      <c r="G3" s="72"/>
      <c r="H3" s="72"/>
      <c r="I3" s="72"/>
      <c r="J3" s="72"/>
      <c r="K3" s="72"/>
      <c r="L3" s="72"/>
      <c r="M3" s="72"/>
      <c r="N3" s="72"/>
    </row>
    <row r="4" spans="1:14" x14ac:dyDescent="0.2">
      <c r="A4" t="s">
        <v>87</v>
      </c>
      <c r="N4" t="s">
        <v>1</v>
      </c>
    </row>
    <row r="5" spans="1:14" x14ac:dyDescent="0.2">
      <c r="A5" t="s">
        <v>88</v>
      </c>
    </row>
    <row r="6" spans="1:14" x14ac:dyDescent="0.2">
      <c r="A6" t="s">
        <v>143</v>
      </c>
      <c r="N6" s="6">
        <v>0</v>
      </c>
    </row>
    <row r="7" spans="1:14" x14ac:dyDescent="0.2">
      <c r="A7" t="s">
        <v>144</v>
      </c>
      <c r="N7" s="6">
        <f>SUM(N37:N45)</f>
        <v>0</v>
      </c>
    </row>
    <row r="8" spans="1:14" x14ac:dyDescent="0.2">
      <c r="A8" t="s">
        <v>145</v>
      </c>
      <c r="N8" s="6">
        <f>N20</f>
        <v>900</v>
      </c>
    </row>
    <row r="9" spans="1:14" x14ac:dyDescent="0.2">
      <c r="A9" t="s">
        <v>146</v>
      </c>
      <c r="L9" s="1"/>
      <c r="M9" s="1"/>
      <c r="N9" s="5">
        <f>N21</f>
        <v>840</v>
      </c>
    </row>
    <row r="10" spans="1:14" ht="16" thickBot="1" x14ac:dyDescent="0.25">
      <c r="A10" t="s">
        <v>89</v>
      </c>
      <c r="L10" s="11"/>
      <c r="M10" s="11"/>
      <c r="N10" s="10">
        <f>SUM(N6:N9)</f>
        <v>1740</v>
      </c>
    </row>
    <row r="11" spans="1:14" ht="16" thickTop="1" x14ac:dyDescent="0.2"/>
    <row r="12" spans="1:14" x14ac:dyDescent="0.2">
      <c r="N12" s="6"/>
    </row>
    <row r="13" spans="1:14" x14ac:dyDescent="0.2">
      <c r="A13" t="s">
        <v>2</v>
      </c>
      <c r="L13" s="1"/>
      <c r="M13" s="1"/>
      <c r="N13" s="5">
        <f>N10-N12</f>
        <v>1740</v>
      </c>
    </row>
    <row r="14" spans="1:14" ht="16" thickBot="1" x14ac:dyDescent="0.25">
      <c r="A14" t="s">
        <v>89</v>
      </c>
      <c r="L14" s="2"/>
      <c r="M14" s="2"/>
      <c r="N14" s="9">
        <f>N12+N13</f>
        <v>1740</v>
      </c>
    </row>
    <row r="15" spans="1:14" ht="16" thickTop="1" x14ac:dyDescent="0.2"/>
    <row r="18" spans="1:14" x14ac:dyDescent="0.2">
      <c r="A18" s="1" t="s">
        <v>90</v>
      </c>
      <c r="B18" s="1"/>
      <c r="C18" s="1"/>
      <c r="D18" s="1"/>
      <c r="E18" s="1"/>
      <c r="F18" s="1"/>
      <c r="G18" s="1"/>
      <c r="H18" s="1"/>
      <c r="I18" s="1"/>
      <c r="J18" s="1"/>
      <c r="K18" s="1"/>
      <c r="L18" s="1"/>
      <c r="M18" s="1"/>
      <c r="N18" s="1"/>
    </row>
    <row r="19" spans="1:14" x14ac:dyDescent="0.2">
      <c r="A19" t="s">
        <v>142</v>
      </c>
      <c r="H19" s="41" t="s">
        <v>147</v>
      </c>
      <c r="I19" s="41" t="s">
        <v>148</v>
      </c>
      <c r="J19" s="41" t="s">
        <v>149</v>
      </c>
      <c r="K19" s="75" t="s">
        <v>150</v>
      </c>
      <c r="L19" s="75"/>
      <c r="M19" s="75" t="s">
        <v>151</v>
      </c>
      <c r="N19" s="75"/>
    </row>
    <row r="20" spans="1:14" x14ac:dyDescent="0.2">
      <c r="A20" t="s">
        <v>172</v>
      </c>
      <c r="H20" s="41" t="s">
        <v>152</v>
      </c>
      <c r="I20" s="41" t="s">
        <v>224</v>
      </c>
      <c r="J20" s="41">
        <v>30</v>
      </c>
      <c r="K20" s="41"/>
      <c r="L20" s="42">
        <v>30</v>
      </c>
      <c r="M20" s="41"/>
      <c r="N20" s="42">
        <f>30*30</f>
        <v>900</v>
      </c>
    </row>
    <row r="21" spans="1:14" x14ac:dyDescent="0.2">
      <c r="A21" t="s">
        <v>172</v>
      </c>
      <c r="H21" s="41" t="s">
        <v>153</v>
      </c>
      <c r="I21" s="41" t="s">
        <v>224</v>
      </c>
      <c r="J21" s="41">
        <v>12</v>
      </c>
      <c r="K21" s="41"/>
      <c r="L21" s="42">
        <v>70</v>
      </c>
      <c r="M21" s="41"/>
      <c r="N21" s="42">
        <f>70*12</f>
        <v>840</v>
      </c>
    </row>
    <row r="22" spans="1:14" x14ac:dyDescent="0.2">
      <c r="H22" s="41"/>
      <c r="I22" s="41"/>
      <c r="J22" s="41"/>
      <c r="K22" s="42"/>
      <c r="L22" s="41"/>
      <c r="M22" s="42"/>
      <c r="N22" s="41"/>
    </row>
    <row r="23" spans="1:14" x14ac:dyDescent="0.2">
      <c r="K23" s="6"/>
      <c r="M23" s="6"/>
    </row>
    <row r="24" spans="1:14" x14ac:dyDescent="0.2">
      <c r="L24" s="6"/>
      <c r="N24" s="6"/>
    </row>
    <row r="25" spans="1:14" x14ac:dyDescent="0.2">
      <c r="L25" s="6"/>
      <c r="N25" s="6"/>
    </row>
    <row r="26" spans="1:14" x14ac:dyDescent="0.2">
      <c r="L26" s="6"/>
      <c r="N26" s="6"/>
    </row>
    <row r="27" spans="1:14" x14ac:dyDescent="0.2">
      <c r="L27" s="6"/>
      <c r="N27" s="6"/>
    </row>
    <row r="28" spans="1:14" x14ac:dyDescent="0.2">
      <c r="J28" s="45"/>
      <c r="L28" s="6"/>
      <c r="N28" s="6"/>
    </row>
    <row r="29" spans="1:14" x14ac:dyDescent="0.2">
      <c r="L29" s="6"/>
      <c r="N29" s="6"/>
    </row>
    <row r="30" spans="1:14" x14ac:dyDescent="0.2">
      <c r="L30" s="6"/>
      <c r="N30" s="6"/>
    </row>
    <row r="31" spans="1:14" x14ac:dyDescent="0.2">
      <c r="L31" s="6"/>
      <c r="N31" s="6"/>
    </row>
    <row r="32" spans="1:14" x14ac:dyDescent="0.2">
      <c r="L32" s="6"/>
      <c r="N32" s="6"/>
    </row>
    <row r="33" spans="12:14" x14ac:dyDescent="0.2">
      <c r="L33" s="6"/>
      <c r="N33" s="6"/>
    </row>
    <row r="34" spans="12:14" x14ac:dyDescent="0.2">
      <c r="L34" s="6"/>
      <c r="N34" s="6"/>
    </row>
    <row r="35" spans="12:14" x14ac:dyDescent="0.2">
      <c r="L35" s="6"/>
      <c r="N35" s="6"/>
    </row>
    <row r="36" spans="12:14" x14ac:dyDescent="0.2">
      <c r="L36" s="6"/>
      <c r="N36" s="6"/>
    </row>
    <row r="37" spans="12:14" x14ac:dyDescent="0.2">
      <c r="L37" s="6"/>
      <c r="N37" s="6"/>
    </row>
    <row r="38" spans="12:14" x14ac:dyDescent="0.2">
      <c r="L38" s="6"/>
      <c r="N38" s="6"/>
    </row>
    <row r="39" spans="12:14" x14ac:dyDescent="0.2">
      <c r="L39" s="6"/>
      <c r="N39" s="6"/>
    </row>
    <row r="40" spans="12:14" x14ac:dyDescent="0.2">
      <c r="L40" s="6"/>
      <c r="N40" s="6"/>
    </row>
    <row r="41" spans="12:14" x14ac:dyDescent="0.2">
      <c r="L41" s="6"/>
      <c r="N41" s="6"/>
    </row>
    <row r="42" spans="12:14" x14ac:dyDescent="0.2">
      <c r="L42" s="6"/>
      <c r="N42" s="6"/>
    </row>
    <row r="43" spans="12:14" x14ac:dyDescent="0.2">
      <c r="L43" s="6"/>
      <c r="N43" s="6"/>
    </row>
    <row r="44" spans="12:14" x14ac:dyDescent="0.2">
      <c r="L44" s="6"/>
      <c r="N44" s="6"/>
    </row>
    <row r="45" spans="12:14" x14ac:dyDescent="0.2">
      <c r="L45" s="6"/>
      <c r="N45" s="6"/>
    </row>
  </sheetData>
  <mergeCells count="5">
    <mergeCell ref="A1:N1"/>
    <mergeCell ref="A2:N2"/>
    <mergeCell ref="A3:N3"/>
    <mergeCell ref="K19:L19"/>
    <mergeCell ref="M19:N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B6027-9AE2-41F4-B008-0A5A7285C206}">
  <dimension ref="A1:P56"/>
  <sheetViews>
    <sheetView workbookViewId="0">
      <selection activeCell="A3" sqref="A3:I3"/>
    </sheetView>
  </sheetViews>
  <sheetFormatPr baseColWidth="10" defaultColWidth="8.83203125" defaultRowHeight="15" x14ac:dyDescent="0.2"/>
  <cols>
    <col min="1" max="1" width="26.5" customWidth="1"/>
    <col min="6" max="6" width="36" customWidth="1"/>
    <col min="9" max="9" width="9.5" bestFit="1" customWidth="1"/>
  </cols>
  <sheetData>
    <row r="1" spans="1:9" x14ac:dyDescent="0.2">
      <c r="A1" s="72" t="s">
        <v>47</v>
      </c>
      <c r="B1" s="72"/>
      <c r="C1" s="72"/>
      <c r="D1" s="72"/>
      <c r="E1" s="72"/>
      <c r="F1" s="72"/>
      <c r="G1" s="72"/>
      <c r="H1" s="72"/>
      <c r="I1" s="72"/>
    </row>
    <row r="2" spans="1:9" x14ac:dyDescent="0.2">
      <c r="A2" s="72" t="s">
        <v>208</v>
      </c>
      <c r="B2" s="72"/>
      <c r="C2" s="72"/>
      <c r="D2" s="72"/>
      <c r="E2" s="72"/>
      <c r="F2" s="72"/>
      <c r="G2" s="72"/>
      <c r="H2" s="72"/>
      <c r="I2" s="72"/>
    </row>
    <row r="3" spans="1:9" x14ac:dyDescent="0.2">
      <c r="A3" s="73" t="s">
        <v>256</v>
      </c>
      <c r="B3" s="73"/>
      <c r="C3" s="73"/>
      <c r="D3" s="73"/>
      <c r="E3" s="73"/>
      <c r="F3" s="73"/>
      <c r="G3" s="73"/>
      <c r="H3" s="73"/>
      <c r="I3" s="73"/>
    </row>
    <row r="4" spans="1:9" x14ac:dyDescent="0.2">
      <c r="A4" t="s">
        <v>10</v>
      </c>
      <c r="B4" s="74" t="s">
        <v>223</v>
      </c>
      <c r="C4" s="74"/>
      <c r="D4" s="74"/>
      <c r="E4" s="74"/>
      <c r="G4" t="s">
        <v>1</v>
      </c>
      <c r="H4" t="s">
        <v>1</v>
      </c>
      <c r="I4" t="s">
        <v>1</v>
      </c>
    </row>
    <row r="5" spans="1:9" x14ac:dyDescent="0.2">
      <c r="A5" s="1" t="s">
        <v>11</v>
      </c>
    </row>
    <row r="6" spans="1:9" x14ac:dyDescent="0.2">
      <c r="A6" t="s">
        <v>2</v>
      </c>
      <c r="H6" s="5">
        <v>0</v>
      </c>
      <c r="I6" s="5">
        <v>0</v>
      </c>
    </row>
    <row r="7" spans="1:9" ht="16" thickBot="1" x14ac:dyDescent="0.25">
      <c r="I7" s="9">
        <v>0</v>
      </c>
    </row>
    <row r="8" spans="1:9" ht="16" thickTop="1" x14ac:dyDescent="0.2"/>
    <row r="10" spans="1:9" x14ac:dyDescent="0.2">
      <c r="A10" s="1" t="s">
        <v>46</v>
      </c>
      <c r="I10" s="3"/>
    </row>
    <row r="11" spans="1:9" x14ac:dyDescent="0.2">
      <c r="I11" s="5">
        <v>0</v>
      </c>
    </row>
    <row r="12" spans="1:9" ht="16" thickBot="1" x14ac:dyDescent="0.25">
      <c r="I12" s="9">
        <v>0</v>
      </c>
    </row>
    <row r="13" spans="1:9" ht="16" thickTop="1" x14ac:dyDescent="0.2"/>
    <row r="31" spans="10:16" x14ac:dyDescent="0.2">
      <c r="J31" s="8"/>
      <c r="K31" s="8"/>
      <c r="L31" s="8"/>
      <c r="M31" s="8"/>
      <c r="N31" s="8"/>
      <c r="O31" s="8"/>
      <c r="P31" s="8"/>
    </row>
    <row r="32" spans="10:16" x14ac:dyDescent="0.2">
      <c r="J32" s="8"/>
      <c r="K32" s="8"/>
      <c r="L32" s="8"/>
      <c r="M32" s="8"/>
      <c r="N32" s="8"/>
      <c r="O32" s="8"/>
      <c r="P32" s="8"/>
    </row>
    <row r="33" spans="8:16" x14ac:dyDescent="0.2">
      <c r="J33" s="8"/>
      <c r="K33" s="8"/>
      <c r="L33" s="8"/>
      <c r="M33" s="8"/>
      <c r="N33" s="8"/>
      <c r="O33" s="8"/>
      <c r="P33" s="8"/>
    </row>
    <row r="45" spans="8:16" x14ac:dyDescent="0.2">
      <c r="H45" s="6"/>
    </row>
    <row r="46" spans="8:16" x14ac:dyDescent="0.2">
      <c r="H46" s="6"/>
    </row>
    <row r="47" spans="8:16" x14ac:dyDescent="0.2">
      <c r="H47" s="6"/>
    </row>
    <row r="48" spans="8:16" x14ac:dyDescent="0.2">
      <c r="H48" s="6"/>
    </row>
    <row r="49" spans="8:9" x14ac:dyDescent="0.2">
      <c r="H49" s="6"/>
    </row>
    <row r="50" spans="8:9" x14ac:dyDescent="0.2">
      <c r="H50" s="6"/>
    </row>
    <row r="51" spans="8:9" x14ac:dyDescent="0.2">
      <c r="H51" s="6"/>
    </row>
    <row r="56" spans="8:9" x14ac:dyDescent="0.2">
      <c r="I56" s="6"/>
    </row>
  </sheetData>
  <mergeCells count="4">
    <mergeCell ref="A1:I1"/>
    <mergeCell ref="A2:I2"/>
    <mergeCell ref="A3:I3"/>
    <mergeCell ref="B4:E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EBE6-9DFC-A346-847A-B453F8A79DD4}">
  <sheetPr>
    <pageSetUpPr fitToPage="1"/>
  </sheetPr>
  <dimension ref="A1:P43"/>
  <sheetViews>
    <sheetView workbookViewId="0">
      <selection activeCell="G14" sqref="G14"/>
    </sheetView>
  </sheetViews>
  <sheetFormatPr baseColWidth="10" defaultColWidth="8.83203125" defaultRowHeight="15" x14ac:dyDescent="0.2"/>
  <cols>
    <col min="1" max="1" width="26.5" customWidth="1"/>
    <col min="6" max="6" width="36" customWidth="1"/>
    <col min="9" max="9" width="9.5" bestFit="1" customWidth="1"/>
  </cols>
  <sheetData>
    <row r="1" spans="1:16" x14ac:dyDescent="0.2">
      <c r="A1" s="72" t="s">
        <v>47</v>
      </c>
      <c r="B1" s="72"/>
      <c r="C1" s="72"/>
      <c r="D1" s="72"/>
      <c r="E1" s="72"/>
      <c r="F1" s="72"/>
      <c r="G1" s="72"/>
      <c r="H1" s="72"/>
      <c r="I1" s="72"/>
    </row>
    <row r="2" spans="1:16" x14ac:dyDescent="0.2">
      <c r="A2" s="72" t="s">
        <v>208</v>
      </c>
      <c r="B2" s="72"/>
      <c r="C2" s="72"/>
      <c r="D2" s="72"/>
      <c r="E2" s="72"/>
      <c r="F2" s="72"/>
      <c r="G2" s="72"/>
      <c r="H2" s="72"/>
      <c r="I2" s="72"/>
    </row>
    <row r="3" spans="1:16" x14ac:dyDescent="0.2">
      <c r="A3" s="73" t="s">
        <v>256</v>
      </c>
      <c r="B3" s="73"/>
      <c r="C3" s="73"/>
      <c r="D3" s="73"/>
      <c r="E3" s="73"/>
      <c r="F3" s="73"/>
      <c r="G3" s="73"/>
      <c r="H3" s="73"/>
      <c r="I3" s="73"/>
    </row>
    <row r="4" spans="1:16" x14ac:dyDescent="0.2">
      <c r="A4" t="s">
        <v>31</v>
      </c>
      <c r="B4" s="74" t="s">
        <v>233</v>
      </c>
      <c r="C4" s="74"/>
      <c r="D4" s="74"/>
      <c r="E4" s="74"/>
      <c r="G4" t="s">
        <v>1</v>
      </c>
      <c r="H4" t="s">
        <v>1</v>
      </c>
      <c r="I4" t="s">
        <v>1</v>
      </c>
    </row>
    <row r="5" spans="1:16" x14ac:dyDescent="0.2">
      <c r="A5" s="1" t="s">
        <v>11</v>
      </c>
    </row>
    <row r="6" spans="1:16" x14ac:dyDescent="0.2">
      <c r="A6" t="s">
        <v>12</v>
      </c>
      <c r="F6" t="s">
        <v>257</v>
      </c>
      <c r="H6" s="5">
        <f>30*151</f>
        <v>4530</v>
      </c>
      <c r="I6" s="5">
        <f>H6</f>
        <v>4530</v>
      </c>
    </row>
    <row r="7" spans="1:16" ht="16" thickBot="1" x14ac:dyDescent="0.25">
      <c r="I7" s="10">
        <f>I6</f>
        <v>4530</v>
      </c>
    </row>
    <row r="8" spans="1:16" ht="16" thickTop="1" x14ac:dyDescent="0.2">
      <c r="G8" s="3"/>
      <c r="H8" s="3"/>
      <c r="I8" s="3"/>
    </row>
    <row r="9" spans="1:16" x14ac:dyDescent="0.2">
      <c r="A9" s="1" t="s">
        <v>46</v>
      </c>
      <c r="G9" s="3"/>
      <c r="H9" s="3"/>
      <c r="I9" s="3"/>
    </row>
    <row r="10" spans="1:16" x14ac:dyDescent="0.2">
      <c r="A10" t="s">
        <v>14</v>
      </c>
    </row>
    <row r="11" spans="1:16" x14ac:dyDescent="0.2">
      <c r="A11" t="s">
        <v>13</v>
      </c>
      <c r="C11" t="s">
        <v>236</v>
      </c>
      <c r="F11" t="s">
        <v>237</v>
      </c>
      <c r="G11" s="5">
        <v>480</v>
      </c>
      <c r="H11" s="6">
        <v>480</v>
      </c>
    </row>
    <row r="12" spans="1:16" x14ac:dyDescent="0.2">
      <c r="A12" t="s">
        <v>17</v>
      </c>
    </row>
    <row r="13" spans="1:16" x14ac:dyDescent="0.2">
      <c r="A13" t="s">
        <v>16</v>
      </c>
      <c r="F13" t="s">
        <v>258</v>
      </c>
      <c r="G13" s="5">
        <f>5*4</f>
        <v>20</v>
      </c>
      <c r="H13" s="5">
        <f>G13</f>
        <v>20</v>
      </c>
      <c r="I13" s="6">
        <f>SUM(H13:H111)</f>
        <v>20</v>
      </c>
    </row>
    <row r="14" spans="1:16" ht="16" thickBot="1" x14ac:dyDescent="0.25">
      <c r="A14" t="s">
        <v>9</v>
      </c>
      <c r="I14" s="9">
        <f>SUM(H10:H13)</f>
        <v>500</v>
      </c>
      <c r="J14" s="8"/>
      <c r="K14" s="8"/>
      <c r="L14" s="8"/>
      <c r="M14" s="8"/>
      <c r="N14" s="8"/>
      <c r="O14" s="8"/>
      <c r="P14" s="8"/>
    </row>
    <row r="15" spans="1:16" ht="16" thickTop="1" x14ac:dyDescent="0.2">
      <c r="J15" s="8"/>
      <c r="K15" s="8"/>
      <c r="L15" s="8"/>
      <c r="M15" s="8"/>
      <c r="N15" s="8"/>
      <c r="O15" s="8"/>
      <c r="P15" s="8"/>
    </row>
    <row r="16" spans="1:16" x14ac:dyDescent="0.2">
      <c r="A16" t="s">
        <v>3</v>
      </c>
      <c r="I16" s="6">
        <f>I7</f>
        <v>4530</v>
      </c>
      <c r="J16" s="8"/>
      <c r="K16" s="8"/>
      <c r="L16" s="8"/>
      <c r="M16" s="8"/>
      <c r="N16" s="8"/>
      <c r="O16" s="8"/>
      <c r="P16" s="8"/>
    </row>
    <row r="17" spans="1:9" x14ac:dyDescent="0.2">
      <c r="A17" t="s">
        <v>9</v>
      </c>
      <c r="I17" s="5">
        <f>I14</f>
        <v>500</v>
      </c>
    </row>
    <row r="18" spans="1:9" ht="16" thickBot="1" x14ac:dyDescent="0.25">
      <c r="A18" t="s">
        <v>68</v>
      </c>
      <c r="I18" s="9">
        <f>ROUND(I16-I17,1)</f>
        <v>4030</v>
      </c>
    </row>
    <row r="19" spans="1:9" ht="16" thickTop="1" x14ac:dyDescent="0.2"/>
    <row r="32" spans="1:9" x14ac:dyDescent="0.2">
      <c r="H32" s="6"/>
    </row>
    <row r="33" spans="8:9" x14ac:dyDescent="0.2">
      <c r="H33" s="6"/>
    </row>
    <row r="34" spans="8:9" x14ac:dyDescent="0.2">
      <c r="H34" s="6"/>
    </row>
    <row r="35" spans="8:9" x14ac:dyDescent="0.2">
      <c r="H35" s="6"/>
    </row>
    <row r="36" spans="8:9" x14ac:dyDescent="0.2">
      <c r="H36" s="6"/>
    </row>
    <row r="37" spans="8:9" x14ac:dyDescent="0.2">
      <c r="H37" s="6"/>
    </row>
    <row r="38" spans="8:9" x14ac:dyDescent="0.2">
      <c r="H38" s="6"/>
    </row>
    <row r="43" spans="8:9" x14ac:dyDescent="0.2">
      <c r="I43" s="6"/>
    </row>
  </sheetData>
  <mergeCells count="4">
    <mergeCell ref="A1:I1"/>
    <mergeCell ref="A2:I2"/>
    <mergeCell ref="A3:I3"/>
    <mergeCell ref="B4:E4"/>
  </mergeCells>
  <pageMargins left="0.7" right="0.7" top="0.75" bottom="0.75" header="0.3" footer="0.3"/>
  <pageSetup paperSize="9" scale="6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35718-AE6E-4C60-BC81-FECD2E4FD4CC}">
  <sheetPr>
    <pageSetUpPr fitToPage="1"/>
  </sheetPr>
  <dimension ref="A1:P53"/>
  <sheetViews>
    <sheetView tabSelected="1" workbookViewId="0">
      <selection activeCell="H28" sqref="H28"/>
    </sheetView>
  </sheetViews>
  <sheetFormatPr baseColWidth="10" defaultColWidth="8.83203125" defaultRowHeight="15" x14ac:dyDescent="0.2"/>
  <cols>
    <col min="1" max="1" width="26.5" customWidth="1"/>
    <col min="6" max="6" width="36" customWidth="1"/>
    <col min="9" max="9" width="9.5" bestFit="1" customWidth="1"/>
  </cols>
  <sheetData>
    <row r="1" spans="1:9" x14ac:dyDescent="0.2">
      <c r="A1" s="72" t="s">
        <v>47</v>
      </c>
      <c r="B1" s="72"/>
      <c r="C1" s="72"/>
      <c r="D1" s="72"/>
      <c r="E1" s="72"/>
      <c r="F1" s="72"/>
      <c r="G1" s="72"/>
      <c r="H1" s="72"/>
      <c r="I1" s="72"/>
    </row>
    <row r="2" spans="1:9" x14ac:dyDescent="0.2">
      <c r="A2" s="72" t="s">
        <v>208</v>
      </c>
      <c r="B2" s="72"/>
      <c r="C2" s="72"/>
      <c r="D2" s="72"/>
      <c r="E2" s="72"/>
      <c r="F2" s="72"/>
      <c r="G2" s="72"/>
      <c r="H2" s="72"/>
      <c r="I2" s="72"/>
    </row>
    <row r="3" spans="1:9" x14ac:dyDescent="0.2">
      <c r="A3" s="73" t="s">
        <v>256</v>
      </c>
      <c r="B3" s="73"/>
      <c r="C3" s="73"/>
      <c r="D3" s="73"/>
      <c r="E3" s="73"/>
      <c r="F3" s="73"/>
      <c r="G3" s="73"/>
      <c r="H3" s="73"/>
      <c r="I3" s="73"/>
    </row>
    <row r="4" spans="1:9" x14ac:dyDescent="0.2">
      <c r="A4" t="s">
        <v>22</v>
      </c>
      <c r="B4" s="74" t="s">
        <v>234</v>
      </c>
      <c r="C4" s="74"/>
      <c r="D4" s="74"/>
      <c r="E4" s="74"/>
      <c r="G4" t="s">
        <v>1</v>
      </c>
      <c r="H4" t="s">
        <v>1</v>
      </c>
      <c r="I4" t="s">
        <v>1</v>
      </c>
    </row>
    <row r="5" spans="1:9" x14ac:dyDescent="0.2">
      <c r="A5" s="1" t="s">
        <v>11</v>
      </c>
    </row>
    <row r="6" spans="1:9" x14ac:dyDescent="0.2">
      <c r="A6" t="s">
        <v>12</v>
      </c>
      <c r="F6" t="s">
        <v>257</v>
      </c>
      <c r="H6" s="4">
        <f>30 * 151</f>
        <v>4530</v>
      </c>
    </row>
    <row r="7" spans="1:9" x14ac:dyDescent="0.2">
      <c r="A7" t="s">
        <v>206</v>
      </c>
      <c r="H7" s="5">
        <v>1000</v>
      </c>
      <c r="I7" s="5">
        <f>SUM(H6:H7)</f>
        <v>5530</v>
      </c>
    </row>
    <row r="8" spans="1:9" ht="16" thickBot="1" x14ac:dyDescent="0.25">
      <c r="I8" s="10">
        <f>I7</f>
        <v>5530</v>
      </c>
    </row>
    <row r="9" spans="1:9" ht="16" thickTop="1" x14ac:dyDescent="0.2">
      <c r="G9" s="3"/>
      <c r="H9" s="3"/>
      <c r="I9" s="3"/>
    </row>
    <row r="10" spans="1:9" x14ac:dyDescent="0.2">
      <c r="A10" s="1" t="s">
        <v>46</v>
      </c>
      <c r="G10" s="3"/>
      <c r="H10" s="3"/>
      <c r="I10" s="3"/>
    </row>
    <row r="11" spans="1:9" x14ac:dyDescent="0.2">
      <c r="A11" t="s">
        <v>15</v>
      </c>
    </row>
    <row r="12" spans="1:9" x14ac:dyDescent="0.2">
      <c r="A12" t="s">
        <v>64</v>
      </c>
      <c r="C12" t="s">
        <v>228</v>
      </c>
      <c r="F12" t="s">
        <v>227</v>
      </c>
      <c r="G12" s="6">
        <f>360</f>
        <v>360</v>
      </c>
    </row>
    <row r="13" spans="1:9" x14ac:dyDescent="0.2">
      <c r="A13" t="s">
        <v>178</v>
      </c>
      <c r="C13" t="s">
        <v>241</v>
      </c>
      <c r="F13" t="s">
        <v>240</v>
      </c>
      <c r="G13" s="5">
        <f>3.6*500</f>
        <v>1800</v>
      </c>
      <c r="H13" s="6">
        <f>SUM(G12:G13)</f>
        <v>2160</v>
      </c>
    </row>
    <row r="14" spans="1:9" x14ac:dyDescent="0.2">
      <c r="A14" t="s">
        <v>17</v>
      </c>
    </row>
    <row r="15" spans="1:9" x14ac:dyDescent="0.2">
      <c r="A15" t="s">
        <v>16</v>
      </c>
      <c r="F15" t="s">
        <v>258</v>
      </c>
      <c r="G15" s="6">
        <f>5*4</f>
        <v>20</v>
      </c>
    </row>
    <row r="16" spans="1:9" x14ac:dyDescent="0.2">
      <c r="A16" t="s">
        <v>18</v>
      </c>
      <c r="F16" t="s">
        <v>65</v>
      </c>
      <c r="G16" s="6">
        <v>75</v>
      </c>
    </row>
    <row r="17" spans="1:16" x14ac:dyDescent="0.2">
      <c r="A17" t="s">
        <v>19</v>
      </c>
      <c r="F17" t="s">
        <v>66</v>
      </c>
      <c r="G17" s="5">
        <v>70</v>
      </c>
      <c r="H17" s="6">
        <f>SUM(G14:G17)</f>
        <v>165</v>
      </c>
    </row>
    <row r="18" spans="1:16" x14ac:dyDescent="0.2">
      <c r="A18" t="s">
        <v>179</v>
      </c>
      <c r="F18" t="s">
        <v>192</v>
      </c>
      <c r="G18" s="6"/>
      <c r="H18" s="6">
        <v>120</v>
      </c>
    </row>
    <row r="19" spans="1:16" x14ac:dyDescent="0.2">
      <c r="A19" t="s">
        <v>7</v>
      </c>
      <c r="H19" s="6">
        <v>170</v>
      </c>
    </row>
    <row r="20" spans="1:16" x14ac:dyDescent="0.2">
      <c r="A20" t="s">
        <v>193</v>
      </c>
      <c r="C20" t="s">
        <v>69</v>
      </c>
      <c r="F20" t="s">
        <v>222</v>
      </c>
      <c r="H20" s="6">
        <f>0.15 / 2 * 800 + 0.15 / 2 * 200</f>
        <v>75</v>
      </c>
    </row>
    <row r="21" spans="1:16" x14ac:dyDescent="0.2">
      <c r="A21" t="s">
        <v>6</v>
      </c>
    </row>
    <row r="22" spans="1:16" x14ac:dyDescent="0.2">
      <c r="A22" t="s">
        <v>20</v>
      </c>
      <c r="F22" t="s">
        <v>67</v>
      </c>
      <c r="G22" s="6">
        <f>150*1</f>
        <v>150</v>
      </c>
    </row>
    <row r="23" spans="1:16" x14ac:dyDescent="0.2">
      <c r="A23" t="s">
        <v>21</v>
      </c>
      <c r="C23" t="s">
        <v>70</v>
      </c>
      <c r="F23" t="s">
        <v>238</v>
      </c>
      <c r="G23" s="5">
        <f>3 * 10</f>
        <v>30</v>
      </c>
      <c r="H23" s="5">
        <f>SUM(G22:G23)</f>
        <v>180</v>
      </c>
      <c r="I23" s="6">
        <f>SUM(H11:H23)</f>
        <v>2870</v>
      </c>
    </row>
    <row r="24" spans="1:16" ht="16" thickBot="1" x14ac:dyDescent="0.25">
      <c r="A24" t="s">
        <v>9</v>
      </c>
      <c r="I24" s="9">
        <f>I23</f>
        <v>2870</v>
      </c>
    </row>
    <row r="25" spans="1:16" ht="16" thickTop="1" x14ac:dyDescent="0.2"/>
    <row r="26" spans="1:16" x14ac:dyDescent="0.2">
      <c r="A26" t="s">
        <v>3</v>
      </c>
      <c r="I26" s="6">
        <f>I8</f>
        <v>5530</v>
      </c>
    </row>
    <row r="27" spans="1:16" x14ac:dyDescent="0.2">
      <c r="A27" t="s">
        <v>9</v>
      </c>
      <c r="I27" s="5">
        <f>I24</f>
        <v>2870</v>
      </c>
    </row>
    <row r="28" spans="1:16" ht="16" thickBot="1" x14ac:dyDescent="0.25">
      <c r="A28" t="s">
        <v>68</v>
      </c>
      <c r="I28" s="9">
        <f>ROUND(I26-I27,1)</f>
        <v>2660</v>
      </c>
      <c r="J28" s="8"/>
      <c r="K28" s="8"/>
      <c r="L28" s="8"/>
      <c r="M28" s="8"/>
      <c r="N28" s="8"/>
      <c r="O28" s="8"/>
      <c r="P28" s="8"/>
    </row>
    <row r="29" spans="1:16" ht="16" thickTop="1" x14ac:dyDescent="0.2">
      <c r="J29" s="8"/>
      <c r="K29" s="8"/>
      <c r="L29" s="8"/>
      <c r="M29" s="8"/>
      <c r="N29" s="8"/>
      <c r="O29" s="8"/>
      <c r="P29" s="8"/>
    </row>
    <row r="30" spans="1:16" x14ac:dyDescent="0.2">
      <c r="J30" s="8"/>
      <c r="K30" s="8"/>
      <c r="L30" s="8"/>
      <c r="M30" s="8"/>
      <c r="N30" s="8"/>
      <c r="O30" s="8"/>
      <c r="P30" s="8"/>
    </row>
    <row r="42" spans="8:8" x14ac:dyDescent="0.2">
      <c r="H42" s="6"/>
    </row>
    <row r="43" spans="8:8" x14ac:dyDescent="0.2">
      <c r="H43" s="6"/>
    </row>
    <row r="44" spans="8:8" x14ac:dyDescent="0.2">
      <c r="H44" s="6"/>
    </row>
    <row r="45" spans="8:8" x14ac:dyDescent="0.2">
      <c r="H45" s="6"/>
    </row>
    <row r="46" spans="8:8" x14ac:dyDescent="0.2">
      <c r="H46" s="6"/>
    </row>
    <row r="47" spans="8:8" x14ac:dyDescent="0.2">
      <c r="H47" s="6"/>
    </row>
    <row r="48" spans="8:8" x14ac:dyDescent="0.2">
      <c r="H48" s="6"/>
    </row>
    <row r="53" spans="9:9" x14ac:dyDescent="0.2">
      <c r="I53" s="6"/>
    </row>
  </sheetData>
  <mergeCells count="4">
    <mergeCell ref="A1:I1"/>
    <mergeCell ref="A2:I2"/>
    <mergeCell ref="A3:I3"/>
    <mergeCell ref="B4:E4"/>
  </mergeCells>
  <pageMargins left="0.7" right="0.7" top="0.75" bottom="0.75" header="0.3" footer="0.3"/>
  <pageSetup paperSize="9" scale="6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92CBC-9FEC-4090-B606-8BDE681EA75C}">
  <sheetPr>
    <pageSetUpPr fitToPage="1"/>
  </sheetPr>
  <dimension ref="A1:P56"/>
  <sheetViews>
    <sheetView workbookViewId="0">
      <selection activeCell="F24" sqref="F24"/>
    </sheetView>
  </sheetViews>
  <sheetFormatPr baseColWidth="10" defaultColWidth="8.83203125" defaultRowHeight="15" x14ac:dyDescent="0.2"/>
  <cols>
    <col min="1" max="1" width="26.5" customWidth="1"/>
    <col min="6" max="6" width="36" customWidth="1"/>
  </cols>
  <sheetData>
    <row r="1" spans="1:9" x14ac:dyDescent="0.2">
      <c r="A1" s="72" t="s">
        <v>47</v>
      </c>
      <c r="B1" s="72"/>
      <c r="C1" s="72"/>
      <c r="D1" s="72"/>
      <c r="E1" s="72"/>
      <c r="F1" s="72"/>
      <c r="G1" s="72"/>
      <c r="H1" s="72"/>
      <c r="I1" s="72"/>
    </row>
    <row r="2" spans="1:9" x14ac:dyDescent="0.2">
      <c r="A2" s="72" t="s">
        <v>208</v>
      </c>
      <c r="B2" s="72"/>
      <c r="C2" s="72"/>
      <c r="D2" s="72"/>
      <c r="E2" s="72"/>
      <c r="F2" s="72"/>
      <c r="G2" s="72"/>
      <c r="H2" s="72"/>
      <c r="I2" s="72"/>
    </row>
    <row r="3" spans="1:9" x14ac:dyDescent="0.2">
      <c r="A3" s="73" t="s">
        <v>256</v>
      </c>
      <c r="B3" s="73"/>
      <c r="C3" s="73"/>
      <c r="D3" s="73"/>
      <c r="E3" s="73"/>
      <c r="F3" s="73"/>
      <c r="G3" s="73"/>
      <c r="H3" s="73"/>
      <c r="I3" s="73"/>
    </row>
    <row r="4" spans="1:9" x14ac:dyDescent="0.2">
      <c r="A4" t="s">
        <v>28</v>
      </c>
      <c r="B4" s="74" t="s">
        <v>32</v>
      </c>
      <c r="C4" s="74"/>
      <c r="D4" s="74"/>
      <c r="E4" s="74"/>
      <c r="G4" t="s">
        <v>1</v>
      </c>
      <c r="H4" t="s">
        <v>1</v>
      </c>
      <c r="I4" t="s">
        <v>1</v>
      </c>
    </row>
    <row r="5" spans="1:9" x14ac:dyDescent="0.2">
      <c r="A5" s="1" t="s">
        <v>11</v>
      </c>
    </row>
    <row r="6" spans="1:9" x14ac:dyDescent="0.2">
      <c r="A6" t="s">
        <v>24</v>
      </c>
      <c r="H6" s="6">
        <f>I44-H7</f>
        <v>85.5</v>
      </c>
    </row>
    <row r="7" spans="1:9" x14ac:dyDescent="0.2">
      <c r="A7" t="s">
        <v>33</v>
      </c>
      <c r="F7" t="s">
        <v>212</v>
      </c>
      <c r="G7" s="3"/>
      <c r="H7" s="5">
        <f>220 * 101</f>
        <v>22220</v>
      </c>
      <c r="I7" s="5">
        <f>SUM(H6:H7)</f>
        <v>22305.5</v>
      </c>
    </row>
    <row r="8" spans="1:9" ht="16" thickBot="1" x14ac:dyDescent="0.25">
      <c r="A8" t="s">
        <v>3</v>
      </c>
      <c r="G8" s="3"/>
      <c r="H8" s="4"/>
      <c r="I8" s="9">
        <f>I7</f>
        <v>22305.5</v>
      </c>
    </row>
    <row r="9" spans="1:9" ht="16" thickTop="1" x14ac:dyDescent="0.2">
      <c r="G9" s="3"/>
      <c r="H9" s="3"/>
      <c r="I9" s="3"/>
    </row>
    <row r="10" spans="1:9" x14ac:dyDescent="0.2">
      <c r="A10" s="1" t="s">
        <v>46</v>
      </c>
      <c r="G10" s="3"/>
      <c r="H10" s="3"/>
      <c r="I10" s="3"/>
    </row>
    <row r="11" spans="1:9" x14ac:dyDescent="0.2">
      <c r="A11" t="s">
        <v>50</v>
      </c>
      <c r="G11" s="3"/>
      <c r="H11" s="3"/>
      <c r="I11" s="3"/>
    </row>
    <row r="12" spans="1:9" x14ac:dyDescent="0.2">
      <c r="A12" t="s">
        <v>51</v>
      </c>
      <c r="C12" t="s">
        <v>63</v>
      </c>
      <c r="F12" t="s">
        <v>214</v>
      </c>
      <c r="G12" s="4">
        <f>75 * 101</f>
        <v>7575</v>
      </c>
      <c r="I12" s="3"/>
    </row>
    <row r="13" spans="1:9" x14ac:dyDescent="0.2">
      <c r="A13" t="s">
        <v>197</v>
      </c>
      <c r="C13" t="s">
        <v>199</v>
      </c>
      <c r="F13" t="s">
        <v>200</v>
      </c>
      <c r="G13" s="4">
        <f>100 *2</f>
        <v>200</v>
      </c>
      <c r="I13" s="3"/>
    </row>
    <row r="14" spans="1:9" x14ac:dyDescent="0.2">
      <c r="A14" t="s">
        <v>54</v>
      </c>
      <c r="C14" t="s">
        <v>198</v>
      </c>
      <c r="F14" t="s">
        <v>204</v>
      </c>
      <c r="G14" s="4">
        <f xml:space="preserve"> 50 * 6</f>
        <v>300</v>
      </c>
      <c r="H14" s="6"/>
      <c r="I14" s="3"/>
    </row>
    <row r="15" spans="1:9" x14ac:dyDescent="0.2">
      <c r="A15" t="s">
        <v>52</v>
      </c>
      <c r="F15" t="s">
        <v>55</v>
      </c>
      <c r="G15" s="4">
        <v>150</v>
      </c>
      <c r="H15" s="6"/>
      <c r="I15" s="3"/>
    </row>
    <row r="16" spans="1:9" x14ac:dyDescent="0.2">
      <c r="A16" t="s">
        <v>53</v>
      </c>
      <c r="F16" t="s">
        <v>196</v>
      </c>
      <c r="G16" s="4">
        <v>480</v>
      </c>
      <c r="H16" s="6">
        <f>SUM(G12:G16)</f>
        <v>8705</v>
      </c>
      <c r="I16" s="3"/>
    </row>
    <row r="17" spans="1:9" x14ac:dyDescent="0.2">
      <c r="A17" t="s">
        <v>42</v>
      </c>
      <c r="G17" s="3"/>
      <c r="H17" s="4"/>
      <c r="I17" s="3"/>
    </row>
    <row r="18" spans="1:9" x14ac:dyDescent="0.2">
      <c r="A18" t="s">
        <v>43</v>
      </c>
      <c r="F18" t="s">
        <v>180</v>
      </c>
      <c r="G18" s="4">
        <f>22*101</f>
        <v>2222</v>
      </c>
      <c r="I18" s="3"/>
    </row>
    <row r="19" spans="1:9" x14ac:dyDescent="0.2">
      <c r="A19" t="s">
        <v>44</v>
      </c>
      <c r="F19" t="s">
        <v>181</v>
      </c>
      <c r="G19" s="5">
        <f>38 * 101</f>
        <v>3838</v>
      </c>
      <c r="H19" s="6">
        <f>SUM(G18:G19)</f>
        <v>6060</v>
      </c>
      <c r="I19" s="3"/>
    </row>
    <row r="20" spans="1:9" x14ac:dyDescent="0.2">
      <c r="A20" t="s">
        <v>17</v>
      </c>
      <c r="G20" s="3"/>
      <c r="H20" s="4"/>
      <c r="I20" s="3"/>
    </row>
    <row r="21" spans="1:9" x14ac:dyDescent="0.2">
      <c r="A21" t="s">
        <v>45</v>
      </c>
      <c r="F21" t="s">
        <v>34</v>
      </c>
      <c r="G21" s="4">
        <f>95 * 2</f>
        <v>190</v>
      </c>
      <c r="I21" s="3"/>
    </row>
    <row r="22" spans="1:9" x14ac:dyDescent="0.2">
      <c r="A22" t="s">
        <v>177</v>
      </c>
      <c r="F22" t="s">
        <v>35</v>
      </c>
      <c r="G22" s="5">
        <f>10 * 2</f>
        <v>20</v>
      </c>
      <c r="H22" s="6">
        <f>SUM(G21:G22)</f>
        <v>210</v>
      </c>
      <c r="I22" s="3"/>
    </row>
    <row r="23" spans="1:9" x14ac:dyDescent="0.2">
      <c r="A23" t="s">
        <v>37</v>
      </c>
      <c r="F23" t="s">
        <v>211</v>
      </c>
      <c r="H23" s="6">
        <f>19.5 * 101</f>
        <v>1969.5</v>
      </c>
      <c r="I23" s="3"/>
    </row>
    <row r="24" spans="1:9" x14ac:dyDescent="0.2">
      <c r="A24" t="s">
        <v>36</v>
      </c>
      <c r="F24" t="s">
        <v>210</v>
      </c>
      <c r="H24" s="6">
        <f>14 * 101</f>
        <v>1414</v>
      </c>
      <c r="I24" s="3"/>
    </row>
    <row r="25" spans="1:9" x14ac:dyDescent="0.2">
      <c r="A25" t="s">
        <v>5</v>
      </c>
    </row>
    <row r="26" spans="1:9" x14ac:dyDescent="0.2">
      <c r="A26" t="s">
        <v>57</v>
      </c>
      <c r="F26" t="s">
        <v>207</v>
      </c>
      <c r="G26" s="6">
        <f>49 * 3</f>
        <v>147</v>
      </c>
    </row>
    <row r="27" spans="1:9" x14ac:dyDescent="0.2">
      <c r="A27" t="s">
        <v>56</v>
      </c>
      <c r="F27" t="s">
        <v>246</v>
      </c>
      <c r="G27" s="6">
        <f>3 * 2</f>
        <v>6</v>
      </c>
    </row>
    <row r="28" spans="1:9" x14ac:dyDescent="0.2">
      <c r="A28" t="s">
        <v>194</v>
      </c>
      <c r="F28" t="s">
        <v>247</v>
      </c>
      <c r="G28" s="6">
        <f>11*5</f>
        <v>55</v>
      </c>
    </row>
    <row r="29" spans="1:9" x14ac:dyDescent="0.2">
      <c r="A29" t="s">
        <v>182</v>
      </c>
      <c r="F29" t="s">
        <v>203</v>
      </c>
      <c r="G29" s="6">
        <f>6*30</f>
        <v>180</v>
      </c>
    </row>
    <row r="30" spans="1:9" x14ac:dyDescent="0.2">
      <c r="A30" t="s">
        <v>58</v>
      </c>
      <c r="C30" t="s">
        <v>201</v>
      </c>
      <c r="F30" t="s">
        <v>253</v>
      </c>
      <c r="G30" s="6">
        <f>20*1</f>
        <v>20</v>
      </c>
    </row>
    <row r="31" spans="1:9" x14ac:dyDescent="0.2">
      <c r="A31" t="s">
        <v>202</v>
      </c>
      <c r="F31" t="s">
        <v>75</v>
      </c>
      <c r="G31" s="6">
        <f>20 * 1</f>
        <v>20</v>
      </c>
    </row>
    <row r="32" spans="1:9" x14ac:dyDescent="0.2">
      <c r="A32" t="s">
        <v>59</v>
      </c>
      <c r="F32" t="s">
        <v>60</v>
      </c>
      <c r="G32" s="6">
        <f xml:space="preserve"> 20 * 2</f>
        <v>40</v>
      </c>
    </row>
    <row r="33" spans="1:16" x14ac:dyDescent="0.2">
      <c r="A33" t="s">
        <v>61</v>
      </c>
      <c r="F33" t="s">
        <v>38</v>
      </c>
      <c r="G33" s="5">
        <f xml:space="preserve"> 10 * 3</f>
        <v>30</v>
      </c>
      <c r="H33" s="6">
        <f>SUM(G26:G33)</f>
        <v>498</v>
      </c>
      <c r="I33" s="3"/>
      <c r="J33" s="8"/>
      <c r="K33" s="8"/>
      <c r="L33" s="8"/>
      <c r="M33" s="8"/>
      <c r="N33" s="8"/>
      <c r="O33" s="8"/>
      <c r="P33" s="8"/>
    </row>
    <row r="34" spans="1:16" x14ac:dyDescent="0.2">
      <c r="A34" t="s">
        <v>4</v>
      </c>
      <c r="G34" s="4"/>
      <c r="H34" s="6"/>
      <c r="I34" s="3"/>
      <c r="J34" s="8"/>
      <c r="K34" s="8"/>
      <c r="L34" s="8"/>
      <c r="M34" s="8"/>
      <c r="N34" s="8"/>
      <c r="O34" s="8"/>
      <c r="P34" s="8"/>
    </row>
    <row r="35" spans="1:16" x14ac:dyDescent="0.2">
      <c r="A35" t="s">
        <v>215</v>
      </c>
      <c r="F35" t="s">
        <v>230</v>
      </c>
      <c r="G35" s="4">
        <f>40*12</f>
        <v>480</v>
      </c>
      <c r="H35" s="6"/>
      <c r="I35" s="3"/>
      <c r="J35" s="8"/>
      <c r="K35" s="8"/>
      <c r="L35" s="8"/>
      <c r="M35" s="8"/>
      <c r="N35" s="8"/>
      <c r="O35" s="8"/>
      <c r="P35" s="8"/>
    </row>
    <row r="36" spans="1:16" x14ac:dyDescent="0.2">
      <c r="A36" t="s">
        <v>216</v>
      </c>
      <c r="F36" t="s">
        <v>229</v>
      </c>
      <c r="G36" s="4">
        <f>90*7</f>
        <v>630</v>
      </c>
      <c r="H36" s="6"/>
      <c r="I36" s="3"/>
      <c r="J36" s="8"/>
      <c r="K36" s="8"/>
      <c r="L36" s="8"/>
      <c r="M36" s="8"/>
      <c r="N36" s="8"/>
      <c r="O36" s="8"/>
      <c r="P36" s="8"/>
    </row>
    <row r="37" spans="1:16" x14ac:dyDescent="0.2">
      <c r="A37" t="s">
        <v>217</v>
      </c>
      <c r="F37" t="s">
        <v>220</v>
      </c>
      <c r="G37" s="4">
        <f>150*4</f>
        <v>600</v>
      </c>
      <c r="H37" s="6"/>
      <c r="I37" s="3"/>
      <c r="J37" s="8"/>
      <c r="K37" s="8"/>
      <c r="L37" s="8"/>
      <c r="M37" s="8"/>
      <c r="N37" s="8"/>
      <c r="O37" s="8"/>
      <c r="P37" s="8"/>
    </row>
    <row r="38" spans="1:16" x14ac:dyDescent="0.2">
      <c r="A38" t="s">
        <v>218</v>
      </c>
      <c r="F38" t="s">
        <v>221</v>
      </c>
      <c r="G38" s="5">
        <f>450 * 2</f>
        <v>900</v>
      </c>
      <c r="H38" s="6">
        <f>SUM(G35:G38)</f>
        <v>2610</v>
      </c>
      <c r="I38" s="3"/>
      <c r="J38" s="8"/>
      <c r="K38" s="8"/>
      <c r="L38" s="8"/>
      <c r="M38" s="8"/>
      <c r="N38" s="8"/>
      <c r="O38" s="8"/>
      <c r="P38" s="8"/>
    </row>
    <row r="39" spans="1:16" x14ac:dyDescent="0.2">
      <c r="A39" t="s">
        <v>195</v>
      </c>
      <c r="F39" t="s">
        <v>205</v>
      </c>
      <c r="H39" s="6">
        <f>0.15*900 + 1.5 * 100</f>
        <v>285</v>
      </c>
    </row>
    <row r="40" spans="1:16" x14ac:dyDescent="0.2">
      <c r="A40" t="s">
        <v>39</v>
      </c>
      <c r="G40" s="3"/>
      <c r="H40" s="4">
        <v>170</v>
      </c>
      <c r="I40" s="3"/>
    </row>
    <row r="41" spans="1:16" x14ac:dyDescent="0.2">
      <c r="A41" t="s">
        <v>62</v>
      </c>
      <c r="F41" t="s">
        <v>171</v>
      </c>
      <c r="H41" s="6">
        <f>30 * 6</f>
        <v>180</v>
      </c>
    </row>
    <row r="42" spans="1:16" x14ac:dyDescent="0.2">
      <c r="A42" t="s">
        <v>154</v>
      </c>
      <c r="F42" t="s">
        <v>174</v>
      </c>
      <c r="G42" s="4"/>
      <c r="H42" s="6">
        <f>189 * 1</f>
        <v>189</v>
      </c>
    </row>
    <row r="43" spans="1:16" x14ac:dyDescent="0.2">
      <c r="A43" t="s">
        <v>40</v>
      </c>
      <c r="F43" t="s">
        <v>41</v>
      </c>
      <c r="H43" s="5">
        <f>5*3</f>
        <v>15</v>
      </c>
      <c r="I43" s="6">
        <f>SUM(H12:H43)</f>
        <v>22305.5</v>
      </c>
    </row>
    <row r="44" spans="1:16" ht="16" thickBot="1" x14ac:dyDescent="0.25">
      <c r="A44" t="s">
        <v>9</v>
      </c>
      <c r="H44" s="6"/>
      <c r="I44" s="9">
        <f>SUM(H10:H43)</f>
        <v>22305.5</v>
      </c>
    </row>
    <row r="45" spans="1:16" ht="16" thickTop="1" x14ac:dyDescent="0.2"/>
    <row r="46" spans="1:16" x14ac:dyDescent="0.2">
      <c r="H46" s="6"/>
    </row>
    <row r="47" spans="1:16" x14ac:dyDescent="0.2">
      <c r="A47" t="s">
        <v>3</v>
      </c>
      <c r="H47" s="6"/>
      <c r="I47" s="6">
        <f>I8</f>
        <v>22305.5</v>
      </c>
    </row>
    <row r="48" spans="1:16" x14ac:dyDescent="0.2">
      <c r="A48" t="s">
        <v>9</v>
      </c>
      <c r="H48" s="6"/>
      <c r="I48" s="5">
        <f>I44</f>
        <v>22305.5</v>
      </c>
    </row>
    <row r="49" spans="8:9" x14ac:dyDescent="0.2">
      <c r="H49" s="6"/>
    </row>
    <row r="50" spans="8:9" x14ac:dyDescent="0.2">
      <c r="H50" s="6"/>
    </row>
    <row r="51" spans="8:9" x14ac:dyDescent="0.2">
      <c r="H51" s="6"/>
    </row>
    <row r="56" spans="8:9" x14ac:dyDescent="0.2">
      <c r="I56" s="6"/>
    </row>
  </sheetData>
  <mergeCells count="4">
    <mergeCell ref="A1:I1"/>
    <mergeCell ref="A2:I2"/>
    <mergeCell ref="A3:I3"/>
    <mergeCell ref="B4:E4"/>
  </mergeCells>
  <pageMargins left="0.7" right="0.7" top="0.75" bottom="0.75" header="0.3" footer="0.3"/>
  <pageSetup paperSize="9" scale="6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B20E8-2020-4011-B3A4-FEFAB2EA6A03}">
  <sheetPr>
    <pageSetUpPr fitToPage="1"/>
  </sheetPr>
  <dimension ref="A1:P64"/>
  <sheetViews>
    <sheetView zoomScale="98" zoomScaleNormal="98" workbookViewId="0">
      <selection activeCell="A3" sqref="A3:I3"/>
    </sheetView>
  </sheetViews>
  <sheetFormatPr baseColWidth="10" defaultColWidth="8.83203125" defaultRowHeight="15" x14ac:dyDescent="0.2"/>
  <cols>
    <col min="1" max="1" width="26.5" customWidth="1"/>
    <col min="6" max="6" width="36" customWidth="1"/>
  </cols>
  <sheetData>
    <row r="1" spans="1:16" x14ac:dyDescent="0.2">
      <c r="A1" s="72" t="s">
        <v>47</v>
      </c>
      <c r="B1" s="72"/>
      <c r="C1" s="72"/>
      <c r="D1" s="72"/>
      <c r="E1" s="72"/>
      <c r="F1" s="72"/>
      <c r="G1" s="72"/>
      <c r="H1" s="72"/>
      <c r="I1" s="72"/>
    </row>
    <row r="2" spans="1:16" x14ac:dyDescent="0.2">
      <c r="A2" s="72" t="s">
        <v>208</v>
      </c>
      <c r="B2" s="72"/>
      <c r="C2" s="72"/>
      <c r="D2" s="72"/>
      <c r="E2" s="72"/>
      <c r="F2" s="72"/>
      <c r="G2" s="72"/>
      <c r="H2" s="72"/>
      <c r="I2" s="72"/>
    </row>
    <row r="3" spans="1:16" x14ac:dyDescent="0.2">
      <c r="A3" s="73" t="s">
        <v>259</v>
      </c>
      <c r="B3" s="73"/>
      <c r="C3" s="73"/>
      <c r="D3" s="73"/>
      <c r="E3" s="73"/>
      <c r="F3" s="73"/>
      <c r="G3" s="73"/>
      <c r="H3" s="73"/>
      <c r="I3" s="73"/>
    </row>
    <row r="4" spans="1:16" x14ac:dyDescent="0.2">
      <c r="A4" t="s">
        <v>48</v>
      </c>
      <c r="B4" s="74" t="s">
        <v>23</v>
      </c>
      <c r="C4" s="74"/>
      <c r="D4" s="74"/>
      <c r="E4" s="74"/>
      <c r="G4" t="s">
        <v>1</v>
      </c>
      <c r="H4" t="s">
        <v>1</v>
      </c>
      <c r="I4" t="s">
        <v>1</v>
      </c>
    </row>
    <row r="5" spans="1:16" x14ac:dyDescent="0.2">
      <c r="A5" s="1" t="s">
        <v>11</v>
      </c>
    </row>
    <row r="6" spans="1:16" x14ac:dyDescent="0.2">
      <c r="A6" t="s">
        <v>24</v>
      </c>
      <c r="H6" s="4">
        <f>I25-H7</f>
        <v>59</v>
      </c>
      <c r="I6" s="4"/>
    </row>
    <row r="7" spans="1:16" x14ac:dyDescent="0.2">
      <c r="A7" s="43" t="s">
        <v>25</v>
      </c>
      <c r="B7" s="43"/>
      <c r="C7" s="43"/>
      <c r="D7" s="43"/>
      <c r="E7" s="43"/>
      <c r="F7" s="43"/>
      <c r="G7" s="43"/>
      <c r="H7" s="44">
        <v>1500</v>
      </c>
      <c r="I7" s="44">
        <v>1516.7</v>
      </c>
      <c r="J7" s="43"/>
      <c r="K7" s="43"/>
      <c r="L7" s="43"/>
      <c r="M7" s="43"/>
      <c r="N7" s="43"/>
      <c r="O7" s="43"/>
      <c r="P7" s="43"/>
    </row>
    <row r="8" spans="1:16" ht="16" thickBot="1" x14ac:dyDescent="0.25">
      <c r="A8" t="s">
        <v>3</v>
      </c>
      <c r="G8" s="3"/>
      <c r="H8" s="4"/>
      <c r="I8" s="9">
        <f>I25</f>
        <v>1559</v>
      </c>
    </row>
    <row r="9" spans="1:16" ht="16" thickTop="1" x14ac:dyDescent="0.2">
      <c r="G9" s="3"/>
      <c r="H9" s="3"/>
      <c r="I9" s="3"/>
    </row>
    <row r="10" spans="1:16" x14ac:dyDescent="0.2">
      <c r="A10" s="1" t="s">
        <v>46</v>
      </c>
      <c r="G10" s="3"/>
      <c r="H10" s="3"/>
      <c r="I10" s="3"/>
    </row>
    <row r="11" spans="1:16" x14ac:dyDescent="0.2">
      <c r="A11" s="7" t="s">
        <v>26</v>
      </c>
      <c r="F11" s="3" t="s">
        <v>187</v>
      </c>
      <c r="G11" s="3"/>
      <c r="H11" s="4">
        <f>9 * 90</f>
        <v>810</v>
      </c>
      <c r="I11" s="3"/>
    </row>
    <row r="12" spans="1:16" x14ac:dyDescent="0.2">
      <c r="A12" s="7" t="s">
        <v>5</v>
      </c>
      <c r="F12" s="3"/>
      <c r="G12" s="3"/>
      <c r="H12" s="4"/>
      <c r="I12" s="3"/>
    </row>
    <row r="13" spans="1:16" x14ac:dyDescent="0.2">
      <c r="A13" s="7" t="s">
        <v>91</v>
      </c>
      <c r="F13" s="3" t="s">
        <v>213</v>
      </c>
      <c r="G13" s="4">
        <f>30 * 5</f>
        <v>150</v>
      </c>
      <c r="H13" s="4"/>
      <c r="I13" s="3"/>
    </row>
    <row r="14" spans="1:16" x14ac:dyDescent="0.2">
      <c r="A14" s="7" t="s">
        <v>92</v>
      </c>
      <c r="C14" t="s">
        <v>104</v>
      </c>
      <c r="F14" s="7" t="s">
        <v>103</v>
      </c>
      <c r="G14" s="4">
        <f>6*1</f>
        <v>6</v>
      </c>
      <c r="H14" s="4"/>
      <c r="I14" s="3"/>
    </row>
    <row r="15" spans="1:16" x14ac:dyDescent="0.2">
      <c r="A15" s="7" t="s">
        <v>99</v>
      </c>
      <c r="F15" s="3" t="s">
        <v>183</v>
      </c>
      <c r="G15" s="5">
        <f>0.5 * 26</f>
        <v>13</v>
      </c>
      <c r="H15" s="6">
        <f>SUM(G13:G15)</f>
        <v>169</v>
      </c>
      <c r="I15" s="3"/>
    </row>
    <row r="16" spans="1:16" x14ac:dyDescent="0.2">
      <c r="A16" s="7" t="s">
        <v>27</v>
      </c>
      <c r="F16" s="3"/>
      <c r="G16" s="3"/>
      <c r="H16" s="4"/>
      <c r="I16" s="3"/>
    </row>
    <row r="17" spans="1:9" x14ac:dyDescent="0.2">
      <c r="A17" s="7" t="s">
        <v>93</v>
      </c>
      <c r="C17" t="s">
        <v>175</v>
      </c>
      <c r="F17" s="3" t="s">
        <v>101</v>
      </c>
      <c r="G17" s="4">
        <f>10  * 10</f>
        <v>100</v>
      </c>
      <c r="I17" s="3"/>
    </row>
    <row r="18" spans="1:9" x14ac:dyDescent="0.2">
      <c r="A18" s="7" t="s">
        <v>94</v>
      </c>
      <c r="C18" t="s">
        <v>176</v>
      </c>
      <c r="F18" s="3" t="s">
        <v>102</v>
      </c>
      <c r="G18" s="4">
        <f xml:space="preserve"> 15 * 5</f>
        <v>75</v>
      </c>
      <c r="I18" s="3"/>
    </row>
    <row r="19" spans="1:9" x14ac:dyDescent="0.2">
      <c r="A19" s="7" t="s">
        <v>95</v>
      </c>
      <c r="C19" t="s">
        <v>176</v>
      </c>
      <c r="F19" s="3" t="s">
        <v>184</v>
      </c>
      <c r="G19" s="4">
        <f xml:space="preserve"> 8 * 10</f>
        <v>80</v>
      </c>
      <c r="I19" s="3"/>
    </row>
    <row r="20" spans="1:9" x14ac:dyDescent="0.2">
      <c r="A20" s="7" t="s">
        <v>97</v>
      </c>
      <c r="F20" s="3" t="s">
        <v>249</v>
      </c>
      <c r="G20" s="4">
        <f xml:space="preserve"> 25 * 2</f>
        <v>50</v>
      </c>
      <c r="I20" s="3"/>
    </row>
    <row r="21" spans="1:9" x14ac:dyDescent="0.2">
      <c r="A21" s="7" t="s">
        <v>98</v>
      </c>
      <c r="F21" s="3" t="s">
        <v>250</v>
      </c>
      <c r="G21" s="4">
        <f xml:space="preserve"> 30 * 2</f>
        <v>60</v>
      </c>
      <c r="I21" s="3"/>
    </row>
    <row r="22" spans="1:9" x14ac:dyDescent="0.2">
      <c r="A22" s="7" t="s">
        <v>96</v>
      </c>
      <c r="F22" s="3" t="s">
        <v>100</v>
      </c>
      <c r="G22" s="5">
        <f>25</f>
        <v>25</v>
      </c>
      <c r="H22" s="6">
        <f>SUM(G17:G22)</f>
        <v>390</v>
      </c>
      <c r="I22" s="3"/>
    </row>
    <row r="23" spans="1:9" x14ac:dyDescent="0.2">
      <c r="A23" s="7" t="s">
        <v>193</v>
      </c>
      <c r="C23" t="s">
        <v>185</v>
      </c>
      <c r="F23" s="7" t="s">
        <v>186</v>
      </c>
      <c r="G23" s="4"/>
      <c r="H23" s="6">
        <f>0.2 * 100</f>
        <v>20</v>
      </c>
      <c r="I23" s="3"/>
    </row>
    <row r="24" spans="1:9" x14ac:dyDescent="0.2">
      <c r="A24" s="7" t="s">
        <v>7</v>
      </c>
      <c r="F24" t="s">
        <v>8</v>
      </c>
      <c r="H24" s="5">
        <v>170</v>
      </c>
      <c r="I24" s="5">
        <f>SUM(H11:H24)</f>
        <v>1559</v>
      </c>
    </row>
    <row r="25" spans="1:9" ht="16" thickBot="1" x14ac:dyDescent="0.25">
      <c r="A25" s="7" t="s">
        <v>9</v>
      </c>
      <c r="I25" s="10">
        <f>SUM(H11:H24)</f>
        <v>1559</v>
      </c>
    </row>
    <row r="26" spans="1:9" ht="16" thickTop="1" x14ac:dyDescent="0.2"/>
    <row r="39" spans="10:16" x14ac:dyDescent="0.2">
      <c r="J39" s="8"/>
      <c r="K39" s="8"/>
      <c r="L39" s="8"/>
      <c r="M39" s="8"/>
      <c r="N39" s="8"/>
      <c r="O39" s="8"/>
      <c r="P39" s="8"/>
    </row>
    <row r="40" spans="10:16" x14ac:dyDescent="0.2">
      <c r="J40" s="8"/>
      <c r="K40" s="8"/>
      <c r="L40" s="8"/>
      <c r="M40" s="8"/>
      <c r="N40" s="8"/>
      <c r="O40" s="8"/>
      <c r="P40" s="8"/>
    </row>
    <row r="41" spans="10:16" x14ac:dyDescent="0.2">
      <c r="J41" s="8"/>
      <c r="K41" s="8"/>
      <c r="L41" s="8"/>
      <c r="M41" s="8"/>
      <c r="N41" s="8"/>
      <c r="O41" s="8"/>
      <c r="P41" s="8"/>
    </row>
    <row r="64" spans="9:9" x14ac:dyDescent="0.2">
      <c r="I64" s="6"/>
    </row>
  </sheetData>
  <mergeCells count="4">
    <mergeCell ref="A1:I1"/>
    <mergeCell ref="A2:I2"/>
    <mergeCell ref="A3:I3"/>
    <mergeCell ref="B4:E4"/>
  </mergeCells>
  <pageMargins left="0.7" right="0.7" top="0.75" bottom="0.75" header="0.3" footer="0.3"/>
  <pageSetup paperSize="9"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07CC5-0795-43AC-AADE-EF06F343A1E3}">
  <sheetPr>
    <pageSetUpPr fitToPage="1"/>
  </sheetPr>
  <dimension ref="A1:P56"/>
  <sheetViews>
    <sheetView workbookViewId="0">
      <selection activeCell="A3" sqref="A3:I3"/>
    </sheetView>
  </sheetViews>
  <sheetFormatPr baseColWidth="10" defaultColWidth="8.83203125" defaultRowHeight="15" x14ac:dyDescent="0.2"/>
  <cols>
    <col min="1" max="1" width="26.5" customWidth="1"/>
    <col min="6" max="6" width="36" customWidth="1"/>
  </cols>
  <sheetData>
    <row r="1" spans="1:9" x14ac:dyDescent="0.2">
      <c r="A1" s="72" t="s">
        <v>47</v>
      </c>
      <c r="B1" s="72"/>
      <c r="C1" s="72"/>
      <c r="D1" s="72"/>
      <c r="E1" s="72"/>
      <c r="F1" s="72"/>
      <c r="G1" s="72"/>
      <c r="H1" s="72"/>
      <c r="I1" s="72"/>
    </row>
    <row r="2" spans="1:9" x14ac:dyDescent="0.2">
      <c r="A2" s="72" t="s">
        <v>208</v>
      </c>
      <c r="B2" s="72"/>
      <c r="C2" s="72"/>
      <c r="D2" s="72"/>
      <c r="E2" s="72"/>
      <c r="F2" s="72"/>
      <c r="G2" s="72"/>
      <c r="H2" s="72"/>
      <c r="I2" s="72"/>
    </row>
    <row r="3" spans="1:9" x14ac:dyDescent="0.2">
      <c r="A3" s="73" t="s">
        <v>256</v>
      </c>
      <c r="B3" s="73"/>
      <c r="C3" s="73"/>
      <c r="D3" s="73"/>
      <c r="E3" s="73"/>
      <c r="F3" s="73"/>
      <c r="G3" s="73"/>
      <c r="H3" s="73"/>
      <c r="I3" s="73"/>
    </row>
    <row r="4" spans="1:9" x14ac:dyDescent="0.2">
      <c r="A4" t="s">
        <v>30</v>
      </c>
      <c r="B4" s="74" t="s">
        <v>29</v>
      </c>
      <c r="C4" s="74"/>
      <c r="D4" s="74"/>
      <c r="E4" s="74"/>
      <c r="G4" t="s">
        <v>1</v>
      </c>
      <c r="H4" t="s">
        <v>1</v>
      </c>
      <c r="I4" t="s">
        <v>1</v>
      </c>
    </row>
    <row r="5" spans="1:9" x14ac:dyDescent="0.2">
      <c r="A5" s="1" t="s">
        <v>11</v>
      </c>
    </row>
    <row r="6" spans="1:9" x14ac:dyDescent="0.2">
      <c r="A6" t="s">
        <v>24</v>
      </c>
      <c r="H6" s="5">
        <f>I16</f>
        <v>342</v>
      </c>
      <c r="I6" s="4">
        <f>H6</f>
        <v>342</v>
      </c>
    </row>
    <row r="7" spans="1:9" ht="16" thickBot="1" x14ac:dyDescent="0.25">
      <c r="A7" t="s">
        <v>3</v>
      </c>
      <c r="G7" s="3"/>
      <c r="H7" s="4"/>
      <c r="I7" s="9">
        <f>I6</f>
        <v>342</v>
      </c>
    </row>
    <row r="8" spans="1:9" ht="16" thickTop="1" x14ac:dyDescent="0.2">
      <c r="G8" s="3"/>
      <c r="H8" s="3"/>
      <c r="I8" s="3"/>
    </row>
    <row r="9" spans="1:9" x14ac:dyDescent="0.2">
      <c r="A9" s="1" t="s">
        <v>46</v>
      </c>
      <c r="G9" s="3"/>
      <c r="H9" s="3"/>
      <c r="I9" s="3"/>
    </row>
    <row r="10" spans="1:9" x14ac:dyDescent="0.2">
      <c r="A10" s="7" t="s">
        <v>5</v>
      </c>
      <c r="F10" s="3"/>
      <c r="G10" s="3"/>
      <c r="H10" s="4"/>
      <c r="I10" s="3"/>
    </row>
    <row r="11" spans="1:9" x14ac:dyDescent="0.2">
      <c r="A11" s="7" t="s">
        <v>137</v>
      </c>
      <c r="C11" t="s">
        <v>138</v>
      </c>
      <c r="F11" s="7" t="s">
        <v>76</v>
      </c>
      <c r="G11" s="4">
        <f>25*1</f>
        <v>25</v>
      </c>
      <c r="H11" s="4"/>
      <c r="I11" s="3"/>
    </row>
    <row r="12" spans="1:9" x14ac:dyDescent="0.2">
      <c r="A12" s="7" t="s">
        <v>189</v>
      </c>
      <c r="F12" s="7" t="s">
        <v>190</v>
      </c>
      <c r="G12" s="5">
        <f>5*5</f>
        <v>25</v>
      </c>
      <c r="H12" s="4">
        <f>SUM(G11:G12)</f>
        <v>50</v>
      </c>
      <c r="I12" s="3"/>
    </row>
    <row r="13" spans="1:9" x14ac:dyDescent="0.2">
      <c r="A13" s="7" t="s">
        <v>74</v>
      </c>
      <c r="F13" s="7" t="s">
        <v>71</v>
      </c>
      <c r="G13" s="4"/>
      <c r="H13" s="6">
        <f>20*5</f>
        <v>100</v>
      </c>
      <c r="I13" s="3"/>
    </row>
    <row r="14" spans="1:9" x14ac:dyDescent="0.2">
      <c r="A14" s="7" t="s">
        <v>193</v>
      </c>
      <c r="F14" s="7" t="s">
        <v>188</v>
      </c>
      <c r="G14" s="4"/>
      <c r="H14" s="6">
        <f>0.2*50 + 1.5 * 8</f>
        <v>22</v>
      </c>
      <c r="I14" s="3"/>
    </row>
    <row r="15" spans="1:9" x14ac:dyDescent="0.2">
      <c r="A15" s="7" t="s">
        <v>7</v>
      </c>
      <c r="F15" t="s">
        <v>8</v>
      </c>
      <c r="H15" s="5">
        <v>170</v>
      </c>
      <c r="I15" s="5">
        <f>SUM(H10:H15)</f>
        <v>342</v>
      </c>
    </row>
    <row r="16" spans="1:9" ht="16" thickBot="1" x14ac:dyDescent="0.25">
      <c r="A16" s="7" t="s">
        <v>9</v>
      </c>
      <c r="I16" s="10">
        <f>SUM(H10:H15)</f>
        <v>342</v>
      </c>
    </row>
    <row r="17" spans="10:16" ht="16" thickTop="1" x14ac:dyDescent="0.2"/>
    <row r="31" spans="10:16" x14ac:dyDescent="0.2">
      <c r="J31" s="8"/>
      <c r="K31" s="8"/>
      <c r="L31" s="8"/>
      <c r="M31" s="8"/>
      <c r="N31" s="8"/>
      <c r="O31" s="8"/>
      <c r="P31" s="8"/>
    </row>
    <row r="32" spans="10:16" x14ac:dyDescent="0.2">
      <c r="J32" s="8"/>
      <c r="K32" s="8"/>
      <c r="L32" s="8"/>
      <c r="M32" s="8"/>
      <c r="N32" s="8"/>
      <c r="O32" s="8"/>
      <c r="P32" s="8"/>
    </row>
    <row r="33" spans="8:16" x14ac:dyDescent="0.2">
      <c r="J33" s="8"/>
      <c r="K33" s="8"/>
      <c r="L33" s="8"/>
      <c r="M33" s="8"/>
      <c r="N33" s="8"/>
      <c r="O33" s="8"/>
      <c r="P33" s="8"/>
    </row>
    <row r="40" spans="8:16" x14ac:dyDescent="0.2">
      <c r="H40" s="6"/>
    </row>
    <row r="46" spans="8:16" x14ac:dyDescent="0.2">
      <c r="H46" s="6"/>
    </row>
    <row r="47" spans="8:16" x14ac:dyDescent="0.2">
      <c r="H47" s="6"/>
    </row>
    <row r="48" spans="8:16" x14ac:dyDescent="0.2">
      <c r="H48" s="6"/>
    </row>
    <row r="49" spans="8:9" x14ac:dyDescent="0.2">
      <c r="H49" s="6"/>
    </row>
    <row r="50" spans="8:9" x14ac:dyDescent="0.2">
      <c r="H50" s="6"/>
    </row>
    <row r="51" spans="8:9" x14ac:dyDescent="0.2">
      <c r="H51" s="6"/>
    </row>
    <row r="56" spans="8:9" x14ac:dyDescent="0.2">
      <c r="I56" s="6"/>
    </row>
  </sheetData>
  <mergeCells count="4">
    <mergeCell ref="A1:I1"/>
    <mergeCell ref="A2:I2"/>
    <mergeCell ref="A3:I3"/>
    <mergeCell ref="B4:E4"/>
  </mergeCells>
  <pageMargins left="0.7" right="0.7" top="0.75" bottom="0.75" header="0.3" footer="0.3"/>
  <pageSetup paperSize="9" scale="6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A88E-39C0-4412-9F89-FFC7E691CD00}">
  <sheetPr>
    <pageSetUpPr fitToPage="1"/>
  </sheetPr>
  <dimension ref="A1:P61"/>
  <sheetViews>
    <sheetView topLeftCell="A2" workbookViewId="0">
      <selection activeCell="A3" sqref="A3:I3"/>
    </sheetView>
  </sheetViews>
  <sheetFormatPr baseColWidth="10" defaultColWidth="8.83203125" defaultRowHeight="15" x14ac:dyDescent="0.2"/>
  <cols>
    <col min="1" max="1" width="26.5" customWidth="1"/>
    <col min="6" max="6" width="36" customWidth="1"/>
    <col min="9" max="9" width="9.5" bestFit="1" customWidth="1"/>
  </cols>
  <sheetData>
    <row r="1" spans="1:9" x14ac:dyDescent="0.2">
      <c r="A1" s="72" t="s">
        <v>47</v>
      </c>
      <c r="B1" s="72"/>
      <c r="C1" s="72"/>
      <c r="D1" s="72"/>
      <c r="E1" s="72"/>
      <c r="F1" s="72"/>
      <c r="G1" s="72"/>
      <c r="H1" s="72"/>
      <c r="I1" s="72"/>
    </row>
    <row r="2" spans="1:9" x14ac:dyDescent="0.2">
      <c r="A2" s="72" t="s">
        <v>209</v>
      </c>
      <c r="B2" s="72"/>
      <c r="C2" s="72"/>
      <c r="D2" s="72"/>
      <c r="E2" s="72"/>
      <c r="F2" s="72"/>
      <c r="G2" s="72"/>
      <c r="H2" s="72"/>
      <c r="I2" s="72"/>
    </row>
    <row r="3" spans="1:9" x14ac:dyDescent="0.2">
      <c r="A3" s="73" t="s">
        <v>256</v>
      </c>
      <c r="B3" s="73"/>
      <c r="C3" s="73"/>
      <c r="D3" s="73"/>
      <c r="E3" s="73"/>
      <c r="F3" s="73"/>
      <c r="G3" s="73"/>
      <c r="H3" s="73"/>
      <c r="I3" s="73"/>
    </row>
    <row r="4" spans="1:9" x14ac:dyDescent="0.2">
      <c r="A4" t="s">
        <v>113</v>
      </c>
      <c r="B4" s="74" t="s">
        <v>78</v>
      </c>
      <c r="C4" s="74"/>
      <c r="D4" s="74"/>
      <c r="E4" s="74"/>
      <c r="G4" t="s">
        <v>1</v>
      </c>
      <c r="H4" t="s">
        <v>1</v>
      </c>
      <c r="I4" t="s">
        <v>1</v>
      </c>
    </row>
    <row r="5" spans="1:9" x14ac:dyDescent="0.2">
      <c r="A5" s="1" t="s">
        <v>11</v>
      </c>
    </row>
    <row r="6" spans="1:9" x14ac:dyDescent="0.2">
      <c r="A6" t="s">
        <v>24</v>
      </c>
      <c r="H6" s="4">
        <f>I14-H7</f>
        <v>2820</v>
      </c>
      <c r="I6" s="4"/>
    </row>
    <row r="7" spans="1:9" x14ac:dyDescent="0.2">
      <c r="A7" t="s">
        <v>25</v>
      </c>
      <c r="H7" s="5">
        <f>3500</f>
        <v>3500</v>
      </c>
      <c r="I7" s="5">
        <f>SUM(H6:H7)</f>
        <v>6320</v>
      </c>
    </row>
    <row r="8" spans="1:9" ht="16" thickBot="1" x14ac:dyDescent="0.25">
      <c r="A8" t="s">
        <v>3</v>
      </c>
      <c r="G8" s="3"/>
      <c r="H8" s="4"/>
      <c r="I8" s="10">
        <f>I14</f>
        <v>6320</v>
      </c>
    </row>
    <row r="9" spans="1:9" ht="16" thickTop="1" x14ac:dyDescent="0.2">
      <c r="I9" s="4"/>
    </row>
    <row r="10" spans="1:9" x14ac:dyDescent="0.2">
      <c r="G10" s="3"/>
      <c r="H10" s="3"/>
      <c r="I10" s="3"/>
    </row>
    <row r="11" spans="1:9" x14ac:dyDescent="0.2">
      <c r="A11" s="1" t="s">
        <v>46</v>
      </c>
      <c r="G11" s="3"/>
      <c r="H11" s="3"/>
      <c r="I11" s="3"/>
    </row>
    <row r="12" spans="1:9" x14ac:dyDescent="0.2">
      <c r="A12" s="7" t="s">
        <v>49</v>
      </c>
      <c r="C12" t="s">
        <v>225</v>
      </c>
      <c r="F12" t="s">
        <v>251</v>
      </c>
    </row>
    <row r="13" spans="1:9" x14ac:dyDescent="0.2">
      <c r="A13" s="7"/>
      <c r="C13" t="s">
        <v>242</v>
      </c>
      <c r="H13" s="5">
        <f>79 * 80</f>
        <v>6320</v>
      </c>
      <c r="I13" s="6">
        <f>H13</f>
        <v>6320</v>
      </c>
    </row>
    <row r="14" spans="1:9" ht="16" thickBot="1" x14ac:dyDescent="0.25">
      <c r="A14" s="7" t="s">
        <v>9</v>
      </c>
      <c r="G14" s="6"/>
      <c r="I14" s="9">
        <f>I13</f>
        <v>6320</v>
      </c>
    </row>
    <row r="15" spans="1:9" ht="16" thickTop="1" x14ac:dyDescent="0.2">
      <c r="G15" s="6"/>
    </row>
    <row r="36" spans="11:16" x14ac:dyDescent="0.2">
      <c r="K36" s="8"/>
      <c r="L36" s="8"/>
      <c r="M36" s="8"/>
      <c r="N36" s="8"/>
      <c r="O36" s="8"/>
      <c r="P36" s="8"/>
    </row>
    <row r="37" spans="11:16" x14ac:dyDescent="0.2">
      <c r="K37" s="8"/>
      <c r="L37" s="8"/>
      <c r="M37" s="8"/>
      <c r="N37" s="8"/>
      <c r="O37" s="8"/>
      <c r="P37" s="8"/>
    </row>
    <row r="38" spans="11:16" x14ac:dyDescent="0.2">
      <c r="K38" s="8"/>
      <c r="L38" s="8"/>
      <c r="M38" s="8"/>
      <c r="N38" s="8"/>
      <c r="O38" s="8"/>
      <c r="P38" s="8"/>
    </row>
    <row r="50" spans="8:9" x14ac:dyDescent="0.2">
      <c r="H50" s="6"/>
    </row>
    <row r="51" spans="8:9" x14ac:dyDescent="0.2">
      <c r="H51" s="6"/>
    </row>
    <row r="52" spans="8:9" x14ac:dyDescent="0.2">
      <c r="H52" s="6"/>
    </row>
    <row r="53" spans="8:9" x14ac:dyDescent="0.2">
      <c r="H53" s="6"/>
    </row>
    <row r="54" spans="8:9" x14ac:dyDescent="0.2">
      <c r="H54" s="6"/>
    </row>
    <row r="55" spans="8:9" x14ac:dyDescent="0.2">
      <c r="H55" s="6"/>
    </row>
    <row r="56" spans="8:9" x14ac:dyDescent="0.2">
      <c r="H56" s="6"/>
    </row>
    <row r="61" spans="8:9" x14ac:dyDescent="0.2">
      <c r="I61" s="6"/>
    </row>
  </sheetData>
  <mergeCells count="4">
    <mergeCell ref="A1:I1"/>
    <mergeCell ref="A2:I2"/>
    <mergeCell ref="A3:I3"/>
    <mergeCell ref="B4:E4"/>
  </mergeCells>
  <pageMargins left="0.7" right="0.7" top="0.75" bottom="0.75" header="0.3" footer="0.3"/>
  <pageSetup paperSize="9" scale="6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8B86-42F1-4D13-8A1E-41E5754F8B86}">
  <sheetPr>
    <pageSetUpPr fitToPage="1"/>
  </sheetPr>
  <dimension ref="A1:P55"/>
  <sheetViews>
    <sheetView workbookViewId="0">
      <selection activeCell="A3" sqref="A3:I3"/>
    </sheetView>
  </sheetViews>
  <sheetFormatPr baseColWidth="10" defaultColWidth="8.83203125" defaultRowHeight="15" x14ac:dyDescent="0.2"/>
  <cols>
    <col min="1" max="1" width="26.5" customWidth="1"/>
    <col min="6" max="6" width="36" customWidth="1"/>
    <col min="9" max="9" width="9.5" bestFit="1" customWidth="1"/>
  </cols>
  <sheetData>
    <row r="1" spans="1:9" x14ac:dyDescent="0.2">
      <c r="A1" s="72" t="s">
        <v>47</v>
      </c>
      <c r="B1" s="72"/>
      <c r="C1" s="72"/>
      <c r="D1" s="72"/>
      <c r="E1" s="72"/>
      <c r="F1" s="72"/>
      <c r="G1" s="72"/>
      <c r="H1" s="72"/>
      <c r="I1" s="72"/>
    </row>
    <row r="2" spans="1:9" x14ac:dyDescent="0.2">
      <c r="A2" s="72" t="s">
        <v>208</v>
      </c>
      <c r="B2" s="72"/>
      <c r="C2" s="72"/>
      <c r="D2" s="72"/>
      <c r="E2" s="72"/>
      <c r="F2" s="72"/>
      <c r="G2" s="72"/>
      <c r="H2" s="72"/>
      <c r="I2" s="72"/>
    </row>
    <row r="3" spans="1:9" x14ac:dyDescent="0.2">
      <c r="A3" s="73" t="s">
        <v>256</v>
      </c>
      <c r="B3" s="73"/>
      <c r="C3" s="73"/>
      <c r="D3" s="73"/>
      <c r="E3" s="73"/>
      <c r="F3" s="73"/>
      <c r="G3" s="73"/>
      <c r="H3" s="73"/>
      <c r="I3" s="73"/>
    </row>
    <row r="4" spans="1:9" x14ac:dyDescent="0.2">
      <c r="A4" t="s">
        <v>0</v>
      </c>
      <c r="B4" s="74" t="s">
        <v>235</v>
      </c>
      <c r="C4" s="74"/>
      <c r="D4" s="74"/>
      <c r="E4" s="74"/>
      <c r="G4" t="s">
        <v>1</v>
      </c>
      <c r="H4" t="s">
        <v>1</v>
      </c>
      <c r="I4" t="s">
        <v>1</v>
      </c>
    </row>
    <row r="5" spans="1:9" x14ac:dyDescent="0.2">
      <c r="A5" s="1" t="s">
        <v>11</v>
      </c>
    </row>
    <row r="6" spans="1:9" x14ac:dyDescent="0.2">
      <c r="A6" t="s">
        <v>24</v>
      </c>
      <c r="H6" s="5">
        <f>I16</f>
        <v>331</v>
      </c>
      <c r="I6" s="5">
        <f>H6</f>
        <v>331</v>
      </c>
    </row>
    <row r="7" spans="1:9" ht="16" thickBot="1" x14ac:dyDescent="0.25">
      <c r="A7" t="s">
        <v>3</v>
      </c>
      <c r="G7" s="3"/>
      <c r="H7" s="4"/>
      <c r="I7" s="10">
        <f>I6</f>
        <v>331</v>
      </c>
    </row>
    <row r="8" spans="1:9" ht="16" thickTop="1" x14ac:dyDescent="0.2">
      <c r="I8" s="4"/>
    </row>
    <row r="9" spans="1:9" x14ac:dyDescent="0.2">
      <c r="G9" s="3"/>
      <c r="H9" s="3"/>
      <c r="I9" s="3"/>
    </row>
    <row r="10" spans="1:9" x14ac:dyDescent="0.2">
      <c r="A10" s="1" t="s">
        <v>46</v>
      </c>
      <c r="G10" s="3"/>
      <c r="H10" s="3"/>
      <c r="I10" s="3"/>
    </row>
    <row r="11" spans="1:9" x14ac:dyDescent="0.2">
      <c r="A11" t="s">
        <v>5</v>
      </c>
    </row>
    <row r="12" spans="1:9" x14ac:dyDescent="0.2">
      <c r="A12" t="s">
        <v>72</v>
      </c>
      <c r="C12" t="s">
        <v>77</v>
      </c>
      <c r="F12" t="s">
        <v>76</v>
      </c>
      <c r="G12" s="6">
        <v>25</v>
      </c>
    </row>
    <row r="13" spans="1:9" x14ac:dyDescent="0.2">
      <c r="A13" t="s">
        <v>73</v>
      </c>
      <c r="F13" t="s">
        <v>75</v>
      </c>
      <c r="G13" s="5">
        <v>20</v>
      </c>
      <c r="H13" s="6">
        <f>SUM(G12:G13)</f>
        <v>45</v>
      </c>
    </row>
    <row r="14" spans="1:9" x14ac:dyDescent="0.2">
      <c r="A14" t="s">
        <v>74</v>
      </c>
      <c r="F14" t="s">
        <v>71</v>
      </c>
      <c r="H14" s="6">
        <f xml:space="preserve"> 20 * 5</f>
        <v>100</v>
      </c>
    </row>
    <row r="15" spans="1:9" x14ac:dyDescent="0.2">
      <c r="A15" t="s">
        <v>193</v>
      </c>
      <c r="C15" t="s">
        <v>185</v>
      </c>
      <c r="F15" t="s">
        <v>191</v>
      </c>
      <c r="H15" s="6">
        <f>0.2*80</f>
        <v>16</v>
      </c>
    </row>
    <row r="16" spans="1:9" x14ac:dyDescent="0.2">
      <c r="A16" t="s">
        <v>7</v>
      </c>
      <c r="F16" t="s">
        <v>8</v>
      </c>
      <c r="H16" s="5">
        <v>170</v>
      </c>
      <c r="I16" s="5">
        <f>SUM(H13:H16)</f>
        <v>331</v>
      </c>
    </row>
    <row r="17" spans="1:16" ht="16" thickBot="1" x14ac:dyDescent="0.25">
      <c r="A17" t="s">
        <v>9</v>
      </c>
      <c r="I17" s="9">
        <f>I16</f>
        <v>331</v>
      </c>
    </row>
    <row r="18" spans="1:16" ht="16" thickTop="1" x14ac:dyDescent="0.2"/>
    <row r="30" spans="1:16" x14ac:dyDescent="0.2">
      <c r="K30" s="8"/>
      <c r="L30" s="8"/>
      <c r="M30" s="8"/>
      <c r="N30" s="8"/>
      <c r="O30" s="8"/>
      <c r="P30" s="8"/>
    </row>
    <row r="31" spans="1:16" x14ac:dyDescent="0.2">
      <c r="K31" s="8"/>
      <c r="L31" s="8"/>
      <c r="M31" s="8"/>
      <c r="N31" s="8"/>
      <c r="O31" s="8"/>
      <c r="P31" s="8"/>
    </row>
    <row r="32" spans="1:16" x14ac:dyDescent="0.2">
      <c r="K32" s="8"/>
      <c r="L32" s="8"/>
      <c r="M32" s="8"/>
      <c r="N32" s="8"/>
      <c r="O32" s="8"/>
      <c r="P32" s="8"/>
    </row>
    <row r="44" spans="8:8" x14ac:dyDescent="0.2">
      <c r="H44" s="6"/>
    </row>
    <row r="45" spans="8:8" x14ac:dyDescent="0.2">
      <c r="H45" s="6"/>
    </row>
    <row r="46" spans="8:8" x14ac:dyDescent="0.2">
      <c r="H46" s="6"/>
    </row>
    <row r="47" spans="8:8" x14ac:dyDescent="0.2">
      <c r="H47" s="6"/>
    </row>
    <row r="48" spans="8:8" x14ac:dyDescent="0.2">
      <c r="H48" s="6"/>
    </row>
    <row r="49" spans="8:9" x14ac:dyDescent="0.2">
      <c r="H49" s="6"/>
    </row>
    <row r="50" spans="8:9" x14ac:dyDescent="0.2">
      <c r="H50" s="6"/>
    </row>
    <row r="55" spans="8:9" x14ac:dyDescent="0.2">
      <c r="I55" s="6"/>
    </row>
  </sheetData>
  <mergeCells count="4">
    <mergeCell ref="A1:I1"/>
    <mergeCell ref="A2:I2"/>
    <mergeCell ref="A3:I3"/>
    <mergeCell ref="B4:E4"/>
  </mergeCells>
  <pageMargins left="0.7" right="0.7" top="0.75" bottom="0.75" header="0.3" footer="0.3"/>
  <pageSetup paperSize="9" scale="6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Function1</vt:lpstr>
      <vt:lpstr>Function2</vt:lpstr>
      <vt:lpstr>Function3</vt:lpstr>
      <vt:lpstr>Function4</vt:lpstr>
      <vt:lpstr>Function5</vt:lpstr>
      <vt:lpstr>Function6</vt:lpstr>
      <vt:lpstr>Function7</vt:lpstr>
      <vt:lpstr>Function8</vt:lpstr>
      <vt:lpstr>Function9</vt:lpstr>
      <vt:lpstr>Admin</vt:lpstr>
      <vt:lpstr>Asset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Polymer</dc:creator>
  <cp:lastModifiedBy>Microsoft Office User</cp:lastModifiedBy>
  <cp:lastPrinted>2020-03-10T10:57:12Z</cp:lastPrinted>
  <dcterms:created xsi:type="dcterms:W3CDTF">2020-02-18T11:38:05Z</dcterms:created>
  <dcterms:modified xsi:type="dcterms:W3CDTF">2020-10-08T05:22:53Z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ab0d4d3a-4042-40e1-965a-8ffa5df82c06</vt:lpwstr>
  </property>
</Properties>
</file>