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mamg\OneDrive\Documentos\"/>
    </mc:Choice>
  </mc:AlternateContent>
  <xr:revisionPtr revIDLastSave="0" documentId="13_ncr:1_{796BEB35-A5F7-41A7-833B-559FD4311853}" xr6:coauthVersionLast="46" xr6:coauthVersionMax="46" xr10:uidLastSave="{00000000-0000-0000-0000-000000000000}"/>
  <bookViews>
    <workbookView minimized="1" xWindow="3675" yWindow="3015" windowWidth="15375" windowHeight="7785" activeTab="5" xr2:uid="{00000000-000D-0000-FFFF-FFFF00000000}"/>
  </bookViews>
  <sheets>
    <sheet name="Semanal" sheetId="5" r:id="rId1"/>
    <sheet name="Credito" sheetId="6" r:id="rId2"/>
    <sheet name="Miel" sheetId="7" r:id="rId3"/>
    <sheet name="Totales" sheetId="1" r:id="rId4"/>
    <sheet name="Discriminados" sheetId="2" r:id="rId5"/>
    <sheet name="Total YouTube" sheetId="3" r:id="rId6"/>
    <sheet name="e-toro" sheetId="4" r:id="rId7"/>
  </sheets>
  <definedNames>
    <definedName name="_xlnm._FilterDatabase" localSheetId="4" hidden="1">Discriminados!$A$1:$G$115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F5" i="7"/>
  <c r="F6" i="7"/>
  <c r="P40" i="6"/>
  <c r="P36" i="6"/>
  <c r="P32" i="6"/>
  <c r="P24" i="6"/>
  <c r="P20" i="6"/>
  <c r="P16" i="6"/>
  <c r="P12" i="6"/>
  <c r="P8" i="6"/>
  <c r="P2" i="6"/>
  <c r="L42" i="6"/>
  <c r="M42" i="6" s="1"/>
  <c r="K42" i="6"/>
  <c r="O42" i="6"/>
  <c r="H51" i="5"/>
  <c r="G51" i="5"/>
  <c r="D51" i="5"/>
  <c r="D50" i="5"/>
  <c r="C15" i="7"/>
  <c r="E51" i="5"/>
  <c r="M41" i="6"/>
  <c r="N41" i="6"/>
  <c r="L41" i="6"/>
  <c r="K41" i="6"/>
  <c r="O41" i="6" s="1"/>
  <c r="H50" i="5"/>
  <c r="G50" i="5"/>
  <c r="D49" i="5"/>
  <c r="C14" i="7"/>
  <c r="E50" i="5"/>
  <c r="J3" i="5"/>
  <c r="K40" i="6"/>
  <c r="L40" i="6" s="1"/>
  <c r="E49" i="5"/>
  <c r="D48" i="5"/>
  <c r="G49" i="5" s="1"/>
  <c r="H49" i="5" s="1"/>
  <c r="C13" i="7"/>
  <c r="C49" i="5"/>
  <c r="K39" i="6"/>
  <c r="L39" i="6" s="1"/>
  <c r="D47" i="5"/>
  <c r="G47" i="5"/>
  <c r="E48" i="5"/>
  <c r="C12" i="7"/>
  <c r="K38" i="6"/>
  <c r="H47" i="5"/>
  <c r="D46" i="5"/>
  <c r="E47" i="5"/>
  <c r="K37" i="6"/>
  <c r="G46" i="5"/>
  <c r="H46" i="5" s="1"/>
  <c r="D45" i="5"/>
  <c r="E46" i="5"/>
  <c r="K36" i="6"/>
  <c r="D44" i="5"/>
  <c r="G45" i="5" s="1"/>
  <c r="C9" i="7"/>
  <c r="E45" i="5"/>
  <c r="K35" i="6"/>
  <c r="D43" i="5"/>
  <c r="N42" i="6" l="1"/>
  <c r="I51" i="5"/>
  <c r="O40" i="6"/>
  <c r="N40" i="6"/>
  <c r="M40" i="6"/>
  <c r="L38" i="6"/>
  <c r="L36" i="6"/>
  <c r="L37" i="6"/>
  <c r="G48" i="5"/>
  <c r="H48" i="5" s="1"/>
  <c r="G44" i="5"/>
  <c r="H44" i="5" s="1"/>
  <c r="H45" i="5"/>
  <c r="G3" i="5"/>
  <c r="F3" i="5"/>
  <c r="C7" i="7"/>
  <c r="K34" i="6"/>
  <c r="E43" i="5"/>
  <c r="L35" i="6" l="1"/>
  <c r="K33" i="6"/>
  <c r="L34" i="6" s="1"/>
  <c r="D42" i="5"/>
  <c r="G43" i="5" s="1"/>
  <c r="H43" i="5" s="1"/>
  <c r="K32" i="6" l="1"/>
  <c r="L33" i="6" s="1"/>
  <c r="D41" i="5"/>
  <c r="E41" i="5"/>
  <c r="G42" i="5" l="1"/>
  <c r="H42" i="5" s="1"/>
  <c r="D40" i="5"/>
  <c r="K27" i="6"/>
  <c r="L32" i="6" s="1"/>
  <c r="M32" i="6" l="1"/>
  <c r="M33" i="6" s="1"/>
  <c r="M34" i="6" s="1"/>
  <c r="M35" i="6" s="1"/>
  <c r="M36" i="6" s="1"/>
  <c r="M37" i="6" s="1"/>
  <c r="M38" i="6" s="1"/>
  <c r="M39" i="6" s="1"/>
  <c r="G41" i="5"/>
  <c r="H41" i="5" s="1"/>
  <c r="D39" i="5"/>
  <c r="G40" i="5" s="1"/>
  <c r="H40" i="5" s="1"/>
  <c r="E39" i="5"/>
  <c r="K26" i="6" l="1"/>
  <c r="L27" i="6" s="1"/>
  <c r="D38" i="5"/>
  <c r="G39" i="5" s="1"/>
  <c r="H39" i="5" l="1"/>
  <c r="K24" i="6"/>
  <c r="K25" i="6" s="1"/>
  <c r="D37" i="5"/>
  <c r="G38" i="5" s="1"/>
  <c r="E37" i="5"/>
  <c r="L25" i="6" l="1"/>
  <c r="L26" i="6"/>
  <c r="K23" i="6"/>
  <c r="L24" i="6" s="1"/>
  <c r="D36" i="5"/>
  <c r="G37" i="5" s="1"/>
  <c r="H37" i="5" s="1"/>
  <c r="K21" i="6" l="1"/>
  <c r="K22" i="6" s="1"/>
  <c r="D35" i="5"/>
  <c r="G36" i="5" s="1"/>
  <c r="H36" i="5" s="1"/>
  <c r="D34" i="5"/>
  <c r="G35" i="5" s="1"/>
  <c r="H35" i="5" s="1"/>
  <c r="E35" i="5"/>
  <c r="L22" i="6" l="1"/>
  <c r="L23" i="6"/>
  <c r="K20" i="6" l="1"/>
  <c r="L21" i="6" l="1"/>
  <c r="K19" i="6"/>
  <c r="D33" i="5"/>
  <c r="G34" i="5" s="1"/>
  <c r="H34" i="5" s="1"/>
  <c r="D32" i="5"/>
  <c r="G33" i="5" s="1"/>
  <c r="H33" i="5" s="1"/>
  <c r="E33" i="5"/>
  <c r="L20" i="6" l="1"/>
  <c r="K18" i="6"/>
  <c r="L19" i="6" l="1"/>
  <c r="K17" i="6"/>
  <c r="L18" i="6" s="1"/>
  <c r="D31" i="5"/>
  <c r="G32" i="5" s="1"/>
  <c r="H32" i="5" s="1"/>
  <c r="D30" i="5"/>
  <c r="G31" i="5" s="1"/>
  <c r="H31" i="5" s="1"/>
  <c r="C31" i="5"/>
  <c r="E31" i="5"/>
  <c r="K16" i="6" l="1"/>
  <c r="L17" i="6" s="1"/>
  <c r="C30" i="5"/>
  <c r="K15" i="6" l="1"/>
  <c r="L16" i="6" s="1"/>
  <c r="D29" i="5"/>
  <c r="C29" i="5"/>
  <c r="E29" i="5"/>
  <c r="E30" i="5" s="1"/>
  <c r="G30" i="5" l="1"/>
  <c r="H30" i="5" s="1"/>
  <c r="K14" i="6"/>
  <c r="C28" i="5"/>
  <c r="D28" i="5"/>
  <c r="G29" i="5" s="1"/>
  <c r="H29" i="5" s="1"/>
  <c r="L15" i="6" l="1"/>
  <c r="K13" i="6"/>
  <c r="D27" i="5"/>
  <c r="G28" i="5" s="1"/>
  <c r="H28" i="5" s="1"/>
  <c r="C27" i="5"/>
  <c r="E27" i="5"/>
  <c r="E28" i="5" s="1"/>
  <c r="L14" i="6" l="1"/>
  <c r="K12" i="6"/>
  <c r="D26" i="5"/>
  <c r="G27" i="5" s="1"/>
  <c r="H27" i="5" s="1"/>
  <c r="L13" i="6" l="1"/>
  <c r="D25" i="5"/>
  <c r="G26" i="5" s="1"/>
  <c r="H26" i="5" s="1"/>
  <c r="K11" i="6"/>
  <c r="L12" i="6" s="1"/>
  <c r="C25" i="5"/>
  <c r="K10" i="6" l="1"/>
  <c r="C24" i="5"/>
  <c r="D24" i="5"/>
  <c r="G25" i="5" s="1"/>
  <c r="H25" i="5" s="1"/>
  <c r="L11" i="6" l="1"/>
  <c r="K9" i="6"/>
  <c r="D23" i="5"/>
  <c r="C23" i="5"/>
  <c r="G24" i="5" l="1"/>
  <c r="H24" i="5" s="1"/>
  <c r="L10" i="6"/>
  <c r="K8" i="6"/>
  <c r="C22" i="5"/>
  <c r="D22" i="5"/>
  <c r="G23" i="5" s="1"/>
  <c r="H23" i="5" s="1"/>
  <c r="L9" i="6" l="1"/>
  <c r="K7" i="6"/>
  <c r="D21" i="5"/>
  <c r="G22" i="5" s="1"/>
  <c r="H22" i="5" s="1"/>
  <c r="C21" i="5"/>
  <c r="L8" i="6" l="1"/>
  <c r="K6" i="6"/>
  <c r="D20" i="5"/>
  <c r="G21" i="5" s="1"/>
  <c r="H21" i="5" s="1"/>
  <c r="C20" i="5"/>
  <c r="L7" i="6" l="1"/>
  <c r="K2" i="6"/>
  <c r="K5" i="6"/>
  <c r="D19" i="5"/>
  <c r="G20" i="5" s="1"/>
  <c r="H20" i="5" s="1"/>
  <c r="C19" i="5"/>
  <c r="L6" i="6" l="1"/>
  <c r="C18" i="5"/>
  <c r="K4" i="6"/>
  <c r="L5" i="6" s="1"/>
  <c r="D18" i="5"/>
  <c r="G19" i="5" s="1"/>
  <c r="H19" i="5" s="1"/>
  <c r="K3" i="6" l="1"/>
  <c r="D17" i="5"/>
  <c r="G18" i="5" s="1"/>
  <c r="H18" i="5" s="1"/>
  <c r="I37" i="5" s="1"/>
  <c r="C17" i="5"/>
  <c r="C16" i="5"/>
  <c r="O37" i="6" l="1"/>
  <c r="O38" i="6"/>
  <c r="N39" i="6"/>
  <c r="O36" i="6"/>
  <c r="O39" i="6"/>
  <c r="N38" i="6"/>
  <c r="N37" i="6"/>
  <c r="N36" i="6"/>
  <c r="O35" i="6"/>
  <c r="O34" i="6"/>
  <c r="N34" i="6"/>
  <c r="N35" i="6"/>
  <c r="O33" i="6"/>
  <c r="N33" i="6"/>
  <c r="O32" i="6"/>
  <c r="O27" i="6"/>
  <c r="N32" i="6"/>
  <c r="N27" i="6"/>
  <c r="O26" i="6"/>
  <c r="O25" i="6"/>
  <c r="N26" i="6"/>
  <c r="N25" i="6"/>
  <c r="O24" i="6"/>
  <c r="N24" i="6"/>
  <c r="O23" i="6"/>
  <c r="O22" i="6"/>
  <c r="O21" i="6"/>
  <c r="N23" i="6"/>
  <c r="N22" i="6"/>
  <c r="O20" i="6"/>
  <c r="O19" i="6"/>
  <c r="N21" i="6"/>
  <c r="O18" i="6"/>
  <c r="N20" i="6"/>
  <c r="O17" i="6"/>
  <c r="N19" i="6"/>
  <c r="N18" i="6"/>
  <c r="N17" i="6"/>
  <c r="O16" i="6"/>
  <c r="N16" i="6"/>
  <c r="O15" i="6"/>
  <c r="O14" i="6"/>
  <c r="N15" i="6"/>
  <c r="O13" i="6"/>
  <c r="N14" i="6"/>
  <c r="O12" i="6"/>
  <c r="N12" i="6"/>
  <c r="N13" i="6"/>
  <c r="O11" i="6"/>
  <c r="O10" i="6"/>
  <c r="O9" i="6"/>
  <c r="N11" i="6"/>
  <c r="O8" i="6"/>
  <c r="N10" i="6"/>
  <c r="O7" i="6"/>
  <c r="N9" i="6"/>
  <c r="O6" i="6"/>
  <c r="N8" i="6"/>
  <c r="O5" i="6"/>
  <c r="N7" i="6"/>
  <c r="O4" i="6"/>
  <c r="N6" i="6"/>
  <c r="N5" i="6"/>
  <c r="L4" i="6"/>
  <c r="J7" i="5"/>
  <c r="D16" i="5"/>
  <c r="G17" i="5" s="1"/>
  <c r="H17" i="5" s="1"/>
  <c r="M4" i="6" l="1"/>
  <c r="N4" i="6"/>
  <c r="M5" i="6"/>
  <c r="D15" i="5"/>
  <c r="G16" i="5" s="1"/>
  <c r="H16" i="5" s="1"/>
  <c r="I36" i="5" l="1"/>
  <c r="I35" i="5"/>
  <c r="I27" i="5"/>
  <c r="M6" i="6"/>
  <c r="G15" i="5"/>
  <c r="H15" i="5" s="1"/>
  <c r="C14" i="5"/>
  <c r="M7" i="6" l="1"/>
  <c r="E24" i="4"/>
  <c r="M8" i="6" l="1"/>
  <c r="C13" i="5"/>
  <c r="H38" i="5" s="1"/>
  <c r="D13" i="5"/>
  <c r="G14" i="5" s="1"/>
  <c r="H14" i="5" s="1"/>
  <c r="E13" i="5"/>
  <c r="I47" i="5" l="1"/>
  <c r="I48" i="5"/>
  <c r="I49" i="5" s="1"/>
  <c r="I50" i="5" s="1"/>
  <c r="I46" i="5"/>
  <c r="I45" i="5"/>
  <c r="I38" i="5"/>
  <c r="I44" i="5"/>
  <c r="I43" i="5"/>
  <c r="I42" i="5"/>
  <c r="I41" i="5"/>
  <c r="I40" i="5"/>
  <c r="I39" i="5"/>
  <c r="I33" i="5"/>
  <c r="I32" i="5"/>
  <c r="I30" i="5"/>
  <c r="I31" i="5"/>
  <c r="I34" i="5"/>
  <c r="I28" i="5"/>
  <c r="I29" i="5"/>
  <c r="I26" i="5"/>
  <c r="I23" i="5"/>
  <c r="I24" i="5"/>
  <c r="I25" i="5"/>
  <c r="I14" i="5"/>
  <c r="I22" i="5"/>
  <c r="I19" i="5"/>
  <c r="I17" i="5"/>
  <c r="I18" i="5"/>
  <c r="I20" i="5"/>
  <c r="I16" i="5"/>
  <c r="I15" i="5"/>
  <c r="I21" i="5"/>
  <c r="M9" i="6"/>
  <c r="Z7" i="4"/>
  <c r="W7" i="4" s="1"/>
  <c r="Z6" i="4"/>
  <c r="X7" i="4" l="1"/>
  <c r="M10" i="6"/>
  <c r="W6" i="4"/>
  <c r="X6" i="4" s="1"/>
  <c r="M11" i="6" l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Q18" i="4"/>
  <c r="D24" i="4" s="1"/>
  <c r="D25" i="4" s="1"/>
  <c r="X5" i="4"/>
  <c r="AF5" i="4"/>
  <c r="AF4" i="4"/>
  <c r="L17" i="4" l="1"/>
  <c r="F56" i="1" l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G404" i="2"/>
  <c r="F347" i="2"/>
  <c r="F349" i="2" s="1"/>
  <c r="G349" i="2"/>
  <c r="G360" i="2" s="1"/>
  <c r="G364" i="2" s="1"/>
  <c r="G373" i="2" s="1"/>
  <c r="G382" i="2" s="1"/>
  <c r="G389" i="2" s="1"/>
  <c r="G395" i="2" s="1"/>
  <c r="F360" i="2" l="1"/>
  <c r="H44" i="1"/>
  <c r="F47" i="1"/>
  <c r="F46" i="1"/>
  <c r="F45" i="1"/>
  <c r="D46" i="1"/>
  <c r="D45" i="1"/>
  <c r="B339" i="2"/>
  <c r="D47" i="1" s="1"/>
  <c r="H335" i="2"/>
  <c r="H339" i="2" s="1"/>
  <c r="F330" i="2"/>
  <c r="H45" i="1" s="1"/>
  <c r="H330" i="2"/>
  <c r="H347" i="2" l="1"/>
  <c r="H47" i="1"/>
  <c r="G48" i="1" s="1"/>
  <c r="F335" i="2"/>
  <c r="H46" i="1" s="1"/>
  <c r="G47" i="1" s="1"/>
  <c r="F364" i="2"/>
  <c r="G45" i="1"/>
  <c r="G46" i="1"/>
  <c r="H43" i="1"/>
  <c r="F44" i="1"/>
  <c r="D44" i="1"/>
  <c r="F373" i="2" l="1"/>
  <c r="H349" i="2"/>
  <c r="H48" i="1"/>
  <c r="G49" i="1" s="1"/>
  <c r="G44" i="1"/>
  <c r="D43" i="1"/>
  <c r="D42" i="1"/>
  <c r="F43" i="1"/>
  <c r="F42" i="1"/>
  <c r="H360" i="2" l="1"/>
  <c r="H49" i="1"/>
  <c r="G50" i="1" s="1"/>
  <c r="F382" i="2"/>
  <c r="D41" i="1"/>
  <c r="D40" i="1"/>
  <c r="D39" i="1"/>
  <c r="F306" i="2"/>
  <c r="H41" i="1" s="1"/>
  <c r="G42" i="1" s="1"/>
  <c r="H42" i="1" s="1"/>
  <c r="G43" i="1" s="1"/>
  <c r="F389" i="2" l="1"/>
  <c r="H364" i="2"/>
  <c r="H50" i="1"/>
  <c r="G51" i="1" s="1"/>
  <c r="F38" i="1"/>
  <c r="D38" i="1"/>
  <c r="D37" i="1"/>
  <c r="D36" i="1"/>
  <c r="D35" i="1"/>
  <c r="H373" i="2" l="1"/>
  <c r="H51" i="1"/>
  <c r="G52" i="1" s="1"/>
  <c r="F395" i="2"/>
  <c r="D34" i="1"/>
  <c r="D33" i="1"/>
  <c r="D32" i="1"/>
  <c r="D31" i="1"/>
  <c r="D30" i="1"/>
  <c r="D29" i="1"/>
  <c r="D28" i="1"/>
  <c r="D288" i="2"/>
  <c r="H382" i="2" l="1"/>
  <c r="H52" i="1"/>
  <c r="G53" i="1" s="1"/>
  <c r="D27" i="1"/>
  <c r="D26" i="1"/>
  <c r="D23" i="1"/>
  <c r="D21" i="1"/>
  <c r="D20" i="1"/>
  <c r="D19" i="1"/>
  <c r="D18" i="1"/>
  <c r="D17" i="1"/>
  <c r="D16" i="1"/>
  <c r="H389" i="2" l="1"/>
  <c r="H53" i="1"/>
  <c r="G54" i="1" s="1"/>
  <c r="H15" i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G32" i="1" s="1"/>
  <c r="H32" i="1" s="1"/>
  <c r="G33" i="1" s="1"/>
  <c r="H33" i="1" s="1"/>
  <c r="G34" i="1" s="1"/>
  <c r="H34" i="1" s="1"/>
  <c r="G35" i="1" s="1"/>
  <c r="H35" i="1" s="1"/>
  <c r="G36" i="1" s="1"/>
  <c r="H36" i="1" s="1"/>
  <c r="G37" i="1" s="1"/>
  <c r="H37" i="1" s="1"/>
  <c r="G38" i="1" s="1"/>
  <c r="H38" i="1" s="1"/>
  <c r="G39" i="1" s="1"/>
  <c r="H39" i="1" s="1"/>
  <c r="F15" i="1"/>
  <c r="F14" i="1"/>
  <c r="D15" i="1"/>
  <c r="D14" i="1"/>
  <c r="H395" i="2" l="1"/>
  <c r="H54" i="1"/>
  <c r="G55" i="1" s="1"/>
  <c r="G40" i="1"/>
  <c r="H40" i="1" s="1"/>
  <c r="G41" i="1" s="1"/>
  <c r="D13" i="1"/>
  <c r="F12" i="1"/>
  <c r="D12" i="1"/>
  <c r="D11" i="1"/>
  <c r="G121" i="2"/>
  <c r="G132" i="2" s="1"/>
  <c r="F121" i="2"/>
  <c r="F132" i="2" s="1"/>
  <c r="H404" i="2" l="1"/>
  <c r="H56" i="1" s="1"/>
  <c r="H55" i="1"/>
  <c r="G56" i="1" s="1"/>
  <c r="F159" i="2"/>
  <c r="F175" i="2" s="1"/>
  <c r="H14" i="1" s="1"/>
  <c r="G15" i="1" s="1"/>
  <c r="H12" i="1"/>
  <c r="G13" i="1" s="1"/>
  <c r="H11" i="1"/>
  <c r="G12" i="1" s="1"/>
  <c r="H13" i="1"/>
  <c r="G14" i="1" s="1"/>
  <c r="H10" i="1"/>
  <c r="G11" i="1" s="1"/>
  <c r="F10" i="1"/>
  <c r="D10" i="1"/>
  <c r="H9" i="1" l="1"/>
  <c r="G10" i="1" s="1"/>
  <c r="F9" i="1"/>
  <c r="D9" i="1"/>
  <c r="H8" i="1" l="1"/>
  <c r="G9" i="1" s="1"/>
  <c r="F8" i="1"/>
  <c r="D8" i="1"/>
  <c r="H7" i="1" l="1"/>
  <c r="G8" i="1" s="1"/>
  <c r="D7" i="1"/>
  <c r="H6" i="1"/>
  <c r="F6" i="1"/>
  <c r="D6" i="1"/>
  <c r="F56" i="2"/>
  <c r="H5" i="1" s="1"/>
  <c r="G6" i="1" l="1"/>
  <c r="G7" i="1"/>
  <c r="G2" i="1"/>
  <c r="H3" i="1"/>
  <c r="F3" i="2"/>
  <c r="D5" i="1"/>
  <c r="F4" i="1" l="1"/>
  <c r="D4" i="1"/>
  <c r="F39" i="2"/>
  <c r="H4" i="1" s="1"/>
  <c r="B21" i="2" l="1"/>
  <c r="F3" i="1"/>
  <c r="B19" i="2"/>
  <c r="D3" i="1" l="1"/>
  <c r="G3" i="1" s="1"/>
  <c r="F2" i="1"/>
  <c r="G4" i="1" l="1"/>
  <c r="G5" i="1" s="1"/>
</calcChain>
</file>

<file path=xl/sharedStrings.xml><?xml version="1.0" encoding="utf-8"?>
<sst xmlns="http://schemas.openxmlformats.org/spreadsheetml/2006/main" count="615" uniqueCount="199">
  <si>
    <t>Inicio</t>
  </si>
  <si>
    <t xml:space="preserve">Fin </t>
  </si>
  <si>
    <t>Ingresos</t>
  </si>
  <si>
    <t>Colombiano</t>
  </si>
  <si>
    <t>recarga</t>
  </si>
  <si>
    <t>cajero</t>
  </si>
  <si>
    <t>mecato</t>
  </si>
  <si>
    <t>tinto</t>
  </si>
  <si>
    <t>peliculas</t>
  </si>
  <si>
    <t>parque</t>
  </si>
  <si>
    <t>taxi ensayo</t>
  </si>
  <si>
    <t>fin de semana</t>
  </si>
  <si>
    <t>Saldo</t>
  </si>
  <si>
    <t>baño</t>
  </si>
  <si>
    <t>Cuenta Bcol</t>
  </si>
  <si>
    <t>Billetera</t>
  </si>
  <si>
    <t>Gastos Variables</t>
  </si>
  <si>
    <t>Total Fijos</t>
  </si>
  <si>
    <t>Total Variables</t>
  </si>
  <si>
    <t>Fecha</t>
  </si>
  <si>
    <t>Saldo USD</t>
  </si>
  <si>
    <t>taxi</t>
  </si>
  <si>
    <t>cumpleaños mary</t>
  </si>
  <si>
    <t>Libro automatismos</t>
  </si>
  <si>
    <t>bus medellin</t>
  </si>
  <si>
    <t>Bromas</t>
  </si>
  <si>
    <t>e prepago</t>
  </si>
  <si>
    <t>miel</t>
  </si>
  <si>
    <t xml:space="preserve">bus   </t>
  </si>
  <si>
    <t>cervezas</t>
  </si>
  <si>
    <t>comida</t>
  </si>
  <si>
    <t>ron</t>
  </si>
  <si>
    <t>hotel</t>
  </si>
  <si>
    <t>pasajes</t>
  </si>
  <si>
    <t>cerveza</t>
  </si>
  <si>
    <t>entrada charlot</t>
  </si>
  <si>
    <t>Toque Sebastian</t>
  </si>
  <si>
    <t>osio</t>
  </si>
  <si>
    <t>pastilla</t>
  </si>
  <si>
    <t>aseo</t>
  </si>
  <si>
    <t>Trabajo</t>
  </si>
  <si>
    <t>Real</t>
  </si>
  <si>
    <t>mary</t>
  </si>
  <si>
    <t>cardamomo</t>
  </si>
  <si>
    <t>nayi</t>
  </si>
  <si>
    <t>Proyecto Cerveza</t>
  </si>
  <si>
    <t>tintos</t>
  </si>
  <si>
    <t>Kankunapa</t>
  </si>
  <si>
    <t>billar</t>
  </si>
  <si>
    <t>Paseo Cartagena</t>
  </si>
  <si>
    <t>trabajo</t>
  </si>
  <si>
    <t>mecto</t>
  </si>
  <si>
    <t>venta</t>
  </si>
  <si>
    <t>prima</t>
  </si>
  <si>
    <t>otros giovani</t>
  </si>
  <si>
    <t>Salida Casa</t>
  </si>
  <si>
    <t>mercado</t>
  </si>
  <si>
    <t>civica</t>
  </si>
  <si>
    <t xml:space="preserve">otros </t>
  </si>
  <si>
    <t>regalos</t>
  </si>
  <si>
    <t>nayi Regalo</t>
  </si>
  <si>
    <t>tiquetes</t>
  </si>
  <si>
    <t>Tiquetes</t>
  </si>
  <si>
    <t>regalo</t>
  </si>
  <si>
    <t>familia</t>
  </si>
  <si>
    <t>hobbies</t>
  </si>
  <si>
    <t>behnoud</t>
  </si>
  <si>
    <t>sophie</t>
  </si>
  <si>
    <t xml:space="preserve">Paseo </t>
  </si>
  <si>
    <t>paseo</t>
  </si>
  <si>
    <t>celular</t>
  </si>
  <si>
    <t>parqueadero</t>
  </si>
  <si>
    <t>arepa</t>
  </si>
  <si>
    <t>gramera</t>
  </si>
  <si>
    <t>trabajo fin de semana</t>
  </si>
  <si>
    <t>oo</t>
  </si>
  <si>
    <t>musica</t>
  </si>
  <si>
    <t>otros</t>
  </si>
  <si>
    <t xml:space="preserve"> billar</t>
  </si>
  <si>
    <t>pago</t>
  </si>
  <si>
    <t>moises</t>
  </si>
  <si>
    <t>arreglo patio</t>
  </si>
  <si>
    <t>etoro</t>
  </si>
  <si>
    <t>disponible</t>
  </si>
  <si>
    <t>beneficio</t>
  </si>
  <si>
    <t>capital</t>
  </si>
  <si>
    <t>Jaynemesis</t>
  </si>
  <si>
    <t>Social-Investor</t>
  </si>
  <si>
    <t>iluma</t>
  </si>
  <si>
    <t>interfaz</t>
  </si>
  <si>
    <t>manolo</t>
  </si>
  <si>
    <t>seguridad social</t>
  </si>
  <si>
    <t>Inversion</t>
  </si>
  <si>
    <t>Ganancia</t>
  </si>
  <si>
    <t>googleads</t>
  </si>
  <si>
    <t>simon</t>
  </si>
  <si>
    <t>Davivienda</t>
  </si>
  <si>
    <t>Curso Hotmart</t>
  </si>
  <si>
    <t>pp</t>
  </si>
  <si>
    <t>instagram</t>
  </si>
  <si>
    <t>ensayo</t>
  </si>
  <si>
    <t>saya</t>
  </si>
  <si>
    <t>zapatos</t>
  </si>
  <si>
    <t>31/09/2020</t>
  </si>
  <si>
    <t>bicicleta</t>
  </si>
  <si>
    <t>youtube</t>
  </si>
  <si>
    <t>gatorade</t>
  </si>
  <si>
    <t>ads</t>
  </si>
  <si>
    <t>LED grabación</t>
  </si>
  <si>
    <t>Richardstroud</t>
  </si>
  <si>
    <t>Desde el 4/12/2020</t>
  </si>
  <si>
    <t>Cierro social investor</t>
  </si>
  <si>
    <t>Bitcoin</t>
  </si>
  <si>
    <t>Desde el 10/1/2021</t>
  </si>
  <si>
    <t>Mas fondos</t>
  </si>
  <si>
    <t>Ganancia Mensual</t>
  </si>
  <si>
    <t xml:space="preserve">Ganancia desde el </t>
  </si>
  <si>
    <t>Retiro</t>
  </si>
  <si>
    <t>Adicioné</t>
  </si>
  <si>
    <t>Laijianming</t>
  </si>
  <si>
    <t>ETHCNH (Yuan Cripto)</t>
  </si>
  <si>
    <t>Depositos</t>
  </si>
  <si>
    <t>Dolares</t>
  </si>
  <si>
    <t>Pesos</t>
  </si>
  <si>
    <t>Jaynemesis (45 dolares estaba)</t>
  </si>
  <si>
    <t>Papá</t>
  </si>
  <si>
    <t>Total</t>
  </si>
  <si>
    <t>Yo Jaynemesis</t>
  </si>
  <si>
    <t>ETC</t>
  </si>
  <si>
    <t>adicioné</t>
  </si>
  <si>
    <t>XRP</t>
  </si>
  <si>
    <t>reinversión en ETHCNH</t>
  </si>
  <si>
    <t xml:space="preserve">Mercado </t>
  </si>
  <si>
    <t>Gastos fijos por semana</t>
  </si>
  <si>
    <t>Gasolina</t>
  </si>
  <si>
    <t>Calle</t>
  </si>
  <si>
    <t>Novia</t>
  </si>
  <si>
    <t>Gimnasio</t>
  </si>
  <si>
    <t>Impevistos</t>
  </si>
  <si>
    <t>Salario</t>
  </si>
  <si>
    <t>Ahorro</t>
  </si>
  <si>
    <t>Capital final</t>
  </si>
  <si>
    <t>Interes mes</t>
  </si>
  <si>
    <t>Meses</t>
  </si>
  <si>
    <t>Inicial</t>
  </si>
  <si>
    <t>Microfutbol</t>
  </si>
  <si>
    <t>E-toro</t>
  </si>
  <si>
    <t>E-toro (dolares)</t>
  </si>
  <si>
    <t>Desfase</t>
  </si>
  <si>
    <t>z</t>
  </si>
  <si>
    <t>etoro papá</t>
  </si>
  <si>
    <t>jaynemesis</t>
  </si>
  <si>
    <t>Pago mensual</t>
  </si>
  <si>
    <t>CPH equities</t>
  </si>
  <si>
    <t>Eddyb123</t>
  </si>
  <si>
    <t>Wesl3y</t>
  </si>
  <si>
    <t>Federicosalvioli</t>
  </si>
  <si>
    <t>Invertido</t>
  </si>
  <si>
    <t>Suma</t>
  </si>
  <si>
    <t>Neto</t>
  </si>
  <si>
    <t>Porcentaje de inversion</t>
  </si>
  <si>
    <t>Semana ultimo día</t>
  </si>
  <si>
    <t>Desfase acumulado</t>
  </si>
  <si>
    <t>Rubymza</t>
  </si>
  <si>
    <t>Neto acumulado</t>
  </si>
  <si>
    <t>Pago</t>
  </si>
  <si>
    <t>Efectivo</t>
  </si>
  <si>
    <t>total gastos</t>
  </si>
  <si>
    <t>Lo de Davivieda pasó a binance y le puse $100,000 a acma</t>
  </si>
  <si>
    <t>Deposité 100 dolares a e-toro, para amazon $403000</t>
  </si>
  <si>
    <t>Tengo 100.000 e Tri bolsa de valores</t>
  </si>
  <si>
    <t xml:space="preserve">Progreso </t>
  </si>
  <si>
    <t>Le metí 300 dolares a etoro bwoodinv 1203000 y 60 dolares a waves exchange 250000, pago de $500,000 prestamo</t>
  </si>
  <si>
    <t>Jero me debe el regalo de Juanda $66,000</t>
  </si>
  <si>
    <t>mucho</t>
  </si>
  <si>
    <t>Bancolombia+efectivo</t>
  </si>
  <si>
    <t>Le meti 77 dolares a etoro bwoodinv</t>
  </si>
  <si>
    <t xml:space="preserve"> </t>
  </si>
  <si>
    <t>-</t>
  </si>
  <si>
    <t>Compra de tiquetes a Argentina Jero puso 600 mil</t>
  </si>
  <si>
    <t>Compra de 120 Kg miel</t>
  </si>
  <si>
    <t>zapatos futsal-semanasanta pago credito 441,000</t>
  </si>
  <si>
    <t>Pago prestamo</t>
  </si>
  <si>
    <t>pago 700,000 prestamo</t>
  </si>
  <si>
    <t>30/05//2022</t>
  </si>
  <si>
    <t>Debo 800,000</t>
  </si>
  <si>
    <t>Instalación de programa para manejo del dinero</t>
  </si>
  <si>
    <t>Pagué lo 800, recibí prima y compré computador de 3´300,000</t>
  </si>
  <si>
    <t>Pago de prestamo 500 mil + inversión canicas de 312000</t>
  </si>
  <si>
    <t>Pago prestamo Mary $856.700 computador</t>
  </si>
  <si>
    <t>2 Adsp + viaje a medellin</t>
  </si>
  <si>
    <t>Salida compañeros Colegio - Cumpleaños Mamita, abono de $600,000 computador</t>
  </si>
  <si>
    <t>Pago de credito 500 mil, Evento Metallica Charlot 85 mil, cumpleaños de Manolo 30 mil</t>
  </si>
  <si>
    <t>Aplicación</t>
  </si>
  <si>
    <t>$Pago de 843.300 del computador (Paz y salvo)</t>
  </si>
  <si>
    <t>Intereses 1,2% mensual</t>
  </si>
  <si>
    <t xml:space="preserve">Capital base </t>
  </si>
  <si>
    <t xml:space="preserve">4 Canecas con envio </t>
  </si>
  <si>
    <t>Envases 450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</si>
</sst>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.00_-;\-&quot;$&quot;\ * #,##0.00_-;_-&quot;$&quot;\ * &quot;-&quot;_-;_-@_-"/>
    <numFmt numFmtId="165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5">
    <xf numFmtId="0" fontId="0" fillId="0" borderId="0" xfId="0"/>
    <xf numFmtId="0" fontId="4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2" fontId="0" fillId="0" borderId="1" xfId="0" applyNumberFormat="1" applyBorder="1"/>
    <xf numFmtId="42" fontId="2" fillId="0" borderId="1" xfId="1" applyFont="1" applyBorder="1"/>
    <xf numFmtId="42" fontId="2" fillId="0" borderId="1" xfId="0" applyNumberFormat="1" applyFont="1" applyBorder="1"/>
    <xf numFmtId="42" fontId="5" fillId="0" borderId="1" xfId="1" applyFont="1" applyBorder="1"/>
    <xf numFmtId="42" fontId="0" fillId="0" borderId="0" xfId="0" applyNumberFormat="1"/>
    <xf numFmtId="42" fontId="2" fillId="0" borderId="1" xfId="1" applyFont="1" applyFill="1" applyBorder="1"/>
    <xf numFmtId="0" fontId="0" fillId="0" borderId="2" xfId="0" applyBorder="1"/>
    <xf numFmtId="14" fontId="0" fillId="0" borderId="3" xfId="0" applyNumberFormat="1" applyBorder="1"/>
    <xf numFmtId="42" fontId="2" fillId="0" borderId="4" xfId="1" applyFont="1" applyFill="1" applyBorder="1"/>
    <xf numFmtId="0" fontId="0" fillId="0" borderId="4" xfId="0" applyBorder="1"/>
    <xf numFmtId="42" fontId="5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42" fontId="2" fillId="0" borderId="9" xfId="1" applyFont="1" applyFill="1" applyBorder="1"/>
    <xf numFmtId="0" fontId="0" fillId="0" borderId="9" xfId="0" applyBorder="1"/>
    <xf numFmtId="42" fontId="5" fillId="0" borderId="9" xfId="1" applyFont="1" applyBorder="1"/>
    <xf numFmtId="42" fontId="2" fillId="0" borderId="4" xfId="1" applyFont="1" applyBorder="1"/>
    <xf numFmtId="42" fontId="2" fillId="0" borderId="9" xfId="1" applyFont="1" applyBorder="1"/>
    <xf numFmtId="42" fontId="0" fillId="0" borderId="9" xfId="1" applyFont="1" applyBorder="1"/>
    <xf numFmtId="42" fontId="0" fillId="0" borderId="10" xfId="1" applyFont="1" applyBorder="1"/>
    <xf numFmtId="0" fontId="4" fillId="0" borderId="2" xfId="0" applyFont="1" applyBorder="1"/>
    <xf numFmtId="0" fontId="3" fillId="0" borderId="2" xfId="0" applyFont="1" applyBorder="1"/>
    <xf numFmtId="42" fontId="5" fillId="0" borderId="1" xfId="0" applyNumberFormat="1" applyFont="1" applyBorder="1"/>
    <xf numFmtId="42" fontId="2" fillId="0" borderId="13" xfId="1" applyFont="1" applyFill="1" applyBorder="1"/>
    <xf numFmtId="0" fontId="0" fillId="0" borderId="13" xfId="0" applyBorder="1"/>
    <xf numFmtId="14" fontId="0" fillId="0" borderId="14" xfId="0" applyNumberFormat="1" applyBorder="1"/>
    <xf numFmtId="42" fontId="2" fillId="0" borderId="2" xfId="1" applyFont="1" applyFill="1" applyBorder="1"/>
    <xf numFmtId="42" fontId="5" fillId="0" borderId="2" xfId="1" applyFont="1" applyBorder="1"/>
    <xf numFmtId="42" fontId="0" fillId="0" borderId="15" xfId="1" applyFont="1" applyBorder="1"/>
    <xf numFmtId="42" fontId="0" fillId="0" borderId="4" xfId="0" applyNumberFormat="1" applyBorder="1"/>
    <xf numFmtId="0" fontId="0" fillId="0" borderId="15" xfId="0" applyBorder="1"/>
    <xf numFmtId="42" fontId="2" fillId="0" borderId="2" xfId="1" applyFont="1" applyBorder="1"/>
    <xf numFmtId="42" fontId="0" fillId="0" borderId="2" xfId="1" applyFont="1" applyBorder="1"/>
    <xf numFmtId="0" fontId="0" fillId="0" borderId="14" xfId="0" applyBorder="1"/>
    <xf numFmtId="0" fontId="0" fillId="0" borderId="3" xfId="0" applyBorder="1"/>
    <xf numFmtId="14" fontId="0" fillId="0" borderId="16" xfId="0" applyNumberFormat="1" applyBorder="1"/>
    <xf numFmtId="42" fontId="2" fillId="0" borderId="17" xfId="1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0" borderId="22" xfId="0" applyNumberFormat="1" applyBorder="1"/>
    <xf numFmtId="42" fontId="2" fillId="0" borderId="23" xfId="1" applyFont="1" applyFill="1" applyBorder="1"/>
    <xf numFmtId="0" fontId="0" fillId="0" borderId="23" xfId="0" applyBorder="1"/>
    <xf numFmtId="0" fontId="0" fillId="0" borderId="24" xfId="0" applyBorder="1"/>
    <xf numFmtId="42" fontId="2" fillId="0" borderId="25" xfId="1" applyFont="1" applyFill="1" applyBorder="1"/>
    <xf numFmtId="42" fontId="2" fillId="0" borderId="26" xfId="1" applyFont="1" applyFill="1" applyBorder="1"/>
    <xf numFmtId="42" fontId="2" fillId="0" borderId="27" xfId="1" applyFont="1" applyFill="1" applyBorder="1"/>
    <xf numFmtId="14" fontId="0" fillId="0" borderId="20" xfId="0" applyNumberFormat="1" applyBorder="1"/>
    <xf numFmtId="42" fontId="5" fillId="0" borderId="0" xfId="1" applyFont="1" applyBorder="1"/>
    <xf numFmtId="42" fontId="2" fillId="0" borderId="0" xfId="1" applyFont="1" applyFill="1" applyBorder="1"/>
    <xf numFmtId="42" fontId="2" fillId="0" borderId="18" xfId="1" applyFont="1" applyFill="1" applyBorder="1"/>
    <xf numFmtId="42" fontId="2" fillId="0" borderId="24" xfId="1" applyFont="1" applyFill="1" applyBorder="1"/>
    <xf numFmtId="42" fontId="5" fillId="0" borderId="24" xfId="1" applyFont="1" applyBorder="1"/>
    <xf numFmtId="42" fontId="2" fillId="0" borderId="0" xfId="0" applyNumberFormat="1" applyFont="1"/>
    <xf numFmtId="42" fontId="5" fillId="0" borderId="0" xfId="0" applyNumberFormat="1" applyFont="1"/>
    <xf numFmtId="42" fontId="0" fillId="0" borderId="24" xfId="0" applyNumberFormat="1" applyBorder="1"/>
    <xf numFmtId="42" fontId="0" fillId="0" borderId="28" xfId="0" applyNumberFormat="1" applyBorder="1"/>
    <xf numFmtId="0" fontId="0" fillId="0" borderId="28" xfId="0" applyBorder="1"/>
    <xf numFmtId="14" fontId="0" fillId="0" borderId="22" xfId="2" applyNumberFormat="1" applyFont="1" applyBorder="1"/>
    <xf numFmtId="0" fontId="3" fillId="0" borderId="2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4" fontId="0" fillId="0" borderId="30" xfId="0" applyNumberFormat="1" applyBorder="1"/>
    <xf numFmtId="164" fontId="5" fillId="0" borderId="26" xfId="1" applyNumberFormat="1" applyFont="1" applyBorder="1"/>
    <xf numFmtId="0" fontId="0" fillId="0" borderId="30" xfId="0" applyBorder="1"/>
    <xf numFmtId="0" fontId="0" fillId="0" borderId="31" xfId="0" applyBorder="1"/>
    <xf numFmtId="164" fontId="5" fillId="0" borderId="32" xfId="1" applyNumberFormat="1" applyFont="1" applyBorder="1"/>
    <xf numFmtId="0" fontId="4" fillId="0" borderId="33" xfId="0" applyFont="1" applyBorder="1" applyAlignment="1">
      <alignment horizontal="center"/>
    </xf>
    <xf numFmtId="42" fontId="2" fillId="0" borderId="33" xfId="1" applyFont="1" applyBorder="1"/>
    <xf numFmtId="42" fontId="2" fillId="0" borderId="33" xfId="0" applyNumberFormat="1" applyFont="1" applyBorder="1"/>
    <xf numFmtId="14" fontId="0" fillId="0" borderId="26" xfId="0" applyNumberFormat="1" applyBorder="1"/>
    <xf numFmtId="42" fontId="0" fillId="0" borderId="2" xfId="0" applyNumberFormat="1" applyBorder="1"/>
    <xf numFmtId="14" fontId="0" fillId="0" borderId="2" xfId="0" applyNumberFormat="1" applyBorder="1"/>
    <xf numFmtId="44" fontId="0" fillId="0" borderId="0" xfId="0" applyNumberFormat="1"/>
    <xf numFmtId="14" fontId="0" fillId="0" borderId="30" xfId="0" applyNumberFormat="1" applyBorder="1" applyAlignment="1">
      <alignment horizontal="right"/>
    </xf>
    <xf numFmtId="42" fontId="5" fillId="0" borderId="18" xfId="1" applyFont="1" applyBorder="1"/>
    <xf numFmtId="42" fontId="0" fillId="0" borderId="24" xfId="1" applyFont="1" applyBorder="1"/>
    <xf numFmtId="42" fontId="0" fillId="0" borderId="28" xfId="1" applyFont="1" applyBorder="1"/>
    <xf numFmtId="42" fontId="0" fillId="0" borderId="0" xfId="1" applyFont="1" applyBorder="1"/>
    <xf numFmtId="42" fontId="0" fillId="0" borderId="21" xfId="1" applyFont="1" applyBorder="1"/>
    <xf numFmtId="42" fontId="0" fillId="0" borderId="21" xfId="0" applyNumberFormat="1" applyBorder="1"/>
    <xf numFmtId="0" fontId="2" fillId="0" borderId="0" xfId="0" applyFont="1"/>
    <xf numFmtId="42" fontId="0" fillId="0" borderId="0" xfId="1" applyFont="1"/>
    <xf numFmtId="14" fontId="0" fillId="0" borderId="0" xfId="0" applyNumberFormat="1"/>
    <xf numFmtId="0" fontId="0" fillId="2" borderId="0" xfId="0" applyFill="1"/>
    <xf numFmtId="164" fontId="0" fillId="2" borderId="0" xfId="1" applyNumberFormat="1" applyFont="1" applyFill="1" applyBorder="1"/>
    <xf numFmtId="164" fontId="2" fillId="2" borderId="0" xfId="1" applyNumberFormat="1" applyFont="1" applyFill="1" applyBorder="1"/>
    <xf numFmtId="164" fontId="5" fillId="2" borderId="0" xfId="1" applyNumberFormat="1" applyFont="1" applyFill="1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14" fontId="0" fillId="2" borderId="20" xfId="0" applyNumberFormat="1" applyFill="1" applyBorder="1"/>
    <xf numFmtId="164" fontId="2" fillId="2" borderId="21" xfId="1" applyNumberFormat="1" applyFont="1" applyFill="1" applyBorder="1"/>
    <xf numFmtId="164" fontId="5" fillId="2" borderId="21" xfId="1" applyNumberFormat="1" applyFont="1" applyFill="1" applyBorder="1"/>
    <xf numFmtId="164" fontId="5" fillId="2" borderId="24" xfId="1" applyNumberFormat="1" applyFont="1" applyFill="1" applyBorder="1"/>
    <xf numFmtId="164" fontId="2" fillId="2" borderId="28" xfId="1" applyNumberFormat="1" applyFont="1" applyFill="1" applyBorder="1"/>
    <xf numFmtId="164" fontId="0" fillId="2" borderId="20" xfId="1" applyNumberFormat="1" applyFont="1" applyFill="1" applyBorder="1"/>
    <xf numFmtId="164" fontId="0" fillId="2" borderId="21" xfId="1" applyNumberFormat="1" applyFont="1" applyFill="1" applyBorder="1"/>
    <xf numFmtId="164" fontId="0" fillId="2" borderId="22" xfId="1" applyNumberFormat="1" applyFont="1" applyFill="1" applyBorder="1"/>
    <xf numFmtId="164" fontId="0" fillId="2" borderId="28" xfId="1" applyNumberFormat="1" applyFont="1" applyFill="1" applyBorder="1"/>
    <xf numFmtId="164" fontId="5" fillId="2" borderId="28" xfId="1" applyNumberFormat="1" applyFont="1" applyFill="1" applyBorder="1"/>
    <xf numFmtId="44" fontId="5" fillId="0" borderId="0" xfId="1" applyNumberFormat="1" applyFont="1" applyFill="1" applyBorder="1"/>
    <xf numFmtId="0" fontId="5" fillId="0" borderId="0" xfId="0" applyFont="1"/>
    <xf numFmtId="164" fontId="0" fillId="2" borderId="24" xfId="1" applyNumberFormat="1" applyFont="1" applyFill="1" applyBorder="1"/>
    <xf numFmtId="42" fontId="0" fillId="2" borderId="0" xfId="1" applyFont="1" applyFill="1" applyBorder="1"/>
    <xf numFmtId="42" fontId="0" fillId="2" borderId="21" xfId="1" applyFont="1" applyFill="1" applyBorder="1"/>
    <xf numFmtId="42" fontId="0" fillId="2" borderId="20" xfId="1" applyFont="1" applyFill="1" applyBorder="1"/>
    <xf numFmtId="164" fontId="1" fillId="2" borderId="21" xfId="1" applyNumberFormat="1" applyFont="1" applyFill="1" applyBorder="1"/>
    <xf numFmtId="0" fontId="0" fillId="2" borderId="22" xfId="0" applyFill="1" applyBorder="1"/>
    <xf numFmtId="0" fontId="0" fillId="2" borderId="28" xfId="0" applyFill="1" applyBorder="1"/>
    <xf numFmtId="0" fontId="0" fillId="2" borderId="24" xfId="0" applyFill="1" applyBorder="1"/>
    <xf numFmtId="9" fontId="0" fillId="0" borderId="0" xfId="3" applyFont="1"/>
    <xf numFmtId="42" fontId="0" fillId="2" borderId="16" xfId="1" applyFont="1" applyFill="1" applyBorder="1"/>
    <xf numFmtId="42" fontId="0" fillId="2" borderId="19" xfId="1" applyFont="1" applyFill="1" applyBorder="1"/>
    <xf numFmtId="164" fontId="2" fillId="2" borderId="18" xfId="1" applyNumberFormat="1" applyFont="1" applyFill="1" applyBorder="1"/>
    <xf numFmtId="164" fontId="2" fillId="2" borderId="19" xfId="1" applyNumberFormat="1" applyFont="1" applyFill="1" applyBorder="1"/>
    <xf numFmtId="14" fontId="0" fillId="2" borderId="34" xfId="0" applyNumberFormat="1" applyFill="1" applyBorder="1"/>
    <xf numFmtId="14" fontId="0" fillId="2" borderId="35" xfId="0" applyNumberFormat="1" applyFill="1" applyBorder="1"/>
    <xf numFmtId="14" fontId="0" fillId="0" borderId="35" xfId="0" applyNumberFormat="1" applyBorder="1"/>
    <xf numFmtId="14" fontId="0" fillId="0" borderId="36" xfId="0" applyNumberFormat="1" applyBorder="1"/>
    <xf numFmtId="164" fontId="0" fillId="2" borderId="16" xfId="1" applyNumberFormat="1" applyFont="1" applyFill="1" applyBorder="1"/>
    <xf numFmtId="164" fontId="0" fillId="2" borderId="19" xfId="1" applyNumberFormat="1" applyFont="1" applyFill="1" applyBorder="1"/>
    <xf numFmtId="42" fontId="0" fillId="2" borderId="31" xfId="1" applyFont="1" applyFill="1" applyBorder="1"/>
    <xf numFmtId="0" fontId="0" fillId="2" borderId="37" xfId="0" applyFill="1" applyBorder="1"/>
    <xf numFmtId="42" fontId="0" fillId="2" borderId="37" xfId="0" applyNumberFormat="1" applyFill="1" applyBorder="1"/>
    <xf numFmtId="42" fontId="0" fillId="2" borderId="32" xfId="1" applyFont="1" applyFill="1" applyBorder="1"/>
    <xf numFmtId="0" fontId="0" fillId="3" borderId="2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29" xfId="0" applyFill="1" applyBorder="1"/>
    <xf numFmtId="0" fontId="0" fillId="4" borderId="11" xfId="0" applyFill="1" applyBorder="1"/>
    <xf numFmtId="0" fontId="0" fillId="4" borderId="12" xfId="0" applyFill="1" applyBorder="1"/>
    <xf numFmtId="164" fontId="2" fillId="2" borderId="24" xfId="1" applyNumberFormat="1" applyFont="1" applyFill="1" applyBorder="1"/>
    <xf numFmtId="14" fontId="0" fillId="0" borderId="0" xfId="0" applyNumberFormat="1" applyAlignment="1">
      <alignment horizontal="center"/>
    </xf>
    <xf numFmtId="42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42" fontId="2" fillId="0" borderId="0" xfId="0" applyNumberFormat="1" applyFont="1" applyAlignment="1">
      <alignment horizontal="center"/>
    </xf>
    <xf numFmtId="42" fontId="0" fillId="0" borderId="0" xfId="1" applyFont="1" applyAlignment="1">
      <alignment horizontal="center" vertical="center"/>
    </xf>
    <xf numFmtId="14" fontId="0" fillId="2" borderId="21" xfId="0" applyNumberFormat="1" applyFill="1" applyBorder="1"/>
    <xf numFmtId="42" fontId="0" fillId="2" borderId="28" xfId="0" applyNumberFormat="1" applyFill="1" applyBorder="1"/>
    <xf numFmtId="14" fontId="0" fillId="2" borderId="0" xfId="0" applyNumberFormat="1" applyFill="1"/>
    <xf numFmtId="42" fontId="0" fillId="2" borderId="0" xfId="1" applyFont="1" applyFill="1"/>
    <xf numFmtId="0" fontId="0" fillId="0" borderId="34" xfId="0" applyBorder="1"/>
    <xf numFmtId="6" fontId="0" fillId="0" borderId="0" xfId="0" applyNumberFormat="1"/>
    <xf numFmtId="14" fontId="0" fillId="2" borderId="22" xfId="0" applyNumberFormat="1" applyFill="1" applyBorder="1"/>
    <xf numFmtId="14" fontId="0" fillId="2" borderId="16" xfId="0" applyNumberFormat="1" applyFill="1" applyBorder="1"/>
    <xf numFmtId="42" fontId="5" fillId="0" borderId="0" xfId="0" applyNumberFormat="1" applyFont="1" applyAlignment="1">
      <alignment horizontal="center"/>
    </xf>
    <xf numFmtId="14" fontId="0" fillId="2" borderId="36" xfId="0" applyNumberFormat="1" applyFill="1" applyBorder="1"/>
    <xf numFmtId="9" fontId="0" fillId="0" borderId="0" xfId="3" applyFont="1" applyAlignment="1">
      <alignment horizontal="center"/>
    </xf>
    <xf numFmtId="14" fontId="0" fillId="2" borderId="35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10" fontId="2" fillId="2" borderId="18" xfId="3" applyNumberFormat="1" applyFont="1" applyFill="1" applyBorder="1" applyAlignment="1">
      <alignment horizontal="center" vertical="center"/>
    </xf>
    <xf numFmtId="10" fontId="2" fillId="2" borderId="19" xfId="3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2" fillId="2" borderId="0" xfId="3" applyNumberFormat="1" applyFont="1" applyFill="1" applyBorder="1" applyAlignment="1">
      <alignment horizontal="center" vertical="center"/>
    </xf>
    <xf numFmtId="10" fontId="2" fillId="2" borderId="21" xfId="3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0" fontId="5" fillId="2" borderId="0" xfId="3" applyNumberFormat="1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0" fontId="5" fillId="2" borderId="18" xfId="3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0" fontId="5" fillId="2" borderId="24" xfId="3" applyNumberFormat="1" applyFont="1" applyFill="1" applyBorder="1" applyAlignment="1">
      <alignment horizontal="center" vertical="center"/>
    </xf>
    <xf numFmtId="10" fontId="2" fillId="2" borderId="28" xfId="3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0" fontId="5" fillId="2" borderId="21" xfId="3" applyNumberFormat="1" applyFont="1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2" xfId="0" applyFill="1" applyBorder="1" applyAlignment="1">
      <alignment horizontal="center"/>
    </xf>
    <xf numFmtId="165" fontId="0" fillId="0" borderId="0" xfId="4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34" xfId="0" applyFill="1" applyBorder="1"/>
    <xf numFmtId="42" fontId="0" fillId="2" borderId="35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42" fontId="0" fillId="2" borderId="34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42" fontId="0" fillId="2" borderId="36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vertical="center"/>
    </xf>
    <xf numFmtId="0" fontId="0" fillId="0" borderId="35" xfId="0" applyBorder="1" applyAlignment="1">
      <alignment vertical="center"/>
    </xf>
    <xf numFmtId="42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42" fontId="0" fillId="0" borderId="35" xfId="0" applyNumberFormat="1" applyBorder="1" applyAlignment="1">
      <alignment horizontal="center" vertical="center"/>
    </xf>
    <xf numFmtId="42" fontId="0" fillId="0" borderId="36" xfId="0" applyNumberFormat="1" applyBorder="1" applyAlignment="1">
      <alignment horizontal="center" vertical="center"/>
    </xf>
    <xf numFmtId="44" fontId="0" fillId="0" borderId="0" xfId="4" applyFont="1" applyAlignment="1">
      <alignment horizontal="center"/>
    </xf>
  </cellXfs>
  <cellStyles count="5">
    <cellStyle name="Millares [0]" xfId="2" builtinId="6"/>
    <cellStyle name="Moneda" xfId="4" builtinId="4"/>
    <cellStyle name="Moneda [0]" xfId="1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Totales!$C$2:$C$56</c:f>
              <c:numCache>
                <c:formatCode>m/d/yyyy</c:formatCode>
                <c:ptCount val="55"/>
                <c:pt idx="0">
                  <c:v>43760</c:v>
                </c:pt>
                <c:pt idx="1">
                  <c:v>43767</c:v>
                </c:pt>
                <c:pt idx="2">
                  <c:v>43774</c:v>
                </c:pt>
                <c:pt idx="3">
                  <c:v>43781</c:v>
                </c:pt>
                <c:pt idx="4">
                  <c:v>43788</c:v>
                </c:pt>
                <c:pt idx="5">
                  <c:v>43795</c:v>
                </c:pt>
                <c:pt idx="6">
                  <c:v>43802</c:v>
                </c:pt>
                <c:pt idx="7">
                  <c:v>43809</c:v>
                </c:pt>
                <c:pt idx="8">
                  <c:v>43816</c:v>
                </c:pt>
                <c:pt idx="9">
                  <c:v>43824</c:v>
                </c:pt>
                <c:pt idx="10">
                  <c:v>43832</c:v>
                </c:pt>
                <c:pt idx="11">
                  <c:v>43840</c:v>
                </c:pt>
                <c:pt idx="12">
                  <c:v>43849</c:v>
                </c:pt>
                <c:pt idx="13">
                  <c:v>43858</c:v>
                </c:pt>
                <c:pt idx="14">
                  <c:v>43867</c:v>
                </c:pt>
                <c:pt idx="15">
                  <c:v>43876</c:v>
                </c:pt>
                <c:pt idx="16">
                  <c:v>43885</c:v>
                </c:pt>
                <c:pt idx="17">
                  <c:v>43893</c:v>
                </c:pt>
                <c:pt idx="18">
                  <c:v>43901</c:v>
                </c:pt>
                <c:pt idx="19">
                  <c:v>43909</c:v>
                </c:pt>
                <c:pt idx="20">
                  <c:v>43917</c:v>
                </c:pt>
                <c:pt idx="21">
                  <c:v>43925</c:v>
                </c:pt>
                <c:pt idx="22">
                  <c:v>43933</c:v>
                </c:pt>
                <c:pt idx="23">
                  <c:v>43941</c:v>
                </c:pt>
                <c:pt idx="24">
                  <c:v>43950</c:v>
                </c:pt>
                <c:pt idx="25">
                  <c:v>43958</c:v>
                </c:pt>
                <c:pt idx="26">
                  <c:v>43966</c:v>
                </c:pt>
                <c:pt idx="27">
                  <c:v>43974</c:v>
                </c:pt>
                <c:pt idx="28">
                  <c:v>43980</c:v>
                </c:pt>
                <c:pt idx="29">
                  <c:v>43988</c:v>
                </c:pt>
                <c:pt idx="30">
                  <c:v>43996</c:v>
                </c:pt>
                <c:pt idx="31">
                  <c:v>44004</c:v>
                </c:pt>
                <c:pt idx="32">
                  <c:v>44012</c:v>
                </c:pt>
                <c:pt idx="33">
                  <c:v>44020</c:v>
                </c:pt>
                <c:pt idx="34">
                  <c:v>44028</c:v>
                </c:pt>
                <c:pt idx="35">
                  <c:v>44036</c:v>
                </c:pt>
                <c:pt idx="36">
                  <c:v>44044</c:v>
                </c:pt>
                <c:pt idx="37">
                  <c:v>44052</c:v>
                </c:pt>
                <c:pt idx="38">
                  <c:v>44060</c:v>
                </c:pt>
                <c:pt idx="39">
                  <c:v>44068</c:v>
                </c:pt>
                <c:pt idx="40">
                  <c:v>44076</c:v>
                </c:pt>
                <c:pt idx="41">
                  <c:v>44084</c:v>
                </c:pt>
                <c:pt idx="42">
                  <c:v>44093</c:v>
                </c:pt>
                <c:pt idx="43">
                  <c:v>44101</c:v>
                </c:pt>
                <c:pt idx="44">
                  <c:v>44109</c:v>
                </c:pt>
                <c:pt idx="45">
                  <c:v>44116</c:v>
                </c:pt>
                <c:pt idx="46">
                  <c:v>44124</c:v>
                </c:pt>
                <c:pt idx="47">
                  <c:v>44132</c:v>
                </c:pt>
                <c:pt idx="48">
                  <c:v>44140</c:v>
                </c:pt>
                <c:pt idx="49">
                  <c:v>44148</c:v>
                </c:pt>
                <c:pt idx="50">
                  <c:v>44156</c:v>
                </c:pt>
                <c:pt idx="51">
                  <c:v>44164</c:v>
                </c:pt>
                <c:pt idx="52">
                  <c:v>44172</c:v>
                </c:pt>
                <c:pt idx="53">
                  <c:v>44180</c:v>
                </c:pt>
                <c:pt idx="54">
                  <c:v>44188</c:v>
                </c:pt>
              </c:numCache>
            </c:numRef>
          </c:xVal>
          <c:yVal>
            <c:numRef>
              <c:f>Totales!$H$3:$H$56</c:f>
              <c:numCache>
                <c:formatCode>_("$"* #,##0_);_("$"* \(#,##0\);_("$"* "-"_);_(@_)</c:formatCode>
                <c:ptCount val="54"/>
                <c:pt idx="0">
                  <c:v>1772178</c:v>
                </c:pt>
                <c:pt idx="1">
                  <c:v>1680211</c:v>
                </c:pt>
                <c:pt idx="2">
                  <c:v>1056709</c:v>
                </c:pt>
                <c:pt idx="3">
                  <c:v>1743025</c:v>
                </c:pt>
                <c:pt idx="4">
                  <c:v>1620243</c:v>
                </c:pt>
                <c:pt idx="5">
                  <c:v>1653621</c:v>
                </c:pt>
                <c:pt idx="6">
                  <c:v>2154000</c:v>
                </c:pt>
                <c:pt idx="7">
                  <c:v>3615868</c:v>
                </c:pt>
                <c:pt idx="8">
                  <c:v>2916968</c:v>
                </c:pt>
                <c:pt idx="9">
                  <c:v>3369818</c:v>
                </c:pt>
                <c:pt idx="10">
                  <c:v>2366418</c:v>
                </c:pt>
                <c:pt idx="11">
                  <c:v>2130935</c:v>
                </c:pt>
                <c:pt idx="12">
                  <c:v>1656526</c:v>
                </c:pt>
                <c:pt idx="13">
                  <c:v>1379426</c:v>
                </c:pt>
                <c:pt idx="14">
                  <c:v>2093876</c:v>
                </c:pt>
                <c:pt idx="15">
                  <c:v>1843176</c:v>
                </c:pt>
                <c:pt idx="16">
                  <c:v>2375176</c:v>
                </c:pt>
                <c:pt idx="17">
                  <c:v>1980076</c:v>
                </c:pt>
                <c:pt idx="18">
                  <c:v>2588476</c:v>
                </c:pt>
                <c:pt idx="19">
                  <c:v>4587476</c:v>
                </c:pt>
                <c:pt idx="20">
                  <c:v>4423476</c:v>
                </c:pt>
                <c:pt idx="21">
                  <c:v>4423476</c:v>
                </c:pt>
                <c:pt idx="22">
                  <c:v>4423476</c:v>
                </c:pt>
                <c:pt idx="23">
                  <c:v>4214476</c:v>
                </c:pt>
                <c:pt idx="24">
                  <c:v>4179476</c:v>
                </c:pt>
                <c:pt idx="25">
                  <c:v>4113476</c:v>
                </c:pt>
                <c:pt idx="26">
                  <c:v>4050976</c:v>
                </c:pt>
                <c:pt idx="27">
                  <c:v>3977726</c:v>
                </c:pt>
                <c:pt idx="28">
                  <c:v>3898726</c:v>
                </c:pt>
                <c:pt idx="29">
                  <c:v>2748726</c:v>
                </c:pt>
                <c:pt idx="30">
                  <c:v>2357826</c:v>
                </c:pt>
                <c:pt idx="31">
                  <c:v>1594926</c:v>
                </c:pt>
                <c:pt idx="32">
                  <c:v>1547426</c:v>
                </c:pt>
                <c:pt idx="33">
                  <c:v>1805626</c:v>
                </c:pt>
                <c:pt idx="34">
                  <c:v>1764626</c:v>
                </c:pt>
                <c:pt idx="35">
                  <c:v>2119348</c:v>
                </c:pt>
                <c:pt idx="36">
                  <c:v>1765348</c:v>
                </c:pt>
                <c:pt idx="37">
                  <c:v>1301148</c:v>
                </c:pt>
                <c:pt idx="38">
                  <c:v>1255530</c:v>
                </c:pt>
                <c:pt idx="39">
                  <c:v>1330580</c:v>
                </c:pt>
                <c:pt idx="40">
                  <c:v>1333666</c:v>
                </c:pt>
                <c:pt idx="41">
                  <c:v>2450441</c:v>
                </c:pt>
                <c:pt idx="42">
                  <c:v>2769441</c:v>
                </c:pt>
                <c:pt idx="43">
                  <c:v>3705441</c:v>
                </c:pt>
                <c:pt idx="44">
                  <c:v>3226652</c:v>
                </c:pt>
                <c:pt idx="45">
                  <c:v>3775652</c:v>
                </c:pt>
                <c:pt idx="46">
                  <c:v>3677652</c:v>
                </c:pt>
                <c:pt idx="47">
                  <c:v>4160352</c:v>
                </c:pt>
                <c:pt idx="48">
                  <c:v>4021352</c:v>
                </c:pt>
                <c:pt idx="49">
                  <c:v>4615552</c:v>
                </c:pt>
                <c:pt idx="50">
                  <c:v>4182552</c:v>
                </c:pt>
                <c:pt idx="51">
                  <c:v>5836252</c:v>
                </c:pt>
                <c:pt idx="52">
                  <c:v>5836252</c:v>
                </c:pt>
                <c:pt idx="53">
                  <c:v>4328311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B2-47F2-BD7A-90D08D6B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65112"/>
        <c:axId val="380063800"/>
      </c:scatterChart>
      <c:valAx>
        <c:axId val="38006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63800"/>
        <c:crosses val="autoZero"/>
        <c:crossBetween val="midCat"/>
      </c:valAx>
      <c:valAx>
        <c:axId val="3800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006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471510776156789E-2"/>
          <c:y val="0.19406833996150169"/>
          <c:w val="0.84515590515119654"/>
          <c:h val="0.72202318757655914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'e-toro'!$A$4:$A$17</c:f>
              <c:numCache>
                <c:formatCode>m/d/yyyy</c:formatCode>
                <c:ptCount val="14"/>
                <c:pt idx="0">
                  <c:v>44009</c:v>
                </c:pt>
                <c:pt idx="1">
                  <c:v>44043</c:v>
                </c:pt>
                <c:pt idx="2">
                  <c:v>44048</c:v>
                </c:pt>
                <c:pt idx="3">
                  <c:v>44058</c:v>
                </c:pt>
                <c:pt idx="4">
                  <c:v>44066</c:v>
                </c:pt>
                <c:pt idx="5">
                  <c:v>44073</c:v>
                </c:pt>
                <c:pt idx="6">
                  <c:v>44076</c:v>
                </c:pt>
                <c:pt idx="7">
                  <c:v>44087</c:v>
                </c:pt>
                <c:pt idx="8">
                  <c:v>44094</c:v>
                </c:pt>
                <c:pt idx="9">
                  <c:v>44116</c:v>
                </c:pt>
                <c:pt idx="10">
                  <c:v>44124</c:v>
                </c:pt>
                <c:pt idx="11">
                  <c:v>44199</c:v>
                </c:pt>
                <c:pt idx="12">
                  <c:v>44221</c:v>
                </c:pt>
                <c:pt idx="13">
                  <c:v>44286</c:v>
                </c:pt>
              </c:numCache>
            </c:numRef>
          </c:xVal>
          <c:yVal>
            <c:numRef>
              <c:f>'e-toro'!$D$4:$D$17</c:f>
              <c:numCache>
                <c:formatCode>_-"$"\ * #,##0.00_-;\-"$"\ * #,##0.00_-;_-"$"\ * "-"_-;_-@_-</c:formatCode>
                <c:ptCount val="14"/>
                <c:pt idx="0">
                  <c:v>481.61</c:v>
                </c:pt>
                <c:pt idx="1">
                  <c:v>525.33000000000004</c:v>
                </c:pt>
                <c:pt idx="2">
                  <c:v>554.22</c:v>
                </c:pt>
                <c:pt idx="3">
                  <c:v>543.6</c:v>
                </c:pt>
                <c:pt idx="4">
                  <c:v>553.24</c:v>
                </c:pt>
                <c:pt idx="5">
                  <c:v>567.52</c:v>
                </c:pt>
                <c:pt idx="6">
                  <c:v>578.57000000000005</c:v>
                </c:pt>
                <c:pt idx="7">
                  <c:v>549.55999999999995</c:v>
                </c:pt>
                <c:pt idx="8">
                  <c:v>553.02</c:v>
                </c:pt>
                <c:pt idx="9">
                  <c:v>605.37</c:v>
                </c:pt>
                <c:pt idx="10">
                  <c:v>848.25</c:v>
                </c:pt>
                <c:pt idx="11">
                  <c:v>873.16</c:v>
                </c:pt>
                <c:pt idx="12">
                  <c:v>953.22</c:v>
                </c:pt>
                <c:pt idx="13">
                  <c:v>1036.6500000000001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D-45EC-ADA7-36D38876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20672"/>
        <c:axId val="358921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'e-toro'!$D$4:$D$12</c15:sqref>
                        </c15:formulaRef>
                      </c:ext>
                    </c:extLst>
                    <c:numCache>
                      <c:formatCode>_-"$"\ * #,##0.00_-;\-"$"\ * #,##0.00_-;_-"$"\ * "-"_-;_-@_-</c:formatCode>
                      <c:ptCount val="9"/>
                      <c:pt idx="0">
                        <c:v>481.61</c:v>
                      </c:pt>
                      <c:pt idx="1">
                        <c:v>525.33000000000004</c:v>
                      </c:pt>
                      <c:pt idx="2">
                        <c:v>554.22</c:v>
                      </c:pt>
                      <c:pt idx="3">
                        <c:v>543.6</c:v>
                      </c:pt>
                      <c:pt idx="4">
                        <c:v>553.24</c:v>
                      </c:pt>
                      <c:pt idx="5">
                        <c:v>567.52</c:v>
                      </c:pt>
                      <c:pt idx="6">
                        <c:v>578.57000000000005</c:v>
                      </c:pt>
                      <c:pt idx="7">
                        <c:v>549.55999999999995</c:v>
                      </c:pt>
                      <c:pt idx="8">
                        <c:v>553.02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D11-46A9-9C19-53BBC6383696}"/>
                  </c:ext>
                </c:extLst>
              </c15:ser>
            </c15:filteredScatterSeries>
          </c:ext>
        </c:extLst>
      </c:scatterChart>
      <c:valAx>
        <c:axId val="3589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21000"/>
        <c:crosses val="autoZero"/>
        <c:crossBetween val="midCat"/>
      </c:valAx>
      <c:valAx>
        <c:axId val="358921000"/>
        <c:scaling>
          <c:orientation val="minMax"/>
          <c:min val="4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0</xdr:row>
      <xdr:rowOff>57150</xdr:rowOff>
    </xdr:from>
    <xdr:to>
      <xdr:col>17</xdr:col>
      <xdr:colOff>457199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50424</xdr:colOff>
      <xdr:row>25</xdr:row>
      <xdr:rowOff>186020</xdr:rowOff>
    </xdr:from>
    <xdr:to>
      <xdr:col>8</xdr:col>
      <xdr:colOff>683557</xdr:colOff>
      <xdr:row>40</xdr:row>
      <xdr:rowOff>71720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1"/>
  <sheetViews>
    <sheetView zoomScaleNormal="100" workbookViewId="0">
      <selection activeCell="D54" sqref="D54"/>
    </sheetView>
  </sheetViews>
  <sheetFormatPr baseColWidth="10" defaultRowHeight="15" x14ac:dyDescent="0.25"/>
  <cols>
    <col min="2" max="2" width="17.5703125" customWidth="1"/>
    <col min="3" max="3" width="13" bestFit="1" customWidth="1"/>
    <col min="4" max="4" width="22.85546875" customWidth="1"/>
    <col min="5" max="5" width="13.7109375" customWidth="1"/>
    <col min="6" max="6" width="14.7109375" customWidth="1"/>
    <col min="7" max="7" width="15.5703125" customWidth="1"/>
    <col min="8" max="8" width="17.7109375" customWidth="1"/>
    <col min="9" max="9" width="19" customWidth="1"/>
    <col min="10" max="10" width="13" bestFit="1" customWidth="1"/>
  </cols>
  <sheetData>
    <row r="2" spans="1:12" x14ac:dyDescent="0.25">
      <c r="B2" t="s">
        <v>133</v>
      </c>
      <c r="E2" s="138" t="s">
        <v>139</v>
      </c>
      <c r="F2" s="139" t="s">
        <v>144</v>
      </c>
      <c r="G2" s="139" t="s">
        <v>140</v>
      </c>
      <c r="H2" s="139" t="s">
        <v>142</v>
      </c>
      <c r="I2" s="139" t="s">
        <v>143</v>
      </c>
      <c r="J2" s="140" t="s">
        <v>141</v>
      </c>
    </row>
    <row r="3" spans="1:12" x14ac:dyDescent="0.25">
      <c r="B3" t="s">
        <v>132</v>
      </c>
      <c r="C3" s="89">
        <v>60000</v>
      </c>
      <c r="E3" s="131">
        <v>2800000</v>
      </c>
      <c r="F3" s="133">
        <f>D43</f>
        <v>-531943</v>
      </c>
      <c r="G3" s="133">
        <f>E3-(SUM(C3:C10)*4)</f>
        <v>1548000</v>
      </c>
      <c r="H3" s="132">
        <v>0</v>
      </c>
      <c r="I3" s="132">
        <v>12</v>
      </c>
      <c r="J3" s="134">
        <f>G3*I3</f>
        <v>18576000</v>
      </c>
    </row>
    <row r="4" spans="1:12" x14ac:dyDescent="0.25">
      <c r="B4" t="s">
        <v>134</v>
      </c>
      <c r="C4" s="89">
        <v>60000</v>
      </c>
    </row>
    <row r="5" spans="1:12" x14ac:dyDescent="0.25">
      <c r="B5" t="s">
        <v>135</v>
      </c>
      <c r="C5" s="89">
        <v>50000</v>
      </c>
    </row>
    <row r="6" spans="1:12" x14ac:dyDescent="0.25">
      <c r="B6" t="s">
        <v>136</v>
      </c>
      <c r="C6" s="89">
        <v>50000</v>
      </c>
      <c r="E6" s="135" t="s">
        <v>146</v>
      </c>
      <c r="F6" s="136" t="s">
        <v>144</v>
      </c>
      <c r="G6" s="136" t="s">
        <v>140</v>
      </c>
      <c r="H6" s="136" t="s">
        <v>142</v>
      </c>
      <c r="I6" s="136" t="s">
        <v>143</v>
      </c>
      <c r="J6" s="137" t="s">
        <v>141</v>
      </c>
    </row>
    <row r="7" spans="1:12" x14ac:dyDescent="0.25">
      <c r="A7" t="s">
        <v>149</v>
      </c>
      <c r="B7" t="s">
        <v>137</v>
      </c>
      <c r="C7" s="89">
        <v>6000</v>
      </c>
      <c r="E7" s="131">
        <v>1485</v>
      </c>
      <c r="F7" s="133">
        <v>1485</v>
      </c>
      <c r="G7" s="133">
        <v>0</v>
      </c>
      <c r="H7" s="132">
        <v>0.02</v>
      </c>
      <c r="I7" s="132">
        <v>12</v>
      </c>
      <c r="J7" s="134">
        <f>F7*(1+H7)^I7</f>
        <v>1883.3390649253797</v>
      </c>
    </row>
    <row r="8" spans="1:12" x14ac:dyDescent="0.25">
      <c r="B8" t="s">
        <v>138</v>
      </c>
      <c r="C8" s="89">
        <v>50000</v>
      </c>
    </row>
    <row r="9" spans="1:12" x14ac:dyDescent="0.25">
      <c r="B9" t="s">
        <v>145</v>
      </c>
      <c r="C9" s="89">
        <v>7000</v>
      </c>
    </row>
    <row r="10" spans="1:12" x14ac:dyDescent="0.25">
      <c r="B10" t="s">
        <v>98</v>
      </c>
      <c r="C10" s="89">
        <v>30000</v>
      </c>
    </row>
    <row r="12" spans="1:12" x14ac:dyDescent="0.25">
      <c r="B12" t="s">
        <v>161</v>
      </c>
      <c r="C12" t="s">
        <v>193</v>
      </c>
      <c r="D12" t="s">
        <v>175</v>
      </c>
      <c r="E12" t="s">
        <v>96</v>
      </c>
      <c r="F12" t="s">
        <v>147</v>
      </c>
      <c r="G12" t="s">
        <v>167</v>
      </c>
      <c r="H12" t="s">
        <v>148</v>
      </c>
      <c r="I12" t="s">
        <v>162</v>
      </c>
      <c r="K12" t="s">
        <v>150</v>
      </c>
      <c r="L12" t="s">
        <v>151</v>
      </c>
    </row>
    <row r="13" spans="1:12" ht="9.75" hidden="1" x14ac:dyDescent="0.25">
      <c r="A13">
        <v>1</v>
      </c>
      <c r="B13" s="142">
        <v>44466</v>
      </c>
      <c r="C13" s="143">
        <f>25000+30000</f>
        <v>55000</v>
      </c>
      <c r="D13" s="146">
        <f>1567590-1940000+300000</f>
        <v>-72410</v>
      </c>
      <c r="E13" s="143">
        <f>342000+262000</f>
        <v>604000</v>
      </c>
      <c r="F13" s="143"/>
      <c r="H13" s="144"/>
      <c r="K13">
        <v>1015.33</v>
      </c>
      <c r="L13">
        <v>385</v>
      </c>
    </row>
    <row r="14" spans="1:12" ht="9.75" hidden="1" x14ac:dyDescent="0.25">
      <c r="A14">
        <v>2</v>
      </c>
      <c r="B14" s="142">
        <v>44472</v>
      </c>
      <c r="C14" s="143">
        <f>100000+30000+18000+10000+11000+6000</f>
        <v>175000</v>
      </c>
      <c r="D14" s="146">
        <v>827723</v>
      </c>
      <c r="E14" s="143">
        <v>604000</v>
      </c>
      <c r="F14" s="143">
        <v>2369</v>
      </c>
      <c r="G14" s="8">
        <f>D13+1095000-D14</f>
        <v>194867</v>
      </c>
      <c r="H14" s="155">
        <f>G14-SUM(C3:C10)</f>
        <v>-118133</v>
      </c>
      <c r="I14" s="8">
        <f>H14</f>
        <v>-118133</v>
      </c>
    </row>
    <row r="15" spans="1:12" ht="9.75" hidden="1" x14ac:dyDescent="0.25">
      <c r="A15">
        <v>3</v>
      </c>
      <c r="B15" s="142">
        <v>44479</v>
      </c>
      <c r="C15" s="143">
        <v>144723</v>
      </c>
      <c r="D15" s="146">
        <f>2183825+1311000-3059000</f>
        <v>435825</v>
      </c>
      <c r="E15" s="143">
        <v>604000</v>
      </c>
      <c r="F15" s="143">
        <v>2399</v>
      </c>
      <c r="G15" s="8">
        <f>D14-D15</f>
        <v>391898</v>
      </c>
      <c r="H15" s="145">
        <f>G15-SUM(C3:C10)</f>
        <v>78898</v>
      </c>
      <c r="I15" s="8">
        <f>SUM(H14+H15)</f>
        <v>-39235</v>
      </c>
    </row>
    <row r="16" spans="1:12" ht="9.75" hidden="1" x14ac:dyDescent="0.25">
      <c r="A16">
        <v>4</v>
      </c>
      <c r="B16" s="142">
        <v>44487</v>
      </c>
      <c r="C16" s="143">
        <f>6000+17800+1600+10000+2000+20000+4000+10000+6000+2800+5000+4000+4000+3900+46000+10000+599000+10000+3000+15000+22000+6300+17000-10000</f>
        <v>815400</v>
      </c>
      <c r="D16" s="146">
        <f>3023208+684000-3008500</f>
        <v>698708</v>
      </c>
      <c r="E16" s="143">
        <v>604000</v>
      </c>
      <c r="F16" s="143">
        <v>2498</v>
      </c>
      <c r="G16" s="8">
        <f>D15+1095000-D16</f>
        <v>832117</v>
      </c>
      <c r="H16" s="145">
        <f>G16-SUM(C3:C10)</f>
        <v>519117</v>
      </c>
      <c r="I16" s="8">
        <f>SUM(H14:H16)</f>
        <v>479882</v>
      </c>
    </row>
    <row r="17" spans="1:10" ht="9.75" hidden="1" x14ac:dyDescent="0.25">
      <c r="A17">
        <v>5</v>
      </c>
      <c r="B17" s="142">
        <v>44493</v>
      </c>
      <c r="C17" s="89">
        <f>3000+9000+12000+6000+2000+24000+9500+37000+20000+8000+16000-100000</f>
        <v>46500</v>
      </c>
      <c r="D17" s="89">
        <f>692000+1293052-1476450</f>
        <v>508602</v>
      </c>
      <c r="E17" s="89">
        <v>604000</v>
      </c>
      <c r="F17" s="89">
        <v>6287</v>
      </c>
      <c r="G17" s="8">
        <f>D16-D17</f>
        <v>190106</v>
      </c>
      <c r="H17" s="155">
        <f>G17-SUM(C3:C10)</f>
        <v>-122894</v>
      </c>
      <c r="I17" s="8">
        <f>SUM(H14:H17)</f>
        <v>356988</v>
      </c>
    </row>
    <row r="18" spans="1:10" ht="9.75" hidden="1" x14ac:dyDescent="0.25">
      <c r="A18">
        <v>6</v>
      </c>
      <c r="B18" s="142">
        <v>44500</v>
      </c>
      <c r="C18" s="89">
        <f>20000+30000+287300+189000+140000+30000+15000+20000+8000+10000+12000+20000+16000+50000-100000</f>
        <v>747300</v>
      </c>
      <c r="D18" s="89">
        <f>240000+2270615-2068450</f>
        <v>442165</v>
      </c>
      <c r="E18" s="89">
        <v>604000</v>
      </c>
      <c r="F18" s="89">
        <v>6384</v>
      </c>
      <c r="G18" s="8">
        <f>D17-D18+1096000</f>
        <v>1162437</v>
      </c>
      <c r="H18" s="145">
        <f>G18-SUM(C3:C10)</f>
        <v>849437</v>
      </c>
      <c r="I18" s="8">
        <f>SUM(H14:H18)</f>
        <v>1206425</v>
      </c>
    </row>
    <row r="19" spans="1:10" ht="9.75" hidden="1" x14ac:dyDescent="0.25">
      <c r="A19">
        <v>7</v>
      </c>
      <c r="B19" s="142">
        <v>44507</v>
      </c>
      <c r="C19" s="89">
        <f>7000+10000+14500+25000+17700+6000+6000+6000+35000+9000+9000-100000+10000+10000+25000+40000+25000</f>
        <v>155200</v>
      </c>
      <c r="D19" s="89">
        <f>54000+2351022-2356450</f>
        <v>48572</v>
      </c>
      <c r="E19" s="89">
        <v>604000</v>
      </c>
      <c r="F19" s="89">
        <v>6418</v>
      </c>
      <c r="G19" s="8">
        <f>D18-D19</f>
        <v>393593</v>
      </c>
      <c r="H19" s="145">
        <f>G19-SUM(C3:C10)</f>
        <v>80593</v>
      </c>
      <c r="I19" s="8">
        <f>SUM(H14:H19)</f>
        <v>1287018</v>
      </c>
    </row>
    <row r="20" spans="1:10" ht="9.75" hidden="1" x14ac:dyDescent="0.25">
      <c r="A20">
        <v>8</v>
      </c>
      <c r="B20" s="142">
        <v>44514</v>
      </c>
      <c r="C20" s="89">
        <f>3500+3900+3500+2600+1900+2700+800+13000+4000+76000+57000+26000+30000+10000+8000+35000-100000</f>
        <v>177900</v>
      </c>
      <c r="D20" s="89">
        <f>77000+2263099-1678450</f>
        <v>661649</v>
      </c>
      <c r="E20" s="89">
        <v>604000</v>
      </c>
      <c r="F20" s="89">
        <v>6409</v>
      </c>
      <c r="G20" s="8">
        <f>D19-D20+1096000</f>
        <v>482923</v>
      </c>
      <c r="H20" s="145">
        <f>G20-SUM(C3:C10)</f>
        <v>169923</v>
      </c>
      <c r="I20" s="8">
        <f>SUM(H14:H20)</f>
        <v>1456941</v>
      </c>
    </row>
    <row r="21" spans="1:10" ht="9.75" hidden="1" x14ac:dyDescent="0.25">
      <c r="A21">
        <v>9</v>
      </c>
      <c r="B21" s="142">
        <v>44521</v>
      </c>
      <c r="C21" s="89">
        <f>14000+38000+18000+13800+12400+98200+25900+10000+3000+6800+10000-100000-25000</f>
        <v>125100</v>
      </c>
      <c r="D21" s="89">
        <f>2360604-2277450-500000+352000</f>
        <v>-64846</v>
      </c>
      <c r="E21" s="89">
        <v>604000</v>
      </c>
      <c r="F21" s="89">
        <v>6263</v>
      </c>
      <c r="G21" s="8">
        <f>D20-D21-500000</f>
        <v>226495</v>
      </c>
      <c r="H21" s="155">
        <f>G21-SUM(C3:C10)</f>
        <v>-86505</v>
      </c>
      <c r="I21" s="8">
        <f>SUM(H14:H21)</f>
        <v>1370436</v>
      </c>
    </row>
    <row r="22" spans="1:10" ht="9.75" hidden="1" x14ac:dyDescent="0.25">
      <c r="A22">
        <v>10</v>
      </c>
      <c r="B22" s="142">
        <v>44528</v>
      </c>
      <c r="C22" s="89">
        <f>24000+22000+34000+11000+14000+18000+18000+30000-100000</f>
        <v>71000</v>
      </c>
      <c r="D22" s="89">
        <f>1516779+474000-2314250</f>
        <v>-323471</v>
      </c>
      <c r="E22" s="89">
        <v>604000</v>
      </c>
      <c r="F22" s="89">
        <v>6032</v>
      </c>
      <c r="G22" s="8">
        <f>D21-D22</f>
        <v>258625</v>
      </c>
      <c r="H22" s="155">
        <f>G22-SUM(C3:C10)</f>
        <v>-54375</v>
      </c>
      <c r="I22" s="8">
        <f>SUM(H14:H22)</f>
        <v>1316061</v>
      </c>
    </row>
    <row r="23" spans="1:10" ht="9.75" hidden="1" x14ac:dyDescent="0.25">
      <c r="A23">
        <v>11</v>
      </c>
      <c r="B23" s="142">
        <v>44535</v>
      </c>
      <c r="C23" s="89">
        <f>12000+8000+10000+100000+65000+30000+54000-100000+80000+44000+41844</f>
        <v>344844</v>
      </c>
      <c r="D23" s="89">
        <f>2384819-2405000+233000</f>
        <v>212819</v>
      </c>
      <c r="E23" s="89">
        <v>604000</v>
      </c>
      <c r="F23" s="89">
        <v>5712</v>
      </c>
      <c r="G23" s="8">
        <f>D22-D23+1095030</f>
        <v>558740</v>
      </c>
      <c r="H23" s="145">
        <f>G23-SUM(C3:C10)</f>
        <v>245740</v>
      </c>
      <c r="I23" s="8">
        <f>SUM(H14:H23)</f>
        <v>1561801</v>
      </c>
    </row>
    <row r="24" spans="1:10" ht="9.75" hidden="1" x14ac:dyDescent="0.25">
      <c r="A24">
        <v>12</v>
      </c>
      <c r="B24" s="142">
        <v>44542</v>
      </c>
      <c r="C24" s="89">
        <f>20000+59000+28000+3000+44000-100000+40000+78000+10000+9000</f>
        <v>191000</v>
      </c>
      <c r="D24" s="89">
        <f>225000+4564814-2570000</f>
        <v>2219814</v>
      </c>
      <c r="E24" s="89">
        <v>604000</v>
      </c>
      <c r="F24" s="89">
        <v>5872</v>
      </c>
      <c r="G24" s="8">
        <f>D23+2266236-D24</f>
        <v>259241</v>
      </c>
      <c r="H24" s="155">
        <f>G24-SUM(C3:C10)</f>
        <v>-53759</v>
      </c>
      <c r="I24" s="8">
        <f>SUM(H14:H24)</f>
        <v>1508042</v>
      </c>
    </row>
    <row r="25" spans="1:10" ht="9.75" hidden="1" x14ac:dyDescent="0.25">
      <c r="A25">
        <v>13</v>
      </c>
      <c r="B25" s="142">
        <v>44549</v>
      </c>
      <c r="C25" s="89">
        <f>70000+12000+14000+100000+20000-100000</f>
        <v>116000</v>
      </c>
      <c r="D25" s="89">
        <f>1397000+5242105-2746000</f>
        <v>3893105</v>
      </c>
      <c r="E25" s="89">
        <v>604000</v>
      </c>
      <c r="F25" s="89">
        <v>5740</v>
      </c>
      <c r="G25" s="8">
        <f>D24+2266236-D25</f>
        <v>592945</v>
      </c>
      <c r="H25" s="145">
        <f>G25-SUM(C3:C10)</f>
        <v>279945</v>
      </c>
      <c r="I25" s="8">
        <f>SUM(H14:H25)</f>
        <v>1787987</v>
      </c>
    </row>
    <row r="26" spans="1:10" ht="9.75" hidden="1" x14ac:dyDescent="0.25">
      <c r="A26">
        <v>14</v>
      </c>
      <c r="B26" s="142">
        <v>44556</v>
      </c>
      <c r="C26" s="89" t="s">
        <v>59</v>
      </c>
      <c r="D26" s="89">
        <f>4717414+483000-2911000</f>
        <v>2289414</v>
      </c>
      <c r="E26" s="89">
        <v>604000</v>
      </c>
      <c r="F26" s="89">
        <v>5843</v>
      </c>
      <c r="G26" s="8">
        <f>D25-D26-500000</f>
        <v>1103691</v>
      </c>
      <c r="H26" s="145">
        <f>G26-SUM(C3:C10)</f>
        <v>790691</v>
      </c>
      <c r="I26" s="8">
        <f>SUM(H14:H26)</f>
        <v>2578678</v>
      </c>
    </row>
    <row r="27" spans="1:10" ht="9.75" hidden="1" x14ac:dyDescent="0.25">
      <c r="A27">
        <v>15</v>
      </c>
      <c r="B27" s="142">
        <v>44563</v>
      </c>
      <c r="C27" s="89">
        <f>80000+32000+30000+10000+13000+13000+10000+10000+50000+14000+30000+8000-100000+21000+100000+50000</f>
        <v>371000</v>
      </c>
      <c r="D27" s="89">
        <f>200000+72000-897092+3271859</f>
        <v>2646767</v>
      </c>
      <c r="E27" s="89">
        <f>41908+110406+262056</f>
        <v>414370</v>
      </c>
      <c r="F27" s="89">
        <v>5819</v>
      </c>
      <c r="G27" s="8">
        <f>D26+1100000-D27</f>
        <v>742647</v>
      </c>
      <c r="H27" s="145">
        <f>G27-SUM(C5:C12)</f>
        <v>549647</v>
      </c>
      <c r="I27" s="8">
        <f>SUM(H16:H27)</f>
        <v>3167560</v>
      </c>
      <c r="J27" t="s">
        <v>168</v>
      </c>
    </row>
    <row r="28" spans="1:10" ht="9.75" hidden="1" x14ac:dyDescent="0.25">
      <c r="A28">
        <v>16</v>
      </c>
      <c r="B28" s="142">
        <v>44571</v>
      </c>
      <c r="C28" s="89">
        <f>45000+190000+28000+46000+48000+80000-100000</f>
        <v>337000</v>
      </c>
      <c r="D28" s="89">
        <f>3077805-107992</f>
        <v>2969813</v>
      </c>
      <c r="E28" s="89">
        <f>E27</f>
        <v>414370</v>
      </c>
      <c r="F28" s="89">
        <v>5707</v>
      </c>
      <c r="G28" s="8">
        <f>D27-D28-500000</f>
        <v>-823046</v>
      </c>
      <c r="H28" s="145">
        <f>-G28-SUM(C3:C10)</f>
        <v>510046</v>
      </c>
      <c r="I28" s="8">
        <f>SUM(H14:H28)</f>
        <v>3638371</v>
      </c>
      <c r="J28" t="s">
        <v>169</v>
      </c>
    </row>
    <row r="29" spans="1:10" ht="9.75" hidden="1" x14ac:dyDescent="0.25">
      <c r="A29">
        <v>17</v>
      </c>
      <c r="B29" s="142">
        <v>44578</v>
      </c>
      <c r="C29" s="89">
        <f>36000+28000+6000+12000+16000+22000-100000+16000+18000+81000</f>
        <v>135000</v>
      </c>
      <c r="D29" s="89">
        <f>4369386+104000+486000-1601592-657000-470000+100000</f>
        <v>2330794</v>
      </c>
      <c r="E29" s="89">
        <f>41908+110406+262056</f>
        <v>414370</v>
      </c>
      <c r="F29" s="89">
        <v>5722</v>
      </c>
      <c r="G29" s="8">
        <f>D28+1100000-D29</f>
        <v>1739019</v>
      </c>
      <c r="H29" s="145">
        <f>G29-SUM(C3:C10)</f>
        <v>1426019</v>
      </c>
      <c r="I29" s="8">
        <f>SUM(H14:H29)</f>
        <v>5064390</v>
      </c>
      <c r="J29" t="s">
        <v>170</v>
      </c>
    </row>
    <row r="30" spans="1:10" ht="9.75" hidden="1" x14ac:dyDescent="0.25">
      <c r="A30">
        <v>18</v>
      </c>
      <c r="B30" s="142">
        <v>44585</v>
      </c>
      <c r="C30" s="89">
        <f>9200+10500+32000+172000+27000+10000+15000+15000+19000+20500-100000</f>
        <v>230200</v>
      </c>
      <c r="D30" s="89">
        <f>2086454-1710092-530000+470000+66000</f>
        <v>382362</v>
      </c>
      <c r="E30" s="89">
        <f>E29</f>
        <v>414370</v>
      </c>
      <c r="F30" s="89">
        <v>5618</v>
      </c>
      <c r="G30" s="8">
        <f>D29-D30-1203000-250000-500000</f>
        <v>-4568</v>
      </c>
      <c r="H30" s="155">
        <f>G30-SUM(C3:C10)</f>
        <v>-317568</v>
      </c>
      <c r="I30" s="8">
        <f>SUM(H14:H30)</f>
        <v>4746822</v>
      </c>
      <c r="J30" t="s">
        <v>172</v>
      </c>
    </row>
    <row r="31" spans="1:10" ht="9.75" hidden="1" x14ac:dyDescent="0.25">
      <c r="A31">
        <v>19</v>
      </c>
      <c r="B31" s="142">
        <v>44591</v>
      </c>
      <c r="C31" s="89">
        <f>30500+1000+5000+7700+60000+10000+2000+900+23000+43000+8000+25000+50000+17000+3000-C4-C9-C5-C6-C3</f>
        <v>59100</v>
      </c>
      <c r="D31" s="89">
        <f>494000+3621229-2012592-560000-187000+20000</f>
        <v>1375637</v>
      </c>
      <c r="E31" s="89">
        <f>41908+110406+262056</f>
        <v>414370</v>
      </c>
      <c r="F31" s="89">
        <v>5549</v>
      </c>
      <c r="G31" s="8">
        <f>D30+1380000-D31</f>
        <v>386725</v>
      </c>
      <c r="H31" s="145">
        <f>G31-SUM(C3:C10)</f>
        <v>73725</v>
      </c>
      <c r="I31" s="8">
        <f>SUM(H14:H31)</f>
        <v>4820547</v>
      </c>
      <c r="J31" t="s">
        <v>173</v>
      </c>
    </row>
    <row r="32" spans="1:10" ht="9.75" hidden="1" x14ac:dyDescent="0.25">
      <c r="A32">
        <v>20</v>
      </c>
      <c r="B32" s="142">
        <v>44598</v>
      </c>
      <c r="C32" s="89" t="s">
        <v>174</v>
      </c>
      <c r="D32" s="89">
        <f>590000+1619529-760000-1211042-190000</f>
        <v>48487</v>
      </c>
      <c r="E32" s="89">
        <v>412248</v>
      </c>
      <c r="F32" s="89">
        <v>5717</v>
      </c>
      <c r="G32" s="8">
        <f>D31-D32</f>
        <v>1327150</v>
      </c>
      <c r="H32" s="145">
        <f>G32-SUM(C3:C10)</f>
        <v>1014150</v>
      </c>
      <c r="I32" s="8">
        <f>SUM(H14:H32)</f>
        <v>5834697</v>
      </c>
      <c r="J32" t="s">
        <v>176</v>
      </c>
    </row>
    <row r="33" spans="1:13" ht="9.75" hidden="1" x14ac:dyDescent="0.25">
      <c r="A33">
        <v>21</v>
      </c>
      <c r="B33" s="142">
        <v>44605</v>
      </c>
      <c r="C33" s="89" t="s">
        <v>178</v>
      </c>
      <c r="D33" s="89">
        <f>823000+372336-860000-441542</f>
        <v>-106206</v>
      </c>
      <c r="E33" s="89">
        <f>41908+110406+262056</f>
        <v>414370</v>
      </c>
      <c r="F33" s="89">
        <v>5723</v>
      </c>
      <c r="G33" s="8">
        <f>D32-D33</f>
        <v>154693</v>
      </c>
      <c r="H33" s="155">
        <f>G33-SUM(C5:C12)</f>
        <v>-38307</v>
      </c>
      <c r="I33" s="8">
        <f>SUM(H14:H33)</f>
        <v>5796390</v>
      </c>
    </row>
    <row r="34" spans="1:13" ht="9.75" hidden="1" x14ac:dyDescent="0.25">
      <c r="A34">
        <v>22</v>
      </c>
      <c r="B34" s="142">
        <v>44612</v>
      </c>
      <c r="C34" s="89" t="s">
        <v>178</v>
      </c>
      <c r="D34" s="89">
        <f>720000+1948149-806043-1200000-104000</f>
        <v>558106</v>
      </c>
      <c r="E34" s="89">
        <v>412248</v>
      </c>
      <c r="F34" s="89">
        <v>5620</v>
      </c>
      <c r="G34" s="8">
        <f>D33+1350000-D34</f>
        <v>685688</v>
      </c>
      <c r="H34" s="145">
        <f>G34-SUM(C3:C10)</f>
        <v>372688</v>
      </c>
      <c r="I34" s="8">
        <f>SUM(H14:H34)</f>
        <v>6169078</v>
      </c>
    </row>
    <row r="35" spans="1:13" ht="9.75" hidden="1" x14ac:dyDescent="0.25">
      <c r="A35">
        <v>23</v>
      </c>
      <c r="B35" s="142">
        <v>44619</v>
      </c>
      <c r="C35" s="89" t="s">
        <v>178</v>
      </c>
      <c r="D35" s="89">
        <f>4142278-1200000-45000-973042+665000</f>
        <v>2589236</v>
      </c>
      <c r="E35" s="89">
        <f>41908+110406+262056</f>
        <v>414370</v>
      </c>
      <c r="F35" s="89">
        <v>5617</v>
      </c>
      <c r="G35" s="8">
        <f>D34+1400000-D35+665000</f>
        <v>33870</v>
      </c>
      <c r="H35" s="155">
        <f>G35-SUM(C3:C10)</f>
        <v>-279130</v>
      </c>
      <c r="I35" s="8">
        <f>SUM(H16:H35)</f>
        <v>5929183</v>
      </c>
    </row>
    <row r="36" spans="1:13" ht="9.75" hidden="1" x14ac:dyDescent="0.25">
      <c r="A36">
        <v>24</v>
      </c>
      <c r="B36" s="142">
        <v>44633</v>
      </c>
      <c r="C36" s="89" t="s">
        <v>178</v>
      </c>
      <c r="D36" s="89">
        <f>1474480+107000-854986</f>
        <v>726494</v>
      </c>
      <c r="E36" s="89">
        <v>412248</v>
      </c>
      <c r="F36" s="89">
        <v>5375</v>
      </c>
      <c r="G36" s="8">
        <f>D35-D36</f>
        <v>1862742</v>
      </c>
      <c r="H36" s="145">
        <f>G36-SUM(C5:C12)</f>
        <v>1669742</v>
      </c>
      <c r="I36" s="8">
        <f>SUM(H16:H36)</f>
        <v>7598925</v>
      </c>
      <c r="J36" t="s">
        <v>179</v>
      </c>
    </row>
    <row r="37" spans="1:13" ht="9.75" hidden="1" x14ac:dyDescent="0.25">
      <c r="A37">
        <v>25</v>
      </c>
      <c r="B37" s="142">
        <v>44647</v>
      </c>
      <c r="C37" s="89" t="s">
        <v>178</v>
      </c>
      <c r="D37" s="89">
        <f>750000-170000+820845-600000-1888500</f>
        <v>-1087655</v>
      </c>
      <c r="E37" s="89">
        <f>41908+110406+262056</f>
        <v>414370</v>
      </c>
      <c r="F37" s="89">
        <v>5695</v>
      </c>
      <c r="G37" s="8">
        <f>D36-D37</f>
        <v>1814149</v>
      </c>
      <c r="H37" s="145">
        <f>G37-SUM(C5:C12)</f>
        <v>1621149</v>
      </c>
      <c r="I37" s="8">
        <f>SUM(H18:H37)</f>
        <v>8823851</v>
      </c>
      <c r="J37" t="s">
        <v>180</v>
      </c>
    </row>
    <row r="38" spans="1:13" ht="9.75" hidden="1" x14ac:dyDescent="0.25">
      <c r="A38">
        <v>26</v>
      </c>
      <c r="B38" s="142">
        <v>44654</v>
      </c>
      <c r="C38" s="89" t="s">
        <v>178</v>
      </c>
      <c r="D38" s="89">
        <f>1496659+510000-2897100</f>
        <v>-890441</v>
      </c>
      <c r="E38" s="89">
        <v>412248</v>
      </c>
      <c r="F38" s="89">
        <v>5791</v>
      </c>
      <c r="G38" s="8">
        <f>D37+1400000-D38</f>
        <v>1202786</v>
      </c>
      <c r="H38" s="145">
        <f>G38-SUM(C7:C14)</f>
        <v>879786</v>
      </c>
      <c r="I38" s="8">
        <f>SUM(H18:H38)</f>
        <v>9703637</v>
      </c>
    </row>
    <row r="39" spans="1:13" ht="9.75" hidden="1" x14ac:dyDescent="0.25">
      <c r="A39">
        <v>27</v>
      </c>
      <c r="B39" s="142">
        <v>44664</v>
      </c>
      <c r="C39" s="89" t="s">
        <v>178</v>
      </c>
      <c r="D39" s="89">
        <f>2608702-3205000+855000</f>
        <v>258702</v>
      </c>
      <c r="E39" s="89">
        <f>41908+110406+262056</f>
        <v>414370</v>
      </c>
      <c r="F39" s="89">
        <v>5887</v>
      </c>
      <c r="G39" s="8">
        <f>D38-D39</f>
        <v>-1149143</v>
      </c>
      <c r="H39" s="155">
        <f>G39-SUM(C3:C10)</f>
        <v>-1462143</v>
      </c>
      <c r="I39" s="8">
        <f>SUM(H20:H39)</f>
        <v>7311464</v>
      </c>
    </row>
    <row r="40" spans="1:13" ht="9.75" hidden="1" x14ac:dyDescent="0.25">
      <c r="A40">
        <v>28</v>
      </c>
      <c r="B40" s="142">
        <v>44668</v>
      </c>
      <c r="C40" s="89" t="s">
        <v>178</v>
      </c>
      <c r="D40" s="89">
        <f>5752383-3000000-3794000+1080000+160000-35000-441000</f>
        <v>-277617</v>
      </c>
      <c r="E40" s="89">
        <v>412248</v>
      </c>
      <c r="F40" s="89">
        <v>5509</v>
      </c>
      <c r="G40" s="8">
        <f>D39-D40</f>
        <v>536319</v>
      </c>
      <c r="H40" s="145">
        <f>G40-SUM(C3:C10)</f>
        <v>223319</v>
      </c>
      <c r="I40" s="8">
        <f>SUM(H20:H40)</f>
        <v>7534783</v>
      </c>
      <c r="J40" t="s">
        <v>181</v>
      </c>
    </row>
    <row r="41" spans="1:13" ht="9.75" hidden="1" x14ac:dyDescent="0.25">
      <c r="A41">
        <v>29</v>
      </c>
      <c r="B41" s="142">
        <v>44703</v>
      </c>
      <c r="C41" s="89" t="s">
        <v>178</v>
      </c>
      <c r="D41" s="89">
        <f>550000+374000-1613050+441221-48000</f>
        <v>-295829</v>
      </c>
      <c r="E41" s="89">
        <f>41908+110406+262056</f>
        <v>414370</v>
      </c>
      <c r="F41" s="89">
        <v>4861</v>
      </c>
      <c r="G41" s="8">
        <f>D40-D41</f>
        <v>18212</v>
      </c>
      <c r="H41" s="155">
        <f>G41-SUM(C5:C12)</f>
        <v>-174788</v>
      </c>
      <c r="I41" s="8">
        <f>SUM(H22:H41)</f>
        <v>7276577</v>
      </c>
      <c r="J41" t="s">
        <v>182</v>
      </c>
    </row>
    <row r="42" spans="1:13" ht="9.75" hidden="1" x14ac:dyDescent="0.25">
      <c r="A42">
        <v>30</v>
      </c>
      <c r="B42" s="142">
        <v>44711</v>
      </c>
      <c r="C42" s="89" t="s">
        <v>178</v>
      </c>
      <c r="D42" s="89">
        <f>3136386-2661450+792000-700000</f>
        <v>566936</v>
      </c>
      <c r="E42" s="89">
        <v>412248</v>
      </c>
      <c r="F42" s="89">
        <v>5105</v>
      </c>
      <c r="G42" s="8">
        <f>-D41+D42-1400000</f>
        <v>-537235</v>
      </c>
      <c r="H42" s="155">
        <f>G42-SUM(C3:C10)</f>
        <v>-850235</v>
      </c>
      <c r="I42" s="8">
        <f>SUM(H22:H42)</f>
        <v>6426342</v>
      </c>
      <c r="J42" t="s">
        <v>183</v>
      </c>
    </row>
    <row r="43" spans="1:13" ht="9.75" hidden="1" x14ac:dyDescent="0.25">
      <c r="A43">
        <v>31</v>
      </c>
      <c r="B43" s="142">
        <v>44717</v>
      </c>
      <c r="C43" s="89" t="s">
        <v>178</v>
      </c>
      <c r="D43" s="89">
        <f>1721747+107000-1560690-800000</f>
        <v>-531943</v>
      </c>
      <c r="E43" s="89">
        <f>41908+110406+262056</f>
        <v>414370</v>
      </c>
      <c r="F43" s="89">
        <v>5120</v>
      </c>
      <c r="G43" s="8">
        <f>D42-D43</f>
        <v>1098879</v>
      </c>
      <c r="H43" s="145">
        <f>G43-SUM(C3:C10)</f>
        <v>785879</v>
      </c>
      <c r="I43" s="8">
        <f>SUM(H24:H43)</f>
        <v>7020856</v>
      </c>
      <c r="J43" t="s">
        <v>185</v>
      </c>
    </row>
    <row r="44" spans="1:13" ht="9.75" hidden="1" x14ac:dyDescent="0.25">
      <c r="A44">
        <v>32</v>
      </c>
      <c r="B44" s="142">
        <v>44723</v>
      </c>
      <c r="C44" s="89" t="s">
        <v>178</v>
      </c>
      <c r="D44" s="89">
        <f>938878-1165690+123000-800000</f>
        <v>-903812</v>
      </c>
      <c r="E44" s="89">
        <v>412248</v>
      </c>
      <c r="F44" s="89">
        <v>4925</v>
      </c>
      <c r="G44" s="8">
        <f>-D44+D43</f>
        <v>371869</v>
      </c>
      <c r="H44" s="145">
        <f>G44-SUM(C3:C10)</f>
        <v>58869</v>
      </c>
      <c r="I44" s="8">
        <f>SUM(H24:H44)</f>
        <v>7079725</v>
      </c>
      <c r="J44" t="s">
        <v>185</v>
      </c>
      <c r="K44" t="s">
        <v>186</v>
      </c>
    </row>
    <row r="45" spans="1:13" x14ac:dyDescent="0.25">
      <c r="A45">
        <v>33</v>
      </c>
      <c r="B45" s="142">
        <v>44732</v>
      </c>
      <c r="C45" s="89" t="s">
        <v>178</v>
      </c>
      <c r="D45" s="89">
        <f>3138019-1546690+142000-1000000</f>
        <v>733329</v>
      </c>
      <c r="E45" s="89">
        <f>41908+110406+262056</f>
        <v>414370</v>
      </c>
      <c r="F45" s="89">
        <v>4659</v>
      </c>
      <c r="G45" s="8">
        <f>D44+2834512-D45</f>
        <v>1197371</v>
      </c>
      <c r="H45" s="145">
        <f>G45-SUM(C3:C10)</f>
        <v>884371</v>
      </c>
      <c r="I45" s="8">
        <f>SUM(H14:H45)</f>
        <v>9525897</v>
      </c>
      <c r="J45" t="s">
        <v>187</v>
      </c>
    </row>
    <row r="46" spans="1:13" x14ac:dyDescent="0.25">
      <c r="A46">
        <v>34</v>
      </c>
      <c r="B46" s="142">
        <v>44739</v>
      </c>
      <c r="C46" s="89" t="s">
        <v>178</v>
      </c>
      <c r="D46" s="192">
        <f>479849-2165690+329000+856700</f>
        <v>-500141</v>
      </c>
      <c r="E46" s="89">
        <f>41908+110406+262056</f>
        <v>414370</v>
      </c>
      <c r="F46" s="89">
        <v>4824</v>
      </c>
      <c r="G46" s="8">
        <f>D45-D46</f>
        <v>1233470</v>
      </c>
      <c r="H46" s="145">
        <f>G46-SUM(C3:C10)-500000-312000</f>
        <v>108470</v>
      </c>
      <c r="I46" s="8">
        <f>SUM(H14:H46)</f>
        <v>9634367</v>
      </c>
      <c r="J46" t="s">
        <v>188</v>
      </c>
    </row>
    <row r="47" spans="1:13" x14ac:dyDescent="0.25">
      <c r="A47">
        <v>35</v>
      </c>
      <c r="B47" s="142">
        <v>44746</v>
      </c>
      <c r="C47" s="89" t="s">
        <v>178</v>
      </c>
      <c r="D47" s="192">
        <f>1363614-1277690-350000-51000-36000</f>
        <v>-351076</v>
      </c>
      <c r="E47" s="89">
        <f>41908+110406+262056</f>
        <v>414370</v>
      </c>
      <c r="F47" s="89">
        <v>4825</v>
      </c>
      <c r="G47" s="8">
        <f>D46+1350000-D47</f>
        <v>1200935</v>
      </c>
      <c r="H47" s="145">
        <f>G47-SUM(C3:C10)-856700</f>
        <v>31235</v>
      </c>
      <c r="I47" s="8">
        <f>SUM(H15:H47)</f>
        <v>9783735</v>
      </c>
      <c r="J47" s="193" t="s">
        <v>189</v>
      </c>
      <c r="K47" s="193"/>
      <c r="L47" s="193"/>
      <c r="M47" s="193"/>
    </row>
    <row r="48" spans="1:13" x14ac:dyDescent="0.25">
      <c r="A48">
        <v>36</v>
      </c>
      <c r="B48" s="142">
        <v>44752</v>
      </c>
      <c r="D48" s="191">
        <f>1292976-1885690+85000-453000</f>
        <v>-960714</v>
      </c>
      <c r="E48" s="89">
        <f>41908+110406+262056</f>
        <v>414370</v>
      </c>
      <c r="F48" s="89">
        <v>4781</v>
      </c>
      <c r="G48" s="8">
        <f>-D48+D47</f>
        <v>609638</v>
      </c>
      <c r="H48" s="145">
        <f>G48-SUM(C3:C10)</f>
        <v>296638</v>
      </c>
      <c r="I48" s="8">
        <f>SUM(H16:H48)</f>
        <v>10001475</v>
      </c>
      <c r="J48" t="s">
        <v>190</v>
      </c>
    </row>
    <row r="49" spans="1:10" x14ac:dyDescent="0.25">
      <c r="A49">
        <v>37</v>
      </c>
      <c r="B49" s="142">
        <v>44759</v>
      </c>
      <c r="C49" s="191">
        <f>425600</f>
        <v>425600</v>
      </c>
      <c r="D49" s="191">
        <f>395000-2667440+2938631-600000-600000</f>
        <v>-533809</v>
      </c>
      <c r="E49" s="89">
        <f>446996+308706</f>
        <v>755702</v>
      </c>
      <c r="F49" s="89">
        <v>4682</v>
      </c>
      <c r="G49" s="8">
        <f>D48+1383220</f>
        <v>422506</v>
      </c>
      <c r="H49" s="145">
        <f>G49-SUM(C3:C10)</f>
        <v>109506</v>
      </c>
      <c r="I49" s="8">
        <f>I48+H49</f>
        <v>10110981</v>
      </c>
      <c r="J49" t="s">
        <v>191</v>
      </c>
    </row>
    <row r="50" spans="1:10" x14ac:dyDescent="0.25">
      <c r="A50">
        <v>38</v>
      </c>
      <c r="B50" s="142">
        <v>44766</v>
      </c>
      <c r="C50" s="191">
        <v>404500</v>
      </c>
      <c r="D50" s="191">
        <f>-2229440+946390+465000-624000</f>
        <v>-1442050</v>
      </c>
      <c r="E50" s="89">
        <f>446996+308706</f>
        <v>755702</v>
      </c>
      <c r="F50" s="89">
        <v>4863</v>
      </c>
      <c r="G50" s="8">
        <f>D49-D50-500000</f>
        <v>408241</v>
      </c>
      <c r="H50" s="145">
        <f>G50-SUM(C3:C10)</f>
        <v>95241</v>
      </c>
      <c r="I50" s="8">
        <f>I49+H50</f>
        <v>10206222</v>
      </c>
      <c r="J50" t="s">
        <v>192</v>
      </c>
    </row>
    <row r="51" spans="1:10" x14ac:dyDescent="0.25">
      <c r="A51">
        <v>39</v>
      </c>
      <c r="B51" s="142">
        <v>44773</v>
      </c>
      <c r="C51" s="191">
        <v>175200</v>
      </c>
      <c r="D51" s="191">
        <f>1812091-2352440-696000+933000-843300</f>
        <v>-1146649</v>
      </c>
      <c r="E51" s="89">
        <f>446996+308706</f>
        <v>755702</v>
      </c>
      <c r="F51" s="89">
        <v>5051</v>
      </c>
      <c r="G51" s="8">
        <f>D50-D51+1385000-843300</f>
        <v>246299</v>
      </c>
      <c r="H51" s="145">
        <f>G51-SUM(C3:C10)</f>
        <v>-66701</v>
      </c>
      <c r="I51" s="8">
        <f>I50+H51</f>
        <v>10139521</v>
      </c>
      <c r="J51" t="s">
        <v>194</v>
      </c>
    </row>
  </sheetData>
  <mergeCells count="1">
    <mergeCell ref="J47:M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5"/>
  <sheetViews>
    <sheetView topLeftCell="D32" workbookViewId="0">
      <selection activeCell="P2" sqref="P2:P7"/>
    </sheetView>
  </sheetViews>
  <sheetFormatPr baseColWidth="10" defaultRowHeight="15" x14ac:dyDescent="0.25"/>
  <cols>
    <col min="1" max="1" width="2.85546875" customWidth="1"/>
    <col min="2" max="2" width="16.140625" customWidth="1"/>
    <col min="3" max="3" width="15.5703125" bestFit="1" customWidth="1"/>
    <col min="4" max="4" width="2.28515625" customWidth="1"/>
    <col min="6" max="6" width="13.42578125" customWidth="1"/>
    <col min="10" max="10" width="18.85546875" customWidth="1"/>
    <col min="12" max="12" width="7.42578125" customWidth="1"/>
    <col min="13" max="13" width="16.42578125" customWidth="1"/>
    <col min="14" max="14" width="15.140625" customWidth="1"/>
    <col min="15" max="15" width="24.28515625" customWidth="1"/>
    <col min="16" max="16" width="23.28515625" customWidth="1"/>
  </cols>
  <sheetData>
    <row r="1" spans="1:28" ht="15.75" thickBot="1" x14ac:dyDescent="0.3">
      <c r="A1" s="91"/>
      <c r="B1" s="95"/>
      <c r="C1" s="122">
        <v>14200000</v>
      </c>
      <c r="D1" s="91"/>
      <c r="E1" s="151"/>
      <c r="F1" s="96" t="s">
        <v>153</v>
      </c>
      <c r="G1" s="96" t="s">
        <v>163</v>
      </c>
      <c r="H1" s="96" t="s">
        <v>154</v>
      </c>
      <c r="I1" s="96" t="s">
        <v>155</v>
      </c>
      <c r="J1" s="96" t="s">
        <v>156</v>
      </c>
      <c r="K1" s="96" t="s">
        <v>158</v>
      </c>
      <c r="L1" s="96" t="s">
        <v>159</v>
      </c>
      <c r="M1" s="96" t="s">
        <v>164</v>
      </c>
      <c r="N1" s="96" t="s">
        <v>171</v>
      </c>
      <c r="O1" s="97" t="s">
        <v>160</v>
      </c>
      <c r="P1" s="201" t="s">
        <v>195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</row>
    <row r="2" spans="1:28" x14ac:dyDescent="0.25">
      <c r="A2" s="91"/>
      <c r="B2" s="98" t="s">
        <v>0</v>
      </c>
      <c r="C2" s="147">
        <v>44492</v>
      </c>
      <c r="D2" s="91"/>
      <c r="E2" s="95" t="s">
        <v>157</v>
      </c>
      <c r="F2" s="161">
        <v>700</v>
      </c>
      <c r="G2" s="162">
        <v>1000</v>
      </c>
      <c r="H2" s="162">
        <v>1000</v>
      </c>
      <c r="I2" s="162">
        <v>553</v>
      </c>
      <c r="J2" s="162">
        <v>500</v>
      </c>
      <c r="K2" s="162">
        <f t="shared" ref="K2:K8" si="0">SUM(F2:J2)</f>
        <v>3753</v>
      </c>
      <c r="L2" s="162"/>
      <c r="M2" s="162"/>
      <c r="N2" s="162"/>
      <c r="O2" s="178"/>
      <c r="P2" s="204">
        <f>C1*0.012</f>
        <v>170400</v>
      </c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</row>
    <row r="3" spans="1:28" ht="15.75" thickBot="1" x14ac:dyDescent="0.3">
      <c r="A3" s="91"/>
      <c r="B3" s="117" t="s">
        <v>152</v>
      </c>
      <c r="C3" s="148">
        <v>500000</v>
      </c>
      <c r="D3" s="91"/>
      <c r="E3" s="100">
        <v>44493</v>
      </c>
      <c r="F3" s="159">
        <v>1221.23</v>
      </c>
      <c r="G3" s="160">
        <v>1000</v>
      </c>
      <c r="H3" s="160">
        <v>999.22</v>
      </c>
      <c r="I3" s="160">
        <v>553</v>
      </c>
      <c r="J3" s="160">
        <v>500.28</v>
      </c>
      <c r="K3" s="160">
        <f t="shared" si="0"/>
        <v>4273.7299999999996</v>
      </c>
      <c r="L3" s="160"/>
      <c r="M3" s="160"/>
      <c r="N3" s="160"/>
      <c r="O3" s="179"/>
      <c r="P3" s="203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</row>
    <row r="4" spans="1:28" x14ac:dyDescent="0.25">
      <c r="A4" s="91"/>
      <c r="B4" s="91"/>
      <c r="C4" s="91"/>
      <c r="D4" s="91"/>
      <c r="E4" s="100">
        <v>44501</v>
      </c>
      <c r="F4" s="159">
        <v>1221.6099999999999</v>
      </c>
      <c r="G4" s="160">
        <v>1002.72</v>
      </c>
      <c r="H4" s="160">
        <v>1009.01</v>
      </c>
      <c r="I4" s="160">
        <v>552.14</v>
      </c>
      <c r="J4" s="160">
        <v>504.67</v>
      </c>
      <c r="K4" s="160">
        <f t="shared" si="0"/>
        <v>4290.1499999999996</v>
      </c>
      <c r="L4" s="169">
        <f t="shared" ref="L4:L9" si="1">K4-K3</f>
        <v>16.420000000000073</v>
      </c>
      <c r="M4" s="160">
        <f>L4</f>
        <v>16.420000000000073</v>
      </c>
      <c r="N4" s="170">
        <f t="shared" ref="N4:N14" si="2">L4/$K$3</f>
        <v>3.8420770614896295E-3</v>
      </c>
      <c r="O4" s="180">
        <f t="shared" ref="O4:O13" si="3">-1+K4/$K$3</f>
        <v>3.842077061489535E-3</v>
      </c>
      <c r="P4" s="203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</row>
    <row r="5" spans="1:28" x14ac:dyDescent="0.25">
      <c r="A5" s="91"/>
      <c r="B5" s="91" t="s">
        <v>165</v>
      </c>
      <c r="C5" s="91"/>
      <c r="D5" s="91"/>
      <c r="E5" s="100">
        <v>44507</v>
      </c>
      <c r="F5" s="159">
        <v>1245.4000000000001</v>
      </c>
      <c r="G5" s="160">
        <v>1002.92</v>
      </c>
      <c r="H5" s="160">
        <v>1003.89</v>
      </c>
      <c r="I5" s="160">
        <v>560.55999999999995</v>
      </c>
      <c r="J5" s="160">
        <v>506.95</v>
      </c>
      <c r="K5" s="160">
        <f t="shared" si="0"/>
        <v>4319.72</v>
      </c>
      <c r="L5" s="169">
        <f t="shared" si="1"/>
        <v>29.570000000000618</v>
      </c>
      <c r="M5" s="160">
        <f t="shared" ref="M5:M10" si="4">M4+L5</f>
        <v>45.990000000000691</v>
      </c>
      <c r="N5" s="170">
        <f t="shared" si="2"/>
        <v>6.9190145376522667E-3</v>
      </c>
      <c r="O5" s="180">
        <f t="shared" si="3"/>
        <v>1.0761091599141848E-2</v>
      </c>
      <c r="P5" s="203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</row>
    <row r="6" spans="1:28" x14ac:dyDescent="0.25">
      <c r="A6" s="91">
        <v>1</v>
      </c>
      <c r="B6" s="149">
        <v>44521</v>
      </c>
      <c r="C6" s="150"/>
      <c r="D6" s="91"/>
      <c r="E6" s="100">
        <v>44515</v>
      </c>
      <c r="F6" s="159">
        <v>1244</v>
      </c>
      <c r="G6" s="160">
        <v>998.53</v>
      </c>
      <c r="H6" s="160">
        <v>1009.15</v>
      </c>
      <c r="I6" s="160">
        <v>571.28</v>
      </c>
      <c r="J6" s="160">
        <v>500.92</v>
      </c>
      <c r="K6" s="160">
        <f t="shared" si="0"/>
        <v>4323.88</v>
      </c>
      <c r="L6" s="169">
        <f t="shared" si="1"/>
        <v>4.1599999999998545</v>
      </c>
      <c r="M6" s="160">
        <f t="shared" si="4"/>
        <v>50.150000000000546</v>
      </c>
      <c r="N6" s="170">
        <f t="shared" si="2"/>
        <v>9.7338858561487392E-4</v>
      </c>
      <c r="O6" s="180">
        <f t="shared" si="3"/>
        <v>1.1734480184756757E-2</v>
      </c>
      <c r="P6" s="203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</row>
    <row r="7" spans="1:28" ht="15.75" thickBot="1" x14ac:dyDescent="0.3">
      <c r="A7" s="91"/>
      <c r="B7" s="149">
        <v>44552</v>
      </c>
      <c r="C7" s="150"/>
      <c r="D7" s="91"/>
      <c r="E7" s="153">
        <v>44521</v>
      </c>
      <c r="F7" s="159">
        <v>1217.7</v>
      </c>
      <c r="G7" s="160">
        <v>970.77</v>
      </c>
      <c r="H7" s="160">
        <v>983.16</v>
      </c>
      <c r="I7" s="160">
        <v>544.20000000000005</v>
      </c>
      <c r="J7" s="160">
        <v>485.59</v>
      </c>
      <c r="K7" s="160">
        <f t="shared" si="0"/>
        <v>4201.42</v>
      </c>
      <c r="L7" s="166">
        <f t="shared" si="1"/>
        <v>-122.46000000000004</v>
      </c>
      <c r="M7" s="160">
        <f t="shared" si="4"/>
        <v>-72.309999999999491</v>
      </c>
      <c r="N7" s="167">
        <f t="shared" si="2"/>
        <v>-2.865412648903886E-2</v>
      </c>
      <c r="O7" s="168">
        <f t="shared" si="3"/>
        <v>-1.691964630428211E-2</v>
      </c>
      <c r="P7" s="205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spans="1:28" x14ac:dyDescent="0.25">
      <c r="A8" s="91"/>
      <c r="B8" s="149">
        <v>44218</v>
      </c>
      <c r="C8" s="150"/>
      <c r="D8" s="91"/>
      <c r="E8" s="154">
        <v>44528</v>
      </c>
      <c r="F8" s="161">
        <v>1168</v>
      </c>
      <c r="G8" s="162">
        <v>941</v>
      </c>
      <c r="H8" s="162">
        <v>941</v>
      </c>
      <c r="I8" s="162">
        <v>513</v>
      </c>
      <c r="J8" s="162">
        <v>465</v>
      </c>
      <c r="K8" s="162">
        <f t="shared" si="0"/>
        <v>4028</v>
      </c>
      <c r="L8" s="163">
        <f t="shared" si="1"/>
        <v>-173.42000000000007</v>
      </c>
      <c r="M8" s="162">
        <f t="shared" si="4"/>
        <v>-245.72999999999956</v>
      </c>
      <c r="N8" s="164">
        <f t="shared" si="2"/>
        <v>-4.0578136662821493E-2</v>
      </c>
      <c r="O8" s="165">
        <f t="shared" si="3"/>
        <v>-5.7497782967103617E-2</v>
      </c>
      <c r="P8" s="204">
        <f>P2+P2</f>
        <v>340800</v>
      </c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</row>
    <row r="9" spans="1:28" x14ac:dyDescent="0.25">
      <c r="A9" s="91"/>
      <c r="B9" s="91"/>
      <c r="C9" s="91"/>
      <c r="D9" s="91"/>
      <c r="E9" s="100">
        <v>44535</v>
      </c>
      <c r="F9" s="159">
        <v>1096</v>
      </c>
      <c r="G9" s="160">
        <v>899</v>
      </c>
      <c r="H9" s="160">
        <v>890</v>
      </c>
      <c r="I9" s="160">
        <v>482</v>
      </c>
      <c r="J9" s="160">
        <v>433</v>
      </c>
      <c r="K9" s="160">
        <f t="shared" ref="K9" si="5">SUM(F9:J9)</f>
        <v>3800</v>
      </c>
      <c r="L9" s="166">
        <f t="shared" si="1"/>
        <v>-228</v>
      </c>
      <c r="M9" s="160">
        <f t="shared" si="4"/>
        <v>-473.72999999999956</v>
      </c>
      <c r="N9" s="167">
        <f t="shared" si="2"/>
        <v>-5.3349182096201687E-2</v>
      </c>
      <c r="O9" s="168">
        <f t="shared" si="3"/>
        <v>-0.11084696506330527</v>
      </c>
      <c r="P9" s="203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</row>
    <row r="10" spans="1:28" x14ac:dyDescent="0.25">
      <c r="A10" s="91"/>
      <c r="B10" s="91"/>
      <c r="C10" s="91"/>
      <c r="D10" s="91"/>
      <c r="E10" s="100">
        <v>44542</v>
      </c>
      <c r="F10" s="159">
        <v>1132</v>
      </c>
      <c r="G10" s="160">
        <v>927</v>
      </c>
      <c r="H10" s="160">
        <v>900</v>
      </c>
      <c r="I10" s="160">
        <v>498</v>
      </c>
      <c r="J10" s="160">
        <v>451</v>
      </c>
      <c r="K10" s="160">
        <f t="shared" ref="K10" si="6">SUM(F10:J10)</f>
        <v>3908</v>
      </c>
      <c r="L10" s="169">
        <f t="shared" ref="L10:L14" si="7">K10-K9</f>
        <v>108</v>
      </c>
      <c r="M10" s="160">
        <f t="shared" si="4"/>
        <v>-365.72999999999956</v>
      </c>
      <c r="N10" s="170">
        <f t="shared" si="2"/>
        <v>2.5270665203463955E-2</v>
      </c>
      <c r="O10" s="168">
        <f t="shared" si="3"/>
        <v>-8.5576299859841276E-2</v>
      </c>
      <c r="P10" s="203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</row>
    <row r="11" spans="1:28" ht="15.75" thickBot="1" x14ac:dyDescent="0.3">
      <c r="A11" s="91"/>
      <c r="B11" s="91"/>
      <c r="C11" s="91"/>
      <c r="D11" s="91"/>
      <c r="E11" s="100">
        <v>44549</v>
      </c>
      <c r="F11" s="159">
        <v>1108</v>
      </c>
      <c r="G11" s="160">
        <v>909</v>
      </c>
      <c r="H11" s="160">
        <v>880</v>
      </c>
      <c r="I11" s="160">
        <v>489</v>
      </c>
      <c r="J11" s="160">
        <v>453</v>
      </c>
      <c r="K11" s="160">
        <f>SUM(F11:J11)</f>
        <v>3839</v>
      </c>
      <c r="L11" s="166">
        <f t="shared" si="7"/>
        <v>-69</v>
      </c>
      <c r="M11" s="160">
        <f t="shared" ref="M11:M16" si="8">M10+L11</f>
        <v>-434.72999999999956</v>
      </c>
      <c r="N11" s="167">
        <f t="shared" si="2"/>
        <v>-1.6145147213324194E-2</v>
      </c>
      <c r="O11" s="168">
        <f t="shared" si="3"/>
        <v>-0.10172144707316555</v>
      </c>
      <c r="P11" s="205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</row>
    <row r="12" spans="1:28" x14ac:dyDescent="0.25">
      <c r="A12" s="91"/>
      <c r="B12" s="91"/>
      <c r="C12" s="91"/>
      <c r="D12" s="91"/>
      <c r="E12" s="154">
        <v>44556</v>
      </c>
      <c r="F12" s="161">
        <v>1141</v>
      </c>
      <c r="G12" s="162">
        <v>935</v>
      </c>
      <c r="H12" s="162">
        <v>874</v>
      </c>
      <c r="I12" s="162">
        <v>507</v>
      </c>
      <c r="J12" s="162">
        <v>451</v>
      </c>
      <c r="K12" s="162">
        <f t="shared" ref="K12:K13" si="9">SUM(F12:J12)</f>
        <v>3908</v>
      </c>
      <c r="L12" s="171">
        <f t="shared" si="7"/>
        <v>69</v>
      </c>
      <c r="M12" s="162">
        <f t="shared" si="8"/>
        <v>-365.72999999999956</v>
      </c>
      <c r="N12" s="172">
        <f t="shared" si="2"/>
        <v>1.6145147213324194E-2</v>
      </c>
      <c r="O12" s="165">
        <f t="shared" si="3"/>
        <v>-8.5576299859841276E-2</v>
      </c>
      <c r="P12" s="204">
        <f>P8+P2</f>
        <v>511200</v>
      </c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</row>
    <row r="13" spans="1:28" x14ac:dyDescent="0.25">
      <c r="A13" s="91"/>
      <c r="B13" s="91"/>
      <c r="C13" s="91"/>
      <c r="D13" s="91"/>
      <c r="E13" s="100">
        <v>44563</v>
      </c>
      <c r="F13" s="159">
        <v>1141</v>
      </c>
      <c r="G13" s="160">
        <v>929</v>
      </c>
      <c r="H13" s="160">
        <v>863</v>
      </c>
      <c r="I13" s="160">
        <v>504</v>
      </c>
      <c r="J13" s="160">
        <v>449</v>
      </c>
      <c r="K13" s="160">
        <f t="shared" si="9"/>
        <v>3886</v>
      </c>
      <c r="L13" s="166">
        <f t="shared" si="7"/>
        <v>-22</v>
      </c>
      <c r="M13" s="160">
        <f t="shared" si="8"/>
        <v>-387.72999999999956</v>
      </c>
      <c r="N13" s="167">
        <f t="shared" si="2"/>
        <v>-5.1477280970019168E-3</v>
      </c>
      <c r="O13" s="168">
        <f t="shared" si="3"/>
        <v>-9.0724027956843201E-2</v>
      </c>
      <c r="P13" s="202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</row>
    <row r="14" spans="1:28" x14ac:dyDescent="0.25">
      <c r="A14" s="91"/>
      <c r="B14" s="91"/>
      <c r="C14" s="91"/>
      <c r="D14" s="91"/>
      <c r="E14" s="100">
        <v>44571</v>
      </c>
      <c r="F14" s="159">
        <v>1087</v>
      </c>
      <c r="G14" s="160">
        <v>884</v>
      </c>
      <c r="H14" s="160">
        <v>814</v>
      </c>
      <c r="I14" s="160">
        <v>494</v>
      </c>
      <c r="J14" s="160">
        <v>448</v>
      </c>
      <c r="K14" s="160">
        <f t="shared" ref="K14:K21" si="10">SUM(F14:J14)</f>
        <v>3727</v>
      </c>
      <c r="L14" s="166">
        <f t="shared" si="7"/>
        <v>-159</v>
      </c>
      <c r="M14" s="160">
        <f t="shared" si="8"/>
        <v>-546.72999999999956</v>
      </c>
      <c r="N14" s="167">
        <f t="shared" si="2"/>
        <v>-3.720403488287749E-2</v>
      </c>
      <c r="O14" s="168">
        <f t="shared" ref="O14:O21" si="11">-1+K14/$K$3</f>
        <v>-0.12792806283972069</v>
      </c>
      <c r="P14" s="202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</row>
    <row r="15" spans="1:28" ht="15.75" thickBot="1" x14ac:dyDescent="0.3">
      <c r="A15" s="91"/>
      <c r="B15" s="91"/>
      <c r="C15" s="91"/>
      <c r="D15" s="91"/>
      <c r="E15" s="100">
        <v>44578</v>
      </c>
      <c r="F15" s="159">
        <v>1085</v>
      </c>
      <c r="G15" s="160">
        <v>883</v>
      </c>
      <c r="H15" s="160">
        <v>821</v>
      </c>
      <c r="I15" s="160">
        <v>502</v>
      </c>
      <c r="J15" s="160">
        <v>451</v>
      </c>
      <c r="K15" s="160">
        <f t="shared" si="10"/>
        <v>3742</v>
      </c>
      <c r="L15" s="169">
        <f t="shared" ref="L15:L19" si="12">K15-K14</f>
        <v>15</v>
      </c>
      <c r="M15" s="160">
        <f t="shared" si="8"/>
        <v>-531.72999999999956</v>
      </c>
      <c r="N15" s="170">
        <f t="shared" ref="N15:N21" si="13">L15/$K$3</f>
        <v>3.5098146115922161E-3</v>
      </c>
      <c r="O15" s="168">
        <f t="shared" si="11"/>
        <v>-0.12441824822812853</v>
      </c>
      <c r="P15" s="206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</row>
    <row r="16" spans="1:28" x14ac:dyDescent="0.25">
      <c r="A16" s="91"/>
      <c r="B16" s="91"/>
      <c r="C16" s="91"/>
      <c r="D16" s="91"/>
      <c r="E16" s="125">
        <v>44584</v>
      </c>
      <c r="F16" s="161">
        <v>1011</v>
      </c>
      <c r="G16" s="162">
        <v>817</v>
      </c>
      <c r="H16" s="162">
        <v>770</v>
      </c>
      <c r="I16" s="162">
        <v>464</v>
      </c>
      <c r="J16" s="162">
        <v>423</v>
      </c>
      <c r="K16" s="162">
        <f t="shared" si="10"/>
        <v>3485</v>
      </c>
      <c r="L16" s="163">
        <f t="shared" si="12"/>
        <v>-257</v>
      </c>
      <c r="M16" s="162">
        <f t="shared" si="8"/>
        <v>-788.72999999999956</v>
      </c>
      <c r="N16" s="164">
        <f t="shared" si="13"/>
        <v>-6.0134823678613301E-2</v>
      </c>
      <c r="O16" s="165">
        <f t="shared" si="11"/>
        <v>-0.18455307190674175</v>
      </c>
      <c r="P16" s="204">
        <f>P12+P2</f>
        <v>681600</v>
      </c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</row>
    <row r="17" spans="1:28" x14ac:dyDescent="0.25">
      <c r="A17" s="91"/>
      <c r="B17" s="91"/>
      <c r="C17" s="91"/>
      <c r="D17" s="91"/>
      <c r="E17" s="126">
        <v>44591</v>
      </c>
      <c r="F17" s="159">
        <v>1019</v>
      </c>
      <c r="G17" s="160">
        <v>818</v>
      </c>
      <c r="H17" s="160">
        <v>760</v>
      </c>
      <c r="I17" s="160">
        <v>455</v>
      </c>
      <c r="J17" s="160">
        <v>405</v>
      </c>
      <c r="K17" s="160">
        <f t="shared" si="10"/>
        <v>3457</v>
      </c>
      <c r="L17" s="166">
        <f t="shared" si="12"/>
        <v>-28</v>
      </c>
      <c r="M17" s="160">
        <f t="shared" ref="M17" si="14">M16+L17</f>
        <v>-816.72999999999956</v>
      </c>
      <c r="N17" s="167">
        <f t="shared" si="13"/>
        <v>-6.5516539416388036E-3</v>
      </c>
      <c r="O17" s="168">
        <f t="shared" si="11"/>
        <v>-0.19110472584838056</v>
      </c>
      <c r="P17" s="203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</row>
    <row r="18" spans="1:28" x14ac:dyDescent="0.25">
      <c r="A18" s="91"/>
      <c r="B18" s="91"/>
      <c r="C18" s="91"/>
      <c r="D18" s="91"/>
      <c r="E18" s="126">
        <v>44598</v>
      </c>
      <c r="F18" s="159">
        <v>1034</v>
      </c>
      <c r="G18" s="160">
        <v>832</v>
      </c>
      <c r="H18" s="160">
        <v>778</v>
      </c>
      <c r="I18" s="160">
        <v>467</v>
      </c>
      <c r="J18" s="160">
        <v>404</v>
      </c>
      <c r="K18" s="160">
        <f t="shared" si="10"/>
        <v>3515</v>
      </c>
      <c r="L18" s="169">
        <f t="shared" si="12"/>
        <v>58</v>
      </c>
      <c r="M18" s="160">
        <f t="shared" ref="M18" si="15">M17+L18</f>
        <v>-758.72999999999956</v>
      </c>
      <c r="N18" s="170">
        <f t="shared" si="13"/>
        <v>1.3571283164823235E-2</v>
      </c>
      <c r="O18" s="168">
        <f t="shared" si="11"/>
        <v>-0.17753344268355742</v>
      </c>
      <c r="P18" s="203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</row>
    <row r="19" spans="1:28" ht="15.75" thickBot="1" x14ac:dyDescent="0.3">
      <c r="A19" s="91"/>
      <c r="B19" s="91"/>
      <c r="C19" s="91"/>
      <c r="D19" s="91"/>
      <c r="E19" s="156">
        <v>44605</v>
      </c>
      <c r="F19" s="173">
        <v>1020</v>
      </c>
      <c r="G19" s="174">
        <v>827</v>
      </c>
      <c r="H19" s="174">
        <v>773</v>
      </c>
      <c r="I19" s="174">
        <v>486</v>
      </c>
      <c r="J19" s="174">
        <v>412</v>
      </c>
      <c r="K19" s="174">
        <f t="shared" si="10"/>
        <v>3518</v>
      </c>
      <c r="L19" s="175">
        <f t="shared" si="12"/>
        <v>3</v>
      </c>
      <c r="M19" s="174">
        <f>M18+L19</f>
        <v>-755.72999999999956</v>
      </c>
      <c r="N19" s="176">
        <f t="shared" si="13"/>
        <v>7.0196292231844318E-4</v>
      </c>
      <c r="O19" s="177">
        <f t="shared" si="11"/>
        <v>-0.17683147976123892</v>
      </c>
      <c r="P19" s="205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</row>
    <row r="20" spans="1:28" x14ac:dyDescent="0.25">
      <c r="A20" s="91"/>
      <c r="B20" s="91"/>
      <c r="C20" s="91"/>
      <c r="D20" s="91"/>
      <c r="E20" s="125">
        <v>44612</v>
      </c>
      <c r="F20" s="161">
        <v>992</v>
      </c>
      <c r="G20" s="162">
        <v>800</v>
      </c>
      <c r="H20" s="162">
        <v>760</v>
      </c>
      <c r="I20" s="162">
        <v>474</v>
      </c>
      <c r="J20" s="162">
        <v>413</v>
      </c>
      <c r="K20" s="162">
        <f t="shared" si="10"/>
        <v>3439</v>
      </c>
      <c r="L20" s="163">
        <f>K20-K19</f>
        <v>-79</v>
      </c>
      <c r="M20" s="162">
        <f>M19+L20</f>
        <v>-834.72999999999956</v>
      </c>
      <c r="N20" s="164">
        <f t="shared" si="13"/>
        <v>-1.8485023621052338E-2</v>
      </c>
      <c r="O20" s="165">
        <f t="shared" si="11"/>
        <v>-0.19531650338229123</v>
      </c>
      <c r="P20" s="204">
        <f>P16+P2</f>
        <v>852000</v>
      </c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</row>
    <row r="21" spans="1:28" x14ac:dyDescent="0.25">
      <c r="A21" s="91"/>
      <c r="B21" s="91"/>
      <c r="C21" s="91"/>
      <c r="D21" s="91"/>
      <c r="E21" s="126">
        <v>44619</v>
      </c>
      <c r="F21" s="159">
        <v>1014</v>
      </c>
      <c r="G21" s="160">
        <v>797</v>
      </c>
      <c r="H21" s="160">
        <v>743</v>
      </c>
      <c r="I21" s="160">
        <v>477</v>
      </c>
      <c r="J21" s="160">
        <v>404</v>
      </c>
      <c r="K21" s="160">
        <f t="shared" si="10"/>
        <v>3435</v>
      </c>
      <c r="L21" s="166">
        <f>K21-K20</f>
        <v>-4</v>
      </c>
      <c r="M21" s="160">
        <f>M20+L21</f>
        <v>-838.72999999999956</v>
      </c>
      <c r="N21" s="167">
        <f t="shared" si="13"/>
        <v>-9.359505630912576E-4</v>
      </c>
      <c r="O21" s="168">
        <f t="shared" si="11"/>
        <v>-0.19625245394538249</v>
      </c>
      <c r="P21" s="203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</row>
    <row r="22" spans="1:28" x14ac:dyDescent="0.25">
      <c r="A22" s="91"/>
      <c r="B22" s="91"/>
      <c r="C22" s="91"/>
      <c r="D22" s="91"/>
      <c r="E22" s="158" t="s">
        <v>178</v>
      </c>
      <c r="F22" s="159" t="s">
        <v>178</v>
      </c>
      <c r="G22" s="160" t="s">
        <v>178</v>
      </c>
      <c r="H22" s="160" t="s">
        <v>178</v>
      </c>
      <c r="I22" s="160"/>
      <c r="J22" s="160" t="s">
        <v>178</v>
      </c>
      <c r="K22" s="160">
        <f>K21</f>
        <v>3435</v>
      </c>
      <c r="L22" s="166">
        <f t="shared" ref="L22:L23" si="16">K22-K21</f>
        <v>0</v>
      </c>
      <c r="M22" s="160">
        <f t="shared" ref="M22:M23" si="17">M21+L22</f>
        <v>-838.72999999999956</v>
      </c>
      <c r="N22" s="167">
        <f>L22/$K$3</f>
        <v>0</v>
      </c>
      <c r="O22" s="168">
        <f>-1+K22/$K$3</f>
        <v>-0.19625245394538249</v>
      </c>
      <c r="P22" s="203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</row>
    <row r="23" spans="1:28" ht="15.75" thickBot="1" x14ac:dyDescent="0.3">
      <c r="A23" s="91"/>
      <c r="B23" s="91"/>
      <c r="C23" s="91"/>
      <c r="D23" s="91"/>
      <c r="E23" s="156">
        <v>44633</v>
      </c>
      <c r="F23" s="159">
        <v>960</v>
      </c>
      <c r="G23" s="160">
        <v>779</v>
      </c>
      <c r="H23" s="160">
        <v>729</v>
      </c>
      <c r="I23" s="160">
        <v>411</v>
      </c>
      <c r="J23" s="160">
        <v>386</v>
      </c>
      <c r="K23" s="160">
        <f t="shared" ref="K23" si="18">SUM(F23:J23)</f>
        <v>3265</v>
      </c>
      <c r="L23" s="166">
        <f t="shared" si="16"/>
        <v>-170</v>
      </c>
      <c r="M23" s="160">
        <f t="shared" si="17"/>
        <v>-1008.7299999999996</v>
      </c>
      <c r="N23" s="167">
        <f>L23/$K$3</f>
        <v>-3.9777898931378446E-2</v>
      </c>
      <c r="O23" s="168">
        <f>-1+K23/$K$3</f>
        <v>-0.236030352876761</v>
      </c>
      <c r="P23" s="205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</row>
    <row r="24" spans="1:28" x14ac:dyDescent="0.25">
      <c r="A24" s="91"/>
      <c r="B24" s="91"/>
      <c r="C24" s="91"/>
      <c r="D24" s="91"/>
      <c r="E24" s="125">
        <v>44641</v>
      </c>
      <c r="F24" s="161">
        <v>1034</v>
      </c>
      <c r="G24" s="162">
        <v>817</v>
      </c>
      <c r="H24" s="162">
        <v>752</v>
      </c>
      <c r="I24" s="162">
        <v>454</v>
      </c>
      <c r="J24" s="162">
        <v>415</v>
      </c>
      <c r="K24" s="162">
        <f t="shared" ref="K24:K26" si="19">SUM(F24:J24)</f>
        <v>3472</v>
      </c>
      <c r="L24" s="171">
        <f>K24-K23</f>
        <v>207</v>
      </c>
      <c r="M24" s="162">
        <f>M23+L24</f>
        <v>-801.72999999999956</v>
      </c>
      <c r="N24" s="172">
        <f>L24/$K$3</f>
        <v>4.8435441639972585E-2</v>
      </c>
      <c r="O24" s="165">
        <f>-1+K24/$K$3</f>
        <v>-0.1875949112367884</v>
      </c>
      <c r="P24" s="204">
        <f>P20+P2</f>
        <v>1022400</v>
      </c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</row>
    <row r="25" spans="1:28" x14ac:dyDescent="0.25">
      <c r="A25" s="91"/>
      <c r="B25" s="91"/>
      <c r="C25" s="91"/>
      <c r="D25" s="91"/>
      <c r="E25" s="126" t="s">
        <v>178</v>
      </c>
      <c r="F25" s="159" t="s">
        <v>178</v>
      </c>
      <c r="G25" s="160" t="s">
        <v>178</v>
      </c>
      <c r="H25" s="160" t="s">
        <v>178</v>
      </c>
      <c r="I25" s="160" t="s">
        <v>178</v>
      </c>
      <c r="J25" s="160" t="s">
        <v>178</v>
      </c>
      <c r="K25" s="160">
        <f>K24</f>
        <v>3472</v>
      </c>
      <c r="L25" s="169">
        <f t="shared" ref="L25:L26" si="20">K25-K24</f>
        <v>0</v>
      </c>
      <c r="M25" s="160">
        <f t="shared" ref="M25:M26" si="21">M24+L25</f>
        <v>-801.72999999999956</v>
      </c>
      <c r="N25" s="170">
        <f t="shared" ref="N25:N26" si="22">L25/$K$3</f>
        <v>0</v>
      </c>
      <c r="O25" s="168">
        <f t="shared" ref="O25:O26" si="23">-1+K25/$K$3</f>
        <v>-0.1875949112367884</v>
      </c>
      <c r="P25" s="203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</row>
    <row r="26" spans="1:28" x14ac:dyDescent="0.25">
      <c r="A26" s="91"/>
      <c r="B26" s="91"/>
      <c r="C26" s="91"/>
      <c r="D26" s="91"/>
      <c r="E26" s="158">
        <v>44654</v>
      </c>
      <c r="F26" s="159">
        <v>1067</v>
      </c>
      <c r="G26" s="160">
        <v>823</v>
      </c>
      <c r="H26" s="160">
        <v>769</v>
      </c>
      <c r="I26" s="160">
        <v>458</v>
      </c>
      <c r="J26" s="160">
        <v>426</v>
      </c>
      <c r="K26" s="160">
        <f t="shared" si="19"/>
        <v>3543</v>
      </c>
      <c r="L26" s="169">
        <f t="shared" si="20"/>
        <v>71</v>
      </c>
      <c r="M26" s="160">
        <f t="shared" si="21"/>
        <v>-730.72999999999956</v>
      </c>
      <c r="N26" s="170">
        <f t="shared" si="22"/>
        <v>1.6613122494869823E-2</v>
      </c>
      <c r="O26" s="168">
        <f t="shared" si="23"/>
        <v>-0.17098178874191861</v>
      </c>
      <c r="P26" s="203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</row>
    <row r="27" spans="1:28" ht="15.75" thickBot="1" x14ac:dyDescent="0.3">
      <c r="A27" s="91"/>
      <c r="B27" s="91"/>
      <c r="C27" s="91"/>
      <c r="D27" s="91"/>
      <c r="E27" s="156">
        <v>44668</v>
      </c>
      <c r="F27" s="159">
        <v>1016</v>
      </c>
      <c r="G27" s="160">
        <v>775</v>
      </c>
      <c r="H27" s="160">
        <v>731</v>
      </c>
      <c r="I27" s="160">
        <v>425</v>
      </c>
      <c r="J27" s="160">
        <v>402</v>
      </c>
      <c r="K27" s="160">
        <f t="shared" ref="K27" si="24">SUM(F27:J27)</f>
        <v>3349</v>
      </c>
      <c r="L27" s="166">
        <f t="shared" ref="L27" si="25">K27-K26</f>
        <v>-194</v>
      </c>
      <c r="M27" s="160">
        <f t="shared" ref="M27" si="26">M26+L27</f>
        <v>-924.72999999999956</v>
      </c>
      <c r="N27" s="167">
        <f t="shared" ref="N27" si="27">L27/$K$3</f>
        <v>-4.5393602309925993E-2</v>
      </c>
      <c r="O27" s="168">
        <f t="shared" ref="O27" si="28">-1+K27/$K$3</f>
        <v>-0.21637539105184456</v>
      </c>
      <c r="P27" s="205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</row>
    <row r="28" spans="1:28" ht="15.75" hidden="1" thickBot="1" x14ac:dyDescent="0.3">
      <c r="A28" s="91"/>
      <c r="B28" s="91"/>
      <c r="C28" s="91"/>
      <c r="D28" s="91"/>
      <c r="E28" s="154">
        <v>44642</v>
      </c>
      <c r="F28" s="161"/>
      <c r="G28" s="162"/>
      <c r="H28" s="162"/>
      <c r="I28" s="162"/>
      <c r="J28" s="162"/>
      <c r="K28" s="162"/>
      <c r="L28" s="171"/>
      <c r="M28" s="162"/>
      <c r="N28" s="164"/>
      <c r="O28" s="165"/>
      <c r="P28" s="207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 spans="1:28" ht="15.75" hidden="1" thickBot="1" x14ac:dyDescent="0.3">
      <c r="A29" s="91"/>
      <c r="B29" s="91"/>
      <c r="C29" s="91"/>
      <c r="D29" s="91"/>
      <c r="E29" s="100" t="s">
        <v>178</v>
      </c>
      <c r="F29" s="159"/>
      <c r="G29" s="160"/>
      <c r="H29" s="160"/>
      <c r="I29" s="160"/>
      <c r="J29" s="160"/>
      <c r="K29" s="160"/>
      <c r="L29" s="169"/>
      <c r="M29" s="160"/>
      <c r="N29" s="167"/>
      <c r="O29" s="168"/>
      <c r="P29" s="207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 spans="1:28" ht="15.75" hidden="1" thickBot="1" x14ac:dyDescent="0.3">
      <c r="E30" s="181">
        <v>44682</v>
      </c>
      <c r="F30" s="159"/>
      <c r="G30" s="160"/>
      <c r="H30" s="160"/>
      <c r="I30" s="160"/>
      <c r="J30" s="160"/>
      <c r="K30" s="160"/>
      <c r="L30" s="169"/>
      <c r="M30" s="160"/>
      <c r="N30" s="167"/>
      <c r="O30" s="168"/>
      <c r="P30" s="208"/>
    </row>
    <row r="31" spans="1:28" ht="15.75" hidden="1" thickBot="1" x14ac:dyDescent="0.3">
      <c r="E31" s="100">
        <v>44696</v>
      </c>
      <c r="F31" s="159"/>
      <c r="G31" s="160"/>
      <c r="H31" s="160"/>
      <c r="I31" s="160"/>
      <c r="J31" s="160"/>
      <c r="K31" s="160"/>
      <c r="L31" s="169"/>
      <c r="M31" s="160"/>
      <c r="N31" s="167"/>
      <c r="O31" s="168"/>
      <c r="P31" s="208"/>
    </row>
    <row r="32" spans="1:28" x14ac:dyDescent="0.25">
      <c r="E32" s="154">
        <v>44703</v>
      </c>
      <c r="F32" s="185">
        <v>933</v>
      </c>
      <c r="G32" s="186">
        <v>708</v>
      </c>
      <c r="H32" s="186">
        <v>628</v>
      </c>
      <c r="I32" s="186">
        <v>346</v>
      </c>
      <c r="J32" s="186">
        <v>337</v>
      </c>
      <c r="K32" s="162">
        <f t="shared" ref="K32" si="29">SUM(F32:J32)</f>
        <v>2952</v>
      </c>
      <c r="L32" s="163">
        <f>K32-K27</f>
        <v>-397</v>
      </c>
      <c r="M32" s="162">
        <f t="shared" ref="M32" si="30">M31+L32</f>
        <v>-397</v>
      </c>
      <c r="N32" s="164">
        <f t="shared" ref="N32" si="31">L32/$K$3</f>
        <v>-9.2893093386807318E-2</v>
      </c>
      <c r="O32" s="165">
        <f t="shared" ref="O32" si="32">-1+K32/$K$3</f>
        <v>-0.30926848443865185</v>
      </c>
      <c r="P32" s="209">
        <f>P24+P2</f>
        <v>1192800</v>
      </c>
    </row>
    <row r="33" spans="3:16" x14ac:dyDescent="0.25">
      <c r="E33" s="98" t="s">
        <v>184</v>
      </c>
      <c r="F33" s="188">
        <v>983</v>
      </c>
      <c r="G33" s="189">
        <v>738</v>
      </c>
      <c r="H33" s="189">
        <v>645</v>
      </c>
      <c r="I33" s="189">
        <v>365</v>
      </c>
      <c r="J33" s="189">
        <v>358</v>
      </c>
      <c r="K33" s="160">
        <f t="shared" ref="K33:K39" si="33">SUM(F33:J33)</f>
        <v>3089</v>
      </c>
      <c r="L33" s="169">
        <f t="shared" ref="L33:L39" si="34">K33-K32</f>
        <v>137</v>
      </c>
      <c r="M33" s="160">
        <f t="shared" ref="M33" si="35">M32+L33</f>
        <v>-260</v>
      </c>
      <c r="N33" s="170">
        <f t="shared" ref="N33" si="36">L33/$K$3</f>
        <v>3.2056306785875573E-2</v>
      </c>
      <c r="O33" s="168">
        <f t="shared" ref="O33" si="37">-1+K33/$K$3</f>
        <v>-0.27721217765277628</v>
      </c>
      <c r="P33" s="210"/>
    </row>
    <row r="34" spans="3:16" x14ac:dyDescent="0.25">
      <c r="E34" s="100">
        <v>44717</v>
      </c>
      <c r="F34" s="188">
        <v>1003</v>
      </c>
      <c r="G34" s="189">
        <v>733</v>
      </c>
      <c r="H34" s="189">
        <v>645</v>
      </c>
      <c r="I34" s="189">
        <v>360</v>
      </c>
      <c r="J34" s="189">
        <v>355</v>
      </c>
      <c r="K34" s="160">
        <f t="shared" si="33"/>
        <v>3096</v>
      </c>
      <c r="L34" s="169">
        <f t="shared" si="34"/>
        <v>7</v>
      </c>
      <c r="M34" s="160">
        <f t="shared" ref="M34" si="38">M33+L34</f>
        <v>-253</v>
      </c>
      <c r="N34" s="170">
        <f t="shared" ref="N34" si="39">L34/$K$3</f>
        <v>1.6379134854097009E-3</v>
      </c>
      <c r="O34" s="168">
        <f t="shared" ref="O34" si="40">-1+K34/$K$3</f>
        <v>-0.27557426416736663</v>
      </c>
      <c r="P34" s="210"/>
    </row>
    <row r="35" spans="3:16" ht="15.75" thickBot="1" x14ac:dyDescent="0.3">
      <c r="C35" s="91"/>
      <c r="D35" s="91"/>
      <c r="E35" s="100">
        <v>44724</v>
      </c>
      <c r="F35" s="188">
        <v>979</v>
      </c>
      <c r="G35" s="189">
        <v>701</v>
      </c>
      <c r="H35" s="189">
        <v>624</v>
      </c>
      <c r="I35" s="189">
        <v>337</v>
      </c>
      <c r="J35" s="189">
        <v>355</v>
      </c>
      <c r="K35" s="160">
        <f t="shared" si="33"/>
        <v>2996</v>
      </c>
      <c r="L35" s="166">
        <f t="shared" si="34"/>
        <v>-100</v>
      </c>
      <c r="M35" s="160">
        <f t="shared" ref="M35" si="41">M34+L35</f>
        <v>-353</v>
      </c>
      <c r="N35" s="167">
        <f t="shared" ref="N35" si="42">L35/$K$3</f>
        <v>-2.3398764077281441E-2</v>
      </c>
      <c r="O35" s="168">
        <f t="shared" ref="O35:O38" si="43">-1+K35/$K$3</f>
        <v>-0.298973028244648</v>
      </c>
      <c r="P35" s="211"/>
    </row>
    <row r="36" spans="3:16" x14ac:dyDescent="0.25">
      <c r="C36" s="91"/>
      <c r="D36" s="91"/>
      <c r="E36" s="154">
        <v>44732</v>
      </c>
      <c r="F36" s="185">
        <v>914</v>
      </c>
      <c r="G36" s="186">
        <v>657</v>
      </c>
      <c r="H36" s="186">
        <v>604</v>
      </c>
      <c r="I36" s="186">
        <v>317</v>
      </c>
      <c r="J36" s="186">
        <v>340</v>
      </c>
      <c r="K36" s="162">
        <f t="shared" si="33"/>
        <v>2832</v>
      </c>
      <c r="L36" s="163">
        <f t="shared" si="34"/>
        <v>-164</v>
      </c>
      <c r="M36" s="162">
        <f t="shared" ref="M36" si="44">M35+L36</f>
        <v>-517</v>
      </c>
      <c r="N36" s="164">
        <f t="shared" ref="N36" si="45">L36/$K$3</f>
        <v>-3.8373973086741564E-2</v>
      </c>
      <c r="O36" s="165">
        <f t="shared" si="43"/>
        <v>-0.33734700133138962</v>
      </c>
      <c r="P36" s="209">
        <f>P32+P2</f>
        <v>1363200</v>
      </c>
    </row>
    <row r="37" spans="3:16" x14ac:dyDescent="0.25">
      <c r="C37" s="91"/>
      <c r="D37" s="91"/>
      <c r="E37" s="100">
        <v>44739</v>
      </c>
      <c r="F37" s="188">
        <v>945</v>
      </c>
      <c r="G37" s="189">
        <v>663</v>
      </c>
      <c r="H37" s="189">
        <v>622</v>
      </c>
      <c r="I37" s="189">
        <v>337</v>
      </c>
      <c r="J37" s="189">
        <v>358</v>
      </c>
      <c r="K37" s="160">
        <f t="shared" si="33"/>
        <v>2925</v>
      </c>
      <c r="L37" s="169">
        <f t="shared" si="34"/>
        <v>93</v>
      </c>
      <c r="M37" s="160">
        <f t="shared" ref="M37" si="46">M36+L37</f>
        <v>-424</v>
      </c>
      <c r="N37" s="170">
        <f t="shared" ref="N37" si="47">L37/$K$3</f>
        <v>2.1760850591871741E-2</v>
      </c>
      <c r="O37" s="168">
        <f t="shared" si="43"/>
        <v>-0.3155861507395179</v>
      </c>
      <c r="P37" s="212"/>
    </row>
    <row r="38" spans="3:16" x14ac:dyDescent="0.25">
      <c r="C38" s="91"/>
      <c r="D38" s="91"/>
      <c r="E38" s="100">
        <v>44746</v>
      </c>
      <c r="F38" s="188">
        <v>925</v>
      </c>
      <c r="G38" s="189">
        <v>654</v>
      </c>
      <c r="H38" s="189">
        <v>610</v>
      </c>
      <c r="I38" s="189">
        <v>321</v>
      </c>
      <c r="J38" s="189">
        <v>348</v>
      </c>
      <c r="K38" s="160">
        <f t="shared" si="33"/>
        <v>2858</v>
      </c>
      <c r="L38" s="166">
        <f t="shared" si="34"/>
        <v>-67</v>
      </c>
      <c r="M38" s="160">
        <f t="shared" ref="M38" si="48">M37+L38</f>
        <v>-491</v>
      </c>
      <c r="N38" s="167">
        <f t="shared" ref="N38" si="49">L38/$K$3</f>
        <v>-1.5677171931778564E-2</v>
      </c>
      <c r="O38" s="168">
        <f t="shared" si="43"/>
        <v>-0.33126332267129643</v>
      </c>
      <c r="P38" s="212"/>
    </row>
    <row r="39" spans="3:16" ht="15.75" thickBot="1" x14ac:dyDescent="0.3">
      <c r="C39" s="91"/>
      <c r="D39" s="91"/>
      <c r="E39" s="153">
        <v>44752</v>
      </c>
      <c r="F39" s="188">
        <v>919</v>
      </c>
      <c r="G39" s="189">
        <v>663</v>
      </c>
      <c r="H39" s="189">
        <v>622</v>
      </c>
      <c r="I39" s="189">
        <v>336</v>
      </c>
      <c r="J39" s="189">
        <v>354</v>
      </c>
      <c r="K39" s="189">
        <f t="shared" si="33"/>
        <v>2894</v>
      </c>
      <c r="L39" s="169">
        <f t="shared" si="34"/>
        <v>36</v>
      </c>
      <c r="M39" s="160">
        <f t="shared" ref="M39:M40" si="50">M38+L39</f>
        <v>-455</v>
      </c>
      <c r="N39" s="170">
        <f t="shared" ref="N39:N40" si="51">L39/$K$3</f>
        <v>8.423555067821319E-3</v>
      </c>
      <c r="O39" s="168">
        <f t="shared" ref="O39:O42" si="52">-1+K39/$K$3</f>
        <v>-0.3228397676034751</v>
      </c>
      <c r="P39" s="213"/>
    </row>
    <row r="40" spans="3:16" x14ac:dyDescent="0.25">
      <c r="E40" s="154">
        <v>44759</v>
      </c>
      <c r="F40" s="185">
        <v>902</v>
      </c>
      <c r="G40" s="186">
        <v>655</v>
      </c>
      <c r="H40" s="186">
        <v>614</v>
      </c>
      <c r="I40" s="186">
        <v>322</v>
      </c>
      <c r="J40" s="186">
        <v>336</v>
      </c>
      <c r="K40" s="162">
        <f t="shared" ref="K40:K42" si="53">SUM(F40:J40)</f>
        <v>2829</v>
      </c>
      <c r="L40" s="163">
        <f t="shared" ref="L40:L41" si="54">K40-K39</f>
        <v>-65</v>
      </c>
      <c r="M40" s="162">
        <f t="shared" si="50"/>
        <v>-520</v>
      </c>
      <c r="N40" s="164">
        <f t="shared" si="51"/>
        <v>-1.5209196650232936E-2</v>
      </c>
      <c r="O40" s="165">
        <f t="shared" si="52"/>
        <v>-0.33804896425370801</v>
      </c>
      <c r="P40" s="209">
        <f>P36+P2</f>
        <v>1533600</v>
      </c>
    </row>
    <row r="41" spans="3:16" x14ac:dyDescent="0.25">
      <c r="E41" s="100">
        <v>44766</v>
      </c>
      <c r="F41" s="188">
        <v>921</v>
      </c>
      <c r="G41" s="189">
        <v>672</v>
      </c>
      <c r="H41" s="189">
        <v>630</v>
      </c>
      <c r="I41" s="189">
        <v>341</v>
      </c>
      <c r="J41" s="189">
        <v>342</v>
      </c>
      <c r="K41" s="160">
        <f t="shared" si="53"/>
        <v>2906</v>
      </c>
      <c r="L41" s="169">
        <f t="shared" si="54"/>
        <v>77</v>
      </c>
      <c r="M41" s="160">
        <f t="shared" ref="M41" si="55">M40+L41</f>
        <v>-443</v>
      </c>
      <c r="N41" s="170">
        <f t="shared" ref="N41" si="56">L41/$K$3</f>
        <v>1.8017048339506708E-2</v>
      </c>
      <c r="O41" s="168">
        <f t="shared" si="52"/>
        <v>-0.32003191591420133</v>
      </c>
      <c r="P41" s="210"/>
    </row>
    <row r="42" spans="3:16" x14ac:dyDescent="0.25">
      <c r="E42" s="100">
        <v>44773</v>
      </c>
      <c r="F42" s="188">
        <v>964</v>
      </c>
      <c r="G42" s="189">
        <v>697</v>
      </c>
      <c r="H42" s="189">
        <v>647</v>
      </c>
      <c r="I42" s="189">
        <v>348</v>
      </c>
      <c r="J42" s="189">
        <v>346</v>
      </c>
      <c r="K42" s="160">
        <f t="shared" si="53"/>
        <v>3002</v>
      </c>
      <c r="L42" s="169">
        <f t="shared" ref="L42" si="57">K42-K41</f>
        <v>96</v>
      </c>
      <c r="M42" s="160">
        <f t="shared" ref="M42" si="58">M41+L42</f>
        <v>-347</v>
      </c>
      <c r="N42" s="170">
        <f t="shared" ref="N42" si="59">L42/$K$3</f>
        <v>2.2462813514190182E-2</v>
      </c>
      <c r="O42" s="168">
        <f t="shared" si="52"/>
        <v>-0.29756910240001111</v>
      </c>
      <c r="P42" s="210"/>
    </row>
    <row r="43" spans="3:16" ht="15.75" thickBot="1" x14ac:dyDescent="0.3">
      <c r="E43" s="153"/>
      <c r="F43" s="190"/>
      <c r="G43" s="187"/>
      <c r="H43" s="187"/>
      <c r="I43" s="187"/>
      <c r="J43" s="187"/>
      <c r="K43" s="187"/>
      <c r="L43" s="175"/>
      <c r="M43" s="174"/>
      <c r="N43" s="176"/>
      <c r="O43" s="177"/>
      <c r="P43" s="211"/>
    </row>
    <row r="44" spans="3:16" ht="15.75" thickBot="1" x14ac:dyDescent="0.3"/>
    <row r="45" spans="3:16" ht="15.75" thickBot="1" x14ac:dyDescent="0.3">
      <c r="F45" s="182" t="s">
        <v>153</v>
      </c>
      <c r="G45" s="183" t="s">
        <v>163</v>
      </c>
      <c r="H45" s="183" t="s">
        <v>154</v>
      </c>
      <c r="I45" s="183" t="s">
        <v>155</v>
      </c>
      <c r="J45" s="183" t="s">
        <v>156</v>
      </c>
      <c r="K45" s="183" t="s">
        <v>158</v>
      </c>
      <c r="L45" s="183" t="s">
        <v>159</v>
      </c>
      <c r="M45" s="183" t="s">
        <v>164</v>
      </c>
      <c r="N45" s="183" t="s">
        <v>171</v>
      </c>
      <c r="O45" s="184" t="s">
        <v>160</v>
      </c>
    </row>
  </sheetData>
  <mergeCells count="9">
    <mergeCell ref="P32:P35"/>
    <mergeCell ref="P40:P43"/>
    <mergeCell ref="P36:P39"/>
    <mergeCell ref="P2:P7"/>
    <mergeCell ref="P8:P11"/>
    <mergeCell ref="P12:P15"/>
    <mergeCell ref="P16:P19"/>
    <mergeCell ref="P20:P23"/>
    <mergeCell ref="P24:P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23"/>
  <sheetViews>
    <sheetView workbookViewId="0">
      <selection activeCell="D17" sqref="D17"/>
    </sheetView>
  </sheetViews>
  <sheetFormatPr baseColWidth="10" defaultRowHeight="15" x14ac:dyDescent="0.25"/>
  <cols>
    <col min="1" max="1" width="14.140625" customWidth="1"/>
    <col min="2" max="2" width="30.7109375" customWidth="1"/>
    <col min="3" max="3" width="27.28515625" customWidth="1"/>
    <col min="4" max="5" width="19.28515625" customWidth="1"/>
    <col min="6" max="6" width="16.5703125" customWidth="1"/>
    <col min="7" max="7" width="5.7109375" customWidth="1"/>
  </cols>
  <sheetData>
    <row r="2" spans="2:12" x14ac:dyDescent="0.25">
      <c r="C2" s="90"/>
      <c r="J2" s="89"/>
    </row>
    <row r="3" spans="2:12" x14ac:dyDescent="0.25">
      <c r="B3" s="90"/>
      <c r="C3" s="89"/>
      <c r="E3" s="144"/>
      <c r="F3" s="157"/>
      <c r="J3" s="89"/>
      <c r="L3" s="152"/>
    </row>
    <row r="4" spans="2:12" x14ac:dyDescent="0.25">
      <c r="B4" s="144" t="s">
        <v>19</v>
      </c>
      <c r="C4" s="144" t="s">
        <v>166</v>
      </c>
      <c r="F4" s="144" t="s">
        <v>196</v>
      </c>
      <c r="J4" s="89"/>
    </row>
    <row r="5" spans="2:12" x14ac:dyDescent="0.25">
      <c r="B5" s="142">
        <v>44703</v>
      </c>
      <c r="C5" s="143">
        <v>48000</v>
      </c>
      <c r="D5" s="144"/>
      <c r="E5" s="143" t="s">
        <v>197</v>
      </c>
      <c r="F5" s="214">
        <f>18000*30*4</f>
        <v>2160000</v>
      </c>
      <c r="J5" s="89"/>
    </row>
    <row r="6" spans="2:12" x14ac:dyDescent="0.25">
      <c r="B6" s="142">
        <v>44711</v>
      </c>
      <c r="C6" s="143">
        <v>98000</v>
      </c>
      <c r="D6" s="144"/>
      <c r="E6" s="144" t="s">
        <v>198</v>
      </c>
      <c r="F6" s="214">
        <f>30*4/0.45*1500</f>
        <v>400000</v>
      </c>
    </row>
    <row r="7" spans="2:12" x14ac:dyDescent="0.25">
      <c r="B7" s="142">
        <v>44717</v>
      </c>
      <c r="C7" s="143">
        <f>302000</f>
        <v>302000</v>
      </c>
    </row>
    <row r="8" spans="2:12" x14ac:dyDescent="0.25">
      <c r="B8" s="142">
        <v>44724</v>
      </c>
      <c r="C8" s="143">
        <v>302000</v>
      </c>
    </row>
    <row r="9" spans="2:12" x14ac:dyDescent="0.25">
      <c r="B9" s="142">
        <v>44732</v>
      </c>
      <c r="C9" s="143">
        <f>C8+127000</f>
        <v>429000</v>
      </c>
    </row>
    <row r="10" spans="2:12" x14ac:dyDescent="0.25">
      <c r="B10" s="142">
        <v>44739</v>
      </c>
      <c r="C10" s="143">
        <v>429000</v>
      </c>
      <c r="D10" t="s">
        <v>177</v>
      </c>
    </row>
    <row r="11" spans="2:12" x14ac:dyDescent="0.25">
      <c r="B11" s="142">
        <v>44746</v>
      </c>
      <c r="C11" s="143">
        <v>429000</v>
      </c>
    </row>
    <row r="12" spans="2:12" x14ac:dyDescent="0.25">
      <c r="B12" s="142">
        <v>44752</v>
      </c>
      <c r="C12" s="143">
        <f>C11+24000</f>
        <v>453000</v>
      </c>
    </row>
    <row r="13" spans="2:12" x14ac:dyDescent="0.25">
      <c r="B13" s="142">
        <v>44759</v>
      </c>
      <c r="C13" s="143">
        <f>C12+135000+12000</f>
        <v>600000</v>
      </c>
    </row>
    <row r="14" spans="2:12" x14ac:dyDescent="0.25">
      <c r="B14" s="142">
        <v>44766</v>
      </c>
      <c r="C14" s="143">
        <f>C13+24000</f>
        <v>624000</v>
      </c>
    </row>
    <row r="15" spans="2:12" x14ac:dyDescent="0.25">
      <c r="B15" s="142">
        <v>44773</v>
      </c>
      <c r="C15" s="143">
        <f>C14+72000</f>
        <v>696000</v>
      </c>
    </row>
    <row r="16" spans="2:12" x14ac:dyDescent="0.25">
      <c r="B16" s="142"/>
      <c r="C16" s="143"/>
    </row>
    <row r="17" spans="2:3" x14ac:dyDescent="0.25">
      <c r="B17" s="142"/>
      <c r="C17" s="143"/>
    </row>
    <row r="18" spans="2:3" x14ac:dyDescent="0.25">
      <c r="B18" s="142"/>
      <c r="C18" s="143"/>
    </row>
    <row r="19" spans="2:3" x14ac:dyDescent="0.25">
      <c r="C19" s="143"/>
    </row>
    <row r="20" spans="2:3" x14ac:dyDescent="0.25">
      <c r="C20" s="143"/>
    </row>
    <row r="21" spans="2:3" x14ac:dyDescent="0.25">
      <c r="C21" s="143"/>
    </row>
    <row r="22" spans="2:3" x14ac:dyDescent="0.25">
      <c r="C22" s="89"/>
    </row>
    <row r="23" spans="2:3" x14ac:dyDescent="0.25">
      <c r="C23" s="8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6"/>
  <sheetViews>
    <sheetView workbookViewId="0">
      <pane ySplit="1" topLeftCell="A45" activePane="bottomLeft" state="frozen"/>
      <selection pane="bottomLeft" activeCell="K18" sqref="K18"/>
    </sheetView>
  </sheetViews>
  <sheetFormatPr baseColWidth="10" defaultRowHeight="15" x14ac:dyDescent="0.25"/>
  <cols>
    <col min="4" max="5" width="22.85546875" customWidth="1"/>
    <col min="6" max="6" width="23.7109375" customWidth="1"/>
    <col min="7" max="7" width="16.42578125" customWidth="1"/>
    <col min="8" max="8" width="12" bestFit="1" customWidth="1"/>
  </cols>
  <sheetData>
    <row r="1" spans="2:8" ht="15.75" x14ac:dyDescent="0.25">
      <c r="B1" s="1" t="s">
        <v>0</v>
      </c>
      <c r="C1" s="1" t="s">
        <v>1</v>
      </c>
      <c r="D1" s="74" t="s">
        <v>18</v>
      </c>
      <c r="E1" s="1" t="s">
        <v>17</v>
      </c>
      <c r="F1" s="1" t="s">
        <v>2</v>
      </c>
      <c r="G1" s="1" t="s">
        <v>12</v>
      </c>
      <c r="H1" s="1" t="s">
        <v>41</v>
      </c>
    </row>
    <row r="2" spans="2:8" x14ac:dyDescent="0.25">
      <c r="B2" s="2">
        <v>43753</v>
      </c>
      <c r="C2" s="2">
        <v>43760</v>
      </c>
      <c r="D2" s="75">
        <v>89100</v>
      </c>
      <c r="E2" s="5">
        <v>55000</v>
      </c>
      <c r="F2" s="28">
        <f>SUM(Discriminados!D3:D14)</f>
        <v>0</v>
      </c>
      <c r="G2" s="4">
        <f>SUM(Discriminados!F14:G14)</f>
        <v>997658</v>
      </c>
      <c r="H2" s="3"/>
    </row>
    <row r="3" spans="2:8" x14ac:dyDescent="0.25">
      <c r="B3" s="2">
        <v>43761</v>
      </c>
      <c r="C3" s="2">
        <v>43767</v>
      </c>
      <c r="D3" s="76" t="e">
        <f>SUM(Discriminados!B15:B24)</f>
        <v>#REF!</v>
      </c>
      <c r="E3" s="6">
        <v>55000</v>
      </c>
      <c r="F3" s="28">
        <f>SUM(Discriminados!D23:D24)</f>
        <v>845416</v>
      </c>
      <c r="G3" s="4" t="e">
        <f>G2+F3-E3-D3</f>
        <v>#REF!</v>
      </c>
      <c r="H3" s="4">
        <f>SUM(Discriminados!F24:G24)</f>
        <v>1772178</v>
      </c>
    </row>
    <row r="4" spans="2:8" x14ac:dyDescent="0.25">
      <c r="B4" s="2">
        <v>43768</v>
      </c>
      <c r="C4" s="2">
        <v>43774</v>
      </c>
      <c r="D4" s="76">
        <f>SUM(Discriminados!B25:B39)</f>
        <v>147800</v>
      </c>
      <c r="E4" s="6">
        <v>55000</v>
      </c>
      <c r="F4" s="28">
        <f>SUM(Discriminados!D38:D39)</f>
        <v>65000</v>
      </c>
      <c r="G4" s="4" t="e">
        <f>G3-D4-E4+F4</f>
        <v>#REF!</v>
      </c>
      <c r="H4" s="4">
        <f>SUM(Discriminados!F39:G39)</f>
        <v>1680211</v>
      </c>
    </row>
    <row r="5" spans="2:8" x14ac:dyDescent="0.25">
      <c r="B5" s="2">
        <v>43775</v>
      </c>
      <c r="C5" s="2">
        <v>43781</v>
      </c>
      <c r="D5" s="76">
        <f>SUM(Discriminados!B40:B56)</f>
        <v>191100</v>
      </c>
      <c r="E5" s="6">
        <v>55000</v>
      </c>
      <c r="F5" s="28">
        <v>0</v>
      </c>
      <c r="G5" s="4" t="e">
        <f>G4-D5-E5+F5</f>
        <v>#REF!</v>
      </c>
      <c r="H5" s="4">
        <f>SUM(Discriminados!F56:G56)</f>
        <v>1056709</v>
      </c>
    </row>
    <row r="6" spans="2:8" x14ac:dyDescent="0.25">
      <c r="B6" s="2">
        <v>43782</v>
      </c>
      <c r="C6" s="2">
        <v>43788</v>
      </c>
      <c r="D6" s="76">
        <f>SUM(Discriminados!B57:B61)</f>
        <v>49000</v>
      </c>
      <c r="E6" s="6">
        <v>55000</v>
      </c>
      <c r="F6" s="28">
        <f>Discriminados!D61</f>
        <v>686316</v>
      </c>
      <c r="G6" s="4">
        <f t="shared" ref="G6:G20" si="0">H5-D6-E6+F6</f>
        <v>1639025</v>
      </c>
      <c r="H6" s="4">
        <f>SUM(Discriminados!F61:G61)</f>
        <v>1743025</v>
      </c>
    </row>
    <row r="7" spans="2:8" x14ac:dyDescent="0.25">
      <c r="B7" s="2">
        <v>43789</v>
      </c>
      <c r="C7" s="2">
        <v>43795</v>
      </c>
      <c r="D7" s="76">
        <f>SUM(Discriminados!B62:B69)</f>
        <v>96800</v>
      </c>
      <c r="E7" s="6">
        <v>55000</v>
      </c>
      <c r="F7" s="28">
        <v>0</v>
      </c>
      <c r="G7" s="4">
        <f t="shared" si="0"/>
        <v>1591225</v>
      </c>
      <c r="H7" s="4">
        <f>SUM(Discriminados!F69:G69)</f>
        <v>1620243</v>
      </c>
    </row>
    <row r="8" spans="2:8" x14ac:dyDescent="0.25">
      <c r="B8" s="2">
        <v>43796</v>
      </c>
      <c r="C8" s="2">
        <v>43802</v>
      </c>
      <c r="D8" s="76">
        <f>SUM(Discriminados!B70:B86)</f>
        <v>547700</v>
      </c>
      <c r="E8" s="6">
        <v>55000</v>
      </c>
      <c r="F8" s="28">
        <f>SUM(Discriminados!D86)</f>
        <v>686000</v>
      </c>
      <c r="G8" s="4">
        <f t="shared" si="0"/>
        <v>1703543</v>
      </c>
      <c r="H8" s="4">
        <f>SUM(Discriminados!F86:G86)</f>
        <v>1653621</v>
      </c>
    </row>
    <row r="9" spans="2:8" x14ac:dyDescent="0.25">
      <c r="B9" s="2">
        <v>43803</v>
      </c>
      <c r="C9" s="2">
        <v>43809</v>
      </c>
      <c r="D9" s="76">
        <f>SUM(Discriminados!B87:B99)</f>
        <v>196700</v>
      </c>
      <c r="E9" s="6">
        <v>55000</v>
      </c>
      <c r="F9" s="28">
        <f>SUM(Discriminados!D98:D99)</f>
        <v>763000</v>
      </c>
      <c r="G9" s="4">
        <f t="shared" si="0"/>
        <v>2164921</v>
      </c>
      <c r="H9" s="4">
        <f>SUM(Discriminados!F99:G99)</f>
        <v>2154000</v>
      </c>
    </row>
    <row r="10" spans="2:8" x14ac:dyDescent="0.25">
      <c r="B10" s="2">
        <v>43810</v>
      </c>
      <c r="C10" s="2">
        <v>43816</v>
      </c>
      <c r="D10" s="76">
        <f>SUM(Discriminados!B100:B107)</f>
        <v>407500</v>
      </c>
      <c r="E10" s="6">
        <v>55000</v>
      </c>
      <c r="F10" s="28">
        <f>SUM(Discriminados!D100:D107)</f>
        <v>2076210</v>
      </c>
      <c r="G10" s="4">
        <f t="shared" si="0"/>
        <v>3767710</v>
      </c>
      <c r="H10" s="4">
        <f>SUM(Discriminados!F107:G107)</f>
        <v>3615868</v>
      </c>
    </row>
    <row r="11" spans="2:8" x14ac:dyDescent="0.25">
      <c r="B11" s="2">
        <v>43817</v>
      </c>
      <c r="C11" s="2">
        <v>43824</v>
      </c>
      <c r="D11" s="76">
        <f>SUM(Discriminados!B108:B121)</f>
        <v>698900</v>
      </c>
      <c r="E11" s="6">
        <v>55000</v>
      </c>
      <c r="F11" s="28">
        <v>0</v>
      </c>
      <c r="G11" s="4">
        <f t="shared" si="0"/>
        <v>2861968</v>
      </c>
      <c r="H11" s="4">
        <f>SUM(Discriminados!F121:G121)</f>
        <v>2916968</v>
      </c>
    </row>
    <row r="12" spans="2:8" x14ac:dyDescent="0.25">
      <c r="B12" s="2">
        <v>43825</v>
      </c>
      <c r="C12" s="2">
        <v>43832</v>
      </c>
      <c r="D12" s="76">
        <f>SUM(Discriminados!B122:B132)</f>
        <v>288800</v>
      </c>
      <c r="E12" s="6">
        <v>60000</v>
      </c>
      <c r="F12" s="28">
        <f>SUM(Discriminados!D131:D132)</f>
        <v>741650</v>
      </c>
      <c r="G12" s="4">
        <f t="shared" si="0"/>
        <v>3309818</v>
      </c>
      <c r="H12" s="4">
        <f>SUM(Discriminados!F132:G132)</f>
        <v>3369818</v>
      </c>
    </row>
    <row r="13" spans="2:8" x14ac:dyDescent="0.25">
      <c r="B13" s="2">
        <v>43833</v>
      </c>
      <c r="C13" s="2">
        <v>43840</v>
      </c>
      <c r="D13" s="76">
        <f>SUM(Discriminados!B133:B159)</f>
        <v>623400</v>
      </c>
      <c r="E13" s="6">
        <v>60000</v>
      </c>
      <c r="F13" s="28">
        <v>0</v>
      </c>
      <c r="G13" s="4">
        <f>H12-D13-E13+F13</f>
        <v>2686418</v>
      </c>
      <c r="H13" s="4">
        <f>SUM(Discriminados!F159:G159)</f>
        <v>2366418</v>
      </c>
    </row>
    <row r="14" spans="2:8" x14ac:dyDescent="0.25">
      <c r="B14" s="2">
        <v>43841</v>
      </c>
      <c r="C14" s="2">
        <v>43849</v>
      </c>
      <c r="D14" s="76">
        <f>SUM(Discriminados!B160:B175)</f>
        <v>998500</v>
      </c>
      <c r="E14" s="6">
        <v>60000</v>
      </c>
      <c r="F14" s="28">
        <f>SUM(Discriminados!D174:D175)</f>
        <v>763017</v>
      </c>
      <c r="G14" s="4">
        <f>H13-D14-E14+F14</f>
        <v>2070935</v>
      </c>
      <c r="H14" s="4">
        <f>SUM(Discriminados!F175:G175)</f>
        <v>2130935</v>
      </c>
    </row>
    <row r="15" spans="2:8" x14ac:dyDescent="0.25">
      <c r="B15" s="2">
        <v>43850</v>
      </c>
      <c r="C15" s="2">
        <v>43858</v>
      </c>
      <c r="D15" s="76">
        <f>SUM(Discriminados!B176:B186)</f>
        <v>178000</v>
      </c>
      <c r="E15" s="6">
        <v>60000</v>
      </c>
      <c r="F15" s="28">
        <f>0</f>
        <v>0</v>
      </c>
      <c r="G15" s="4">
        <f t="shared" si="0"/>
        <v>1892935</v>
      </c>
      <c r="H15" s="4">
        <f>SUM(Discriminados!F186:G186)</f>
        <v>1656526</v>
      </c>
    </row>
    <row r="16" spans="2:8" x14ac:dyDescent="0.25">
      <c r="B16" s="69">
        <v>43859</v>
      </c>
      <c r="C16" s="77">
        <v>43867</v>
      </c>
      <c r="D16" s="61">
        <f>SUM(Discriminados!B187:B196)</f>
        <v>217100</v>
      </c>
      <c r="E16" s="61">
        <v>60000</v>
      </c>
      <c r="F16" s="62">
        <v>0</v>
      </c>
      <c r="G16" s="78">
        <f t="shared" si="0"/>
        <v>1379426</v>
      </c>
      <c r="H16" s="78">
        <f t="shared" ref="H16:H21" si="1">G16</f>
        <v>1379426</v>
      </c>
    </row>
    <row r="17" spans="2:8" x14ac:dyDescent="0.25">
      <c r="B17" s="2">
        <v>43868</v>
      </c>
      <c r="C17" s="2">
        <v>43876</v>
      </c>
      <c r="D17" s="6">
        <f>SUM(Discriminados!B197:B205)</f>
        <v>103550</v>
      </c>
      <c r="E17" s="6">
        <v>60000</v>
      </c>
      <c r="F17" s="28">
        <v>878000</v>
      </c>
      <c r="G17" s="4">
        <f t="shared" si="0"/>
        <v>2093876</v>
      </c>
      <c r="H17" s="4">
        <f t="shared" si="1"/>
        <v>2093876</v>
      </c>
    </row>
    <row r="18" spans="2:8" x14ac:dyDescent="0.25">
      <c r="B18" s="2">
        <v>43877</v>
      </c>
      <c r="C18" s="2">
        <v>43885</v>
      </c>
      <c r="D18" s="6">
        <f>SUM(Discriminados!B206:B214)</f>
        <v>190700</v>
      </c>
      <c r="E18" s="6">
        <v>60000</v>
      </c>
      <c r="F18" s="28">
        <v>0</v>
      </c>
      <c r="G18" s="4">
        <f t="shared" si="0"/>
        <v>1843176</v>
      </c>
      <c r="H18" s="4">
        <f t="shared" si="1"/>
        <v>1843176</v>
      </c>
    </row>
    <row r="19" spans="2:8" x14ac:dyDescent="0.25">
      <c r="B19" s="79">
        <v>43886</v>
      </c>
      <c r="C19" s="79">
        <v>43893</v>
      </c>
      <c r="D19" s="61">
        <f>SUM(Discriminados!B215:B222)</f>
        <v>114000</v>
      </c>
      <c r="E19" s="61">
        <v>60000</v>
      </c>
      <c r="F19" s="62">
        <v>706000</v>
      </c>
      <c r="G19" s="78">
        <f t="shared" si="0"/>
        <v>2375176</v>
      </c>
      <c r="H19" s="78">
        <f t="shared" si="1"/>
        <v>2375176</v>
      </c>
    </row>
    <row r="20" spans="2:8" x14ac:dyDescent="0.25">
      <c r="B20" s="2">
        <v>43894</v>
      </c>
      <c r="C20" s="2">
        <v>43901</v>
      </c>
      <c r="D20" s="6">
        <f>SUM(Discriminados!B223:B237)</f>
        <v>335100</v>
      </c>
      <c r="E20" s="6">
        <v>60000</v>
      </c>
      <c r="F20" s="28">
        <v>0</v>
      </c>
      <c r="G20" s="4">
        <f t="shared" si="0"/>
        <v>1980076</v>
      </c>
      <c r="H20" s="4">
        <f t="shared" si="1"/>
        <v>1980076</v>
      </c>
    </row>
    <row r="21" spans="2:8" x14ac:dyDescent="0.25">
      <c r="B21" s="2">
        <v>43902</v>
      </c>
      <c r="C21" s="2">
        <v>43909</v>
      </c>
      <c r="D21" s="6">
        <f>SUM(Discriminados!B238:B246)</f>
        <v>119600</v>
      </c>
      <c r="E21" s="6">
        <v>0</v>
      </c>
      <c r="F21" s="28">
        <v>728000</v>
      </c>
      <c r="G21" s="4">
        <f>H20-D21-E21+F21</f>
        <v>2588476</v>
      </c>
      <c r="H21" s="4">
        <f t="shared" si="1"/>
        <v>2588476</v>
      </c>
    </row>
    <row r="22" spans="2:8" x14ac:dyDescent="0.25">
      <c r="B22" s="2">
        <v>43910</v>
      </c>
      <c r="C22" s="2">
        <v>43917</v>
      </c>
      <c r="D22" s="6">
        <v>0</v>
      </c>
      <c r="E22" s="6">
        <v>0</v>
      </c>
      <c r="F22" s="28">
        <v>1999000</v>
      </c>
      <c r="G22" s="4">
        <f t="shared" ref="G22:G28" si="2">H21-D22-E22+F22</f>
        <v>4587476</v>
      </c>
      <c r="H22" s="4">
        <f t="shared" ref="H22:H27" si="3">G22</f>
        <v>4587476</v>
      </c>
    </row>
    <row r="23" spans="2:8" x14ac:dyDescent="0.25">
      <c r="B23" s="2">
        <v>43918</v>
      </c>
      <c r="C23" s="2">
        <v>43925</v>
      </c>
      <c r="D23" s="6">
        <f>SUM(Discriminados!B249:B251)</f>
        <v>164000</v>
      </c>
      <c r="E23" s="6">
        <v>0</v>
      </c>
      <c r="F23" s="28">
        <v>0</v>
      </c>
      <c r="G23" s="4">
        <f t="shared" si="2"/>
        <v>4423476</v>
      </c>
      <c r="H23" s="4">
        <f t="shared" si="3"/>
        <v>4423476</v>
      </c>
    </row>
    <row r="24" spans="2:8" x14ac:dyDescent="0.25">
      <c r="B24" s="2">
        <v>43926</v>
      </c>
      <c r="C24" s="2">
        <v>43933</v>
      </c>
      <c r="D24" s="6">
        <v>0</v>
      </c>
      <c r="E24" s="6">
        <v>0</v>
      </c>
      <c r="F24" s="28">
        <v>0</v>
      </c>
      <c r="G24" s="4">
        <f t="shared" si="2"/>
        <v>4423476</v>
      </c>
      <c r="H24" s="4">
        <f t="shared" si="3"/>
        <v>4423476</v>
      </c>
    </row>
    <row r="25" spans="2:8" x14ac:dyDescent="0.25">
      <c r="B25" s="2">
        <v>43934</v>
      </c>
      <c r="C25" s="2">
        <v>43941</v>
      </c>
      <c r="D25" s="6">
        <v>0</v>
      </c>
      <c r="E25" s="6">
        <v>0</v>
      </c>
      <c r="F25" s="28">
        <v>0</v>
      </c>
      <c r="G25" s="4">
        <f t="shared" si="2"/>
        <v>4423476</v>
      </c>
      <c r="H25" s="4">
        <f t="shared" si="3"/>
        <v>4423476</v>
      </c>
    </row>
    <row r="26" spans="2:8" x14ac:dyDescent="0.25">
      <c r="B26" s="2">
        <v>43942</v>
      </c>
      <c r="C26" s="2">
        <v>43950</v>
      </c>
      <c r="D26" s="6">
        <f>SUM(Discriminados!B256:B259)</f>
        <v>209000</v>
      </c>
      <c r="E26" s="6">
        <v>0</v>
      </c>
      <c r="F26" s="28">
        <v>0</v>
      </c>
      <c r="G26" s="4">
        <f t="shared" si="2"/>
        <v>4214476</v>
      </c>
      <c r="H26" s="4">
        <f t="shared" si="3"/>
        <v>4214476</v>
      </c>
    </row>
    <row r="27" spans="2:8" x14ac:dyDescent="0.25">
      <c r="B27" s="2">
        <v>43951</v>
      </c>
      <c r="C27" s="2">
        <v>43958</v>
      </c>
      <c r="D27" s="6">
        <f>SUM(Discriminados!B260:B261)</f>
        <v>35000</v>
      </c>
      <c r="E27" s="6">
        <v>0</v>
      </c>
      <c r="F27" s="28">
        <v>0</v>
      </c>
      <c r="G27" s="4">
        <f t="shared" si="2"/>
        <v>4179476</v>
      </c>
      <c r="H27" s="4">
        <f t="shared" si="3"/>
        <v>4179476</v>
      </c>
    </row>
    <row r="28" spans="2:8" x14ac:dyDescent="0.25">
      <c r="B28" s="2">
        <v>43959</v>
      </c>
      <c r="C28" s="2">
        <v>43966</v>
      </c>
      <c r="D28" s="6">
        <f>SUM(Discriminados!B262:B263)</f>
        <v>66000</v>
      </c>
      <c r="E28" s="6">
        <v>0</v>
      </c>
      <c r="F28" s="28">
        <v>0</v>
      </c>
      <c r="G28" s="4">
        <f t="shared" si="2"/>
        <v>4113476</v>
      </c>
      <c r="H28" s="4">
        <f>G28</f>
        <v>4113476</v>
      </c>
    </row>
    <row r="29" spans="2:8" x14ac:dyDescent="0.25">
      <c r="B29" s="2">
        <v>43967</v>
      </c>
      <c r="C29" s="2">
        <v>43974</v>
      </c>
      <c r="D29" s="6">
        <f>SUM(Discriminados!B264:B266)</f>
        <v>62500</v>
      </c>
      <c r="E29" s="6">
        <v>0</v>
      </c>
      <c r="F29" s="28">
        <v>0</v>
      </c>
      <c r="G29" s="4">
        <f t="shared" ref="G29" si="4">H28-D29-E29+F29</f>
        <v>4050976</v>
      </c>
      <c r="H29" s="4">
        <f>G29</f>
        <v>4050976</v>
      </c>
    </row>
    <row r="30" spans="2:8" x14ac:dyDescent="0.25">
      <c r="B30" s="2">
        <v>43975</v>
      </c>
      <c r="C30" s="2">
        <v>43980</v>
      </c>
      <c r="D30" s="6">
        <f>SUM(Discriminados!B267:B269)</f>
        <v>73250</v>
      </c>
      <c r="E30" s="6">
        <v>0</v>
      </c>
      <c r="F30" s="28">
        <v>0</v>
      </c>
      <c r="G30" s="4">
        <f t="shared" ref="G30" si="5">H29-D30-E30+F30</f>
        <v>3977726</v>
      </c>
      <c r="H30" s="4">
        <f>G30</f>
        <v>3977726</v>
      </c>
    </row>
    <row r="31" spans="2:8" x14ac:dyDescent="0.25">
      <c r="B31" s="2">
        <v>43981</v>
      </c>
      <c r="C31" s="2">
        <v>43988</v>
      </c>
      <c r="D31" s="6">
        <f>SUM(Discriminados!B270:B274)</f>
        <v>79000</v>
      </c>
      <c r="E31" s="6">
        <v>0</v>
      </c>
      <c r="F31" s="28">
        <v>0</v>
      </c>
      <c r="G31" s="4">
        <f t="shared" ref="G31" si="6">H30-D31-E31+F31</f>
        <v>3898726</v>
      </c>
      <c r="H31" s="4">
        <f>G31</f>
        <v>3898726</v>
      </c>
    </row>
    <row r="32" spans="2:8" x14ac:dyDescent="0.25">
      <c r="B32" s="2">
        <v>43989</v>
      </c>
      <c r="C32" s="2">
        <v>43996</v>
      </c>
      <c r="D32" s="6">
        <f>SUM(Discriminados!B275:B276)</f>
        <v>1150000</v>
      </c>
      <c r="E32" s="6">
        <v>0</v>
      </c>
      <c r="F32" s="28">
        <v>0</v>
      </c>
      <c r="G32" s="4">
        <f t="shared" ref="G32:G38" si="7">H31-D32-E32+F32</f>
        <v>2748726</v>
      </c>
      <c r="H32" s="4">
        <f t="shared" ref="H32:H38" si="8">G32</f>
        <v>2748726</v>
      </c>
    </row>
    <row r="33" spans="2:8" x14ac:dyDescent="0.25">
      <c r="B33" s="2">
        <v>43997</v>
      </c>
      <c r="C33" s="2">
        <v>44004</v>
      </c>
      <c r="D33" s="6">
        <f>SUM(Discriminados!B277:B284)</f>
        <v>390900</v>
      </c>
      <c r="E33" s="6">
        <v>0</v>
      </c>
      <c r="F33" s="28">
        <v>0</v>
      </c>
      <c r="G33" s="4">
        <f t="shared" si="7"/>
        <v>2357826</v>
      </c>
      <c r="H33" s="4">
        <f t="shared" si="8"/>
        <v>2357826</v>
      </c>
    </row>
    <row r="34" spans="2:8" x14ac:dyDescent="0.25">
      <c r="B34" s="2">
        <v>44005</v>
      </c>
      <c r="C34" s="2">
        <v>44012</v>
      </c>
      <c r="D34" s="6">
        <f>SUM(Discriminados!B285:B288)</f>
        <v>762900</v>
      </c>
      <c r="E34" s="6">
        <v>0</v>
      </c>
      <c r="F34" s="28">
        <v>0</v>
      </c>
      <c r="G34" s="4">
        <f t="shared" si="7"/>
        <v>1594926</v>
      </c>
      <c r="H34" s="4">
        <f t="shared" si="8"/>
        <v>1594926</v>
      </c>
    </row>
    <row r="35" spans="2:8" x14ac:dyDescent="0.25">
      <c r="B35" s="2">
        <v>44013</v>
      </c>
      <c r="C35" s="2">
        <v>44020</v>
      </c>
      <c r="D35" s="6">
        <f>SUM(Discriminados!B289:B290)</f>
        <v>142000</v>
      </c>
      <c r="E35" s="6">
        <v>0</v>
      </c>
      <c r="F35" s="28">
        <v>94500</v>
      </c>
      <c r="G35" s="4">
        <f t="shared" si="7"/>
        <v>1547426</v>
      </c>
      <c r="H35" s="4">
        <f t="shared" si="8"/>
        <v>1547426</v>
      </c>
    </row>
    <row r="36" spans="2:8" x14ac:dyDescent="0.25">
      <c r="B36" s="2">
        <v>44021</v>
      </c>
      <c r="C36" s="2">
        <v>44028</v>
      </c>
      <c r="D36" s="6">
        <f>SUM(Discriminados!B291)</f>
        <v>10000</v>
      </c>
      <c r="E36" s="6">
        <v>0</v>
      </c>
      <c r="F36" s="28">
        <v>268200</v>
      </c>
      <c r="G36" s="4">
        <f t="shared" si="7"/>
        <v>1805626</v>
      </c>
      <c r="H36" s="4">
        <f t="shared" si="8"/>
        <v>1805626</v>
      </c>
    </row>
    <row r="37" spans="2:8" x14ac:dyDescent="0.25">
      <c r="B37" s="2">
        <v>44029</v>
      </c>
      <c r="C37" s="2">
        <v>44036</v>
      </c>
      <c r="D37" s="6">
        <f>SUM(Discriminados!B293:B294)</f>
        <v>260000</v>
      </c>
      <c r="E37" s="6">
        <v>0</v>
      </c>
      <c r="F37" s="28">
        <v>219000</v>
      </c>
      <c r="G37" s="4">
        <f t="shared" si="7"/>
        <v>1764626</v>
      </c>
      <c r="H37" s="4">
        <f t="shared" si="8"/>
        <v>1764626</v>
      </c>
    </row>
    <row r="38" spans="2:8" x14ac:dyDescent="0.25">
      <c r="B38" s="2">
        <v>44037</v>
      </c>
      <c r="C38" s="2">
        <v>44044</v>
      </c>
      <c r="D38" s="6">
        <f>SUM(Discriminados!B295:B296)</f>
        <v>272500</v>
      </c>
      <c r="E38" s="6">
        <v>0</v>
      </c>
      <c r="F38" s="28">
        <f>150000+477222</f>
        <v>627222</v>
      </c>
      <c r="G38" s="4">
        <f t="shared" si="7"/>
        <v>2119348</v>
      </c>
      <c r="H38" s="4">
        <f t="shared" si="8"/>
        <v>2119348</v>
      </c>
    </row>
    <row r="39" spans="2:8" x14ac:dyDescent="0.25">
      <c r="B39" s="2">
        <v>44045</v>
      </c>
      <c r="C39" s="2">
        <v>44052</v>
      </c>
      <c r="D39" s="6">
        <f>SUM(Discriminados!B297:B298)</f>
        <v>453000</v>
      </c>
      <c r="E39" s="6">
        <v>0</v>
      </c>
      <c r="F39" s="28">
        <v>99000</v>
      </c>
      <c r="G39" s="4">
        <f t="shared" ref="G39" si="9">H38-D39-E39+F39</f>
        <v>1765348</v>
      </c>
      <c r="H39" s="4">
        <f t="shared" ref="H39:H40" si="10">G39</f>
        <v>1765348</v>
      </c>
    </row>
    <row r="40" spans="2:8" x14ac:dyDescent="0.25">
      <c r="B40" s="2">
        <v>44053</v>
      </c>
      <c r="C40" s="2">
        <v>44060</v>
      </c>
      <c r="D40" s="6">
        <f>SUM(Discriminados!B299:B302)</f>
        <v>464200</v>
      </c>
      <c r="E40" s="6">
        <v>0</v>
      </c>
      <c r="F40" s="28">
        <v>0</v>
      </c>
      <c r="G40" s="4">
        <f>H39-D40-E40+F40</f>
        <v>1301148</v>
      </c>
      <c r="H40" s="4">
        <f t="shared" si="10"/>
        <v>1301148</v>
      </c>
    </row>
    <row r="41" spans="2:8" x14ac:dyDescent="0.25">
      <c r="B41" s="2">
        <v>44061</v>
      </c>
      <c r="C41" s="2">
        <v>44068</v>
      </c>
      <c r="D41" s="6">
        <f>SUM(Discriminados!B303:B306)</f>
        <v>681105</v>
      </c>
      <c r="E41" s="6">
        <v>0</v>
      </c>
      <c r="F41" s="28">
        <v>0</v>
      </c>
      <c r="G41" s="4">
        <f>H40-D41-E41+F41</f>
        <v>620043</v>
      </c>
      <c r="H41" s="4">
        <f>SUM(Discriminados!F306:H306)</f>
        <v>1255530</v>
      </c>
    </row>
    <row r="42" spans="2:8" x14ac:dyDescent="0.25">
      <c r="B42" s="2">
        <v>44069</v>
      </c>
      <c r="C42" s="2">
        <v>44076</v>
      </c>
      <c r="D42" s="6">
        <f>SUM(Discriminados!B307:B309)</f>
        <v>77450</v>
      </c>
      <c r="E42" s="6">
        <v>50000</v>
      </c>
      <c r="F42" s="28">
        <f>Discriminados!D309</f>
        <v>202500</v>
      </c>
      <c r="G42" s="4">
        <f t="shared" ref="G42" si="11">H41-D42-E42+F42</f>
        <v>1330580</v>
      </c>
      <c r="H42" s="4">
        <f>G42</f>
        <v>1330580</v>
      </c>
    </row>
    <row r="43" spans="2:8" x14ac:dyDescent="0.25">
      <c r="B43" s="2">
        <v>44077</v>
      </c>
      <c r="C43" s="2">
        <v>44084</v>
      </c>
      <c r="D43" s="6">
        <f>SUM(Discriminados!B310:B313)</f>
        <v>216000</v>
      </c>
      <c r="E43" s="6">
        <v>50000</v>
      </c>
      <c r="F43" s="28">
        <f>Discriminados!D313</f>
        <v>243000</v>
      </c>
      <c r="G43" s="4">
        <f>H42-D43-E43+F43</f>
        <v>1307580</v>
      </c>
      <c r="H43" s="4">
        <f>SUM(Discriminados!F313:H313)</f>
        <v>1333666</v>
      </c>
    </row>
    <row r="44" spans="2:8" x14ac:dyDescent="0.25">
      <c r="B44" s="2">
        <v>44085</v>
      </c>
      <c r="C44" s="2">
        <v>44093</v>
      </c>
      <c r="D44" s="6">
        <f>SUM(Discriminados!B314:B324)</f>
        <v>874344</v>
      </c>
      <c r="E44" s="6">
        <v>50000</v>
      </c>
      <c r="F44" s="28">
        <f>SUM(Discriminados!D323:D324)</f>
        <v>1576000</v>
      </c>
      <c r="G44" s="4">
        <f>H43-D44-E44+F44</f>
        <v>1985322</v>
      </c>
      <c r="H44" s="4">
        <f>SUM(Discriminados!F324:H324)</f>
        <v>2450441</v>
      </c>
    </row>
    <row r="45" spans="2:8" x14ac:dyDescent="0.25">
      <c r="B45" s="2">
        <v>44094</v>
      </c>
      <c r="C45" s="2">
        <v>44101</v>
      </c>
      <c r="D45" s="6">
        <f>SUM(Discriminados!B325:B330)</f>
        <v>142000</v>
      </c>
      <c r="E45" s="6">
        <v>50000</v>
      </c>
      <c r="F45" s="28">
        <f>SUM(Discriminados!D325:D330)</f>
        <v>461000</v>
      </c>
      <c r="G45" s="4">
        <f t="shared" ref="G45:G46" si="12">H44-D45-E45+F45</f>
        <v>2719441</v>
      </c>
      <c r="H45" s="4">
        <f>SUM(Discriminados!F330:H330)</f>
        <v>2769441</v>
      </c>
    </row>
    <row r="46" spans="2:8" x14ac:dyDescent="0.25">
      <c r="B46" s="2">
        <v>44102</v>
      </c>
      <c r="C46" s="2">
        <v>44109</v>
      </c>
      <c r="D46" s="6">
        <f>SUM(Discriminados!B331:B335)</f>
        <v>114000</v>
      </c>
      <c r="E46" s="6">
        <v>50000</v>
      </c>
      <c r="F46" s="28">
        <f>SUM(Discriminados!D331:D335)</f>
        <v>1050000</v>
      </c>
      <c r="G46" s="4">
        <f t="shared" si="12"/>
        <v>3655441</v>
      </c>
      <c r="H46" s="4">
        <f>SUM(Discriminados!F335:H335)</f>
        <v>3705441</v>
      </c>
    </row>
    <row r="47" spans="2:8" x14ac:dyDescent="0.25">
      <c r="B47" s="2">
        <v>44110</v>
      </c>
      <c r="C47" s="2">
        <v>44116</v>
      </c>
      <c r="D47" s="6">
        <f>SUM(Discriminados!B336:B339)</f>
        <v>193000</v>
      </c>
      <c r="E47" s="6">
        <v>50000</v>
      </c>
      <c r="F47" s="28">
        <f>SUM(Discriminados!D336:D339)</f>
        <v>0</v>
      </c>
      <c r="G47" s="4">
        <f t="shared" ref="G47:G56" si="13">H46-D47-E47+F47</f>
        <v>3462441</v>
      </c>
      <c r="H47" s="4">
        <f>SUM(Discriminados!F339:H339)</f>
        <v>3226652</v>
      </c>
    </row>
    <row r="48" spans="2:8" x14ac:dyDescent="0.25">
      <c r="B48" s="2">
        <v>44117</v>
      </c>
      <c r="C48" s="2">
        <v>44124</v>
      </c>
      <c r="D48" s="6">
        <f>SUM(Discriminados!B340:B347)</f>
        <v>501000</v>
      </c>
      <c r="E48" s="6">
        <f>60000</f>
        <v>60000</v>
      </c>
      <c r="F48" s="28">
        <f>SUM(Discriminados!D340:D347)</f>
        <v>1050000</v>
      </c>
      <c r="G48" s="4">
        <f t="shared" si="13"/>
        <v>3715652</v>
      </c>
      <c r="H48" s="4">
        <f>SUM(Discriminados!F347:H347)</f>
        <v>3775652</v>
      </c>
    </row>
    <row r="49" spans="2:8" x14ac:dyDescent="0.25">
      <c r="B49" s="2">
        <v>44125</v>
      </c>
      <c r="C49" s="2">
        <v>44132</v>
      </c>
      <c r="D49" s="6">
        <f>SUM(Discriminados!B348:B349)</f>
        <v>98000</v>
      </c>
      <c r="E49" s="6">
        <f>60000</f>
        <v>60000</v>
      </c>
      <c r="F49" s="28">
        <f>SUM(Discriminados!D348:D349)</f>
        <v>0</v>
      </c>
      <c r="G49" s="4">
        <f t="shared" si="13"/>
        <v>3617652</v>
      </c>
      <c r="H49" s="4">
        <f>SUM(Discriminados!F349:H349)</f>
        <v>3677652</v>
      </c>
    </row>
    <row r="50" spans="2:8" x14ac:dyDescent="0.25">
      <c r="B50" s="2">
        <v>44133</v>
      </c>
      <c r="C50" s="2">
        <v>44140</v>
      </c>
      <c r="D50" s="6">
        <f>SUM(Discriminados!B350:B360)</f>
        <v>567300</v>
      </c>
      <c r="E50" s="6">
        <f>60000</f>
        <v>60000</v>
      </c>
      <c r="F50" s="28">
        <f>SUM(Discriminados!D350:D360)</f>
        <v>1050000</v>
      </c>
      <c r="G50" s="4">
        <f t="shared" si="13"/>
        <v>4100352</v>
      </c>
      <c r="H50" s="4">
        <f>SUM(Discriminados!F360:H360)</f>
        <v>4160352</v>
      </c>
    </row>
    <row r="51" spans="2:8" x14ac:dyDescent="0.25">
      <c r="B51" s="2">
        <v>44141</v>
      </c>
      <c r="C51" s="2">
        <v>44148</v>
      </c>
      <c r="D51" s="6">
        <f>SUM(Discriminados!B361:B364)</f>
        <v>139000</v>
      </c>
      <c r="E51" s="6">
        <f>60000</f>
        <v>60000</v>
      </c>
      <c r="F51" s="28">
        <f>SUM(Discriminados!D361:D364)</f>
        <v>0</v>
      </c>
      <c r="G51" s="4">
        <f t="shared" si="13"/>
        <v>3961352</v>
      </c>
      <c r="H51" s="4">
        <f>SUM(Discriminados!F364:H364)</f>
        <v>4021352</v>
      </c>
    </row>
    <row r="52" spans="2:8" x14ac:dyDescent="0.25">
      <c r="B52" s="2">
        <v>44149</v>
      </c>
      <c r="C52" s="2">
        <v>44156</v>
      </c>
      <c r="D52" s="6">
        <f>SUM(Discriminados!B365:B373)</f>
        <v>455800</v>
      </c>
      <c r="E52" s="6">
        <f>60000</f>
        <v>60000</v>
      </c>
      <c r="F52" s="28">
        <f>SUM(Discriminados!D365:D373)</f>
        <v>1050000</v>
      </c>
      <c r="G52" s="4">
        <f t="shared" si="13"/>
        <v>4555552</v>
      </c>
      <c r="H52" s="4">
        <f>SUM(Discriminados!F373:H373)</f>
        <v>4615552</v>
      </c>
    </row>
    <row r="53" spans="2:8" x14ac:dyDescent="0.25">
      <c r="B53" s="2">
        <v>44157</v>
      </c>
      <c r="C53" s="2">
        <v>44164</v>
      </c>
      <c r="D53" s="6">
        <f>SUM(Discriminados!B374:B382)</f>
        <v>433000</v>
      </c>
      <c r="E53" s="6">
        <f>60000</f>
        <v>60000</v>
      </c>
      <c r="F53" s="28">
        <f>SUM(Discriminados!D374:D382)</f>
        <v>0</v>
      </c>
      <c r="G53" s="4">
        <f t="shared" si="13"/>
        <v>4122552</v>
      </c>
      <c r="H53" s="4">
        <f>SUM(Discriminados!F382:H382)</f>
        <v>4182552</v>
      </c>
    </row>
    <row r="54" spans="2:8" x14ac:dyDescent="0.25">
      <c r="B54" s="2">
        <v>44165</v>
      </c>
      <c r="C54" s="2">
        <v>44172</v>
      </c>
      <c r="D54" s="6">
        <f>SUM(Discriminados!B383:B389)</f>
        <v>895300</v>
      </c>
      <c r="E54" s="6">
        <f>60000</f>
        <v>60000</v>
      </c>
      <c r="F54" s="28">
        <f>SUM(Discriminados!D383:D389)</f>
        <v>2549000</v>
      </c>
      <c r="G54" s="4">
        <f t="shared" si="13"/>
        <v>5776252</v>
      </c>
      <c r="H54" s="4">
        <f>SUM(Discriminados!F389:H389)</f>
        <v>5836252</v>
      </c>
    </row>
    <row r="55" spans="2:8" x14ac:dyDescent="0.25">
      <c r="B55" s="2">
        <v>44173</v>
      </c>
      <c r="C55" s="2">
        <v>44180</v>
      </c>
      <c r="D55" s="6">
        <f>SUM(Discriminados!B390:B395)</f>
        <v>259000</v>
      </c>
      <c r="E55" s="6">
        <f>60000</f>
        <v>60000</v>
      </c>
      <c r="F55" s="28">
        <f>SUM(Discriminados!D390:D395)</f>
        <v>1094000</v>
      </c>
      <c r="G55" s="4">
        <f t="shared" si="13"/>
        <v>6611252</v>
      </c>
      <c r="H55" s="4">
        <f>SUM(Discriminados!F395:H395)</f>
        <v>5836252</v>
      </c>
    </row>
    <row r="56" spans="2:8" x14ac:dyDescent="0.25">
      <c r="B56" s="2">
        <v>44181</v>
      </c>
      <c r="C56" s="2">
        <v>44188</v>
      </c>
      <c r="D56" s="6">
        <f>SUM(Discriminados!B396:B404)</f>
        <v>1025783</v>
      </c>
      <c r="E56" s="6">
        <f>60000</f>
        <v>60000</v>
      </c>
      <c r="F56" s="28">
        <f>SUM(Discriminados!D396:D404)</f>
        <v>0</v>
      </c>
      <c r="G56" s="4">
        <f t="shared" si="13"/>
        <v>4750469</v>
      </c>
      <c r="H56" s="4">
        <f>SUM(Discriminados!F404:H404)</f>
        <v>4328311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04"/>
  <sheetViews>
    <sheetView workbookViewId="0">
      <pane ySplit="2" topLeftCell="A388" activePane="bottomLeft" state="frozen"/>
      <selection pane="bottomLeft" activeCell="F396" sqref="F396"/>
    </sheetView>
  </sheetViews>
  <sheetFormatPr baseColWidth="10" defaultRowHeight="15" x14ac:dyDescent="0.25"/>
  <cols>
    <col min="2" max="2" width="12.7109375" customWidth="1"/>
    <col min="3" max="3" width="19.140625" customWidth="1"/>
    <col min="4" max="4" width="15.28515625" customWidth="1"/>
    <col min="5" max="5" width="16.5703125" customWidth="1"/>
    <col min="6" max="6" width="15.28515625" customWidth="1"/>
    <col min="8" max="9" width="12" bestFit="1" customWidth="1"/>
  </cols>
  <sheetData>
    <row r="1" spans="1:9" x14ac:dyDescent="0.25">
      <c r="F1" s="195" t="s">
        <v>12</v>
      </c>
      <c r="G1" s="195"/>
    </row>
    <row r="2" spans="1:9" ht="16.5" thickBot="1" x14ac:dyDescent="0.3">
      <c r="A2" s="10"/>
      <c r="B2" s="194" t="s">
        <v>16</v>
      </c>
      <c r="C2" s="194"/>
      <c r="D2" s="196" t="s">
        <v>2</v>
      </c>
      <c r="E2" s="197"/>
      <c r="F2" s="26" t="s">
        <v>14</v>
      </c>
      <c r="G2" s="27" t="s">
        <v>15</v>
      </c>
      <c r="H2" s="27" t="s">
        <v>96</v>
      </c>
    </row>
    <row r="3" spans="1:9" x14ac:dyDescent="0.25">
      <c r="A3" s="11">
        <v>43753</v>
      </c>
      <c r="B3" s="22">
        <v>-2000</v>
      </c>
      <c r="C3" s="13" t="s">
        <v>6</v>
      </c>
      <c r="D3" s="13"/>
      <c r="E3" s="13"/>
      <c r="F3" s="35" t="e">
        <f>SUM(Discriminados!F14:G14+Discriminados!#REF!)</f>
        <v>#REF!</v>
      </c>
      <c r="G3" s="15"/>
    </row>
    <row r="4" spans="1:9" x14ac:dyDescent="0.25">
      <c r="A4" s="16"/>
      <c r="B4" s="5">
        <v>-1500</v>
      </c>
      <c r="C4" s="3" t="s">
        <v>3</v>
      </c>
      <c r="D4" s="3"/>
      <c r="E4" s="3"/>
      <c r="F4" s="3"/>
      <c r="G4" s="17"/>
      <c r="I4" t="s">
        <v>62</v>
      </c>
    </row>
    <row r="5" spans="1:9" x14ac:dyDescent="0.25">
      <c r="A5" s="16"/>
      <c r="B5" s="5">
        <v>-100000</v>
      </c>
      <c r="C5" s="3" t="s">
        <v>75</v>
      </c>
      <c r="D5" s="3"/>
      <c r="E5" s="3"/>
      <c r="F5" s="3"/>
      <c r="G5" s="17"/>
      <c r="I5" t="s">
        <v>63</v>
      </c>
    </row>
    <row r="6" spans="1:9" ht="15.75" thickBot="1" x14ac:dyDescent="0.3">
      <c r="A6" s="39"/>
      <c r="B6" s="37">
        <v>-2000</v>
      </c>
      <c r="C6" s="10" t="s">
        <v>4</v>
      </c>
      <c r="D6" s="10"/>
      <c r="E6" s="10"/>
      <c r="F6" s="10"/>
      <c r="G6" s="36"/>
      <c r="I6" t="s">
        <v>42</v>
      </c>
    </row>
    <row r="7" spans="1:9" x14ac:dyDescent="0.25">
      <c r="A7" s="40"/>
      <c r="B7" s="22">
        <v>-3000</v>
      </c>
      <c r="C7" s="13" t="s">
        <v>5</v>
      </c>
      <c r="D7" s="13"/>
      <c r="E7" s="13"/>
      <c r="F7" s="13"/>
      <c r="G7" s="15"/>
      <c r="I7" t="s">
        <v>64</v>
      </c>
    </row>
    <row r="8" spans="1:9" x14ac:dyDescent="0.25">
      <c r="A8" s="16"/>
      <c r="B8" s="5">
        <v>-2000</v>
      </c>
      <c r="C8" s="3" t="s">
        <v>6</v>
      </c>
      <c r="D8" s="3"/>
      <c r="E8" s="3"/>
      <c r="F8" s="3"/>
      <c r="G8" s="17"/>
      <c r="I8" t="s">
        <v>65</v>
      </c>
    </row>
    <row r="9" spans="1:9" x14ac:dyDescent="0.25">
      <c r="A9" s="16"/>
      <c r="B9" s="5">
        <v>-7300</v>
      </c>
      <c r="C9" s="3" t="s">
        <v>9</v>
      </c>
      <c r="D9" s="3"/>
      <c r="E9" s="3"/>
      <c r="F9" s="3"/>
      <c r="G9" s="17"/>
      <c r="I9" t="s">
        <v>6</v>
      </c>
    </row>
    <row r="10" spans="1:9" x14ac:dyDescent="0.25">
      <c r="A10" s="16"/>
      <c r="B10" s="5">
        <v>-2000</v>
      </c>
      <c r="C10" s="3" t="s">
        <v>8</v>
      </c>
      <c r="D10" s="3"/>
      <c r="E10" s="3"/>
      <c r="F10" s="3"/>
      <c r="G10" s="17"/>
      <c r="I10" t="s">
        <v>7</v>
      </c>
    </row>
    <row r="11" spans="1:9" x14ac:dyDescent="0.25">
      <c r="A11" s="16"/>
      <c r="B11" s="5">
        <v>-3500</v>
      </c>
      <c r="C11" s="3" t="s">
        <v>10</v>
      </c>
      <c r="D11" s="3"/>
      <c r="E11" s="3"/>
      <c r="F11" s="3"/>
      <c r="G11" s="17"/>
      <c r="I11" t="s">
        <v>34</v>
      </c>
    </row>
    <row r="12" spans="1:9" x14ac:dyDescent="0.25">
      <c r="A12" s="16"/>
      <c r="B12" s="5">
        <v>-2000</v>
      </c>
      <c r="C12" s="3" t="s">
        <v>4</v>
      </c>
      <c r="D12" s="3"/>
      <c r="E12" s="3"/>
      <c r="F12" s="3"/>
      <c r="G12" s="17"/>
    </row>
    <row r="13" spans="1:9" x14ac:dyDescent="0.25">
      <c r="A13" s="16"/>
      <c r="B13" s="5">
        <v>38700</v>
      </c>
      <c r="C13" s="3" t="s">
        <v>11</v>
      </c>
      <c r="D13" s="3"/>
      <c r="E13" s="3"/>
      <c r="F13" s="10"/>
      <c r="G13" s="36"/>
    </row>
    <row r="14" spans="1:9" ht="15.75" thickBot="1" x14ac:dyDescent="0.3">
      <c r="A14" s="31">
        <v>43760</v>
      </c>
      <c r="B14" s="37">
        <v>-2500</v>
      </c>
      <c r="C14" s="10" t="s">
        <v>6</v>
      </c>
      <c r="D14" s="10"/>
      <c r="E14" s="10"/>
      <c r="F14" s="38">
        <v>983658</v>
      </c>
      <c r="G14" s="34">
        <v>14000</v>
      </c>
      <c r="I14" s="8"/>
    </row>
    <row r="15" spans="1:9" x14ac:dyDescent="0.25">
      <c r="A15" s="11">
        <v>43761</v>
      </c>
      <c r="B15" s="22">
        <v>1600</v>
      </c>
      <c r="C15" s="13" t="s">
        <v>7</v>
      </c>
      <c r="D15" s="13"/>
      <c r="E15" s="13"/>
      <c r="F15" s="13"/>
      <c r="G15" s="15"/>
    </row>
    <row r="16" spans="1:9" x14ac:dyDescent="0.25">
      <c r="A16" s="16"/>
      <c r="B16" s="5">
        <v>500</v>
      </c>
      <c r="C16" s="3" t="s">
        <v>6</v>
      </c>
      <c r="D16" s="3"/>
      <c r="E16" s="3"/>
      <c r="F16" s="3"/>
      <c r="G16" s="17"/>
    </row>
    <row r="17" spans="1:9" x14ac:dyDescent="0.25">
      <c r="A17" s="16"/>
      <c r="B17" s="5">
        <v>3000</v>
      </c>
      <c r="C17" s="3" t="s">
        <v>5</v>
      </c>
      <c r="D17" s="3"/>
      <c r="E17" s="3"/>
      <c r="F17" s="3"/>
      <c r="G17" s="17"/>
    </row>
    <row r="18" spans="1:9" x14ac:dyDescent="0.25">
      <c r="A18" s="16"/>
      <c r="B18" s="5">
        <v>3500</v>
      </c>
      <c r="C18" s="3" t="s">
        <v>21</v>
      </c>
      <c r="D18" s="3"/>
      <c r="E18" s="3"/>
      <c r="F18" s="3"/>
      <c r="G18" s="17"/>
    </row>
    <row r="19" spans="1:9" x14ac:dyDescent="0.25">
      <c r="A19" s="16"/>
      <c r="B19" s="5">
        <f>7500+6000+6300+22000</f>
        <v>41800</v>
      </c>
      <c r="C19" s="3" t="s">
        <v>11</v>
      </c>
      <c r="D19" s="3"/>
      <c r="E19" s="3"/>
      <c r="F19" s="3"/>
      <c r="G19" s="17"/>
    </row>
    <row r="20" spans="1:9" x14ac:dyDescent="0.25">
      <c r="A20" s="16"/>
      <c r="B20" s="5">
        <v>91890</v>
      </c>
      <c r="C20" s="3" t="s">
        <v>22</v>
      </c>
      <c r="D20" s="3"/>
      <c r="E20" s="3"/>
      <c r="F20" s="3"/>
      <c r="G20" s="17"/>
    </row>
    <row r="21" spans="1:9" x14ac:dyDescent="0.25">
      <c r="A21" s="16"/>
      <c r="B21" s="5" t="e">
        <f>#REF!-#REF!</f>
        <v>#REF!</v>
      </c>
      <c r="C21" s="3" t="s">
        <v>26</v>
      </c>
      <c r="D21" s="3"/>
      <c r="E21" s="3"/>
      <c r="F21" s="3"/>
      <c r="G21" s="17"/>
    </row>
    <row r="22" spans="1:9" x14ac:dyDescent="0.25">
      <c r="A22" s="16"/>
      <c r="B22" s="5">
        <v>68800</v>
      </c>
      <c r="C22" s="3" t="s">
        <v>23</v>
      </c>
      <c r="D22" s="3"/>
      <c r="E22" s="3"/>
      <c r="F22" s="3"/>
      <c r="G22" s="17"/>
    </row>
    <row r="23" spans="1:9" x14ac:dyDescent="0.25">
      <c r="A23" s="16"/>
      <c r="B23" s="5">
        <v>3000</v>
      </c>
      <c r="C23" s="3" t="s">
        <v>24</v>
      </c>
      <c r="D23" s="7">
        <v>686316</v>
      </c>
      <c r="E23" s="3" t="s">
        <v>40</v>
      </c>
      <c r="F23" s="3"/>
      <c r="G23" s="17"/>
    </row>
    <row r="24" spans="1:9" ht="15.75" thickBot="1" x14ac:dyDescent="0.3">
      <c r="A24" s="18">
        <v>43767</v>
      </c>
      <c r="B24" s="23">
        <v>500</v>
      </c>
      <c r="C24" s="20" t="s">
        <v>13</v>
      </c>
      <c r="D24" s="21">
        <v>159100</v>
      </c>
      <c r="E24" s="20" t="s">
        <v>25</v>
      </c>
      <c r="F24" s="24">
        <v>1566178</v>
      </c>
      <c r="G24" s="25">
        <v>206000</v>
      </c>
      <c r="I24" s="8"/>
    </row>
    <row r="25" spans="1:9" x14ac:dyDescent="0.25">
      <c r="A25" s="11">
        <v>43768</v>
      </c>
      <c r="B25" s="12">
        <v>1700</v>
      </c>
      <c r="C25" s="13" t="s">
        <v>28</v>
      </c>
      <c r="D25" s="14"/>
      <c r="E25" s="13"/>
      <c r="F25" s="13"/>
      <c r="G25" s="15"/>
    </row>
    <row r="26" spans="1:9" x14ac:dyDescent="0.25">
      <c r="A26" s="16"/>
      <c r="B26" s="9">
        <v>16800</v>
      </c>
      <c r="C26" s="3" t="s">
        <v>34</v>
      </c>
      <c r="D26" s="7"/>
      <c r="E26" s="3"/>
      <c r="F26" s="3"/>
      <c r="G26" s="17"/>
    </row>
    <row r="27" spans="1:9" x14ac:dyDescent="0.25">
      <c r="A27" s="16"/>
      <c r="B27" s="9">
        <v>14000</v>
      </c>
      <c r="C27" s="3" t="s">
        <v>30</v>
      </c>
      <c r="D27" s="7"/>
      <c r="E27" s="3"/>
      <c r="F27" s="3"/>
      <c r="G27" s="17"/>
    </row>
    <row r="28" spans="1:9" x14ac:dyDescent="0.25">
      <c r="A28" s="16"/>
      <c r="B28" s="9">
        <v>7000</v>
      </c>
      <c r="C28" s="3" t="s">
        <v>31</v>
      </c>
      <c r="D28" s="7"/>
      <c r="E28" s="3"/>
      <c r="F28" s="3"/>
      <c r="G28" s="17"/>
    </row>
    <row r="29" spans="1:9" x14ac:dyDescent="0.25">
      <c r="A29" s="16"/>
      <c r="B29" s="9">
        <v>45000</v>
      </c>
      <c r="C29" s="3" t="s">
        <v>32</v>
      </c>
      <c r="D29" s="7"/>
      <c r="E29" s="3"/>
      <c r="F29" s="3"/>
      <c r="G29" s="17"/>
    </row>
    <row r="30" spans="1:9" x14ac:dyDescent="0.25">
      <c r="A30" s="16"/>
      <c r="B30" s="9">
        <v>3800</v>
      </c>
      <c r="C30" s="3" t="s">
        <v>31</v>
      </c>
      <c r="D30" s="7"/>
      <c r="E30" s="3"/>
      <c r="F30" s="3"/>
      <c r="G30" s="17"/>
    </row>
    <row r="31" spans="1:9" x14ac:dyDescent="0.25">
      <c r="A31" s="16"/>
      <c r="B31" s="9">
        <v>14000</v>
      </c>
      <c r="C31" s="3" t="s">
        <v>29</v>
      </c>
      <c r="D31" s="7"/>
      <c r="E31" s="3"/>
      <c r="F31" s="3"/>
      <c r="G31" s="17"/>
    </row>
    <row r="32" spans="1:9" x14ac:dyDescent="0.25">
      <c r="A32" s="16"/>
      <c r="B32" s="9">
        <v>7000</v>
      </c>
      <c r="C32" s="3" t="s">
        <v>33</v>
      </c>
      <c r="D32" s="7"/>
      <c r="E32" s="3"/>
      <c r="F32" s="3"/>
      <c r="G32" s="17"/>
    </row>
    <row r="33" spans="1:7" x14ac:dyDescent="0.25">
      <c r="A33" s="16"/>
      <c r="B33" s="9">
        <v>4000</v>
      </c>
      <c r="C33" s="3" t="s">
        <v>4</v>
      </c>
      <c r="D33" s="7"/>
      <c r="E33" s="3"/>
      <c r="F33" s="3"/>
      <c r="G33" s="17"/>
    </row>
    <row r="34" spans="1:7" x14ac:dyDescent="0.25">
      <c r="A34" s="16"/>
      <c r="B34" s="9">
        <v>1000</v>
      </c>
      <c r="C34" s="3" t="s">
        <v>7</v>
      </c>
      <c r="D34" s="7"/>
      <c r="E34" s="3"/>
      <c r="F34" s="3"/>
      <c r="G34" s="17"/>
    </row>
    <row r="35" spans="1:7" x14ac:dyDescent="0.25">
      <c r="A35" s="16"/>
      <c r="B35" s="9">
        <v>14000</v>
      </c>
      <c r="C35" s="3" t="s">
        <v>34</v>
      </c>
      <c r="D35" s="7"/>
      <c r="E35" s="3"/>
      <c r="F35" s="3"/>
      <c r="G35" s="17"/>
    </row>
    <row r="36" spans="1:7" x14ac:dyDescent="0.25">
      <c r="A36" s="16"/>
      <c r="B36" s="9">
        <v>6000</v>
      </c>
      <c r="C36" s="3" t="s">
        <v>35</v>
      </c>
      <c r="D36" s="7"/>
      <c r="E36" s="3"/>
      <c r="F36" s="3"/>
      <c r="G36" s="17"/>
    </row>
    <row r="37" spans="1:7" x14ac:dyDescent="0.25">
      <c r="A37" s="16"/>
      <c r="B37" s="9">
        <v>4500</v>
      </c>
      <c r="C37" s="3" t="s">
        <v>34</v>
      </c>
      <c r="D37" s="7"/>
      <c r="E37" s="3"/>
      <c r="F37" s="3"/>
      <c r="G37" s="17"/>
    </row>
    <row r="38" spans="1:7" x14ac:dyDescent="0.25">
      <c r="A38" s="16"/>
      <c r="B38" s="9">
        <v>6000</v>
      </c>
      <c r="C38" s="3" t="s">
        <v>7</v>
      </c>
      <c r="D38" s="7">
        <v>15000</v>
      </c>
      <c r="E38" s="3" t="s">
        <v>27</v>
      </c>
      <c r="F38" s="3"/>
      <c r="G38" s="17"/>
    </row>
    <row r="39" spans="1:7" ht="15.75" thickBot="1" x14ac:dyDescent="0.3">
      <c r="A39" s="31">
        <v>43774</v>
      </c>
      <c r="B39" s="32">
        <v>3000</v>
      </c>
      <c r="C39" s="10" t="s">
        <v>6</v>
      </c>
      <c r="D39" s="33">
        <v>50000</v>
      </c>
      <c r="E39" s="10" t="s">
        <v>36</v>
      </c>
      <c r="F39" s="34">
        <f>2236211-670000</f>
        <v>1566211</v>
      </c>
      <c r="G39" s="34">
        <v>114000</v>
      </c>
    </row>
    <row r="40" spans="1:7" x14ac:dyDescent="0.25">
      <c r="A40" s="11">
        <v>43775</v>
      </c>
      <c r="B40" s="12">
        <v>800</v>
      </c>
      <c r="C40" s="13" t="s">
        <v>7</v>
      </c>
      <c r="D40" s="13"/>
      <c r="E40" s="13"/>
      <c r="F40" s="13"/>
      <c r="G40" s="15"/>
    </row>
    <row r="41" spans="1:7" x14ac:dyDescent="0.25">
      <c r="A41" s="16"/>
      <c r="B41" s="9">
        <v>3000</v>
      </c>
      <c r="C41" s="3" t="s">
        <v>6</v>
      </c>
      <c r="D41" s="3"/>
      <c r="E41" s="3"/>
      <c r="F41" s="3"/>
      <c r="G41" s="17"/>
    </row>
    <row r="42" spans="1:7" x14ac:dyDescent="0.25">
      <c r="A42" s="16"/>
      <c r="B42" s="9">
        <v>23000</v>
      </c>
      <c r="C42" s="3" t="s">
        <v>31</v>
      </c>
      <c r="D42" s="3"/>
      <c r="E42" s="3"/>
      <c r="F42" s="3"/>
      <c r="G42" s="17"/>
    </row>
    <row r="43" spans="1:7" x14ac:dyDescent="0.25">
      <c r="A43" s="16"/>
      <c r="B43" s="9">
        <v>12000</v>
      </c>
      <c r="C43" s="3" t="s">
        <v>34</v>
      </c>
      <c r="D43" s="3"/>
      <c r="E43" s="3"/>
      <c r="F43" s="3"/>
      <c r="G43" s="17"/>
    </row>
    <row r="44" spans="1:7" x14ac:dyDescent="0.25">
      <c r="A44" s="16"/>
      <c r="B44" s="9">
        <v>3000</v>
      </c>
      <c r="C44" s="3" t="s">
        <v>37</v>
      </c>
      <c r="D44" s="3"/>
      <c r="E44" s="3"/>
      <c r="F44" s="3"/>
      <c r="G44" s="17"/>
    </row>
    <row r="45" spans="1:7" x14ac:dyDescent="0.25">
      <c r="A45" s="16"/>
      <c r="B45" s="9">
        <v>90000</v>
      </c>
      <c r="C45" s="3" t="s">
        <v>75</v>
      </c>
      <c r="D45" s="3"/>
      <c r="E45" s="3"/>
      <c r="F45" s="3"/>
      <c r="G45" s="17"/>
    </row>
    <row r="46" spans="1:7" x14ac:dyDescent="0.25">
      <c r="A46" s="16"/>
      <c r="B46" s="9">
        <v>10500</v>
      </c>
      <c r="C46" s="3" t="s">
        <v>34</v>
      </c>
      <c r="D46" s="3"/>
      <c r="E46" s="3"/>
      <c r="F46" s="3"/>
      <c r="G46" s="17"/>
    </row>
    <row r="47" spans="1:7" x14ac:dyDescent="0.25">
      <c r="A47" s="16"/>
      <c r="B47" s="9">
        <v>5000</v>
      </c>
      <c r="C47" s="3" t="s">
        <v>34</v>
      </c>
      <c r="D47" s="3"/>
      <c r="E47" s="3"/>
      <c r="F47" s="3"/>
      <c r="G47" s="17"/>
    </row>
    <row r="48" spans="1:7" x14ac:dyDescent="0.25">
      <c r="A48" s="16"/>
      <c r="B48" s="9">
        <v>1000</v>
      </c>
      <c r="C48" s="3" t="s">
        <v>6</v>
      </c>
      <c r="D48" s="3"/>
      <c r="E48" s="3"/>
      <c r="F48" s="3"/>
      <c r="G48" s="17"/>
    </row>
    <row r="49" spans="1:7" x14ac:dyDescent="0.25">
      <c r="A49" s="16"/>
      <c r="B49" s="9">
        <v>6000</v>
      </c>
      <c r="C49" s="3" t="s">
        <v>6</v>
      </c>
      <c r="D49" s="3"/>
      <c r="E49" s="3"/>
      <c r="F49" s="3"/>
      <c r="G49" s="17"/>
    </row>
    <row r="50" spans="1:7" x14ac:dyDescent="0.25">
      <c r="A50" s="16"/>
      <c r="B50" s="9">
        <v>4000</v>
      </c>
      <c r="C50" s="3" t="s">
        <v>30</v>
      </c>
      <c r="D50" s="3"/>
      <c r="E50" s="3"/>
      <c r="F50" s="3"/>
      <c r="G50" s="17"/>
    </row>
    <row r="51" spans="1:7" x14ac:dyDescent="0.25">
      <c r="A51" s="16"/>
      <c r="B51" s="9">
        <v>2000</v>
      </c>
      <c r="C51" s="3" t="s">
        <v>39</v>
      </c>
      <c r="D51" s="3"/>
      <c r="E51" s="3"/>
      <c r="F51" s="3"/>
      <c r="G51" s="17"/>
    </row>
    <row r="52" spans="1:7" x14ac:dyDescent="0.25">
      <c r="A52" s="16"/>
      <c r="B52" s="9">
        <v>1800</v>
      </c>
      <c r="C52" s="3" t="s">
        <v>38</v>
      </c>
      <c r="D52" s="3"/>
      <c r="E52" s="3"/>
      <c r="F52" s="3"/>
      <c r="G52" s="17"/>
    </row>
    <row r="53" spans="1:7" x14ac:dyDescent="0.25">
      <c r="A53" s="16"/>
      <c r="B53" s="9">
        <v>1000</v>
      </c>
      <c r="C53" s="3" t="s">
        <v>6</v>
      </c>
      <c r="D53" s="3"/>
      <c r="E53" s="3"/>
      <c r="F53" s="3"/>
      <c r="G53" s="17"/>
    </row>
    <row r="54" spans="1:7" x14ac:dyDescent="0.25">
      <c r="A54" s="16"/>
      <c r="B54" s="9">
        <v>7000</v>
      </c>
      <c r="C54" s="3" t="s">
        <v>34</v>
      </c>
      <c r="D54" s="3"/>
      <c r="E54" s="3"/>
      <c r="F54" s="3"/>
      <c r="G54" s="17"/>
    </row>
    <row r="55" spans="1:7" x14ac:dyDescent="0.25">
      <c r="A55" s="16"/>
      <c r="B55" s="9">
        <v>6000</v>
      </c>
      <c r="C55" s="3" t="s">
        <v>7</v>
      </c>
      <c r="D55" s="3"/>
      <c r="E55" s="3"/>
      <c r="F55" s="3"/>
      <c r="G55" s="17"/>
    </row>
    <row r="56" spans="1:7" ht="15.75" thickBot="1" x14ac:dyDescent="0.3">
      <c r="A56" s="18">
        <v>43781</v>
      </c>
      <c r="B56" s="19">
        <v>15000</v>
      </c>
      <c r="C56" s="20" t="s">
        <v>6</v>
      </c>
      <c r="E56" s="20"/>
      <c r="F56" s="24">
        <f>F61-D61</f>
        <v>900709</v>
      </c>
      <c r="G56" s="25">
        <v>156000</v>
      </c>
    </row>
    <row r="57" spans="1:7" x14ac:dyDescent="0.25">
      <c r="A57" s="41">
        <v>43782</v>
      </c>
      <c r="B57" s="42">
        <v>2000</v>
      </c>
      <c r="C57" s="43" t="s">
        <v>6</v>
      </c>
      <c r="D57" s="44"/>
      <c r="E57" s="44"/>
      <c r="F57" s="44"/>
      <c r="G57" s="45"/>
    </row>
    <row r="58" spans="1:7" x14ac:dyDescent="0.25">
      <c r="A58" s="46"/>
      <c r="B58" s="29">
        <v>14000</v>
      </c>
      <c r="C58" s="30" t="s">
        <v>42</v>
      </c>
      <c r="G58" s="47"/>
    </row>
    <row r="59" spans="1:7" x14ac:dyDescent="0.25">
      <c r="A59" s="46"/>
      <c r="B59" s="29">
        <v>10000</v>
      </c>
      <c r="C59" s="30" t="s">
        <v>34</v>
      </c>
      <c r="G59" s="47"/>
    </row>
    <row r="60" spans="1:7" x14ac:dyDescent="0.25">
      <c r="A60" s="46"/>
      <c r="B60" s="29">
        <v>2000</v>
      </c>
      <c r="C60" s="30" t="s">
        <v>43</v>
      </c>
      <c r="G60" s="47"/>
    </row>
    <row r="61" spans="1:7" ht="15.75" thickBot="1" x14ac:dyDescent="0.3">
      <c r="A61" s="48">
        <v>43788</v>
      </c>
      <c r="B61" s="49">
        <v>21000</v>
      </c>
      <c r="C61" s="50" t="s">
        <v>27</v>
      </c>
      <c r="D61" s="21">
        <v>686316</v>
      </c>
      <c r="E61" s="51" t="s">
        <v>40</v>
      </c>
      <c r="F61" s="24">
        <v>1587025</v>
      </c>
      <c r="G61" s="25">
        <v>156000</v>
      </c>
    </row>
    <row r="62" spans="1:7" x14ac:dyDescent="0.25">
      <c r="A62" s="41">
        <v>43789</v>
      </c>
      <c r="B62" s="42">
        <v>42000</v>
      </c>
      <c r="C62" s="43" t="s">
        <v>44</v>
      </c>
      <c r="D62" s="44"/>
      <c r="E62" s="44"/>
      <c r="F62" s="44"/>
      <c r="G62" s="45"/>
    </row>
    <row r="63" spans="1:7" x14ac:dyDescent="0.25">
      <c r="A63" s="46"/>
      <c r="B63" s="29">
        <v>6000</v>
      </c>
      <c r="C63" s="30" t="s">
        <v>7</v>
      </c>
      <c r="G63" s="47"/>
    </row>
    <row r="64" spans="1:7" x14ac:dyDescent="0.25">
      <c r="A64" s="46"/>
      <c r="B64" s="29">
        <v>6000</v>
      </c>
      <c r="C64" s="30" t="s">
        <v>34</v>
      </c>
      <c r="G64" s="47"/>
    </row>
    <row r="65" spans="1:7" x14ac:dyDescent="0.25">
      <c r="A65" s="46"/>
      <c r="B65" s="29">
        <v>4800</v>
      </c>
      <c r="C65" s="30" t="s">
        <v>7</v>
      </c>
      <c r="G65" s="47"/>
    </row>
    <row r="66" spans="1:7" x14ac:dyDescent="0.25">
      <c r="A66" s="46"/>
      <c r="B66" s="29">
        <v>25000</v>
      </c>
      <c r="C66" s="30" t="s">
        <v>31</v>
      </c>
      <c r="G66" s="47"/>
    </row>
    <row r="67" spans="1:7" x14ac:dyDescent="0.25">
      <c r="A67" s="46"/>
      <c r="B67" s="29">
        <v>8000</v>
      </c>
      <c r="C67" s="30" t="s">
        <v>34</v>
      </c>
      <c r="G67" s="47"/>
    </row>
    <row r="68" spans="1:7" x14ac:dyDescent="0.25">
      <c r="A68" s="46"/>
      <c r="B68" s="29">
        <v>1500</v>
      </c>
      <c r="C68" s="30" t="s">
        <v>7</v>
      </c>
      <c r="G68" s="47"/>
    </row>
    <row r="69" spans="1:7" ht="15.75" thickBot="1" x14ac:dyDescent="0.3">
      <c r="A69" s="48">
        <v>43795</v>
      </c>
      <c r="B69" s="52">
        <v>3500</v>
      </c>
      <c r="C69" s="50" t="s">
        <v>21</v>
      </c>
      <c r="D69" s="51"/>
      <c r="E69" s="51"/>
      <c r="F69" s="24">
        <v>1583243</v>
      </c>
      <c r="G69" s="25">
        <v>37000</v>
      </c>
    </row>
    <row r="70" spans="1:7" x14ac:dyDescent="0.25">
      <c r="A70" s="41">
        <v>43796</v>
      </c>
      <c r="B70" s="54">
        <v>5000</v>
      </c>
      <c r="C70" s="43" t="s">
        <v>6</v>
      </c>
      <c r="D70" s="44"/>
      <c r="E70" s="44"/>
      <c r="F70" s="44"/>
      <c r="G70" s="45"/>
    </row>
    <row r="71" spans="1:7" x14ac:dyDescent="0.25">
      <c r="A71" s="46"/>
      <c r="B71" s="53">
        <v>800</v>
      </c>
      <c r="C71" s="30" t="s">
        <v>7</v>
      </c>
      <c r="G71" s="47"/>
    </row>
    <row r="72" spans="1:7" x14ac:dyDescent="0.25">
      <c r="A72" s="46"/>
      <c r="B72" s="53">
        <v>2000</v>
      </c>
      <c r="C72" s="30" t="s">
        <v>34</v>
      </c>
      <c r="G72" s="47"/>
    </row>
    <row r="73" spans="1:7" x14ac:dyDescent="0.25">
      <c r="A73" s="46"/>
      <c r="B73" s="53">
        <v>16000</v>
      </c>
      <c r="C73" s="30" t="s">
        <v>34</v>
      </c>
      <c r="G73" s="47"/>
    </row>
    <row r="74" spans="1:7" x14ac:dyDescent="0.25">
      <c r="A74" s="46"/>
      <c r="B74" s="53">
        <v>2500</v>
      </c>
      <c r="C74" s="30" t="s">
        <v>7</v>
      </c>
      <c r="G74" s="47"/>
    </row>
    <row r="75" spans="1:7" x14ac:dyDescent="0.25">
      <c r="A75" s="46"/>
      <c r="B75" s="53">
        <v>68000</v>
      </c>
      <c r="C75" s="30" t="s">
        <v>45</v>
      </c>
      <c r="G75" s="47"/>
    </row>
    <row r="76" spans="1:7" x14ac:dyDescent="0.25">
      <c r="A76" s="46"/>
      <c r="B76" s="53">
        <v>9000</v>
      </c>
      <c r="C76" s="30" t="s">
        <v>46</v>
      </c>
      <c r="G76" s="47"/>
    </row>
    <row r="77" spans="1:7" x14ac:dyDescent="0.25">
      <c r="A77" s="46"/>
      <c r="B77" s="53">
        <v>2000</v>
      </c>
      <c r="C77" s="30" t="s">
        <v>43</v>
      </c>
      <c r="G77" s="47"/>
    </row>
    <row r="78" spans="1:7" x14ac:dyDescent="0.25">
      <c r="A78" s="46"/>
      <c r="B78" s="53">
        <v>17000</v>
      </c>
      <c r="C78" s="30" t="s">
        <v>47</v>
      </c>
      <c r="G78" s="47"/>
    </row>
    <row r="79" spans="1:7" x14ac:dyDescent="0.25">
      <c r="A79" s="46"/>
      <c r="B79" s="53">
        <v>3000</v>
      </c>
      <c r="C79" s="30" t="s">
        <v>7</v>
      </c>
      <c r="G79" s="47"/>
    </row>
    <row r="80" spans="1:7" x14ac:dyDescent="0.25">
      <c r="A80" s="46"/>
      <c r="B80" s="53">
        <v>4000</v>
      </c>
      <c r="C80" s="30" t="s">
        <v>48</v>
      </c>
      <c r="G80" s="47"/>
    </row>
    <row r="81" spans="1:7" x14ac:dyDescent="0.25">
      <c r="A81" s="46"/>
      <c r="B81" s="53">
        <v>3000</v>
      </c>
      <c r="C81" s="30" t="s">
        <v>47</v>
      </c>
      <c r="G81" s="47"/>
    </row>
    <row r="82" spans="1:7" x14ac:dyDescent="0.25">
      <c r="A82" s="46"/>
      <c r="B82" s="53">
        <v>2000</v>
      </c>
      <c r="C82" s="30" t="s">
        <v>6</v>
      </c>
      <c r="G82" s="47"/>
    </row>
    <row r="83" spans="1:7" x14ac:dyDescent="0.25">
      <c r="A83" s="46"/>
      <c r="B83" s="53">
        <v>5000</v>
      </c>
      <c r="C83" s="30" t="s">
        <v>34</v>
      </c>
      <c r="G83" s="47"/>
    </row>
    <row r="84" spans="1:7" x14ac:dyDescent="0.25">
      <c r="A84" s="55"/>
      <c r="B84" s="53">
        <v>3000</v>
      </c>
      <c r="C84" s="30" t="s">
        <v>7</v>
      </c>
      <c r="G84" s="47"/>
    </row>
    <row r="85" spans="1:7" x14ac:dyDescent="0.25">
      <c r="A85" s="55"/>
      <c r="B85" s="53">
        <v>5400</v>
      </c>
      <c r="C85" s="30" t="s">
        <v>5</v>
      </c>
      <c r="G85" s="47"/>
    </row>
    <row r="86" spans="1:7" ht="15.75" thickBot="1" x14ac:dyDescent="0.3">
      <c r="A86" s="55">
        <v>43802</v>
      </c>
      <c r="B86" s="53">
        <v>400000</v>
      </c>
      <c r="C86" s="30" t="s">
        <v>49</v>
      </c>
      <c r="D86" s="33">
        <v>686000</v>
      </c>
      <c r="E86" t="s">
        <v>50</v>
      </c>
      <c r="F86" s="38">
        <v>1463621</v>
      </c>
      <c r="G86" s="34">
        <v>190000</v>
      </c>
    </row>
    <row r="87" spans="1:7" x14ac:dyDescent="0.25">
      <c r="A87" s="41">
        <v>43803</v>
      </c>
      <c r="B87" s="58">
        <v>1000</v>
      </c>
      <c r="C87" s="44" t="s">
        <v>51</v>
      </c>
      <c r="D87" s="44"/>
      <c r="E87" s="44"/>
      <c r="F87" s="44"/>
      <c r="G87" s="45"/>
    </row>
    <row r="88" spans="1:7" x14ac:dyDescent="0.25">
      <c r="A88" s="46"/>
      <c r="B88" s="57">
        <v>54900</v>
      </c>
      <c r="C88" t="s">
        <v>59</v>
      </c>
      <c r="G88" s="47"/>
    </row>
    <row r="89" spans="1:7" x14ac:dyDescent="0.25">
      <c r="A89" s="46"/>
      <c r="B89" s="57">
        <v>15000</v>
      </c>
      <c r="C89" t="s">
        <v>42</v>
      </c>
      <c r="G89" s="47"/>
    </row>
    <row r="90" spans="1:7" x14ac:dyDescent="0.25">
      <c r="A90" s="46"/>
      <c r="B90" s="57">
        <v>16000</v>
      </c>
      <c r="C90" t="s">
        <v>54</v>
      </c>
      <c r="G90" s="47"/>
    </row>
    <row r="91" spans="1:7" x14ac:dyDescent="0.25">
      <c r="A91" s="46"/>
      <c r="B91" s="57">
        <v>20000</v>
      </c>
      <c r="C91" t="s">
        <v>54</v>
      </c>
      <c r="G91" s="47"/>
    </row>
    <row r="92" spans="1:7" x14ac:dyDescent="0.25">
      <c r="A92" s="46"/>
      <c r="B92" s="57">
        <v>7000</v>
      </c>
      <c r="C92" t="s">
        <v>54</v>
      </c>
      <c r="G92" s="47"/>
    </row>
    <row r="93" spans="1:7" x14ac:dyDescent="0.25">
      <c r="A93" s="46"/>
      <c r="B93" s="57">
        <v>2300</v>
      </c>
      <c r="C93" t="s">
        <v>54</v>
      </c>
      <c r="G93" s="47"/>
    </row>
    <row r="94" spans="1:7" x14ac:dyDescent="0.25">
      <c r="A94" s="46"/>
      <c r="B94" s="57">
        <v>3000</v>
      </c>
      <c r="C94" t="s">
        <v>54</v>
      </c>
      <c r="G94" s="47"/>
    </row>
    <row r="95" spans="1:7" x14ac:dyDescent="0.25">
      <c r="A95" s="46"/>
      <c r="B95" s="57">
        <v>3500</v>
      </c>
      <c r="C95" t="s">
        <v>54</v>
      </c>
      <c r="G95" s="47"/>
    </row>
    <row r="96" spans="1:7" x14ac:dyDescent="0.25">
      <c r="A96" s="46"/>
      <c r="B96" s="57">
        <v>5000</v>
      </c>
      <c r="C96" t="s">
        <v>46</v>
      </c>
      <c r="G96" s="47"/>
    </row>
    <row r="97" spans="1:7" x14ac:dyDescent="0.25">
      <c r="A97" s="46"/>
      <c r="B97" s="57">
        <v>18000</v>
      </c>
      <c r="C97" t="s">
        <v>55</v>
      </c>
      <c r="G97" s="47"/>
    </row>
    <row r="98" spans="1:7" x14ac:dyDescent="0.25">
      <c r="A98" s="46"/>
      <c r="B98" s="57">
        <v>50000</v>
      </c>
      <c r="C98" t="s">
        <v>56</v>
      </c>
      <c r="D98" s="56">
        <v>50000</v>
      </c>
      <c r="E98" t="s">
        <v>52</v>
      </c>
      <c r="G98" s="47"/>
    </row>
    <row r="99" spans="1:7" ht="15.75" thickBot="1" x14ac:dyDescent="0.3">
      <c r="A99" s="48">
        <v>43809</v>
      </c>
      <c r="B99" s="59">
        <v>1000</v>
      </c>
      <c r="C99" s="51" t="s">
        <v>6</v>
      </c>
      <c r="D99" s="60">
        <v>713000</v>
      </c>
      <c r="E99" s="51" t="s">
        <v>53</v>
      </c>
      <c r="F99" s="24">
        <v>2022000</v>
      </c>
      <c r="G99" s="25">
        <v>132000</v>
      </c>
    </row>
    <row r="100" spans="1:7" x14ac:dyDescent="0.25">
      <c r="A100" s="41">
        <v>43810</v>
      </c>
      <c r="B100" s="58">
        <v>10000</v>
      </c>
      <c r="C100" s="44" t="s">
        <v>57</v>
      </c>
      <c r="D100" s="44"/>
      <c r="E100" s="44"/>
      <c r="F100" s="44"/>
      <c r="G100" s="45"/>
    </row>
    <row r="101" spans="1:7" x14ac:dyDescent="0.25">
      <c r="A101" s="46"/>
      <c r="B101" s="57">
        <v>120000</v>
      </c>
      <c r="C101" t="s">
        <v>34</v>
      </c>
      <c r="G101" s="47"/>
    </row>
    <row r="102" spans="1:7" x14ac:dyDescent="0.25">
      <c r="A102" s="46"/>
      <c r="B102" s="57">
        <v>102000</v>
      </c>
      <c r="C102" t="s">
        <v>75</v>
      </c>
      <c r="G102" s="47"/>
    </row>
    <row r="103" spans="1:7" x14ac:dyDescent="0.25">
      <c r="A103" s="46"/>
      <c r="B103" s="57">
        <v>47000</v>
      </c>
      <c r="C103" t="s">
        <v>59</v>
      </c>
      <c r="G103" s="47"/>
    </row>
    <row r="104" spans="1:7" x14ac:dyDescent="0.25">
      <c r="A104" s="46"/>
      <c r="B104" s="57">
        <v>3000</v>
      </c>
      <c r="C104" t="s">
        <v>58</v>
      </c>
      <c r="G104" s="47"/>
    </row>
    <row r="105" spans="1:7" x14ac:dyDescent="0.25">
      <c r="A105" s="46"/>
      <c r="B105" s="57">
        <v>1500</v>
      </c>
      <c r="C105" t="s">
        <v>6</v>
      </c>
      <c r="G105" s="47"/>
    </row>
    <row r="106" spans="1:7" x14ac:dyDescent="0.25">
      <c r="A106" s="46"/>
      <c r="B106" s="57">
        <v>122000</v>
      </c>
      <c r="C106" t="s">
        <v>59</v>
      </c>
      <c r="G106" s="47"/>
    </row>
    <row r="107" spans="1:7" ht="15.75" thickBot="1" x14ac:dyDescent="0.3">
      <c r="A107" s="48">
        <v>43816</v>
      </c>
      <c r="B107" s="59">
        <v>2000</v>
      </c>
      <c r="C107" s="51" t="s">
        <v>6</v>
      </c>
      <c r="D107" s="60">
        <v>2076210</v>
      </c>
      <c r="E107" s="51" t="s">
        <v>50</v>
      </c>
      <c r="F107" s="24">
        <v>3135868</v>
      </c>
      <c r="G107" s="24">
        <v>480000</v>
      </c>
    </row>
    <row r="108" spans="1:7" x14ac:dyDescent="0.25">
      <c r="A108" s="41">
        <v>43817</v>
      </c>
      <c r="B108" s="58">
        <v>1600</v>
      </c>
      <c r="C108" s="44" t="s">
        <v>7</v>
      </c>
      <c r="D108" s="44"/>
      <c r="E108" s="44"/>
      <c r="F108" s="44"/>
      <c r="G108" s="45"/>
    </row>
    <row r="109" spans="1:7" x14ac:dyDescent="0.25">
      <c r="A109" s="46"/>
      <c r="B109" s="57">
        <v>1000</v>
      </c>
      <c r="C109" t="s">
        <v>6</v>
      </c>
      <c r="G109" s="47"/>
    </row>
    <row r="110" spans="1:7" x14ac:dyDescent="0.25">
      <c r="A110" s="46"/>
      <c r="B110" s="57">
        <v>39000</v>
      </c>
      <c r="C110" t="s">
        <v>60</v>
      </c>
      <c r="G110" s="47"/>
    </row>
    <row r="111" spans="1:7" x14ac:dyDescent="0.25">
      <c r="A111" s="46"/>
      <c r="B111" s="57">
        <v>6300</v>
      </c>
      <c r="C111" t="s">
        <v>61</v>
      </c>
      <c r="G111" s="47"/>
    </row>
    <row r="112" spans="1:7" x14ac:dyDescent="0.25">
      <c r="A112" s="46"/>
      <c r="B112" s="57">
        <v>79000</v>
      </c>
      <c r="C112" t="s">
        <v>63</v>
      </c>
      <c r="G112" s="47"/>
    </row>
    <row r="113" spans="1:7" x14ac:dyDescent="0.25">
      <c r="A113" s="46"/>
      <c r="B113" s="57">
        <v>92000</v>
      </c>
      <c r="C113" t="s">
        <v>63</v>
      </c>
      <c r="G113" s="47"/>
    </row>
    <row r="114" spans="1:7" x14ac:dyDescent="0.25">
      <c r="A114" s="46"/>
      <c r="B114" s="57">
        <v>60000</v>
      </c>
      <c r="C114" t="s">
        <v>63</v>
      </c>
      <c r="G114" s="47"/>
    </row>
    <row r="115" spans="1:7" x14ac:dyDescent="0.25">
      <c r="A115" s="46"/>
      <c r="B115" s="57">
        <v>121000</v>
      </c>
      <c r="C115" t="s">
        <v>63</v>
      </c>
      <c r="G115" s="47"/>
    </row>
    <row r="116" spans="1:7" x14ac:dyDescent="0.25">
      <c r="A116" s="46"/>
      <c r="B116" s="57">
        <v>15000</v>
      </c>
      <c r="C116" t="s">
        <v>64</v>
      </c>
      <c r="G116" s="47"/>
    </row>
    <row r="117" spans="1:7" x14ac:dyDescent="0.25">
      <c r="A117" s="46"/>
      <c r="B117" s="57">
        <v>6000</v>
      </c>
      <c r="C117" t="s">
        <v>34</v>
      </c>
      <c r="G117" s="47"/>
    </row>
    <row r="118" spans="1:7" x14ac:dyDescent="0.25">
      <c r="A118" s="46"/>
      <c r="B118" s="57">
        <v>10000</v>
      </c>
      <c r="C118" t="s">
        <v>34</v>
      </c>
      <c r="G118" s="47"/>
    </row>
    <row r="119" spans="1:7" x14ac:dyDescent="0.25">
      <c r="A119" s="46"/>
      <c r="B119" s="57">
        <v>1000</v>
      </c>
      <c r="C119" t="s">
        <v>6</v>
      </c>
      <c r="G119" s="47"/>
    </row>
    <row r="120" spans="1:7" x14ac:dyDescent="0.25">
      <c r="A120" s="46"/>
      <c r="B120" s="57">
        <v>17000</v>
      </c>
      <c r="C120" t="s">
        <v>6</v>
      </c>
      <c r="G120" s="47"/>
    </row>
    <row r="121" spans="1:7" ht="15.75" thickBot="1" x14ac:dyDescent="0.3">
      <c r="A121" s="48">
        <v>43824</v>
      </c>
      <c r="B121" s="59">
        <v>250000</v>
      </c>
      <c r="C121" s="51" t="s">
        <v>63</v>
      </c>
      <c r="D121" s="51"/>
      <c r="E121" s="51"/>
      <c r="F121" s="63">
        <f>F107-SUM(B108:B121)</f>
        <v>2436968</v>
      </c>
      <c r="G121" s="64">
        <f>G107</f>
        <v>480000</v>
      </c>
    </row>
    <row r="122" spans="1:7" x14ac:dyDescent="0.25">
      <c r="A122" s="41">
        <v>43825</v>
      </c>
      <c r="B122" s="58">
        <v>22000</v>
      </c>
      <c r="C122" s="44" t="s">
        <v>6</v>
      </c>
      <c r="D122" s="44"/>
      <c r="E122" s="44"/>
      <c r="F122" s="44"/>
      <c r="G122" s="45"/>
    </row>
    <row r="123" spans="1:7" x14ac:dyDescent="0.25">
      <c r="A123" s="46"/>
      <c r="B123" s="57">
        <v>32000</v>
      </c>
      <c r="C123" t="s">
        <v>66</v>
      </c>
      <c r="G123" s="47"/>
    </row>
    <row r="124" spans="1:7" x14ac:dyDescent="0.25">
      <c r="A124" s="46"/>
      <c r="B124" s="57">
        <v>25000</v>
      </c>
      <c r="C124" t="s">
        <v>66</v>
      </c>
      <c r="G124" s="47"/>
    </row>
    <row r="125" spans="1:7" x14ac:dyDescent="0.25">
      <c r="A125" s="46"/>
      <c r="B125" s="57">
        <v>150000</v>
      </c>
      <c r="C125" t="s">
        <v>66</v>
      </c>
      <c r="G125" s="47"/>
    </row>
    <row r="126" spans="1:7" x14ac:dyDescent="0.25">
      <c r="A126" s="46"/>
      <c r="B126" s="57">
        <v>800</v>
      </c>
      <c r="C126" t="s">
        <v>7</v>
      </c>
      <c r="G126" s="47"/>
    </row>
    <row r="127" spans="1:7" x14ac:dyDescent="0.25">
      <c r="A127" s="46"/>
      <c r="B127" s="57">
        <v>10000</v>
      </c>
      <c r="C127" t="s">
        <v>34</v>
      </c>
      <c r="G127" s="47"/>
    </row>
    <row r="128" spans="1:7" x14ac:dyDescent="0.25">
      <c r="A128" s="46"/>
      <c r="B128" s="57">
        <v>8500</v>
      </c>
      <c r="C128" t="s">
        <v>6</v>
      </c>
      <c r="G128" s="47"/>
    </row>
    <row r="129" spans="1:7" x14ac:dyDescent="0.25">
      <c r="A129" s="46"/>
      <c r="B129" s="57">
        <v>7500</v>
      </c>
      <c r="C129" t="s">
        <v>34</v>
      </c>
      <c r="G129" s="47"/>
    </row>
    <row r="130" spans="1:7" x14ac:dyDescent="0.25">
      <c r="A130" s="46"/>
      <c r="B130" s="57">
        <v>17000</v>
      </c>
      <c r="C130" t="s">
        <v>67</v>
      </c>
      <c r="G130" s="47"/>
    </row>
    <row r="131" spans="1:7" x14ac:dyDescent="0.25">
      <c r="A131" s="46"/>
      <c r="B131" s="57">
        <v>14000</v>
      </c>
      <c r="C131" t="s">
        <v>44</v>
      </c>
      <c r="D131" s="56">
        <v>726650</v>
      </c>
      <c r="E131" t="s">
        <v>40</v>
      </c>
      <c r="G131" s="47"/>
    </row>
    <row r="132" spans="1:7" ht="15.75" thickBot="1" x14ac:dyDescent="0.3">
      <c r="A132" s="48">
        <v>43832</v>
      </c>
      <c r="B132" s="59">
        <v>2000</v>
      </c>
      <c r="C132" s="51" t="s">
        <v>6</v>
      </c>
      <c r="D132" s="56">
        <v>15000</v>
      </c>
      <c r="E132" s="51" t="s">
        <v>27</v>
      </c>
      <c r="F132" s="63">
        <f>F121-SUM(B122:B132)+SUM(D131:D132)</f>
        <v>2889818</v>
      </c>
      <c r="G132" s="64">
        <f>G121</f>
        <v>480000</v>
      </c>
    </row>
    <row r="133" spans="1:7" x14ac:dyDescent="0.25">
      <c r="A133" s="41">
        <v>43833</v>
      </c>
      <c r="B133" s="58">
        <v>4000</v>
      </c>
      <c r="C133" s="44" t="s">
        <v>61</v>
      </c>
      <c r="D133" s="44"/>
      <c r="E133" s="44"/>
      <c r="F133" s="44"/>
      <c r="G133" s="45"/>
    </row>
    <row r="134" spans="1:7" x14ac:dyDescent="0.25">
      <c r="A134" s="46"/>
      <c r="B134" s="57">
        <v>5000</v>
      </c>
      <c r="C134" t="s">
        <v>6</v>
      </c>
      <c r="G134" s="47"/>
    </row>
    <row r="135" spans="1:7" x14ac:dyDescent="0.25">
      <c r="A135" s="46"/>
      <c r="B135" s="57">
        <v>14000</v>
      </c>
      <c r="C135" t="s">
        <v>6</v>
      </c>
      <c r="G135" s="47"/>
    </row>
    <row r="136" spans="1:7" x14ac:dyDescent="0.25">
      <c r="A136" s="46"/>
      <c r="B136" s="57">
        <v>40000</v>
      </c>
      <c r="C136" t="s">
        <v>68</v>
      </c>
      <c r="G136" s="47"/>
    </row>
    <row r="137" spans="1:7" x14ac:dyDescent="0.25">
      <c r="A137" s="46"/>
      <c r="B137" s="57">
        <v>17000</v>
      </c>
      <c r="C137" t="s">
        <v>6</v>
      </c>
      <c r="G137" s="47"/>
    </row>
    <row r="138" spans="1:7" x14ac:dyDescent="0.25">
      <c r="A138" s="46"/>
      <c r="B138" s="57">
        <v>10000</v>
      </c>
      <c r="C138" t="s">
        <v>34</v>
      </c>
      <c r="G138" s="47"/>
    </row>
    <row r="139" spans="1:7" x14ac:dyDescent="0.25">
      <c r="A139" s="46"/>
      <c r="B139" s="57">
        <v>8000</v>
      </c>
      <c r="C139" t="s">
        <v>69</v>
      </c>
      <c r="G139" s="47"/>
    </row>
    <row r="140" spans="1:7" x14ac:dyDescent="0.25">
      <c r="A140" s="46"/>
      <c r="B140" s="57">
        <v>18000</v>
      </c>
      <c r="C140" t="s">
        <v>34</v>
      </c>
      <c r="G140" s="47"/>
    </row>
    <row r="141" spans="1:7" x14ac:dyDescent="0.25">
      <c r="A141" s="46"/>
      <c r="B141" s="57">
        <v>4300</v>
      </c>
      <c r="C141" t="s">
        <v>6</v>
      </c>
      <c r="G141" s="47"/>
    </row>
    <row r="142" spans="1:7" x14ac:dyDescent="0.25">
      <c r="A142" s="46"/>
      <c r="B142" s="57">
        <v>83500</v>
      </c>
      <c r="C142" t="s">
        <v>69</v>
      </c>
      <c r="G142" s="47"/>
    </row>
    <row r="143" spans="1:7" x14ac:dyDescent="0.25">
      <c r="A143" s="46"/>
      <c r="B143" s="57">
        <v>20000</v>
      </c>
      <c r="C143" t="s">
        <v>69</v>
      </c>
      <c r="G143" s="47"/>
    </row>
    <row r="144" spans="1:7" x14ac:dyDescent="0.25">
      <c r="A144" s="46"/>
      <c r="B144" s="57">
        <v>13000</v>
      </c>
      <c r="C144" t="s">
        <v>6</v>
      </c>
      <c r="G144" s="47"/>
    </row>
    <row r="145" spans="1:7" x14ac:dyDescent="0.25">
      <c r="A145" s="46"/>
      <c r="B145" s="57">
        <v>5000</v>
      </c>
      <c r="C145" t="s">
        <v>69</v>
      </c>
      <c r="G145" s="47"/>
    </row>
    <row r="146" spans="1:7" x14ac:dyDescent="0.25">
      <c r="A146" s="46"/>
      <c r="B146" s="57">
        <v>27000</v>
      </c>
      <c r="C146" t="s">
        <v>34</v>
      </c>
      <c r="G146" s="47"/>
    </row>
    <row r="147" spans="1:7" x14ac:dyDescent="0.25">
      <c r="A147" s="46"/>
      <c r="B147" s="57">
        <v>20000</v>
      </c>
      <c r="C147" t="s">
        <v>34</v>
      </c>
      <c r="G147" s="47"/>
    </row>
    <row r="148" spans="1:7" x14ac:dyDescent="0.25">
      <c r="A148" s="46"/>
      <c r="B148" s="57">
        <v>120000</v>
      </c>
      <c r="C148" t="s">
        <v>75</v>
      </c>
      <c r="G148" s="47"/>
    </row>
    <row r="149" spans="1:7" x14ac:dyDescent="0.25">
      <c r="A149" s="46"/>
      <c r="B149" s="57">
        <v>3000</v>
      </c>
      <c r="C149" t="s">
        <v>34</v>
      </c>
      <c r="G149" s="47"/>
    </row>
    <row r="150" spans="1:7" x14ac:dyDescent="0.25">
      <c r="A150" s="46"/>
      <c r="B150" s="57">
        <v>16000</v>
      </c>
      <c r="C150" t="s">
        <v>6</v>
      </c>
      <c r="G150" s="47"/>
    </row>
    <row r="151" spans="1:7" x14ac:dyDescent="0.25">
      <c r="A151" s="46"/>
      <c r="B151" s="57">
        <v>12000</v>
      </c>
      <c r="C151" t="s">
        <v>69</v>
      </c>
      <c r="G151" s="47"/>
    </row>
    <row r="152" spans="1:7" x14ac:dyDescent="0.25">
      <c r="A152" s="46"/>
      <c r="B152" s="57">
        <v>34600</v>
      </c>
      <c r="C152" t="s">
        <v>69</v>
      </c>
      <c r="G152" s="47"/>
    </row>
    <row r="153" spans="1:7" x14ac:dyDescent="0.25">
      <c r="A153" s="46"/>
      <c r="B153" s="57">
        <v>19000</v>
      </c>
      <c r="C153" t="s">
        <v>6</v>
      </c>
      <c r="G153" s="47"/>
    </row>
    <row r="154" spans="1:7" x14ac:dyDescent="0.25">
      <c r="A154" s="46"/>
      <c r="B154" s="57">
        <v>47000</v>
      </c>
      <c r="C154" t="s">
        <v>63</v>
      </c>
      <c r="G154" s="47"/>
    </row>
    <row r="155" spans="1:7" x14ac:dyDescent="0.25">
      <c r="A155" s="46"/>
      <c r="B155" s="57">
        <v>5000</v>
      </c>
      <c r="C155" t="s">
        <v>6</v>
      </c>
      <c r="G155" s="47"/>
    </row>
    <row r="156" spans="1:7" x14ac:dyDescent="0.25">
      <c r="A156" s="46"/>
      <c r="B156" s="57">
        <v>70000</v>
      </c>
      <c r="C156" t="s">
        <v>65</v>
      </c>
      <c r="G156" s="47"/>
    </row>
    <row r="157" spans="1:7" x14ac:dyDescent="0.25">
      <c r="A157" s="46"/>
      <c r="B157" s="57">
        <v>2000</v>
      </c>
      <c r="C157" t="s">
        <v>6</v>
      </c>
      <c r="G157" s="47"/>
    </row>
    <row r="158" spans="1:7" x14ac:dyDescent="0.25">
      <c r="A158" s="46"/>
      <c r="B158" s="57">
        <v>1000</v>
      </c>
      <c r="C158" t="s">
        <v>6</v>
      </c>
      <c r="G158" s="47"/>
    </row>
    <row r="159" spans="1:7" ht="15.75" thickBot="1" x14ac:dyDescent="0.3">
      <c r="A159" s="48">
        <v>43840</v>
      </c>
      <c r="B159" s="59">
        <v>5000</v>
      </c>
      <c r="C159" s="51" t="s">
        <v>6</v>
      </c>
      <c r="D159" s="51"/>
      <c r="E159" s="51"/>
      <c r="F159" s="63">
        <f>F132-SUM(B133:B159)</f>
        <v>2266418</v>
      </c>
      <c r="G159" s="64">
        <v>100000</v>
      </c>
    </row>
    <row r="160" spans="1:7" x14ac:dyDescent="0.25">
      <c r="A160" s="41">
        <v>43841</v>
      </c>
      <c r="B160" s="58">
        <v>15000</v>
      </c>
      <c r="C160" s="44" t="s">
        <v>66</v>
      </c>
      <c r="D160" s="44"/>
      <c r="E160" s="44"/>
      <c r="F160" s="44"/>
      <c r="G160" s="45"/>
    </row>
    <row r="161" spans="1:7" x14ac:dyDescent="0.25">
      <c r="A161" s="46"/>
      <c r="B161" s="57">
        <v>1000</v>
      </c>
      <c r="C161" t="s">
        <v>6</v>
      </c>
      <c r="G161" s="47"/>
    </row>
    <row r="162" spans="1:7" x14ac:dyDescent="0.25">
      <c r="A162" s="46"/>
      <c r="B162" s="57">
        <v>783000</v>
      </c>
      <c r="C162" t="s">
        <v>70</v>
      </c>
      <c r="G162" s="47"/>
    </row>
    <row r="163" spans="1:7" x14ac:dyDescent="0.25">
      <c r="A163" s="46"/>
      <c r="B163" s="57">
        <v>12000</v>
      </c>
      <c r="C163" t="s">
        <v>42</v>
      </c>
      <c r="G163" s="47"/>
    </row>
    <row r="164" spans="1:7" x14ac:dyDescent="0.25">
      <c r="A164" s="46"/>
      <c r="B164" s="57">
        <v>29000</v>
      </c>
      <c r="C164" t="s">
        <v>34</v>
      </c>
      <c r="G164" s="47"/>
    </row>
    <row r="165" spans="1:7" x14ac:dyDescent="0.25">
      <c r="A165" s="46"/>
      <c r="B165" s="57">
        <v>5000</v>
      </c>
      <c r="C165" t="s">
        <v>42</v>
      </c>
      <c r="G165" s="47"/>
    </row>
    <row r="166" spans="1:7" x14ac:dyDescent="0.25">
      <c r="A166" s="46"/>
      <c r="B166" s="57">
        <v>30000</v>
      </c>
      <c r="C166" t="s">
        <v>64</v>
      </c>
      <c r="G166" s="47"/>
    </row>
    <row r="167" spans="1:7" x14ac:dyDescent="0.25">
      <c r="A167" s="46"/>
      <c r="B167" s="57">
        <v>10200</v>
      </c>
      <c r="C167" t="s">
        <v>34</v>
      </c>
      <c r="G167" s="47"/>
    </row>
    <row r="168" spans="1:7" x14ac:dyDescent="0.25">
      <c r="A168" s="46"/>
      <c r="B168" s="57">
        <v>7000</v>
      </c>
      <c r="C168" t="s">
        <v>71</v>
      </c>
      <c r="G168" s="47"/>
    </row>
    <row r="169" spans="1:7" x14ac:dyDescent="0.25">
      <c r="A169" s="46"/>
      <c r="B169" s="57">
        <v>42000</v>
      </c>
      <c r="G169" s="47"/>
    </row>
    <row r="170" spans="1:7" x14ac:dyDescent="0.25">
      <c r="A170" s="46"/>
      <c r="B170" s="57">
        <v>1800</v>
      </c>
      <c r="C170" t="s">
        <v>7</v>
      </c>
      <c r="G170" s="47"/>
    </row>
    <row r="171" spans="1:7" x14ac:dyDescent="0.25">
      <c r="A171" s="46"/>
      <c r="B171" s="57">
        <v>7000</v>
      </c>
      <c r="C171" t="s">
        <v>34</v>
      </c>
      <c r="G171" s="47"/>
    </row>
    <row r="172" spans="1:7" x14ac:dyDescent="0.25">
      <c r="A172" s="46"/>
      <c r="B172" s="57">
        <v>1000</v>
      </c>
      <c r="C172" t="s">
        <v>72</v>
      </c>
      <c r="G172" s="47"/>
    </row>
    <row r="173" spans="1:7" x14ac:dyDescent="0.25">
      <c r="A173" s="46"/>
      <c r="B173" s="57">
        <v>5500</v>
      </c>
      <c r="C173" t="s">
        <v>6</v>
      </c>
      <c r="G173" s="47"/>
    </row>
    <row r="174" spans="1:7" x14ac:dyDescent="0.25">
      <c r="A174" s="46"/>
      <c r="B174" s="57">
        <v>29000</v>
      </c>
      <c r="C174" t="s">
        <v>73</v>
      </c>
      <c r="D174" s="56">
        <v>688017</v>
      </c>
      <c r="E174" t="s">
        <v>50</v>
      </c>
      <c r="G174" s="47"/>
    </row>
    <row r="175" spans="1:7" ht="15.75" thickBot="1" x14ac:dyDescent="0.3">
      <c r="A175" s="48">
        <v>43849</v>
      </c>
      <c r="B175" s="59">
        <v>20000</v>
      </c>
      <c r="C175" s="51" t="s">
        <v>64</v>
      </c>
      <c r="D175" s="60">
        <v>75000</v>
      </c>
      <c r="E175" s="51" t="s">
        <v>27</v>
      </c>
      <c r="F175" s="63">
        <f>F159-SUM(B160:B175)+D175+D174</f>
        <v>2030935</v>
      </c>
      <c r="G175" s="64">
        <v>100000</v>
      </c>
    </row>
    <row r="176" spans="1:7" x14ac:dyDescent="0.25">
      <c r="A176" s="41">
        <v>43850</v>
      </c>
      <c r="B176" s="58">
        <v>4000</v>
      </c>
      <c r="C176" s="44" t="s">
        <v>6</v>
      </c>
      <c r="D176" s="44"/>
      <c r="E176" s="44"/>
      <c r="F176" s="44"/>
      <c r="G176" s="45"/>
    </row>
    <row r="177" spans="1:7" x14ac:dyDescent="0.25">
      <c r="A177" s="46"/>
      <c r="B177" s="57">
        <v>1000</v>
      </c>
      <c r="C177" t="s">
        <v>6</v>
      </c>
      <c r="G177" s="47"/>
    </row>
    <row r="178" spans="1:7" x14ac:dyDescent="0.25">
      <c r="A178" s="46"/>
      <c r="B178" s="57">
        <v>55000</v>
      </c>
      <c r="C178" t="s">
        <v>63</v>
      </c>
      <c r="G178" s="47"/>
    </row>
    <row r="179" spans="1:7" x14ac:dyDescent="0.25">
      <c r="A179" s="46"/>
      <c r="B179" s="57">
        <v>35000</v>
      </c>
      <c r="C179" t="s">
        <v>44</v>
      </c>
      <c r="G179" s="47"/>
    </row>
    <row r="180" spans="1:7" x14ac:dyDescent="0.25">
      <c r="A180" s="46"/>
      <c r="B180" s="57">
        <v>30000</v>
      </c>
      <c r="C180" t="s">
        <v>63</v>
      </c>
      <c r="G180" s="47"/>
    </row>
    <row r="181" spans="1:7" x14ac:dyDescent="0.25">
      <c r="A181" s="46"/>
      <c r="B181" s="57">
        <v>10000</v>
      </c>
      <c r="C181" t="s">
        <v>6</v>
      </c>
      <c r="G181" s="47"/>
    </row>
    <row r="182" spans="1:7" x14ac:dyDescent="0.25">
      <c r="A182" s="46"/>
      <c r="B182" s="57">
        <v>8000</v>
      </c>
      <c r="C182" t="s">
        <v>6</v>
      </c>
      <c r="G182" s="47"/>
    </row>
    <row r="183" spans="1:7" x14ac:dyDescent="0.25">
      <c r="A183" s="46"/>
      <c r="B183" s="57">
        <v>2400</v>
      </c>
      <c r="C183" t="s">
        <v>7</v>
      </c>
      <c r="G183" s="47"/>
    </row>
    <row r="184" spans="1:7" x14ac:dyDescent="0.25">
      <c r="A184" s="46"/>
      <c r="B184" s="57">
        <v>6600</v>
      </c>
      <c r="C184" t="s">
        <v>34</v>
      </c>
      <c r="G184" s="47"/>
    </row>
    <row r="185" spans="1:7" x14ac:dyDescent="0.25">
      <c r="A185" s="46"/>
      <c r="B185" s="57">
        <v>22000</v>
      </c>
      <c r="C185" t="s">
        <v>34</v>
      </c>
      <c r="G185" s="47"/>
    </row>
    <row r="186" spans="1:7" ht="15.75" thickBot="1" x14ac:dyDescent="0.3">
      <c r="A186" s="48">
        <v>43858</v>
      </c>
      <c r="B186" s="59">
        <v>4000</v>
      </c>
      <c r="C186" s="51" t="s">
        <v>6</v>
      </c>
      <c r="D186" s="51"/>
      <c r="E186" s="51"/>
      <c r="F186" s="63">
        <v>1456526</v>
      </c>
      <c r="G186" s="64">
        <v>200000</v>
      </c>
    </row>
    <row r="187" spans="1:7" x14ac:dyDescent="0.25">
      <c r="A187" s="41">
        <v>43859</v>
      </c>
      <c r="B187" s="58">
        <v>100000</v>
      </c>
      <c r="C187" s="44" t="s">
        <v>75</v>
      </c>
      <c r="D187" s="44"/>
      <c r="E187" s="44"/>
      <c r="F187" s="44"/>
      <c r="G187" s="45"/>
    </row>
    <row r="188" spans="1:7" x14ac:dyDescent="0.25">
      <c r="A188" s="46"/>
      <c r="B188" s="57">
        <v>7000</v>
      </c>
      <c r="C188" t="s">
        <v>6</v>
      </c>
      <c r="G188" s="47"/>
    </row>
    <row r="189" spans="1:7" x14ac:dyDescent="0.25">
      <c r="A189" s="46"/>
      <c r="B189" s="57">
        <v>18500</v>
      </c>
      <c r="C189" t="s">
        <v>34</v>
      </c>
      <c r="G189" s="47"/>
    </row>
    <row r="190" spans="1:7" x14ac:dyDescent="0.25">
      <c r="A190" s="46"/>
      <c r="B190" s="57">
        <v>4000</v>
      </c>
      <c r="C190" t="s">
        <v>6</v>
      </c>
      <c r="G190" s="47"/>
    </row>
    <row r="191" spans="1:7" x14ac:dyDescent="0.25">
      <c r="A191" s="46"/>
      <c r="B191" s="57">
        <v>22800</v>
      </c>
      <c r="C191" t="s">
        <v>64</v>
      </c>
      <c r="G191" s="47"/>
    </row>
    <row r="192" spans="1:7" x14ac:dyDescent="0.25">
      <c r="A192" s="46"/>
      <c r="B192" s="57">
        <v>36000</v>
      </c>
      <c r="C192" t="s">
        <v>34</v>
      </c>
      <c r="G192" s="47"/>
    </row>
    <row r="193" spans="1:7" x14ac:dyDescent="0.25">
      <c r="A193" s="46"/>
      <c r="B193" s="57">
        <v>16000</v>
      </c>
      <c r="C193" t="s">
        <v>44</v>
      </c>
      <c r="G193" s="47"/>
    </row>
    <row r="194" spans="1:7" x14ac:dyDescent="0.25">
      <c r="A194" s="46"/>
      <c r="B194" s="57">
        <v>5000</v>
      </c>
      <c r="C194" t="s">
        <v>6</v>
      </c>
      <c r="G194" s="47"/>
    </row>
    <row r="195" spans="1:7" x14ac:dyDescent="0.25">
      <c r="A195" s="46"/>
      <c r="B195" s="57">
        <v>800</v>
      </c>
      <c r="C195" t="s">
        <v>7</v>
      </c>
      <c r="G195" s="47"/>
    </row>
    <row r="196" spans="1:7" ht="15.75" thickBot="1" x14ac:dyDescent="0.3">
      <c r="A196" s="48">
        <v>43867</v>
      </c>
      <c r="B196" s="59">
        <v>7000</v>
      </c>
      <c r="C196" s="51" t="s">
        <v>42</v>
      </c>
      <c r="D196" s="51"/>
      <c r="E196" s="51"/>
      <c r="F196" s="63"/>
      <c r="G196" s="64"/>
    </row>
    <row r="197" spans="1:7" x14ac:dyDescent="0.25">
      <c r="A197" s="41">
        <v>43868</v>
      </c>
      <c r="B197" s="58">
        <v>4000</v>
      </c>
      <c r="C197" s="44" t="s">
        <v>6</v>
      </c>
      <c r="D197" s="44"/>
      <c r="E197" s="44"/>
      <c r="F197" s="44"/>
      <c r="G197" s="45"/>
    </row>
    <row r="198" spans="1:7" x14ac:dyDescent="0.25">
      <c r="A198" s="46"/>
      <c r="B198" s="57">
        <v>13000</v>
      </c>
      <c r="C198" t="s">
        <v>44</v>
      </c>
      <c r="G198" s="47"/>
    </row>
    <row r="199" spans="1:7" x14ac:dyDescent="0.25">
      <c r="A199" s="46"/>
      <c r="B199" s="57">
        <v>4000</v>
      </c>
      <c r="C199" t="s">
        <v>4</v>
      </c>
      <c r="G199" s="47"/>
    </row>
    <row r="200" spans="1:7" x14ac:dyDescent="0.25">
      <c r="A200" s="46"/>
      <c r="B200" s="57">
        <v>36000</v>
      </c>
      <c r="C200" t="s">
        <v>34</v>
      </c>
      <c r="G200" s="47"/>
    </row>
    <row r="201" spans="1:7" x14ac:dyDescent="0.25">
      <c r="A201" s="46"/>
      <c r="B201" s="57">
        <v>23550</v>
      </c>
      <c r="C201" t="s">
        <v>74</v>
      </c>
      <c r="G201" s="47"/>
    </row>
    <row r="202" spans="1:7" x14ac:dyDescent="0.25">
      <c r="A202" s="46"/>
      <c r="B202" s="57">
        <v>7500</v>
      </c>
      <c r="C202" t="s">
        <v>33</v>
      </c>
      <c r="G202" s="47"/>
    </row>
    <row r="203" spans="1:7" x14ac:dyDescent="0.25">
      <c r="A203" s="46"/>
      <c r="B203" s="57">
        <v>3000</v>
      </c>
      <c r="C203" t="s">
        <v>7</v>
      </c>
      <c r="G203" s="47"/>
    </row>
    <row r="204" spans="1:7" x14ac:dyDescent="0.25">
      <c r="A204" s="46"/>
      <c r="B204" s="57">
        <v>4000</v>
      </c>
      <c r="C204" t="s">
        <v>4</v>
      </c>
      <c r="G204" s="47"/>
    </row>
    <row r="205" spans="1:7" ht="15.75" thickBot="1" x14ac:dyDescent="0.3">
      <c r="A205" s="48">
        <v>43876</v>
      </c>
      <c r="B205" s="59">
        <v>8500</v>
      </c>
      <c r="C205" s="51" t="s">
        <v>6</v>
      </c>
      <c r="D205" s="51"/>
      <c r="E205" s="51"/>
      <c r="F205" s="51"/>
      <c r="G205" s="65"/>
    </row>
    <row r="206" spans="1:7" x14ac:dyDescent="0.25">
      <c r="A206" s="41">
        <v>43877</v>
      </c>
      <c r="B206" s="58">
        <v>10000</v>
      </c>
      <c r="C206" s="44" t="s">
        <v>6</v>
      </c>
      <c r="D206" s="44"/>
      <c r="E206" s="44"/>
      <c r="F206" s="44"/>
      <c r="G206" s="45"/>
    </row>
    <row r="207" spans="1:7" x14ac:dyDescent="0.25">
      <c r="A207" s="46"/>
      <c r="B207" s="57">
        <v>20500</v>
      </c>
      <c r="C207" t="s">
        <v>34</v>
      </c>
      <c r="G207" s="47"/>
    </row>
    <row r="208" spans="1:7" x14ac:dyDescent="0.25">
      <c r="A208" s="46"/>
      <c r="B208" s="57">
        <v>100000</v>
      </c>
      <c r="C208" t="s">
        <v>75</v>
      </c>
      <c r="G208" s="47"/>
    </row>
    <row r="209" spans="1:7" x14ac:dyDescent="0.25">
      <c r="A209" s="46"/>
      <c r="B209" s="57">
        <v>13000</v>
      </c>
      <c r="C209" t="s">
        <v>6</v>
      </c>
      <c r="G209" s="47"/>
    </row>
    <row r="210" spans="1:7" x14ac:dyDescent="0.25">
      <c r="A210" s="46"/>
      <c r="B210" s="57">
        <v>20000</v>
      </c>
      <c r="C210" t="s">
        <v>34</v>
      </c>
      <c r="G210" s="47"/>
    </row>
    <row r="211" spans="1:7" x14ac:dyDescent="0.25">
      <c r="A211" s="46"/>
      <c r="B211" s="57">
        <v>4000</v>
      </c>
      <c r="C211" t="s">
        <v>6</v>
      </c>
      <c r="G211" s="47"/>
    </row>
    <row r="212" spans="1:7" x14ac:dyDescent="0.25">
      <c r="A212" s="46"/>
      <c r="B212" s="57">
        <v>8000</v>
      </c>
      <c r="C212" t="s">
        <v>48</v>
      </c>
      <c r="G212" s="47"/>
    </row>
    <row r="213" spans="1:7" x14ac:dyDescent="0.25">
      <c r="A213" s="46"/>
      <c r="B213" s="57">
        <v>3200</v>
      </c>
      <c r="C213" t="s">
        <v>7</v>
      </c>
      <c r="G213" s="47"/>
    </row>
    <row r="214" spans="1:7" ht="15.75" thickBot="1" x14ac:dyDescent="0.3">
      <c r="A214" s="48">
        <v>43885</v>
      </c>
      <c r="B214" s="59">
        <v>12000</v>
      </c>
      <c r="C214" s="51" t="s">
        <v>64</v>
      </c>
      <c r="D214" s="51"/>
      <c r="E214" s="51"/>
      <c r="F214" s="51"/>
      <c r="G214" s="65"/>
    </row>
    <row r="215" spans="1:7" x14ac:dyDescent="0.25">
      <c r="A215" s="41">
        <v>43886</v>
      </c>
      <c r="B215" s="58">
        <v>42000</v>
      </c>
      <c r="C215" s="44" t="s">
        <v>76</v>
      </c>
      <c r="D215" s="44"/>
      <c r="E215" s="44"/>
      <c r="F215" s="44"/>
      <c r="G215" s="45"/>
    </row>
    <row r="216" spans="1:7" x14ac:dyDescent="0.25">
      <c r="A216" s="46"/>
      <c r="B216" s="57">
        <v>5200</v>
      </c>
      <c r="C216" t="s">
        <v>71</v>
      </c>
      <c r="G216" s="47"/>
    </row>
    <row r="217" spans="1:7" x14ac:dyDescent="0.25">
      <c r="A217" s="46"/>
      <c r="B217" s="57">
        <v>800</v>
      </c>
      <c r="C217" t="s">
        <v>7</v>
      </c>
      <c r="G217" s="47"/>
    </row>
    <row r="218" spans="1:7" x14ac:dyDescent="0.25">
      <c r="A218" s="46"/>
      <c r="B218" s="57">
        <v>16000</v>
      </c>
      <c r="C218" t="s">
        <v>34</v>
      </c>
      <c r="G218" s="47"/>
    </row>
    <row r="219" spans="1:7" x14ac:dyDescent="0.25">
      <c r="A219" s="46"/>
      <c r="B219" s="57">
        <v>4000</v>
      </c>
      <c r="C219" t="s">
        <v>48</v>
      </c>
      <c r="G219" s="47"/>
    </row>
    <row r="220" spans="1:7" x14ac:dyDescent="0.25">
      <c r="A220" s="46"/>
      <c r="B220" s="57">
        <v>13000</v>
      </c>
      <c r="C220" t="s">
        <v>34</v>
      </c>
      <c r="G220" s="47"/>
    </row>
    <row r="221" spans="1:7" x14ac:dyDescent="0.25">
      <c r="A221" s="46"/>
      <c r="B221" s="57">
        <v>15000</v>
      </c>
      <c r="C221" t="s">
        <v>77</v>
      </c>
      <c r="G221" s="47"/>
    </row>
    <row r="222" spans="1:7" ht="15.75" thickBot="1" x14ac:dyDescent="0.3">
      <c r="A222" s="48">
        <v>43893</v>
      </c>
      <c r="B222" s="59">
        <v>18000</v>
      </c>
      <c r="C222" s="51" t="s">
        <v>48</v>
      </c>
      <c r="D222" s="51"/>
      <c r="E222" s="51"/>
      <c r="F222" s="51"/>
      <c r="G222" s="65"/>
    </row>
    <row r="223" spans="1:7" x14ac:dyDescent="0.25">
      <c r="A223" s="41">
        <v>43894</v>
      </c>
      <c r="B223" s="58">
        <v>6000</v>
      </c>
      <c r="C223" s="44" t="s">
        <v>34</v>
      </c>
      <c r="D223" s="44"/>
      <c r="E223" s="44"/>
      <c r="F223" s="44"/>
      <c r="G223" s="45"/>
    </row>
    <row r="224" spans="1:7" x14ac:dyDescent="0.25">
      <c r="A224" s="46"/>
      <c r="B224" s="57">
        <v>14500</v>
      </c>
      <c r="C224" t="s">
        <v>48</v>
      </c>
      <c r="G224" s="47"/>
    </row>
    <row r="225" spans="1:7" x14ac:dyDescent="0.25">
      <c r="A225" s="46"/>
      <c r="B225" s="57">
        <v>10000</v>
      </c>
      <c r="C225" t="s">
        <v>77</v>
      </c>
      <c r="G225" s="47"/>
    </row>
    <row r="226" spans="1:7" x14ac:dyDescent="0.25">
      <c r="A226" s="46"/>
      <c r="B226" s="57">
        <v>90000</v>
      </c>
      <c r="C226" t="s">
        <v>75</v>
      </c>
      <c r="G226" s="47"/>
    </row>
    <row r="227" spans="1:7" x14ac:dyDescent="0.25">
      <c r="A227" s="46"/>
      <c r="B227" s="57">
        <v>60000</v>
      </c>
      <c r="C227" t="s">
        <v>56</v>
      </c>
      <c r="G227" s="47"/>
    </row>
    <row r="228" spans="1:7" x14ac:dyDescent="0.25">
      <c r="A228" s="46"/>
      <c r="B228" s="57">
        <v>6000</v>
      </c>
      <c r="C228" t="s">
        <v>64</v>
      </c>
      <c r="G228" s="47"/>
    </row>
    <row r="229" spans="1:7" x14ac:dyDescent="0.25">
      <c r="A229" s="46"/>
      <c r="B229" s="57">
        <v>70000</v>
      </c>
      <c r="C229" t="s">
        <v>64</v>
      </c>
      <c r="G229" s="47"/>
    </row>
    <row r="230" spans="1:7" x14ac:dyDescent="0.25">
      <c r="A230" s="46"/>
      <c r="B230" s="57">
        <v>26000</v>
      </c>
      <c r="C230" t="s">
        <v>34</v>
      </c>
      <c r="G230" s="47"/>
    </row>
    <row r="231" spans="1:7" x14ac:dyDescent="0.25">
      <c r="A231" s="46"/>
      <c r="B231" s="57">
        <v>10000</v>
      </c>
      <c r="C231" t="s">
        <v>48</v>
      </c>
      <c r="G231" s="47"/>
    </row>
    <row r="232" spans="1:7" x14ac:dyDescent="0.25">
      <c r="A232" s="46"/>
      <c r="B232" s="57">
        <v>18000</v>
      </c>
      <c r="C232" t="s">
        <v>48</v>
      </c>
      <c r="G232" s="47"/>
    </row>
    <row r="233" spans="1:7" x14ac:dyDescent="0.25">
      <c r="A233" s="46"/>
      <c r="B233" s="57">
        <v>6000</v>
      </c>
      <c r="C233" t="s">
        <v>7</v>
      </c>
      <c r="G233" s="47"/>
    </row>
    <row r="234" spans="1:7" x14ac:dyDescent="0.25">
      <c r="A234" s="46"/>
      <c r="B234" s="57">
        <v>8000</v>
      </c>
      <c r="C234" t="s">
        <v>78</v>
      </c>
      <c r="G234" s="47"/>
    </row>
    <row r="235" spans="1:7" x14ac:dyDescent="0.25">
      <c r="A235" s="46"/>
      <c r="B235" s="57">
        <v>800</v>
      </c>
      <c r="C235" t="s">
        <v>7</v>
      </c>
      <c r="G235" s="47"/>
    </row>
    <row r="236" spans="1:7" x14ac:dyDescent="0.25">
      <c r="A236" s="46"/>
      <c r="B236" s="57">
        <v>3300</v>
      </c>
      <c r="C236" t="s">
        <v>6</v>
      </c>
      <c r="G236" s="47"/>
    </row>
    <row r="237" spans="1:7" ht="15.75" thickBot="1" x14ac:dyDescent="0.3">
      <c r="A237" s="48">
        <v>43901</v>
      </c>
      <c r="B237" s="59">
        <v>6500</v>
      </c>
      <c r="C237" s="51" t="s">
        <v>48</v>
      </c>
      <c r="D237" s="51"/>
      <c r="E237" s="51"/>
      <c r="F237" s="51"/>
      <c r="G237" s="65"/>
    </row>
    <row r="238" spans="1:7" x14ac:dyDescent="0.25">
      <c r="A238" s="41">
        <v>43902</v>
      </c>
      <c r="B238" s="58">
        <v>14000</v>
      </c>
      <c r="C238" s="44" t="s">
        <v>48</v>
      </c>
      <c r="D238" s="44"/>
      <c r="E238" s="44"/>
      <c r="F238" s="44"/>
      <c r="G238" s="45"/>
    </row>
    <row r="239" spans="1:7" x14ac:dyDescent="0.25">
      <c r="A239" s="46"/>
      <c r="B239" s="57">
        <v>5600</v>
      </c>
      <c r="C239" t="s">
        <v>7</v>
      </c>
      <c r="G239" s="47"/>
    </row>
    <row r="240" spans="1:7" x14ac:dyDescent="0.25">
      <c r="A240" s="46"/>
      <c r="B240" s="57">
        <v>8000</v>
      </c>
      <c r="C240" t="s">
        <v>48</v>
      </c>
      <c r="G240" s="47"/>
    </row>
    <row r="241" spans="1:7" x14ac:dyDescent="0.25">
      <c r="A241" s="46"/>
      <c r="B241" s="57">
        <v>30000</v>
      </c>
      <c r="C241" t="s">
        <v>34</v>
      </c>
      <c r="G241" s="47"/>
    </row>
    <row r="242" spans="1:7" x14ac:dyDescent="0.25">
      <c r="A242" s="46"/>
      <c r="B242" s="57">
        <v>30000</v>
      </c>
      <c r="C242" t="s">
        <v>76</v>
      </c>
      <c r="G242" s="47"/>
    </row>
    <row r="243" spans="1:7" x14ac:dyDescent="0.25">
      <c r="A243" s="46"/>
      <c r="B243" s="57">
        <v>10000</v>
      </c>
      <c r="C243" t="s">
        <v>76</v>
      </c>
      <c r="G243" s="47"/>
    </row>
    <row r="244" spans="1:7" x14ac:dyDescent="0.25">
      <c r="A244" s="46"/>
      <c r="B244" s="57">
        <v>5000</v>
      </c>
      <c r="C244" t="s">
        <v>34</v>
      </c>
      <c r="G244" s="47"/>
    </row>
    <row r="245" spans="1:7" x14ac:dyDescent="0.25">
      <c r="A245" s="46"/>
      <c r="B245" s="57">
        <v>7000</v>
      </c>
      <c r="C245" t="s">
        <v>48</v>
      </c>
      <c r="G245" s="47"/>
    </row>
    <row r="246" spans="1:7" ht="15.75" thickBot="1" x14ac:dyDescent="0.3">
      <c r="A246" s="48">
        <v>43909</v>
      </c>
      <c r="B246" s="59">
        <v>10000</v>
      </c>
      <c r="C246" s="51" t="s">
        <v>6</v>
      </c>
      <c r="D246" s="51"/>
      <c r="E246" s="51"/>
      <c r="F246" s="51"/>
      <c r="G246" s="65"/>
    </row>
    <row r="247" spans="1:7" x14ac:dyDescent="0.25">
      <c r="A247" s="41">
        <v>43910</v>
      </c>
      <c r="B247" s="58">
        <v>0</v>
      </c>
      <c r="C247" s="44"/>
      <c r="D247" s="44"/>
      <c r="E247" s="44"/>
      <c r="F247" s="44"/>
      <c r="G247" s="45"/>
    </row>
    <row r="248" spans="1:7" ht="15.75" thickBot="1" x14ac:dyDescent="0.3">
      <c r="A248" s="66">
        <v>43917</v>
      </c>
      <c r="B248" s="59">
        <v>0</v>
      </c>
      <c r="C248" s="51"/>
      <c r="D248" s="51"/>
      <c r="E248" s="51"/>
      <c r="F248" s="51"/>
      <c r="G248" s="65"/>
    </row>
    <row r="249" spans="1:7" x14ac:dyDescent="0.25">
      <c r="A249" s="41">
        <v>43918</v>
      </c>
      <c r="B249" s="58">
        <v>50000</v>
      </c>
      <c r="C249" s="44" t="s">
        <v>77</v>
      </c>
      <c r="D249" s="44"/>
      <c r="E249" s="44"/>
      <c r="F249" s="44"/>
      <c r="G249" s="45"/>
    </row>
    <row r="250" spans="1:7" x14ac:dyDescent="0.25">
      <c r="A250" s="46"/>
      <c r="B250" s="57">
        <v>40000</v>
      </c>
      <c r="C250" t="s">
        <v>34</v>
      </c>
      <c r="G250" s="47"/>
    </row>
    <row r="251" spans="1:7" ht="15.75" thickBot="1" x14ac:dyDescent="0.3">
      <c r="A251" s="48">
        <v>43925</v>
      </c>
      <c r="B251" s="59">
        <v>74000</v>
      </c>
      <c r="C251" s="51" t="s">
        <v>6</v>
      </c>
      <c r="D251" s="51"/>
      <c r="E251" s="51"/>
      <c r="F251" s="51"/>
      <c r="G251" s="65"/>
    </row>
    <row r="252" spans="1:7" x14ac:dyDescent="0.25">
      <c r="A252" s="41">
        <v>43926</v>
      </c>
      <c r="B252" s="58">
        <v>0</v>
      </c>
      <c r="C252" s="44"/>
      <c r="D252" s="44"/>
      <c r="E252" s="44"/>
      <c r="F252" s="44"/>
      <c r="G252" s="45"/>
    </row>
    <row r="253" spans="1:7" ht="15.75" thickBot="1" x14ac:dyDescent="0.3">
      <c r="A253" s="48">
        <v>43933</v>
      </c>
      <c r="B253" s="59">
        <v>0</v>
      </c>
      <c r="C253" s="51"/>
      <c r="D253" s="51"/>
      <c r="E253" s="51"/>
      <c r="F253" s="51"/>
      <c r="G253" s="65"/>
    </row>
    <row r="254" spans="1:7" x14ac:dyDescent="0.25">
      <c r="A254" s="41">
        <v>43934</v>
      </c>
      <c r="B254" s="58">
        <v>0</v>
      </c>
      <c r="C254" s="44"/>
      <c r="D254" s="44"/>
      <c r="E254" s="44"/>
      <c r="F254" s="44"/>
      <c r="G254" s="45"/>
    </row>
    <row r="255" spans="1:7" ht="15.75" thickBot="1" x14ac:dyDescent="0.3">
      <c r="A255" s="48">
        <v>43941</v>
      </c>
      <c r="B255" s="59">
        <v>0</v>
      </c>
      <c r="C255" s="51"/>
      <c r="D255" s="51"/>
      <c r="E255" s="51"/>
      <c r="F255" s="51"/>
      <c r="G255" s="65"/>
    </row>
    <row r="256" spans="1:7" x14ac:dyDescent="0.25">
      <c r="A256" s="41">
        <v>43942</v>
      </c>
      <c r="B256" s="58">
        <v>53000</v>
      </c>
      <c r="C256" s="44" t="s">
        <v>6</v>
      </c>
      <c r="D256" s="44"/>
      <c r="E256" s="44"/>
      <c r="F256" s="44"/>
      <c r="G256" s="45"/>
    </row>
    <row r="257" spans="1:7" x14ac:dyDescent="0.25">
      <c r="A257" s="46"/>
      <c r="B257" s="57">
        <v>16000</v>
      </c>
      <c r="C257" t="s">
        <v>76</v>
      </c>
      <c r="G257" s="47"/>
    </row>
    <row r="258" spans="1:7" x14ac:dyDescent="0.25">
      <c r="A258" s="46"/>
      <c r="B258" s="57">
        <v>100000</v>
      </c>
      <c r="C258" t="s">
        <v>77</v>
      </c>
      <c r="G258" s="47"/>
    </row>
    <row r="259" spans="1:7" ht="15.75" thickBot="1" x14ac:dyDescent="0.3">
      <c r="A259" s="48">
        <v>43950</v>
      </c>
      <c r="B259" s="59">
        <v>40000</v>
      </c>
      <c r="C259" s="51" t="s">
        <v>34</v>
      </c>
      <c r="D259" s="51"/>
      <c r="E259" s="51"/>
      <c r="F259" s="51"/>
      <c r="G259" s="65"/>
    </row>
    <row r="260" spans="1:7" x14ac:dyDescent="0.25">
      <c r="A260" s="41">
        <v>43951</v>
      </c>
      <c r="B260" s="58">
        <v>20000</v>
      </c>
      <c r="C260" s="44" t="s">
        <v>77</v>
      </c>
      <c r="D260" s="44"/>
      <c r="E260" s="44"/>
      <c r="F260" s="44"/>
      <c r="G260" s="45"/>
    </row>
    <row r="261" spans="1:7" ht="15.75" thickBot="1" x14ac:dyDescent="0.3">
      <c r="A261" s="48">
        <v>43958</v>
      </c>
      <c r="B261" s="59">
        <v>15000</v>
      </c>
      <c r="C261" s="51" t="s">
        <v>34</v>
      </c>
      <c r="D261" s="51"/>
      <c r="E261" s="51"/>
      <c r="F261" s="51"/>
      <c r="G261" s="65"/>
    </row>
    <row r="262" spans="1:7" x14ac:dyDescent="0.25">
      <c r="A262" s="41">
        <v>43959</v>
      </c>
      <c r="B262" s="58">
        <v>16000</v>
      </c>
      <c r="C262" s="44" t="s">
        <v>80</v>
      </c>
      <c r="D262" s="44"/>
      <c r="E262" s="44"/>
      <c r="F262" s="44"/>
      <c r="G262" s="45"/>
    </row>
    <row r="263" spans="1:7" ht="15.75" thickBot="1" x14ac:dyDescent="0.3">
      <c r="A263" s="48">
        <v>43966</v>
      </c>
      <c r="B263" s="59">
        <v>50000</v>
      </c>
      <c r="C263" s="51" t="s">
        <v>34</v>
      </c>
      <c r="D263" s="51"/>
      <c r="E263" s="51"/>
      <c r="F263" s="51"/>
      <c r="G263" s="65"/>
    </row>
    <row r="264" spans="1:7" x14ac:dyDescent="0.25">
      <c r="A264" s="41">
        <v>43967</v>
      </c>
      <c r="B264" s="58">
        <v>42000</v>
      </c>
      <c r="C264" s="44" t="s">
        <v>34</v>
      </c>
      <c r="D264" s="44"/>
      <c r="E264" s="44"/>
      <c r="F264" s="44"/>
      <c r="G264" s="45"/>
    </row>
    <row r="265" spans="1:7" x14ac:dyDescent="0.25">
      <c r="A265" s="46"/>
      <c r="B265" s="57">
        <v>16500</v>
      </c>
      <c r="C265" t="s">
        <v>34</v>
      </c>
      <c r="G265" s="47"/>
    </row>
    <row r="266" spans="1:7" ht="15.75" thickBot="1" x14ac:dyDescent="0.3">
      <c r="A266" s="48">
        <v>43974</v>
      </c>
      <c r="B266" s="59">
        <v>4000</v>
      </c>
      <c r="C266" s="51" t="s">
        <v>81</v>
      </c>
      <c r="D266" s="51"/>
      <c r="E266" s="51"/>
      <c r="F266" s="51"/>
      <c r="G266" s="65"/>
    </row>
    <row r="267" spans="1:7" x14ac:dyDescent="0.25">
      <c r="A267" s="41">
        <v>43975</v>
      </c>
      <c r="B267" s="58">
        <v>14000</v>
      </c>
      <c r="C267" s="44" t="s">
        <v>64</v>
      </c>
      <c r="D267" s="44"/>
      <c r="E267" s="44"/>
      <c r="F267" s="44"/>
      <c r="G267" s="45"/>
    </row>
    <row r="268" spans="1:7" x14ac:dyDescent="0.25">
      <c r="A268" s="46"/>
      <c r="B268" s="57">
        <v>5000</v>
      </c>
      <c r="C268" t="s">
        <v>77</v>
      </c>
      <c r="G268" s="47"/>
    </row>
    <row r="269" spans="1:7" ht="15.75" thickBot="1" x14ac:dyDescent="0.3">
      <c r="A269" s="48">
        <v>43980</v>
      </c>
      <c r="B269" s="59">
        <v>54250</v>
      </c>
      <c r="C269" s="51" t="s">
        <v>34</v>
      </c>
      <c r="D269" s="51"/>
      <c r="E269" s="51"/>
      <c r="F269" s="51"/>
      <c r="G269" s="65"/>
    </row>
    <row r="270" spans="1:7" x14ac:dyDescent="0.25">
      <c r="A270" s="41">
        <v>43981</v>
      </c>
      <c r="B270" s="58">
        <v>15000</v>
      </c>
      <c r="C270" s="44" t="s">
        <v>64</v>
      </c>
      <c r="D270" s="44"/>
      <c r="E270" s="44"/>
      <c r="F270" s="44"/>
      <c r="G270" s="45"/>
    </row>
    <row r="271" spans="1:7" x14ac:dyDescent="0.25">
      <c r="A271" s="46"/>
      <c r="B271" s="57">
        <v>20000</v>
      </c>
      <c r="C271" t="s">
        <v>64</v>
      </c>
      <c r="G271" s="47"/>
    </row>
    <row r="272" spans="1:7" x14ac:dyDescent="0.25">
      <c r="A272" s="46"/>
      <c r="B272" s="57">
        <v>18000</v>
      </c>
      <c r="C272" t="s">
        <v>34</v>
      </c>
      <c r="G272" s="47"/>
    </row>
    <row r="273" spans="1:7" x14ac:dyDescent="0.25">
      <c r="A273" s="46"/>
      <c r="B273" s="57">
        <v>20000</v>
      </c>
      <c r="C273" t="s">
        <v>34</v>
      </c>
      <c r="G273" s="47"/>
    </row>
    <row r="274" spans="1:7" ht="15.75" thickBot="1" x14ac:dyDescent="0.3">
      <c r="A274" s="48">
        <v>43988</v>
      </c>
      <c r="B274" s="59">
        <v>6000</v>
      </c>
      <c r="C274" s="51" t="s">
        <v>64</v>
      </c>
      <c r="D274" s="51"/>
      <c r="E274" s="51"/>
      <c r="F274" s="51"/>
      <c r="G274" s="65"/>
    </row>
    <row r="275" spans="1:7" x14ac:dyDescent="0.25">
      <c r="A275" s="41">
        <v>43989</v>
      </c>
      <c r="B275" s="58">
        <v>16000</v>
      </c>
      <c r="C275" s="44" t="s">
        <v>80</v>
      </c>
      <c r="D275" s="44"/>
      <c r="E275" s="44"/>
      <c r="F275" s="44"/>
      <c r="G275" s="45"/>
    </row>
    <row r="276" spans="1:7" ht="15.75" thickBot="1" x14ac:dyDescent="0.3">
      <c r="A276" s="48">
        <v>43996</v>
      </c>
      <c r="B276" s="59">
        <v>1134000</v>
      </c>
      <c r="C276" s="51" t="s">
        <v>27</v>
      </c>
      <c r="D276" s="51"/>
      <c r="E276" s="51"/>
      <c r="F276" s="51"/>
      <c r="G276" s="65"/>
    </row>
    <row r="277" spans="1:7" x14ac:dyDescent="0.25">
      <c r="A277" s="41">
        <v>43997</v>
      </c>
      <c r="B277" s="58">
        <v>25000</v>
      </c>
      <c r="C277" s="44" t="s">
        <v>77</v>
      </c>
      <c r="D277" s="44"/>
      <c r="E277" s="44"/>
      <c r="F277" s="44"/>
      <c r="G277" s="45"/>
    </row>
    <row r="278" spans="1:7" x14ac:dyDescent="0.25">
      <c r="A278" s="46"/>
      <c r="B278" s="57">
        <v>8000</v>
      </c>
      <c r="C278" t="s">
        <v>6</v>
      </c>
      <c r="G278" s="47"/>
    </row>
    <row r="279" spans="1:7" x14ac:dyDescent="0.25">
      <c r="A279" s="46"/>
      <c r="B279" s="57">
        <v>20000</v>
      </c>
      <c r="C279" t="s">
        <v>77</v>
      </c>
      <c r="G279" s="47"/>
    </row>
    <row r="280" spans="1:7" x14ac:dyDescent="0.25">
      <c r="A280" s="46"/>
      <c r="B280" s="57">
        <v>277000</v>
      </c>
      <c r="C280" t="s">
        <v>88</v>
      </c>
      <c r="G280" s="47"/>
    </row>
    <row r="281" spans="1:7" x14ac:dyDescent="0.25">
      <c r="A281" s="46"/>
      <c r="B281" s="57">
        <v>2000</v>
      </c>
      <c r="C281" t="s">
        <v>6</v>
      </c>
      <c r="G281" s="47"/>
    </row>
    <row r="282" spans="1:7" x14ac:dyDescent="0.25">
      <c r="A282" s="46"/>
      <c r="B282" s="57">
        <v>16400</v>
      </c>
      <c r="C282" t="s">
        <v>34</v>
      </c>
      <c r="G282" s="47"/>
    </row>
    <row r="283" spans="1:7" x14ac:dyDescent="0.25">
      <c r="A283" s="46"/>
      <c r="B283" s="57">
        <v>22500</v>
      </c>
      <c r="C283" t="s">
        <v>34</v>
      </c>
      <c r="G283" s="47"/>
    </row>
    <row r="284" spans="1:7" ht="15.75" thickBot="1" x14ac:dyDescent="0.3">
      <c r="A284" s="48">
        <v>44004</v>
      </c>
      <c r="B284" s="59">
        <v>20000</v>
      </c>
      <c r="C284" s="51" t="s">
        <v>34</v>
      </c>
      <c r="D284" s="51"/>
      <c r="E284" s="51"/>
      <c r="F284" s="51"/>
      <c r="G284" s="65"/>
    </row>
    <row r="285" spans="1:7" x14ac:dyDescent="0.25">
      <c r="A285" s="41">
        <v>44005</v>
      </c>
      <c r="B285" s="58">
        <v>746000</v>
      </c>
      <c r="C285" s="44" t="s">
        <v>82</v>
      </c>
      <c r="D285" s="44"/>
      <c r="E285" s="44"/>
      <c r="F285" s="44"/>
      <c r="G285" s="45"/>
    </row>
    <row r="286" spans="1:7" x14ac:dyDescent="0.25">
      <c r="A286" s="46"/>
      <c r="B286" s="57">
        <v>6400</v>
      </c>
      <c r="C286" t="s">
        <v>44</v>
      </c>
      <c r="G286" s="47"/>
    </row>
    <row r="287" spans="1:7" x14ac:dyDescent="0.25">
      <c r="A287" s="46"/>
      <c r="B287" s="57">
        <v>8500</v>
      </c>
      <c r="C287" t="s">
        <v>6</v>
      </c>
      <c r="G287" s="47"/>
    </row>
    <row r="288" spans="1:7" ht="15.75" thickBot="1" x14ac:dyDescent="0.3">
      <c r="A288" s="48">
        <v>44012</v>
      </c>
      <c r="B288" s="59">
        <v>2000</v>
      </c>
      <c r="C288" s="51" t="s">
        <v>6</v>
      </c>
      <c r="D288" s="60">
        <f>54000+348660</f>
        <v>402660</v>
      </c>
      <c r="E288" s="51" t="s">
        <v>88</v>
      </c>
      <c r="F288" s="51"/>
      <c r="G288" s="65"/>
    </row>
    <row r="289" spans="1:8" x14ac:dyDescent="0.25">
      <c r="A289" s="41">
        <v>44013</v>
      </c>
      <c r="B289" s="58">
        <v>130000</v>
      </c>
      <c r="C289" s="44" t="s">
        <v>45</v>
      </c>
      <c r="D289" s="44"/>
      <c r="E289" s="44"/>
      <c r="F289" s="44"/>
      <c r="G289" s="45"/>
    </row>
    <row r="290" spans="1:8" ht="15.75" thickBot="1" x14ac:dyDescent="0.3">
      <c r="A290" s="48">
        <v>44020</v>
      </c>
      <c r="B290" s="59">
        <v>12000</v>
      </c>
      <c r="C290" s="51" t="s">
        <v>34</v>
      </c>
      <c r="D290" s="51"/>
      <c r="E290" s="51"/>
      <c r="F290" s="51"/>
      <c r="G290" s="65"/>
    </row>
    <row r="291" spans="1:8" x14ac:dyDescent="0.25">
      <c r="A291" s="41">
        <v>43839</v>
      </c>
      <c r="B291" s="58">
        <v>10000</v>
      </c>
      <c r="C291" s="44" t="s">
        <v>34</v>
      </c>
      <c r="D291" s="44"/>
      <c r="E291" s="44"/>
      <c r="F291" s="44"/>
      <c r="G291" s="45"/>
    </row>
    <row r="292" spans="1:8" ht="15.75" thickBot="1" x14ac:dyDescent="0.3">
      <c r="A292" s="48">
        <v>44028</v>
      </c>
      <c r="B292" s="59"/>
      <c r="C292" s="51"/>
      <c r="D292" s="51"/>
      <c r="E292" s="51"/>
      <c r="F292" s="51"/>
      <c r="G292" s="65"/>
    </row>
    <row r="293" spans="1:8" x14ac:dyDescent="0.25">
      <c r="A293" s="41">
        <v>44029</v>
      </c>
      <c r="B293" s="58">
        <v>250000</v>
      </c>
      <c r="C293" s="44" t="s">
        <v>89</v>
      </c>
      <c r="D293" s="44"/>
      <c r="E293" s="44"/>
      <c r="F293" s="44"/>
      <c r="G293" s="45"/>
    </row>
    <row r="294" spans="1:8" ht="15.75" thickBot="1" x14ac:dyDescent="0.3">
      <c r="A294" s="55">
        <v>44036</v>
      </c>
      <c r="B294" s="57">
        <v>10000</v>
      </c>
      <c r="C294" t="s">
        <v>90</v>
      </c>
      <c r="G294" s="47"/>
    </row>
    <row r="295" spans="1:8" x14ac:dyDescent="0.25">
      <c r="A295" s="41">
        <v>44037</v>
      </c>
      <c r="B295" s="58">
        <v>251000</v>
      </c>
      <c r="C295" s="44" t="s">
        <v>91</v>
      </c>
      <c r="D295" s="82">
        <v>477222</v>
      </c>
      <c r="E295" s="44" t="s">
        <v>88</v>
      </c>
      <c r="F295" s="44"/>
      <c r="G295" s="45"/>
    </row>
    <row r="296" spans="1:8" ht="15.75" thickBot="1" x14ac:dyDescent="0.3">
      <c r="A296" s="48">
        <v>44044</v>
      </c>
      <c r="B296" s="59">
        <v>21500</v>
      </c>
      <c r="C296" s="51" t="s">
        <v>45</v>
      </c>
      <c r="D296" s="60">
        <v>150000</v>
      </c>
      <c r="E296" s="51" t="s">
        <v>95</v>
      </c>
      <c r="F296" s="51"/>
      <c r="G296" s="65"/>
    </row>
    <row r="297" spans="1:8" x14ac:dyDescent="0.25">
      <c r="A297" s="41">
        <v>44045</v>
      </c>
      <c r="B297" s="58">
        <v>93000</v>
      </c>
      <c r="C297" s="44" t="s">
        <v>34</v>
      </c>
      <c r="E297" s="44"/>
      <c r="F297" s="44"/>
      <c r="G297" s="45"/>
    </row>
    <row r="298" spans="1:8" ht="15.75" thickBot="1" x14ac:dyDescent="0.3">
      <c r="A298" s="48">
        <v>44052</v>
      </c>
      <c r="B298" s="59">
        <v>360000</v>
      </c>
      <c r="C298" s="51" t="s">
        <v>94</v>
      </c>
      <c r="D298" s="60">
        <v>99000</v>
      </c>
      <c r="E298" s="51" t="s">
        <v>88</v>
      </c>
      <c r="F298" s="51"/>
      <c r="G298" s="65"/>
    </row>
    <row r="299" spans="1:8" x14ac:dyDescent="0.25">
      <c r="A299" s="41">
        <v>44053</v>
      </c>
      <c r="B299" s="58">
        <v>12000</v>
      </c>
      <c r="C299" s="44" t="s">
        <v>44</v>
      </c>
      <c r="D299" s="44"/>
      <c r="E299" s="44"/>
      <c r="F299" s="44"/>
      <c r="G299" s="45"/>
    </row>
    <row r="300" spans="1:8" x14ac:dyDescent="0.25">
      <c r="A300" s="46"/>
      <c r="B300" s="57">
        <v>21000</v>
      </c>
      <c r="C300" t="s">
        <v>34</v>
      </c>
      <c r="G300" s="47"/>
    </row>
    <row r="301" spans="1:8" x14ac:dyDescent="0.25">
      <c r="A301" s="46"/>
      <c r="B301" s="57">
        <v>388700</v>
      </c>
      <c r="C301" t="s">
        <v>91</v>
      </c>
      <c r="G301" s="47"/>
    </row>
    <row r="302" spans="1:8" ht="15.75" thickBot="1" x14ac:dyDescent="0.3">
      <c r="A302" s="48">
        <v>44060</v>
      </c>
      <c r="B302" s="59">
        <v>42500</v>
      </c>
      <c r="C302" s="51" t="s">
        <v>64</v>
      </c>
      <c r="D302" s="51"/>
      <c r="E302" s="51"/>
      <c r="F302" s="83">
        <v>1251468</v>
      </c>
      <c r="G302" s="65"/>
      <c r="H302" s="85">
        <v>527311</v>
      </c>
    </row>
    <row r="303" spans="1:8" x14ac:dyDescent="0.25">
      <c r="A303" s="41">
        <v>44061</v>
      </c>
      <c r="B303" s="58">
        <v>36000</v>
      </c>
      <c r="C303" s="44" t="s">
        <v>34</v>
      </c>
      <c r="D303" s="44"/>
      <c r="E303" s="44"/>
      <c r="F303" s="44"/>
      <c r="G303" s="45"/>
    </row>
    <row r="304" spans="1:8" x14ac:dyDescent="0.25">
      <c r="A304" s="55"/>
      <c r="B304" s="57">
        <v>602905</v>
      </c>
      <c r="C304" t="s">
        <v>97</v>
      </c>
      <c r="G304" s="47"/>
    </row>
    <row r="305" spans="1:8" x14ac:dyDescent="0.25">
      <c r="A305" s="46"/>
      <c r="B305" s="57">
        <v>22200</v>
      </c>
      <c r="C305" t="s">
        <v>6</v>
      </c>
      <c r="G305" s="47"/>
    </row>
    <row r="306" spans="1:8" ht="15.75" thickBot="1" x14ac:dyDescent="0.3">
      <c r="A306" s="55">
        <v>44068</v>
      </c>
      <c r="B306" s="57">
        <v>20000</v>
      </c>
      <c r="C306" t="s">
        <v>80</v>
      </c>
      <c r="F306" s="85">
        <f>799219-622000</f>
        <v>177219</v>
      </c>
      <c r="G306" s="86">
        <v>551000</v>
      </c>
      <c r="H306" s="85">
        <v>527311</v>
      </c>
    </row>
    <row r="307" spans="1:8" x14ac:dyDescent="0.25">
      <c r="A307" s="41">
        <v>44069</v>
      </c>
      <c r="B307" s="58">
        <v>43450</v>
      </c>
      <c r="C307" s="44" t="s">
        <v>34</v>
      </c>
      <c r="D307" s="44"/>
      <c r="E307" s="44"/>
      <c r="F307" s="44"/>
      <c r="G307" s="44"/>
      <c r="H307" s="45"/>
    </row>
    <row r="308" spans="1:8" x14ac:dyDescent="0.25">
      <c r="A308" s="46"/>
      <c r="B308" s="57">
        <v>14000</v>
      </c>
      <c r="C308" t="s">
        <v>34</v>
      </c>
      <c r="H308" s="47"/>
    </row>
    <row r="309" spans="1:8" ht="15.75" thickBot="1" x14ac:dyDescent="0.3">
      <c r="A309" s="48">
        <v>44076</v>
      </c>
      <c r="B309" s="59">
        <v>20000</v>
      </c>
      <c r="C309" s="51" t="s">
        <v>64</v>
      </c>
      <c r="D309" s="60">
        <v>202500</v>
      </c>
      <c r="E309" s="51" t="s">
        <v>88</v>
      </c>
      <c r="F309" s="51"/>
      <c r="G309" s="51"/>
      <c r="H309" s="84">
        <v>527311</v>
      </c>
    </row>
    <row r="310" spans="1:8" x14ac:dyDescent="0.25">
      <c r="A310" s="55">
        <v>44077</v>
      </c>
      <c r="B310" s="57">
        <v>100000</v>
      </c>
      <c r="C310" t="s">
        <v>56</v>
      </c>
      <c r="H310" s="47"/>
    </row>
    <row r="311" spans="1:8" x14ac:dyDescent="0.25">
      <c r="A311" s="46"/>
      <c r="B311" s="57">
        <v>20000</v>
      </c>
      <c r="C311" t="s">
        <v>64</v>
      </c>
      <c r="H311" s="47"/>
    </row>
    <row r="312" spans="1:8" x14ac:dyDescent="0.25">
      <c r="A312" s="46"/>
      <c r="B312" s="57">
        <v>16000</v>
      </c>
      <c r="C312" t="s">
        <v>34</v>
      </c>
      <c r="H312" s="47"/>
    </row>
    <row r="313" spans="1:8" ht="15.75" thickBot="1" x14ac:dyDescent="0.3">
      <c r="A313" s="48">
        <v>44084</v>
      </c>
      <c r="B313" s="59">
        <v>80000</v>
      </c>
      <c r="C313" s="51" t="s">
        <v>98</v>
      </c>
      <c r="D313" s="60">
        <v>243000</v>
      </c>
      <c r="E313" s="51" t="s">
        <v>88</v>
      </c>
      <c r="F313" s="83">
        <v>336355</v>
      </c>
      <c r="G313" s="83">
        <v>470000</v>
      </c>
      <c r="H313" s="84">
        <v>527311</v>
      </c>
    </row>
    <row r="314" spans="1:8" x14ac:dyDescent="0.25">
      <c r="A314" s="41">
        <v>44085</v>
      </c>
      <c r="B314" s="58">
        <v>120000</v>
      </c>
      <c r="C314" s="44" t="s">
        <v>98</v>
      </c>
      <c r="D314" s="44"/>
      <c r="E314" s="44"/>
      <c r="F314" s="44"/>
      <c r="G314" s="44"/>
      <c r="H314" s="45"/>
    </row>
    <row r="315" spans="1:8" x14ac:dyDescent="0.25">
      <c r="A315" s="46"/>
      <c r="B315" s="57">
        <v>7500</v>
      </c>
      <c r="C315" t="s">
        <v>64</v>
      </c>
      <c r="H315" s="47"/>
    </row>
    <row r="316" spans="1:8" x14ac:dyDescent="0.25">
      <c r="A316" s="46"/>
      <c r="B316" s="57">
        <v>7500</v>
      </c>
      <c r="C316" t="s">
        <v>44</v>
      </c>
      <c r="H316" s="47"/>
    </row>
    <row r="317" spans="1:8" x14ac:dyDescent="0.25">
      <c r="A317" s="46"/>
      <c r="B317" s="57">
        <v>364344</v>
      </c>
      <c r="C317" t="s">
        <v>45</v>
      </c>
      <c r="H317" s="47"/>
    </row>
    <row r="318" spans="1:8" x14ac:dyDescent="0.25">
      <c r="A318" s="55"/>
      <c r="B318" s="57">
        <v>24000</v>
      </c>
      <c r="C318" t="s">
        <v>99</v>
      </c>
      <c r="H318" s="47"/>
    </row>
    <row r="319" spans="1:8" x14ac:dyDescent="0.25">
      <c r="A319" s="46"/>
      <c r="B319" s="57">
        <v>10000</v>
      </c>
      <c r="C319" t="s">
        <v>100</v>
      </c>
      <c r="H319" s="47"/>
    </row>
    <row r="320" spans="1:8" x14ac:dyDescent="0.25">
      <c r="A320" s="46"/>
      <c r="B320" s="57">
        <v>200000</v>
      </c>
      <c r="C320" t="s">
        <v>101</v>
      </c>
      <c r="H320" s="47"/>
    </row>
    <row r="321" spans="1:8" x14ac:dyDescent="0.25">
      <c r="A321" s="46"/>
      <c r="B321" s="57">
        <v>54000</v>
      </c>
      <c r="C321" t="s">
        <v>34</v>
      </c>
      <c r="H321" s="47"/>
    </row>
    <row r="322" spans="1:8" x14ac:dyDescent="0.25">
      <c r="A322" s="46"/>
      <c r="B322" s="57">
        <v>16000</v>
      </c>
      <c r="C322" t="s">
        <v>6</v>
      </c>
      <c r="H322" s="47"/>
    </row>
    <row r="323" spans="1:8" x14ac:dyDescent="0.25">
      <c r="A323" s="46"/>
      <c r="B323" s="57">
        <v>45000</v>
      </c>
      <c r="C323" t="s">
        <v>102</v>
      </c>
      <c r="D323" s="56">
        <v>518000</v>
      </c>
      <c r="E323" t="s">
        <v>88</v>
      </c>
      <c r="H323" s="47"/>
    </row>
    <row r="324" spans="1:8" ht="15.75" thickBot="1" x14ac:dyDescent="0.3">
      <c r="A324" s="48">
        <v>44093</v>
      </c>
      <c r="B324" s="59">
        <v>26000</v>
      </c>
      <c r="C324" s="51" t="s">
        <v>44</v>
      </c>
      <c r="D324" s="60">
        <v>1058000</v>
      </c>
      <c r="E324" s="51" t="s">
        <v>88</v>
      </c>
      <c r="F324" s="83">
        <v>1708130</v>
      </c>
      <c r="G324" s="83">
        <v>215000</v>
      </c>
      <c r="H324" s="84">
        <v>527311</v>
      </c>
    </row>
    <row r="325" spans="1:8" x14ac:dyDescent="0.25">
      <c r="A325" s="41">
        <v>44094</v>
      </c>
      <c r="B325" s="58">
        <v>25000</v>
      </c>
      <c r="C325" s="44" t="s">
        <v>64</v>
      </c>
      <c r="D325" s="44"/>
      <c r="E325" s="44"/>
      <c r="F325" s="44"/>
      <c r="G325" s="44"/>
      <c r="H325" s="45"/>
    </row>
    <row r="326" spans="1:8" x14ac:dyDescent="0.25">
      <c r="A326" s="46"/>
      <c r="B326" s="57">
        <v>6000</v>
      </c>
      <c r="C326" t="s">
        <v>6</v>
      </c>
      <c r="H326" s="47"/>
    </row>
    <row r="327" spans="1:8" x14ac:dyDescent="0.25">
      <c r="A327" s="46"/>
      <c r="B327" s="57">
        <v>7000</v>
      </c>
      <c r="C327" t="s">
        <v>34</v>
      </c>
      <c r="H327" s="47"/>
    </row>
    <row r="328" spans="1:8" x14ac:dyDescent="0.25">
      <c r="A328" s="46"/>
      <c r="B328" s="57">
        <v>28000</v>
      </c>
      <c r="C328" t="s">
        <v>6</v>
      </c>
      <c r="H328" s="47"/>
    </row>
    <row r="329" spans="1:8" x14ac:dyDescent="0.25">
      <c r="A329" s="46"/>
      <c r="B329" s="57">
        <v>40000</v>
      </c>
      <c r="C329" t="s">
        <v>56</v>
      </c>
      <c r="H329" s="47"/>
    </row>
    <row r="330" spans="1:8" ht="15.75" thickBot="1" x14ac:dyDescent="0.3">
      <c r="A330" s="48">
        <v>44101</v>
      </c>
      <c r="B330" s="59">
        <v>36000</v>
      </c>
      <c r="C330" s="51" t="s">
        <v>104</v>
      </c>
      <c r="D330" s="60">
        <v>461000</v>
      </c>
      <c r="E330" s="51" t="s">
        <v>105</v>
      </c>
      <c r="F330" s="83">
        <f>F324-SUM(B325:B330)</f>
        <v>1566130</v>
      </c>
      <c r="G330" s="83">
        <v>215000</v>
      </c>
      <c r="H330" s="64">
        <f>H324+D330</f>
        <v>988311</v>
      </c>
    </row>
    <row r="331" spans="1:8" x14ac:dyDescent="0.25">
      <c r="A331" s="41">
        <v>44102</v>
      </c>
      <c r="B331" s="58">
        <v>24000</v>
      </c>
      <c r="C331" s="44" t="s">
        <v>6</v>
      </c>
      <c r="D331" s="44"/>
      <c r="E331" s="44"/>
      <c r="F331" s="44"/>
      <c r="G331" s="44"/>
      <c r="H331" s="45"/>
    </row>
    <row r="332" spans="1:8" x14ac:dyDescent="0.25">
      <c r="A332" s="46"/>
      <c r="B332" s="57">
        <v>14000</v>
      </c>
      <c r="C332" t="s">
        <v>44</v>
      </c>
      <c r="H332" s="47"/>
    </row>
    <row r="333" spans="1:8" x14ac:dyDescent="0.25">
      <c r="A333" s="46"/>
      <c r="B333" s="57">
        <v>16000</v>
      </c>
      <c r="C333" t="s">
        <v>34</v>
      </c>
      <c r="H333" s="47"/>
    </row>
    <row r="334" spans="1:8" x14ac:dyDescent="0.25">
      <c r="A334" s="46"/>
      <c r="B334" s="57">
        <v>50000</v>
      </c>
      <c r="C334" t="s">
        <v>34</v>
      </c>
      <c r="H334" s="47"/>
    </row>
    <row r="335" spans="1:8" ht="15.75" thickBot="1" x14ac:dyDescent="0.3">
      <c r="A335" s="48">
        <v>44109</v>
      </c>
      <c r="B335" s="59">
        <v>10000</v>
      </c>
      <c r="C335" s="51" t="s">
        <v>106</v>
      </c>
      <c r="D335" s="60">
        <v>1050000</v>
      </c>
      <c r="E335" s="51" t="s">
        <v>88</v>
      </c>
      <c r="F335" s="63">
        <f>F330+D335-SUM(B331:B335)</f>
        <v>2502130</v>
      </c>
      <c r="G335" s="83">
        <v>215000</v>
      </c>
      <c r="H335" s="64">
        <f>H330</f>
        <v>988311</v>
      </c>
    </row>
    <row r="336" spans="1:8" x14ac:dyDescent="0.25">
      <c r="A336" s="41">
        <v>44110</v>
      </c>
      <c r="B336" s="58">
        <v>14000</v>
      </c>
      <c r="C336" s="44" t="s">
        <v>64</v>
      </c>
      <c r="D336" s="44"/>
      <c r="E336" s="44"/>
      <c r="F336" s="44"/>
      <c r="G336" s="44"/>
      <c r="H336" s="45"/>
    </row>
    <row r="337" spans="1:8" x14ac:dyDescent="0.25">
      <c r="A337" s="46"/>
      <c r="B337" s="57">
        <v>50000</v>
      </c>
      <c r="C337" t="s">
        <v>64</v>
      </c>
      <c r="H337" s="47"/>
    </row>
    <row r="338" spans="1:8" x14ac:dyDescent="0.25">
      <c r="A338" s="46"/>
      <c r="B338" s="57">
        <v>16000</v>
      </c>
      <c r="C338" t="s">
        <v>34</v>
      </c>
      <c r="H338" s="47"/>
    </row>
    <row r="339" spans="1:8" ht="15.75" thickBot="1" x14ac:dyDescent="0.3">
      <c r="A339" s="48">
        <v>44116</v>
      </c>
      <c r="B339" s="59">
        <f>90000+7000+5000+11000</f>
        <v>113000</v>
      </c>
      <c r="C339" s="51" t="s">
        <v>45</v>
      </c>
      <c r="D339" s="51"/>
      <c r="E339" s="51"/>
      <c r="F339" s="63">
        <v>1877341</v>
      </c>
      <c r="G339" s="83">
        <v>361000</v>
      </c>
      <c r="H339" s="64">
        <f>H335</f>
        <v>988311</v>
      </c>
    </row>
    <row r="340" spans="1:8" x14ac:dyDescent="0.25">
      <c r="A340" s="41">
        <v>44117</v>
      </c>
      <c r="B340" s="58">
        <v>37000</v>
      </c>
      <c r="C340" s="44" t="s">
        <v>6</v>
      </c>
      <c r="D340" s="44"/>
      <c r="E340" s="44"/>
      <c r="F340" s="44"/>
      <c r="G340" s="44"/>
      <c r="H340" s="45"/>
    </row>
    <row r="341" spans="1:8" x14ac:dyDescent="0.25">
      <c r="A341" s="46"/>
      <c r="B341" s="57">
        <v>18000</v>
      </c>
      <c r="C341" t="s">
        <v>34</v>
      </c>
      <c r="H341" s="47"/>
    </row>
    <row r="342" spans="1:8" x14ac:dyDescent="0.25">
      <c r="A342" s="46"/>
      <c r="B342" s="57">
        <v>130000</v>
      </c>
      <c r="C342" t="s">
        <v>98</v>
      </c>
      <c r="H342" s="47"/>
    </row>
    <row r="343" spans="1:8" x14ac:dyDescent="0.25">
      <c r="A343" s="46"/>
      <c r="B343" s="57">
        <v>33000</v>
      </c>
      <c r="C343" t="s">
        <v>34</v>
      </c>
      <c r="H343" s="47"/>
    </row>
    <row r="344" spans="1:8" x14ac:dyDescent="0.25">
      <c r="A344" s="46"/>
      <c r="B344" s="57">
        <v>200000</v>
      </c>
      <c r="C344" t="s">
        <v>107</v>
      </c>
      <c r="H344" s="47"/>
    </row>
    <row r="345" spans="1:8" x14ac:dyDescent="0.25">
      <c r="A345" s="46"/>
      <c r="B345" s="57">
        <v>3000</v>
      </c>
      <c r="C345" t="s">
        <v>6</v>
      </c>
      <c r="H345" s="47"/>
    </row>
    <row r="346" spans="1:8" x14ac:dyDescent="0.25">
      <c r="A346" s="46"/>
      <c r="B346" s="57">
        <v>20000</v>
      </c>
      <c r="C346" t="s">
        <v>34</v>
      </c>
      <c r="H346" s="47"/>
    </row>
    <row r="347" spans="1:8" ht="15.75" thickBot="1" x14ac:dyDescent="0.3">
      <c r="A347" s="48">
        <v>44124</v>
      </c>
      <c r="B347" s="59">
        <v>60000</v>
      </c>
      <c r="C347" s="51" t="s">
        <v>56</v>
      </c>
      <c r="D347" s="60">
        <v>1050000</v>
      </c>
      <c r="E347" s="51" t="s">
        <v>88</v>
      </c>
      <c r="F347" s="63">
        <f>F339-SUM(B340:B347)+D347</f>
        <v>2426341</v>
      </c>
      <c r="G347" s="83">
        <v>361000</v>
      </c>
      <c r="H347" s="64">
        <f>H339</f>
        <v>988311</v>
      </c>
    </row>
    <row r="348" spans="1:8" x14ac:dyDescent="0.25">
      <c r="A348" s="41">
        <v>44125</v>
      </c>
      <c r="B348" s="58">
        <v>53000</v>
      </c>
      <c r="C348" s="44" t="s">
        <v>34</v>
      </c>
      <c r="D348" s="44"/>
      <c r="E348" s="44"/>
      <c r="F348" s="44"/>
      <c r="G348" s="44"/>
      <c r="H348" s="45"/>
    </row>
    <row r="349" spans="1:8" ht="15.75" thickBot="1" x14ac:dyDescent="0.3">
      <c r="A349" s="55">
        <v>44132</v>
      </c>
      <c r="B349" s="57">
        <v>45000</v>
      </c>
      <c r="C349" t="s">
        <v>64</v>
      </c>
      <c r="F349" s="8">
        <f>F347-B348-B349</f>
        <v>2328341</v>
      </c>
      <c r="G349" s="8">
        <f>G347</f>
        <v>361000</v>
      </c>
      <c r="H349" s="87">
        <f>H347</f>
        <v>988311</v>
      </c>
    </row>
    <row r="350" spans="1:8" x14ac:dyDescent="0.25">
      <c r="A350" s="41">
        <v>44133</v>
      </c>
      <c r="B350" s="58">
        <v>126000</v>
      </c>
      <c r="C350" s="44" t="s">
        <v>64</v>
      </c>
      <c r="D350" s="44"/>
      <c r="E350" s="44"/>
      <c r="F350" s="44"/>
      <c r="G350" s="44"/>
      <c r="H350" s="45"/>
    </row>
    <row r="351" spans="1:8" x14ac:dyDescent="0.25">
      <c r="A351" s="46"/>
      <c r="B351" s="57">
        <v>3000</v>
      </c>
      <c r="C351" t="s">
        <v>6</v>
      </c>
      <c r="H351" s="47"/>
    </row>
    <row r="352" spans="1:8" x14ac:dyDescent="0.25">
      <c r="A352" s="55"/>
      <c r="B352" s="57">
        <v>3000</v>
      </c>
      <c r="C352" t="s">
        <v>6</v>
      </c>
      <c r="H352" s="47"/>
    </row>
    <row r="353" spans="1:8" x14ac:dyDescent="0.25">
      <c r="A353" s="55"/>
      <c r="B353" s="57">
        <v>58000</v>
      </c>
      <c r="C353" t="s">
        <v>98</v>
      </c>
      <c r="H353" s="47"/>
    </row>
    <row r="354" spans="1:8" x14ac:dyDescent="0.25">
      <c r="A354" s="46"/>
      <c r="B354" s="57">
        <v>12000</v>
      </c>
      <c r="C354" t="s">
        <v>6</v>
      </c>
      <c r="H354" s="47"/>
    </row>
    <row r="355" spans="1:8" x14ac:dyDescent="0.25">
      <c r="A355" s="46"/>
      <c r="B355" s="57">
        <v>50000</v>
      </c>
      <c r="C355" t="s">
        <v>56</v>
      </c>
      <c r="H355" s="47"/>
    </row>
    <row r="356" spans="1:8" x14ac:dyDescent="0.25">
      <c r="A356" s="46"/>
      <c r="B356" s="57">
        <v>40000</v>
      </c>
      <c r="C356" t="s">
        <v>77</v>
      </c>
      <c r="H356" s="47"/>
    </row>
    <row r="357" spans="1:8" x14ac:dyDescent="0.25">
      <c r="A357" s="46"/>
      <c r="B357" s="57">
        <v>57000</v>
      </c>
      <c r="C357" t="s">
        <v>44</v>
      </c>
      <c r="H357" s="47"/>
    </row>
    <row r="358" spans="1:8" x14ac:dyDescent="0.25">
      <c r="A358" s="46"/>
      <c r="B358" s="57">
        <v>2300</v>
      </c>
      <c r="C358" t="s">
        <v>6</v>
      </c>
      <c r="H358" s="47"/>
    </row>
    <row r="359" spans="1:8" x14ac:dyDescent="0.25">
      <c r="A359" s="46"/>
      <c r="B359" s="57">
        <v>16000</v>
      </c>
      <c r="C359" t="s">
        <v>34</v>
      </c>
      <c r="H359" s="47"/>
    </row>
    <row r="360" spans="1:8" ht="15.75" thickBot="1" x14ac:dyDescent="0.3">
      <c r="A360" s="48">
        <v>44140</v>
      </c>
      <c r="B360" s="59">
        <v>200000</v>
      </c>
      <c r="C360" s="51" t="s">
        <v>107</v>
      </c>
      <c r="D360" s="60">
        <v>1050000</v>
      </c>
      <c r="E360" s="51" t="s">
        <v>88</v>
      </c>
      <c r="F360" s="63">
        <f>F349-SUM(B350:B360)+D360</f>
        <v>2811041</v>
      </c>
      <c r="G360" s="63">
        <f>G349</f>
        <v>361000</v>
      </c>
      <c r="H360" s="64">
        <f>H349</f>
        <v>988311</v>
      </c>
    </row>
    <row r="361" spans="1:8" x14ac:dyDescent="0.25">
      <c r="A361" s="41">
        <v>44141</v>
      </c>
      <c r="B361" s="58">
        <v>20000</v>
      </c>
      <c r="C361" s="44" t="s">
        <v>64</v>
      </c>
      <c r="D361" s="44"/>
      <c r="E361" s="44"/>
      <c r="F361" s="44"/>
      <c r="G361" s="44"/>
      <c r="H361" s="45"/>
    </row>
    <row r="362" spans="1:8" x14ac:dyDescent="0.25">
      <c r="A362" s="46"/>
      <c r="B362" s="57">
        <v>25000</v>
      </c>
      <c r="C362" t="s">
        <v>34</v>
      </c>
      <c r="H362" s="47"/>
    </row>
    <row r="363" spans="1:8" x14ac:dyDescent="0.25">
      <c r="A363" s="46"/>
      <c r="B363" s="57">
        <v>9000</v>
      </c>
      <c r="C363" t="s">
        <v>6</v>
      </c>
      <c r="H363" s="47"/>
    </row>
    <row r="364" spans="1:8" ht="15.75" thickBot="1" x14ac:dyDescent="0.3">
      <c r="A364" s="48">
        <v>44148</v>
      </c>
      <c r="B364" s="59">
        <v>85000</v>
      </c>
      <c r="C364" s="51" t="s">
        <v>98</v>
      </c>
      <c r="D364" s="51"/>
      <c r="E364" s="51"/>
      <c r="F364" s="63">
        <f>F360-SUM(B361:B364)</f>
        <v>2672041</v>
      </c>
      <c r="G364" s="63">
        <f>G360</f>
        <v>361000</v>
      </c>
      <c r="H364" s="64">
        <f>H360</f>
        <v>988311</v>
      </c>
    </row>
    <row r="365" spans="1:8" x14ac:dyDescent="0.25">
      <c r="A365" s="41">
        <v>44149</v>
      </c>
      <c r="B365" s="58">
        <v>17500</v>
      </c>
      <c r="C365" s="44" t="s">
        <v>64</v>
      </c>
      <c r="D365" s="44"/>
      <c r="E365" s="44"/>
      <c r="F365" s="44"/>
      <c r="G365" s="44"/>
      <c r="H365" s="45"/>
    </row>
    <row r="366" spans="1:8" x14ac:dyDescent="0.25">
      <c r="A366" s="46"/>
      <c r="B366" s="57">
        <v>55000</v>
      </c>
      <c r="C366" t="s">
        <v>34</v>
      </c>
      <c r="H366" s="47"/>
    </row>
    <row r="367" spans="1:8" x14ac:dyDescent="0.25">
      <c r="A367" s="46"/>
      <c r="B367" s="57">
        <v>45000</v>
      </c>
      <c r="C367" t="s">
        <v>6</v>
      </c>
      <c r="H367" s="47"/>
    </row>
    <row r="368" spans="1:8" x14ac:dyDescent="0.25">
      <c r="A368" s="46"/>
      <c r="B368" s="57">
        <v>16000</v>
      </c>
      <c r="C368" t="s">
        <v>64</v>
      </c>
      <c r="H368" s="47"/>
    </row>
    <row r="369" spans="1:8" x14ac:dyDescent="0.25">
      <c r="A369" s="46"/>
      <c r="B369" s="57">
        <v>85000</v>
      </c>
      <c r="C369" t="s">
        <v>98</v>
      </c>
      <c r="H369" s="47"/>
    </row>
    <row r="370" spans="1:8" x14ac:dyDescent="0.25">
      <c r="A370" s="46"/>
      <c r="B370" s="57">
        <v>200000</v>
      </c>
      <c r="C370" t="s">
        <v>107</v>
      </c>
      <c r="H370" s="47"/>
    </row>
    <row r="371" spans="1:8" x14ac:dyDescent="0.25">
      <c r="A371" s="46"/>
      <c r="B371" s="57">
        <v>10000</v>
      </c>
      <c r="C371" t="s">
        <v>34</v>
      </c>
      <c r="H371" s="47"/>
    </row>
    <row r="372" spans="1:8" x14ac:dyDescent="0.25">
      <c r="A372" s="46"/>
      <c r="B372" s="57">
        <v>25000</v>
      </c>
      <c r="C372" t="s">
        <v>56</v>
      </c>
      <c r="H372" s="47"/>
    </row>
    <row r="373" spans="1:8" ht="15.75" thickBot="1" x14ac:dyDescent="0.3">
      <c r="A373" s="48">
        <v>44156</v>
      </c>
      <c r="B373" s="59">
        <v>2300</v>
      </c>
      <c r="C373" s="51" t="s">
        <v>6</v>
      </c>
      <c r="D373" s="60">
        <v>1050000</v>
      </c>
      <c r="E373" s="51" t="s">
        <v>88</v>
      </c>
      <c r="F373" s="63">
        <f>F364-SUM(B365:B373)+D373</f>
        <v>3266241</v>
      </c>
      <c r="G373" s="63">
        <f>G364</f>
        <v>361000</v>
      </c>
      <c r="H373" s="64">
        <f>H364</f>
        <v>988311</v>
      </c>
    </row>
    <row r="374" spans="1:8" x14ac:dyDescent="0.25">
      <c r="A374" s="41">
        <v>44157</v>
      </c>
      <c r="B374" s="58">
        <v>59000</v>
      </c>
      <c r="C374" s="44" t="s">
        <v>34</v>
      </c>
      <c r="D374" s="44"/>
      <c r="E374" s="44"/>
      <c r="F374" s="44"/>
      <c r="G374" s="44"/>
      <c r="H374" s="45"/>
    </row>
    <row r="375" spans="1:8" x14ac:dyDescent="0.25">
      <c r="A375" s="46"/>
      <c r="B375" s="57">
        <v>3000</v>
      </c>
      <c r="C375" t="s">
        <v>6</v>
      </c>
      <c r="H375" s="47"/>
    </row>
    <row r="376" spans="1:8" x14ac:dyDescent="0.25">
      <c r="A376" s="46"/>
      <c r="B376" s="57">
        <v>30000</v>
      </c>
      <c r="C376" t="s">
        <v>44</v>
      </c>
      <c r="H376" s="47"/>
    </row>
    <row r="377" spans="1:8" x14ac:dyDescent="0.25">
      <c r="A377" s="46"/>
      <c r="B377" s="57">
        <v>10000</v>
      </c>
      <c r="C377" t="s">
        <v>56</v>
      </c>
      <c r="H377" s="47"/>
    </row>
    <row r="378" spans="1:8" x14ac:dyDescent="0.25">
      <c r="A378" s="46"/>
      <c r="B378" s="57">
        <v>1000</v>
      </c>
      <c r="C378" t="s">
        <v>6</v>
      </c>
      <c r="H378" s="47"/>
    </row>
    <row r="379" spans="1:8" x14ac:dyDescent="0.25">
      <c r="A379" s="46"/>
      <c r="B379" s="57">
        <v>96000</v>
      </c>
      <c r="C379" t="s">
        <v>98</v>
      </c>
      <c r="H379" s="47"/>
    </row>
    <row r="380" spans="1:8" x14ac:dyDescent="0.25">
      <c r="A380" s="46"/>
      <c r="B380" s="57">
        <v>50000</v>
      </c>
      <c r="C380" t="s">
        <v>6</v>
      </c>
      <c r="H380" s="47"/>
    </row>
    <row r="381" spans="1:8" x14ac:dyDescent="0.25">
      <c r="A381" s="46"/>
      <c r="B381" s="57">
        <v>166000</v>
      </c>
      <c r="C381" t="s">
        <v>77</v>
      </c>
      <c r="H381" s="47"/>
    </row>
    <row r="382" spans="1:8" ht="15.75" thickBot="1" x14ac:dyDescent="0.3">
      <c r="A382" s="55">
        <v>44164</v>
      </c>
      <c r="B382" s="57">
        <v>18000</v>
      </c>
      <c r="C382" t="s">
        <v>77</v>
      </c>
      <c r="F382" s="8">
        <f>F373-SUM(B374:B382)</f>
        <v>2833241</v>
      </c>
      <c r="G382" s="8">
        <f>G373</f>
        <v>361000</v>
      </c>
      <c r="H382" s="87">
        <f>H373</f>
        <v>988311</v>
      </c>
    </row>
    <row r="383" spans="1:8" x14ac:dyDescent="0.25">
      <c r="A383" s="41">
        <v>44165</v>
      </c>
      <c r="B383" s="58">
        <v>40000</v>
      </c>
      <c r="C383" s="44" t="s">
        <v>56</v>
      </c>
      <c r="D383" s="44"/>
      <c r="E383" s="44"/>
      <c r="F383" s="44"/>
      <c r="G383" s="44"/>
      <c r="H383" s="45"/>
    </row>
    <row r="384" spans="1:8" x14ac:dyDescent="0.25">
      <c r="A384" s="46"/>
      <c r="B384" s="57">
        <v>20000</v>
      </c>
      <c r="C384" t="s">
        <v>64</v>
      </c>
      <c r="H384" s="47"/>
    </row>
    <row r="385" spans="1:8" x14ac:dyDescent="0.25">
      <c r="A385" s="46"/>
      <c r="B385" s="57">
        <v>1300</v>
      </c>
      <c r="C385" t="s">
        <v>6</v>
      </c>
      <c r="H385" s="47"/>
    </row>
    <row r="386" spans="1:8" x14ac:dyDescent="0.25">
      <c r="A386" s="46"/>
      <c r="B386" s="57">
        <v>57000</v>
      </c>
      <c r="C386" t="s">
        <v>34</v>
      </c>
      <c r="H386" s="47"/>
    </row>
    <row r="387" spans="1:8" x14ac:dyDescent="0.25">
      <c r="A387" s="46"/>
      <c r="B387" s="57">
        <v>706000</v>
      </c>
      <c r="C387" t="s">
        <v>82</v>
      </c>
      <c r="H387" s="47"/>
    </row>
    <row r="388" spans="1:8" x14ac:dyDescent="0.25">
      <c r="A388" s="46"/>
      <c r="B388" s="57">
        <v>33000</v>
      </c>
      <c r="C388" t="s">
        <v>44</v>
      </c>
      <c r="D388" s="56">
        <v>725000</v>
      </c>
      <c r="E388" t="s">
        <v>88</v>
      </c>
      <c r="H388" s="47"/>
    </row>
    <row r="389" spans="1:8" ht="15.75" thickBot="1" x14ac:dyDescent="0.3">
      <c r="A389" s="48">
        <v>44172</v>
      </c>
      <c r="B389" s="59">
        <v>38000</v>
      </c>
      <c r="C389" s="51" t="s">
        <v>34</v>
      </c>
      <c r="D389" s="60">
        <v>1824000</v>
      </c>
      <c r="E389" s="51" t="s">
        <v>88</v>
      </c>
      <c r="F389" s="63">
        <f>F382-SUM(B383:B389)+D388+D389</f>
        <v>4486941</v>
      </c>
      <c r="G389" s="63">
        <f>G382</f>
        <v>361000</v>
      </c>
      <c r="H389" s="64">
        <f>H382</f>
        <v>988311</v>
      </c>
    </row>
    <row r="390" spans="1:8" x14ac:dyDescent="0.25">
      <c r="A390" s="41">
        <v>44173</v>
      </c>
      <c r="B390" s="58">
        <v>35000</v>
      </c>
      <c r="C390" s="44" t="s">
        <v>34</v>
      </c>
      <c r="D390" s="44"/>
      <c r="E390" s="44"/>
      <c r="F390" s="44"/>
      <c r="G390" s="44"/>
      <c r="H390" s="45"/>
    </row>
    <row r="391" spans="1:8" x14ac:dyDescent="0.25">
      <c r="A391" s="46"/>
      <c r="B391" s="57">
        <v>39000</v>
      </c>
      <c r="C391" t="s">
        <v>44</v>
      </c>
      <c r="H391" s="47"/>
    </row>
    <row r="392" spans="1:8" x14ac:dyDescent="0.25">
      <c r="A392" s="46"/>
      <c r="B392" s="57">
        <v>50000</v>
      </c>
      <c r="C392" t="s">
        <v>64</v>
      </c>
      <c r="H392" s="47"/>
    </row>
    <row r="393" spans="1:8" x14ac:dyDescent="0.25">
      <c r="A393" s="46"/>
      <c r="B393" s="57">
        <v>20000</v>
      </c>
      <c r="C393" t="s">
        <v>64</v>
      </c>
      <c r="H393" s="47"/>
    </row>
    <row r="394" spans="1:8" x14ac:dyDescent="0.25">
      <c r="A394" s="46"/>
      <c r="B394" s="57">
        <v>65000</v>
      </c>
      <c r="C394" t="s">
        <v>64</v>
      </c>
      <c r="H394" s="47"/>
    </row>
    <row r="395" spans="1:8" ht="15.75" thickBot="1" x14ac:dyDescent="0.3">
      <c r="A395" s="48">
        <v>44180</v>
      </c>
      <c r="B395" s="59">
        <v>50000</v>
      </c>
      <c r="C395" s="51" t="s">
        <v>64</v>
      </c>
      <c r="D395" s="60">
        <v>1094000</v>
      </c>
      <c r="E395" s="51" t="s">
        <v>88</v>
      </c>
      <c r="F395" s="63">
        <f>F389</f>
        <v>4486941</v>
      </c>
      <c r="G395" s="63">
        <f>G389</f>
        <v>361000</v>
      </c>
      <c r="H395" s="64">
        <f>H389</f>
        <v>988311</v>
      </c>
    </row>
    <row r="396" spans="1:8" x14ac:dyDescent="0.25">
      <c r="A396" s="41">
        <v>44181</v>
      </c>
      <c r="B396" s="58">
        <v>188233</v>
      </c>
      <c r="C396" s="44" t="s">
        <v>64</v>
      </c>
      <c r="D396" s="44"/>
      <c r="E396" s="44"/>
      <c r="F396" s="44"/>
      <c r="G396" s="44"/>
      <c r="H396" s="45"/>
    </row>
    <row r="397" spans="1:8" x14ac:dyDescent="0.25">
      <c r="A397" s="46"/>
      <c r="B397" s="57">
        <v>200000</v>
      </c>
      <c r="C397" t="s">
        <v>64</v>
      </c>
      <c r="H397" s="47"/>
    </row>
    <row r="398" spans="1:8" x14ac:dyDescent="0.25">
      <c r="A398" s="46"/>
      <c r="B398" s="57">
        <v>30000</v>
      </c>
      <c r="C398" t="s">
        <v>64</v>
      </c>
      <c r="H398" s="47"/>
    </row>
    <row r="399" spans="1:8" x14ac:dyDescent="0.25">
      <c r="A399" s="46"/>
      <c r="B399" s="57">
        <v>119000</v>
      </c>
      <c r="C399" t="s">
        <v>64</v>
      </c>
      <c r="H399" s="47"/>
    </row>
    <row r="400" spans="1:8" x14ac:dyDescent="0.25">
      <c r="A400" s="46"/>
      <c r="B400" s="57">
        <v>89950</v>
      </c>
      <c r="C400" t="s">
        <v>64</v>
      </c>
      <c r="H400" s="47"/>
    </row>
    <row r="401" spans="1:8" x14ac:dyDescent="0.25">
      <c r="A401" s="46"/>
      <c r="B401" s="57">
        <v>20000</v>
      </c>
      <c r="C401" t="s">
        <v>64</v>
      </c>
      <c r="H401" s="47"/>
    </row>
    <row r="402" spans="1:8" x14ac:dyDescent="0.25">
      <c r="A402" s="46"/>
      <c r="B402" s="57">
        <v>34800</v>
      </c>
      <c r="C402" t="s">
        <v>64</v>
      </c>
      <c r="H402" s="47"/>
    </row>
    <row r="403" spans="1:8" x14ac:dyDescent="0.25">
      <c r="A403" s="46"/>
      <c r="B403" s="57">
        <v>28800</v>
      </c>
      <c r="C403" t="s">
        <v>64</v>
      </c>
      <c r="H403" s="47"/>
    </row>
    <row r="404" spans="1:8" ht="15.75" thickBot="1" x14ac:dyDescent="0.3">
      <c r="A404" s="48">
        <v>44188</v>
      </c>
      <c r="B404" s="59">
        <v>315000</v>
      </c>
      <c r="C404" s="51" t="s">
        <v>64</v>
      </c>
      <c r="D404" s="51"/>
      <c r="E404" s="51"/>
      <c r="F404" s="63">
        <v>3240000</v>
      </c>
      <c r="G404" s="63">
        <f>100000</f>
        <v>100000</v>
      </c>
      <c r="H404" s="64">
        <f>H395</f>
        <v>988311</v>
      </c>
    </row>
  </sheetData>
  <autoFilter ref="A1:G115" xr:uid="{00000000-0009-0000-0000-000004000000}">
    <filterColumn colId="5" showButton="0"/>
  </autoFilter>
  <mergeCells count="3">
    <mergeCell ref="B2:C2"/>
    <mergeCell ref="F1:G1"/>
    <mergeCell ref="D2:E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15"/>
  <sheetViews>
    <sheetView tabSelected="1" workbookViewId="0">
      <selection activeCell="H13" sqref="H13"/>
    </sheetView>
  </sheetViews>
  <sheetFormatPr baseColWidth="10" defaultRowHeight="15" x14ac:dyDescent="0.25"/>
  <cols>
    <col min="6" max="6" width="13" customWidth="1"/>
  </cols>
  <sheetData>
    <row r="3" spans="2:8" x14ac:dyDescent="0.25">
      <c r="B3" s="67" t="s">
        <v>19</v>
      </c>
      <c r="C3" s="68" t="s">
        <v>20</v>
      </c>
      <c r="E3">
        <v>-30000</v>
      </c>
      <c r="F3" t="s">
        <v>108</v>
      </c>
    </row>
    <row r="4" spans="2:8" x14ac:dyDescent="0.25">
      <c r="B4" s="69">
        <v>43762</v>
      </c>
      <c r="C4" s="70">
        <v>62.48</v>
      </c>
    </row>
    <row r="5" spans="2:8" x14ac:dyDescent="0.25">
      <c r="B5" s="69">
        <v>43882</v>
      </c>
      <c r="C5" s="70">
        <v>124.96</v>
      </c>
      <c r="D5" t="s">
        <v>79</v>
      </c>
    </row>
    <row r="6" spans="2:8" x14ac:dyDescent="0.25">
      <c r="B6" s="69">
        <v>43962</v>
      </c>
      <c r="C6" s="70">
        <v>29.22</v>
      </c>
      <c r="F6" s="80"/>
    </row>
    <row r="7" spans="2:8" x14ac:dyDescent="0.25">
      <c r="B7" s="69">
        <v>44009</v>
      </c>
      <c r="C7" s="70">
        <v>47.83</v>
      </c>
      <c r="H7" s="80"/>
    </row>
    <row r="8" spans="2:8" x14ac:dyDescent="0.25">
      <c r="B8" s="81">
        <v>44043</v>
      </c>
      <c r="C8" s="70">
        <v>71.56</v>
      </c>
      <c r="E8" s="80"/>
    </row>
    <row r="9" spans="2:8" x14ac:dyDescent="0.25">
      <c r="B9" s="69">
        <v>44058</v>
      </c>
      <c r="C9" s="70">
        <v>96.12</v>
      </c>
      <c r="G9" s="80"/>
    </row>
    <row r="10" spans="2:8" x14ac:dyDescent="0.25">
      <c r="B10" s="69">
        <v>44087</v>
      </c>
      <c r="C10" s="70">
        <v>124.66</v>
      </c>
    </row>
    <row r="11" spans="2:8" x14ac:dyDescent="0.25">
      <c r="B11" s="71" t="s">
        <v>103</v>
      </c>
      <c r="C11" s="70">
        <v>124.66</v>
      </c>
      <c r="D11" t="s">
        <v>79</v>
      </c>
    </row>
    <row r="12" spans="2:8" x14ac:dyDescent="0.25">
      <c r="B12" s="69">
        <v>44116</v>
      </c>
      <c r="C12" s="70">
        <v>25.05</v>
      </c>
      <c r="H12">
        <f>200*5440</f>
        <v>1088000</v>
      </c>
    </row>
    <row r="13" spans="2:8" x14ac:dyDescent="0.25">
      <c r="B13" s="69">
        <v>44185</v>
      </c>
      <c r="C13" s="70">
        <v>78.08</v>
      </c>
    </row>
    <row r="14" spans="2:8" x14ac:dyDescent="0.25">
      <c r="B14" s="69">
        <v>44221</v>
      </c>
      <c r="C14" s="70">
        <v>106.77</v>
      </c>
      <c r="D14" t="s">
        <v>79</v>
      </c>
      <c r="E14" s="89">
        <v>353788</v>
      </c>
    </row>
    <row r="15" spans="2:8" x14ac:dyDescent="0.25">
      <c r="B15" s="72"/>
      <c r="C15" s="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5"/>
  <sheetViews>
    <sheetView zoomScale="85" zoomScaleNormal="85" workbookViewId="0">
      <selection activeCell="U5" sqref="U5"/>
    </sheetView>
  </sheetViews>
  <sheetFormatPr baseColWidth="10" defaultRowHeight="15" x14ac:dyDescent="0.25"/>
  <cols>
    <col min="3" max="3" width="13" bestFit="1" customWidth="1"/>
    <col min="25" max="25" width="23.140625" customWidth="1"/>
    <col min="32" max="32" width="14.5703125" bestFit="1" customWidth="1"/>
  </cols>
  <sheetData>
    <row r="1" spans="1:35" ht="15.75" thickBot="1" x14ac:dyDescent="0.3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35" x14ac:dyDescent="0.25">
      <c r="A2" s="95"/>
      <c r="B2" s="95" t="s">
        <v>83</v>
      </c>
      <c r="C2" s="96" t="s">
        <v>84</v>
      </c>
      <c r="D2" s="97" t="s">
        <v>85</v>
      </c>
      <c r="E2" s="200" t="s">
        <v>86</v>
      </c>
      <c r="F2" s="199"/>
      <c r="G2" s="198" t="s">
        <v>87</v>
      </c>
      <c r="H2" s="199"/>
      <c r="I2" s="198" t="s">
        <v>109</v>
      </c>
      <c r="J2" s="199"/>
      <c r="K2" s="200" t="s">
        <v>112</v>
      </c>
      <c r="L2" s="199"/>
      <c r="M2" s="200" t="s">
        <v>128</v>
      </c>
      <c r="N2" s="199"/>
      <c r="O2" s="200" t="s">
        <v>130</v>
      </c>
      <c r="P2" s="199"/>
      <c r="Q2" t="s">
        <v>114</v>
      </c>
      <c r="U2" s="95"/>
      <c r="V2" s="95" t="s">
        <v>83</v>
      </c>
      <c r="W2" s="96" t="s">
        <v>84</v>
      </c>
      <c r="X2" s="97" t="s">
        <v>85</v>
      </c>
      <c r="Y2" s="198" t="s">
        <v>124</v>
      </c>
      <c r="Z2" s="199"/>
      <c r="AA2" s="198" t="s">
        <v>119</v>
      </c>
      <c r="AB2" s="199"/>
      <c r="AC2" s="198" t="s">
        <v>120</v>
      </c>
      <c r="AD2" s="199"/>
      <c r="AE2" s="200" t="s">
        <v>121</v>
      </c>
      <c r="AF2" s="199"/>
    </row>
    <row r="3" spans="1:35" ht="15.75" thickBot="1" x14ac:dyDescent="0.3">
      <c r="A3" s="98"/>
      <c r="B3" s="98"/>
      <c r="C3" s="91"/>
      <c r="D3" s="99"/>
      <c r="E3" s="92" t="s">
        <v>92</v>
      </c>
      <c r="F3" s="99" t="s">
        <v>93</v>
      </c>
      <c r="G3" s="105" t="s">
        <v>92</v>
      </c>
      <c r="H3" s="99" t="s">
        <v>93</v>
      </c>
      <c r="I3" s="105" t="s">
        <v>92</v>
      </c>
      <c r="J3" s="99" t="s">
        <v>93</v>
      </c>
      <c r="K3" s="92" t="s">
        <v>92</v>
      </c>
      <c r="L3" s="99" t="s">
        <v>93</v>
      </c>
      <c r="M3" s="92" t="s">
        <v>92</v>
      </c>
      <c r="N3" s="99" t="s">
        <v>93</v>
      </c>
      <c r="O3" s="92" t="s">
        <v>92</v>
      </c>
      <c r="P3" s="99" t="s">
        <v>93</v>
      </c>
      <c r="U3" s="117"/>
      <c r="V3" s="117"/>
      <c r="W3" s="119"/>
      <c r="X3" s="118"/>
      <c r="Y3" s="107" t="s">
        <v>92</v>
      </c>
      <c r="Z3" s="118" t="s">
        <v>93</v>
      </c>
      <c r="AA3" s="107" t="s">
        <v>92</v>
      </c>
      <c r="AB3" s="118" t="s">
        <v>93</v>
      </c>
      <c r="AC3" s="107" t="s">
        <v>92</v>
      </c>
      <c r="AD3" s="118" t="s">
        <v>93</v>
      </c>
      <c r="AE3" s="112" t="s">
        <v>122</v>
      </c>
      <c r="AF3" s="118" t="s">
        <v>123</v>
      </c>
    </row>
    <row r="4" spans="1:35" x14ac:dyDescent="0.25">
      <c r="A4" s="125">
        <v>44009</v>
      </c>
      <c r="B4" s="129">
        <v>2.06</v>
      </c>
      <c r="C4" s="123">
        <v>-21.41</v>
      </c>
      <c r="D4" s="130">
        <v>481.61</v>
      </c>
      <c r="E4" s="95"/>
      <c r="F4" s="124">
        <v>-20.16</v>
      </c>
      <c r="G4" s="95"/>
      <c r="H4" s="124">
        <v>-1.25</v>
      </c>
      <c r="I4" s="95"/>
      <c r="J4" s="124"/>
      <c r="K4" s="95"/>
      <c r="L4" s="124"/>
      <c r="M4" s="95"/>
      <c r="N4" s="124"/>
      <c r="O4" s="96"/>
      <c r="P4" s="124"/>
      <c r="U4" s="100">
        <v>44286</v>
      </c>
      <c r="V4" s="115">
        <v>0</v>
      </c>
      <c r="W4" s="113">
        <v>0</v>
      </c>
      <c r="X4" s="114">
        <v>802.7</v>
      </c>
      <c r="Y4" s="121">
        <v>302</v>
      </c>
      <c r="Z4" s="122">
        <v>0</v>
      </c>
      <c r="AA4" s="113">
        <v>500</v>
      </c>
      <c r="AB4" s="114">
        <v>0</v>
      </c>
      <c r="AC4" s="115"/>
      <c r="AD4" s="114"/>
      <c r="AE4" s="113">
        <v>802.7</v>
      </c>
      <c r="AF4" s="116">
        <f>AE4*3736.91</f>
        <v>2999617.6570000001</v>
      </c>
    </row>
    <row r="5" spans="1:35" x14ac:dyDescent="0.25">
      <c r="A5" s="126">
        <v>44043</v>
      </c>
      <c r="B5" s="105">
        <v>0</v>
      </c>
      <c r="C5" s="94">
        <v>5.48</v>
      </c>
      <c r="D5" s="106">
        <v>525.33000000000004</v>
      </c>
      <c r="E5" s="105">
        <v>315.62</v>
      </c>
      <c r="F5" s="101">
        <v>-2.17</v>
      </c>
      <c r="G5" s="105">
        <v>200</v>
      </c>
      <c r="H5" s="102">
        <v>7.74</v>
      </c>
      <c r="I5" s="105"/>
      <c r="J5" s="102"/>
      <c r="K5" s="105"/>
      <c r="L5" s="102"/>
      <c r="M5" s="105"/>
      <c r="N5" s="102"/>
      <c r="O5" s="92"/>
      <c r="P5" s="102"/>
      <c r="U5" s="100">
        <v>44288</v>
      </c>
      <c r="V5" s="115">
        <v>0</v>
      </c>
      <c r="W5" s="113">
        <v>0</v>
      </c>
      <c r="X5" s="114">
        <f>X4+AE5</f>
        <v>936.7</v>
      </c>
      <c r="Y5" s="115">
        <v>385</v>
      </c>
      <c r="Z5" s="114">
        <v>0</v>
      </c>
      <c r="AA5" s="113">
        <v>500</v>
      </c>
      <c r="AB5" s="114">
        <v>0</v>
      </c>
      <c r="AC5" s="115">
        <v>50</v>
      </c>
      <c r="AD5" s="114">
        <v>0</v>
      </c>
      <c r="AE5" s="92">
        <v>134</v>
      </c>
      <c r="AF5" s="116">
        <f>AE5*3736.91</f>
        <v>500745.94</v>
      </c>
    </row>
    <row r="6" spans="1:35" x14ac:dyDescent="0.25">
      <c r="A6" s="126">
        <v>44048</v>
      </c>
      <c r="B6" s="105">
        <v>0</v>
      </c>
      <c r="C6" s="94">
        <v>22.79</v>
      </c>
      <c r="D6" s="106">
        <v>554.22</v>
      </c>
      <c r="E6" s="105">
        <v>319.79000000000002</v>
      </c>
      <c r="F6" s="102">
        <v>22.84</v>
      </c>
      <c r="G6" s="105">
        <v>211.62</v>
      </c>
      <c r="H6" s="101">
        <v>-0.02</v>
      </c>
      <c r="I6" s="105"/>
      <c r="J6" s="101"/>
      <c r="K6" s="105"/>
      <c r="L6" s="101"/>
      <c r="M6" s="105"/>
      <c r="N6" s="101"/>
      <c r="O6" s="92"/>
      <c r="P6" s="101"/>
      <c r="U6" s="100">
        <v>44297</v>
      </c>
      <c r="V6" s="105">
        <v>0</v>
      </c>
      <c r="W6" s="94">
        <f>0.79+0.39+(F19-F18)*0.38</f>
        <v>6.8951999999999991</v>
      </c>
      <c r="X6" s="106">
        <f>Y5+AA5+AC5+W6</f>
        <v>941.89520000000005</v>
      </c>
      <c r="Y6" s="115">
        <v>385</v>
      </c>
      <c r="Z6" s="102">
        <f>(F19-F18)*0.38</f>
        <v>5.7151999999999994</v>
      </c>
      <c r="AA6" s="92"/>
      <c r="AB6" s="102">
        <v>0.39</v>
      </c>
      <c r="AC6" s="105"/>
      <c r="AD6" s="102">
        <v>0.79</v>
      </c>
      <c r="AE6" s="92"/>
      <c r="AF6" s="101"/>
    </row>
    <row r="7" spans="1:35" x14ac:dyDescent="0.25">
      <c r="A7" s="126">
        <v>44058</v>
      </c>
      <c r="B7" s="105">
        <v>0</v>
      </c>
      <c r="C7" s="94">
        <v>12.2</v>
      </c>
      <c r="D7" s="106">
        <v>543.6</v>
      </c>
      <c r="E7" s="105">
        <v>319.79000000000002</v>
      </c>
      <c r="F7" s="102">
        <v>16</v>
      </c>
      <c r="G7" s="105">
        <v>211.62</v>
      </c>
      <c r="H7" s="101">
        <v>-3.82</v>
      </c>
      <c r="I7" s="105"/>
      <c r="J7" s="101"/>
      <c r="K7" s="105"/>
      <c r="L7" s="101"/>
      <c r="M7" s="105"/>
      <c r="N7" s="101"/>
      <c r="O7" s="92"/>
      <c r="P7" s="101"/>
      <c r="U7" s="100">
        <v>44301</v>
      </c>
      <c r="V7" s="105">
        <v>0</v>
      </c>
      <c r="W7" s="94">
        <f>Z7+AB7+AC7-AC5+AD7</f>
        <v>9.2907999999999991</v>
      </c>
      <c r="X7" s="106">
        <f>Y7+AA7+AC7+Z7+AB7+AD7</f>
        <v>944.2908000000001</v>
      </c>
      <c r="Y7" s="105">
        <v>385</v>
      </c>
      <c r="Z7" s="102">
        <f>(F20-F18)*0.38</f>
        <v>7.4707999999999988</v>
      </c>
      <c r="AA7" s="92">
        <v>500</v>
      </c>
      <c r="AB7" s="101">
        <v>-4.8</v>
      </c>
      <c r="AC7" s="105">
        <v>57</v>
      </c>
      <c r="AD7" s="101">
        <v>-0.38</v>
      </c>
      <c r="AE7" s="92"/>
      <c r="AF7" s="101"/>
      <c r="AG7" t="s">
        <v>131</v>
      </c>
    </row>
    <row r="8" spans="1:35" x14ac:dyDescent="0.25">
      <c r="A8" s="126">
        <v>44066</v>
      </c>
      <c r="B8" s="105">
        <v>0</v>
      </c>
      <c r="C8" s="94">
        <v>21.83</v>
      </c>
      <c r="D8" s="106">
        <v>553.24</v>
      </c>
      <c r="E8" s="105">
        <v>319.79000000000002</v>
      </c>
      <c r="F8" s="102">
        <v>20.72</v>
      </c>
      <c r="G8" s="105">
        <v>211.62</v>
      </c>
      <c r="H8" s="102">
        <v>1.1299999999999999</v>
      </c>
      <c r="I8" s="105"/>
      <c r="J8" s="102"/>
      <c r="K8" s="105"/>
      <c r="L8" s="102"/>
      <c r="M8" s="105"/>
      <c r="N8" s="102"/>
      <c r="O8" s="92"/>
      <c r="P8" s="102"/>
      <c r="U8" s="100"/>
      <c r="V8" s="105"/>
      <c r="W8" s="94"/>
      <c r="X8" s="106"/>
      <c r="Y8" s="105"/>
      <c r="Z8" s="102"/>
      <c r="AA8" s="92"/>
      <c r="AB8" s="102"/>
      <c r="AC8" s="105"/>
      <c r="AD8" s="102"/>
      <c r="AE8" s="92"/>
      <c r="AF8" s="102"/>
    </row>
    <row r="9" spans="1:35" x14ac:dyDescent="0.25">
      <c r="A9" s="126">
        <v>44073</v>
      </c>
      <c r="B9" s="105">
        <v>0</v>
      </c>
      <c r="C9" s="94">
        <v>36.11</v>
      </c>
      <c r="D9" s="106">
        <v>567.52</v>
      </c>
      <c r="E9" s="105">
        <v>319.79000000000002</v>
      </c>
      <c r="F9" s="102">
        <v>34.35</v>
      </c>
      <c r="G9" s="105">
        <v>211.62</v>
      </c>
      <c r="H9" s="102">
        <v>1.77</v>
      </c>
      <c r="I9" s="105"/>
      <c r="J9" s="102"/>
      <c r="K9" s="105"/>
      <c r="L9" s="102"/>
      <c r="M9" s="105"/>
      <c r="N9" s="102"/>
      <c r="O9" s="92"/>
      <c r="P9" s="102"/>
      <c r="U9" s="100"/>
      <c r="V9" s="105"/>
      <c r="W9" s="94"/>
      <c r="X9" s="106"/>
      <c r="Y9" s="105"/>
      <c r="Z9" s="102"/>
      <c r="AA9" s="92"/>
      <c r="AB9" s="102"/>
      <c r="AC9" s="105"/>
      <c r="AD9" s="102"/>
      <c r="AE9" s="92"/>
      <c r="AF9" s="102"/>
    </row>
    <row r="10" spans="1:35" x14ac:dyDescent="0.25">
      <c r="A10" s="126">
        <v>44076</v>
      </c>
      <c r="B10" s="105">
        <v>0</v>
      </c>
      <c r="C10" s="93">
        <v>-28</v>
      </c>
      <c r="D10" s="106">
        <v>578.57000000000005</v>
      </c>
      <c r="E10" s="105">
        <v>367.18</v>
      </c>
      <c r="F10" s="102">
        <v>-0.71</v>
      </c>
      <c r="G10" s="105">
        <v>211.62</v>
      </c>
      <c r="H10" s="102">
        <v>0.57999999999999996</v>
      </c>
      <c r="I10" s="105"/>
      <c r="J10" s="102"/>
      <c r="K10" s="105"/>
      <c r="L10" s="102"/>
      <c r="M10" s="105"/>
      <c r="N10" s="102"/>
      <c r="O10" s="92"/>
      <c r="P10" s="102"/>
      <c r="U10" s="100"/>
      <c r="V10" s="105"/>
      <c r="W10" s="93"/>
      <c r="X10" s="106"/>
      <c r="Y10" s="105"/>
      <c r="Z10" s="102"/>
      <c r="AA10" s="92"/>
      <c r="AB10" s="102"/>
      <c r="AC10" s="105"/>
      <c r="AD10" s="102"/>
      <c r="AE10" s="92"/>
      <c r="AF10" s="102"/>
    </row>
    <row r="11" spans="1:35" x14ac:dyDescent="0.25">
      <c r="A11" s="126">
        <v>44087</v>
      </c>
      <c r="B11" s="105">
        <v>0</v>
      </c>
      <c r="C11" s="93">
        <v>-29.37</v>
      </c>
      <c r="D11" s="106">
        <v>549.55999999999995</v>
      </c>
      <c r="E11" s="105">
        <v>367.18</v>
      </c>
      <c r="F11" s="101">
        <v>-30.41</v>
      </c>
      <c r="G11" s="105">
        <v>211.62</v>
      </c>
      <c r="H11" s="102">
        <v>1.04</v>
      </c>
      <c r="I11" s="105"/>
      <c r="J11" s="102"/>
      <c r="K11" s="105"/>
      <c r="L11" s="102"/>
      <c r="M11" s="105"/>
      <c r="N11" s="102"/>
      <c r="O11" s="92"/>
      <c r="P11" s="102"/>
      <c r="U11" s="100"/>
      <c r="V11" s="105"/>
      <c r="W11" s="93"/>
      <c r="X11" s="106"/>
      <c r="Y11" s="105"/>
      <c r="Z11" s="101"/>
      <c r="AA11" s="92"/>
      <c r="AB11" s="102"/>
      <c r="AC11" s="105"/>
      <c r="AD11" s="102"/>
      <c r="AE11" s="92"/>
      <c r="AF11" s="102"/>
    </row>
    <row r="12" spans="1:35" x14ac:dyDescent="0.25">
      <c r="A12" s="126">
        <v>44094</v>
      </c>
      <c r="B12" s="105">
        <v>0.18</v>
      </c>
      <c r="C12" s="93">
        <v>-25.98</v>
      </c>
      <c r="D12" s="106">
        <v>553.02</v>
      </c>
      <c r="E12" s="105">
        <v>367.18</v>
      </c>
      <c r="F12" s="101">
        <v>-27.06</v>
      </c>
      <c r="G12" s="105">
        <v>211.62</v>
      </c>
      <c r="H12" s="102">
        <v>1.0900000000000001</v>
      </c>
      <c r="I12" s="105"/>
      <c r="J12" s="102"/>
      <c r="K12" s="105"/>
      <c r="L12" s="102"/>
      <c r="M12" s="105"/>
      <c r="N12" s="102"/>
      <c r="O12" s="92"/>
      <c r="P12" s="102"/>
      <c r="U12" s="100"/>
      <c r="V12" s="105"/>
      <c r="W12" s="93"/>
      <c r="X12" s="106"/>
      <c r="Y12" s="105"/>
      <c r="Z12" s="101"/>
      <c r="AA12" s="92"/>
      <c r="AB12" s="102"/>
      <c r="AC12" s="105"/>
      <c r="AD12" s="102"/>
      <c r="AE12" s="92"/>
      <c r="AF12" s="102"/>
    </row>
    <row r="13" spans="1:35" x14ac:dyDescent="0.25">
      <c r="A13" s="126">
        <v>44116</v>
      </c>
      <c r="B13" s="105">
        <v>0.31</v>
      </c>
      <c r="C13" s="94">
        <v>26.04</v>
      </c>
      <c r="D13" s="106">
        <v>605.37</v>
      </c>
      <c r="E13" s="105">
        <v>367.18</v>
      </c>
      <c r="F13" s="102">
        <v>22.12</v>
      </c>
      <c r="G13" s="105">
        <v>211.62</v>
      </c>
      <c r="H13" s="102">
        <v>3.95</v>
      </c>
      <c r="I13" s="105" t="s">
        <v>110</v>
      </c>
      <c r="J13" s="102"/>
      <c r="K13" s="98"/>
      <c r="L13" s="99"/>
      <c r="M13" s="98"/>
      <c r="N13" s="99"/>
      <c r="O13" s="91"/>
      <c r="P13" s="99"/>
      <c r="Q13" s="80">
        <v>200</v>
      </c>
      <c r="R13" t="s">
        <v>118</v>
      </c>
      <c r="U13" s="100"/>
      <c r="V13" s="105"/>
      <c r="W13" s="94"/>
      <c r="X13" s="106"/>
      <c r="Y13" s="105"/>
      <c r="Z13" s="102"/>
      <c r="AA13" s="92"/>
      <c r="AB13" s="102"/>
      <c r="AC13" s="105"/>
      <c r="AD13" s="102"/>
      <c r="AE13" s="91"/>
      <c r="AF13" s="99"/>
      <c r="AG13" s="88"/>
    </row>
    <row r="14" spans="1:35" x14ac:dyDescent="0.25">
      <c r="A14" s="126">
        <v>44124</v>
      </c>
      <c r="B14" s="105">
        <v>0.13</v>
      </c>
      <c r="C14" s="94">
        <v>27.47</v>
      </c>
      <c r="D14" s="106">
        <v>848.25</v>
      </c>
      <c r="E14" s="105">
        <v>409.02</v>
      </c>
      <c r="F14" s="102">
        <v>12.82</v>
      </c>
      <c r="G14" s="105">
        <v>211.62</v>
      </c>
      <c r="H14" s="102">
        <v>7</v>
      </c>
      <c r="I14" s="105">
        <v>200</v>
      </c>
      <c r="J14" s="102">
        <v>7.67</v>
      </c>
      <c r="K14" s="105"/>
      <c r="L14" s="102"/>
      <c r="M14" s="105"/>
      <c r="N14" s="102"/>
      <c r="O14" s="92"/>
      <c r="P14" s="102"/>
      <c r="U14" s="100"/>
      <c r="V14" s="105"/>
      <c r="W14" s="94"/>
      <c r="X14" s="106"/>
      <c r="Y14" s="105"/>
      <c r="Z14" s="102"/>
      <c r="AA14" s="92"/>
      <c r="AB14" s="102"/>
      <c r="AC14" s="105"/>
      <c r="AD14" s="102"/>
      <c r="AE14" s="92"/>
      <c r="AF14" s="102"/>
    </row>
    <row r="15" spans="1:35" x14ac:dyDescent="0.25">
      <c r="A15" s="126">
        <v>44199</v>
      </c>
      <c r="B15" s="105">
        <v>0.16</v>
      </c>
      <c r="C15" s="94">
        <v>52.27</v>
      </c>
      <c r="D15" s="106">
        <v>873.16</v>
      </c>
      <c r="E15" s="105">
        <v>409.02</v>
      </c>
      <c r="F15" s="102">
        <v>31.29</v>
      </c>
      <c r="G15" s="105">
        <v>211.62</v>
      </c>
      <c r="H15" s="102">
        <v>7.83</v>
      </c>
      <c r="I15" s="105">
        <v>200</v>
      </c>
      <c r="J15" s="102">
        <v>13.26</v>
      </c>
      <c r="K15" s="105" t="s">
        <v>113</v>
      </c>
      <c r="L15" s="102"/>
      <c r="M15" s="105"/>
      <c r="N15" s="102"/>
      <c r="O15" s="92"/>
      <c r="P15" s="102"/>
      <c r="Q15" s="88" t="s">
        <v>111</v>
      </c>
      <c r="U15" s="100"/>
      <c r="V15" s="105"/>
      <c r="W15" s="94"/>
      <c r="X15" s="106"/>
      <c r="Y15" s="105"/>
      <c r="Z15" s="102"/>
      <c r="AA15" s="92"/>
      <c r="AB15" s="102"/>
      <c r="AC15" s="105"/>
      <c r="AD15" s="102"/>
      <c r="AE15" s="92"/>
      <c r="AF15" s="102"/>
      <c r="AG15" s="88"/>
    </row>
    <row r="16" spans="1:35" x14ac:dyDescent="0.25">
      <c r="A16" s="126">
        <v>44221</v>
      </c>
      <c r="B16" s="105">
        <v>0</v>
      </c>
      <c r="C16" s="94">
        <v>20.2</v>
      </c>
      <c r="D16" s="106">
        <v>953.22</v>
      </c>
      <c r="E16" s="105">
        <v>462.86</v>
      </c>
      <c r="F16" s="101">
        <v>-0.43</v>
      </c>
      <c r="G16" s="105"/>
      <c r="H16" s="102"/>
      <c r="I16" s="105">
        <v>420.08</v>
      </c>
      <c r="J16" s="102">
        <v>29.04</v>
      </c>
      <c r="K16" s="105">
        <v>50</v>
      </c>
      <c r="L16" s="101">
        <v>-8.14</v>
      </c>
      <c r="M16" s="105"/>
      <c r="N16" s="101"/>
      <c r="O16" s="92"/>
      <c r="P16" s="101"/>
      <c r="Q16" s="80">
        <v>50</v>
      </c>
      <c r="R16" t="s">
        <v>117</v>
      </c>
      <c r="S16" s="89">
        <v>160783</v>
      </c>
      <c r="U16" s="100"/>
      <c r="V16" s="105"/>
      <c r="W16" s="94"/>
      <c r="X16" s="106"/>
      <c r="Y16" s="105"/>
      <c r="Z16" s="101"/>
      <c r="AA16" s="92"/>
      <c r="AB16" s="102"/>
      <c r="AC16" s="105"/>
      <c r="AD16" s="102"/>
      <c r="AE16" s="92"/>
      <c r="AF16" s="101"/>
      <c r="AG16" s="111"/>
      <c r="AI16" s="89"/>
    </row>
    <row r="17" spans="1:32" ht="15.75" thickBot="1" x14ac:dyDescent="0.3">
      <c r="A17" s="127">
        <v>44286</v>
      </c>
      <c r="B17" s="105">
        <v>0.17</v>
      </c>
      <c r="C17" s="94">
        <v>16.559999999999999</v>
      </c>
      <c r="D17" s="106">
        <v>1036.6500000000001</v>
      </c>
      <c r="E17" s="105">
        <v>617.86</v>
      </c>
      <c r="F17" s="102">
        <v>28.85</v>
      </c>
      <c r="G17" s="105"/>
      <c r="H17" s="102"/>
      <c r="I17" s="105">
        <v>401.01</v>
      </c>
      <c r="J17" s="101">
        <v>-12.11</v>
      </c>
      <c r="K17" s="105">
        <v>50</v>
      </c>
      <c r="L17" s="102">
        <f>K17*1.11</f>
        <v>55.500000000000007</v>
      </c>
      <c r="M17" s="105"/>
      <c r="N17" s="102"/>
      <c r="O17" s="92"/>
      <c r="P17" s="102"/>
      <c r="U17" s="48"/>
      <c r="V17" s="107"/>
      <c r="W17" s="103"/>
      <c r="X17" s="108"/>
      <c r="Y17" s="107"/>
      <c r="Z17" s="109"/>
      <c r="AA17" s="112"/>
      <c r="AB17" s="109"/>
      <c r="AC17" s="107"/>
      <c r="AD17" s="104"/>
      <c r="AE17" s="112"/>
      <c r="AF17" s="109"/>
    </row>
    <row r="18" spans="1:32" x14ac:dyDescent="0.25">
      <c r="A18" s="127">
        <v>44288</v>
      </c>
      <c r="B18" s="46">
        <v>0.01</v>
      </c>
      <c r="C18" s="94">
        <v>35.53</v>
      </c>
      <c r="D18" s="106">
        <v>1991.59</v>
      </c>
      <c r="E18" s="105">
        <v>1004.02</v>
      </c>
      <c r="F18" s="102">
        <v>45.81</v>
      </c>
      <c r="G18" s="105"/>
      <c r="H18" s="102"/>
      <c r="I18" s="105">
        <v>401.01</v>
      </c>
      <c r="J18" s="101">
        <v>-8.16</v>
      </c>
      <c r="K18" s="105"/>
      <c r="L18" s="102"/>
      <c r="M18" s="105"/>
      <c r="N18" s="102"/>
      <c r="O18" s="92"/>
      <c r="P18" s="102"/>
      <c r="Q18" s="80">
        <f>AE4+AE5</f>
        <v>936.7</v>
      </c>
      <c r="R18" t="s">
        <v>125</v>
      </c>
    </row>
    <row r="19" spans="1:32" x14ac:dyDescent="0.25">
      <c r="A19" s="127">
        <v>44297</v>
      </c>
      <c r="B19" s="46">
        <v>7.0000000000000007E-2</v>
      </c>
      <c r="C19" s="94">
        <v>56.26</v>
      </c>
      <c r="D19" s="106">
        <v>2012.85</v>
      </c>
      <c r="E19" s="105">
        <v>1004.02</v>
      </c>
      <c r="F19" s="102">
        <v>60.85</v>
      </c>
      <c r="G19" s="105"/>
      <c r="H19" s="102"/>
      <c r="I19" s="105">
        <v>401.01</v>
      </c>
      <c r="J19" s="101">
        <v>-5.27</v>
      </c>
      <c r="K19" s="105"/>
      <c r="L19" s="102"/>
      <c r="M19" s="105"/>
      <c r="N19" s="102"/>
      <c r="O19" s="92"/>
      <c r="P19" s="102"/>
      <c r="Q19" s="80"/>
    </row>
    <row r="20" spans="1:32" ht="15.75" thickBot="1" x14ac:dyDescent="0.3">
      <c r="A20" s="128">
        <v>44301</v>
      </c>
      <c r="B20" s="107">
        <v>32.03</v>
      </c>
      <c r="C20" s="103">
        <v>52.39</v>
      </c>
      <c r="D20" s="108">
        <v>2237.77</v>
      </c>
      <c r="E20" s="107">
        <v>1004.02</v>
      </c>
      <c r="F20" s="109">
        <v>65.47</v>
      </c>
      <c r="G20" s="107"/>
      <c r="H20" s="109"/>
      <c r="I20" s="107">
        <v>401.01</v>
      </c>
      <c r="J20" s="104">
        <v>-2.46</v>
      </c>
      <c r="K20" s="107"/>
      <c r="L20" s="109"/>
      <c r="M20" s="107">
        <v>70</v>
      </c>
      <c r="N20" s="109">
        <v>20</v>
      </c>
      <c r="O20" s="112">
        <v>57</v>
      </c>
      <c r="P20" s="104">
        <v>-6.21</v>
      </c>
      <c r="Q20" s="89">
        <v>200</v>
      </c>
      <c r="R20" t="s">
        <v>129</v>
      </c>
    </row>
    <row r="21" spans="1:32" ht="15.75" thickBot="1" x14ac:dyDescent="0.3">
      <c r="A21" s="128">
        <v>44465</v>
      </c>
      <c r="B21" s="107">
        <v>1.97</v>
      </c>
      <c r="C21" s="141">
        <v>-37</v>
      </c>
      <c r="D21" s="108">
        <v>2412.75</v>
      </c>
      <c r="E21" s="107">
        <v>1204.1300000000001</v>
      </c>
      <c r="F21" s="109">
        <v>85.95</v>
      </c>
      <c r="G21" s="107"/>
      <c r="H21" s="109"/>
      <c r="I21" s="107"/>
      <c r="J21" s="104"/>
      <c r="K21" s="107"/>
      <c r="L21" s="109"/>
      <c r="M21" s="107"/>
      <c r="N21" s="109"/>
      <c r="O21" s="112"/>
      <c r="P21" s="104"/>
      <c r="Q21" s="89">
        <v>200</v>
      </c>
      <c r="R21" t="s">
        <v>129</v>
      </c>
    </row>
    <row r="22" spans="1:32" x14ac:dyDescent="0.25">
      <c r="A22" s="90"/>
      <c r="B22" s="92"/>
      <c r="C22" s="94"/>
      <c r="D22" s="92"/>
      <c r="E22" s="92"/>
      <c r="F22" s="94"/>
      <c r="G22" s="92"/>
      <c r="H22" s="94"/>
      <c r="I22" s="92"/>
      <c r="J22" s="93"/>
      <c r="K22" s="92"/>
      <c r="L22" s="94"/>
      <c r="M22" s="92"/>
      <c r="N22" s="94"/>
      <c r="O22" s="92"/>
      <c r="P22" s="93"/>
      <c r="Q22" s="89"/>
    </row>
    <row r="23" spans="1:32" x14ac:dyDescent="0.25">
      <c r="D23" t="s">
        <v>126</v>
      </c>
      <c r="E23" t="s">
        <v>127</v>
      </c>
    </row>
    <row r="24" spans="1:32" x14ac:dyDescent="0.25">
      <c r="A24" t="s">
        <v>116</v>
      </c>
      <c r="C24" s="90">
        <v>44009</v>
      </c>
      <c r="D24" s="110">
        <f>D21-D4-Q13-Q20-Q21-(Q18/3500*1.2)+Q16</f>
        <v>1380.8188457142855</v>
      </c>
      <c r="E24" s="120">
        <f>(E17+200)/E18</f>
        <v>0.81458536682536209</v>
      </c>
    </row>
    <row r="25" spans="1:32" x14ac:dyDescent="0.25">
      <c r="A25" t="s">
        <v>115</v>
      </c>
      <c r="C25" s="90">
        <v>44465</v>
      </c>
      <c r="D25" s="110">
        <f>D24/(C25-C24)*30</f>
        <v>90.843345112781947</v>
      </c>
    </row>
  </sheetData>
  <mergeCells count="10">
    <mergeCell ref="AA2:AB2"/>
    <mergeCell ref="AC2:AD2"/>
    <mergeCell ref="AE2:AF2"/>
    <mergeCell ref="E2:F2"/>
    <mergeCell ref="G2:H2"/>
    <mergeCell ref="I2:J2"/>
    <mergeCell ref="K2:L2"/>
    <mergeCell ref="Y2:Z2"/>
    <mergeCell ref="M2:N2"/>
    <mergeCell ref="O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Semanal</vt:lpstr>
      <vt:lpstr>Credito</vt:lpstr>
      <vt:lpstr>Miel</vt:lpstr>
      <vt:lpstr>Totales</vt:lpstr>
      <vt:lpstr>Discriminados</vt:lpstr>
      <vt:lpstr>Total YouTube</vt:lpstr>
      <vt:lpstr>e-toro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</dc:creator>
  <cp:lastModifiedBy>Juan Manuel Acevedo</cp:lastModifiedBy>
  <dcterms:created xsi:type="dcterms:W3CDTF">2019-10-25T01:15:31Z</dcterms:created>
  <dcterms:modified xsi:type="dcterms:W3CDTF">2022-08-01T03:46:45Z</dcterms:modified>
</cp:coreProperties>
</file>