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mamg\OneDrive\Documentos\"/>
    </mc:Choice>
  </mc:AlternateContent>
  <xr:revisionPtr revIDLastSave="0" documentId="13_ncr:1_{D575859A-19B1-4D0D-B89F-773A5E59B354}" xr6:coauthVersionLast="46" xr6:coauthVersionMax="46" xr10:uidLastSave="{00000000-0000-0000-0000-000000000000}"/>
  <bookViews>
    <workbookView xWindow="-120" yWindow="-120" windowWidth="20730" windowHeight="11040" activeTab="6" xr2:uid="{00000000-000D-0000-FFFF-FFFF00000000}"/>
  </bookViews>
  <sheets>
    <sheet name="Hoja1" sheetId="1" r:id="rId1"/>
    <sheet name="Pedido Prostbier 29ene21" sheetId="2" r:id="rId2"/>
    <sheet name="MATERIAS PRIMAS" sheetId="3" r:id="rId3"/>
    <sheet name="AMBAR" sheetId="5" r:id="rId4"/>
    <sheet name="RUBIA" sheetId="6" r:id="rId5"/>
    <sheet name="STOUT" sheetId="7" r:id="rId6"/>
    <sheet name="Hoja2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7" l="1"/>
  <c r="D18" i="7" s="1"/>
  <c r="B17" i="6"/>
  <c r="D17" i="6" s="1"/>
  <c r="G11" i="5"/>
  <c r="B17" i="5"/>
  <c r="D17" i="5" s="1"/>
  <c r="E35" i="3"/>
  <c r="B17" i="7"/>
  <c r="D17" i="7" s="1"/>
  <c r="E25" i="3"/>
  <c r="E6" i="3"/>
  <c r="D6" i="3"/>
  <c r="E5" i="3"/>
  <c r="D5" i="3"/>
  <c r="D4" i="3"/>
  <c r="E4" i="3"/>
  <c r="E3" i="3"/>
  <c r="D3" i="3"/>
  <c r="B14" i="5"/>
  <c r="B15" i="7"/>
  <c r="D15" i="7" s="1"/>
  <c r="B14" i="7"/>
  <c r="D14" i="7" s="1"/>
  <c r="E27" i="3" l="1"/>
  <c r="B16" i="6" s="1"/>
  <c r="D16" i="6" s="1"/>
  <c r="E16" i="3"/>
  <c r="D18" i="3"/>
  <c r="E26" i="3"/>
  <c r="B9" i="7" s="1"/>
  <c r="D9" i="7" s="1"/>
  <c r="E24" i="3"/>
  <c r="D51" i="1"/>
  <c r="B75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L82" i="1" s="1"/>
  <c r="E71" i="1"/>
  <c r="D71" i="1"/>
  <c r="C71" i="1"/>
  <c r="J70" i="1"/>
  <c r="I70" i="1"/>
  <c r="H70" i="1"/>
  <c r="G70" i="1"/>
  <c r="F70" i="1"/>
  <c r="J81" i="1" s="1"/>
  <c r="E70" i="1"/>
  <c r="D70" i="1"/>
  <c r="C70" i="1"/>
  <c r="K77" i="1" s="1"/>
  <c r="J69" i="1"/>
  <c r="I69" i="1"/>
  <c r="H69" i="1"/>
  <c r="G69" i="1"/>
  <c r="F69" i="1"/>
  <c r="L80" i="1" s="1"/>
  <c r="E69" i="1"/>
  <c r="D69" i="1"/>
  <c r="C69" i="1"/>
  <c r="J68" i="1"/>
  <c r="I68" i="1"/>
  <c r="H68" i="1"/>
  <c r="G68" i="1"/>
  <c r="F68" i="1"/>
  <c r="J79" i="1" s="1"/>
  <c r="E68" i="1"/>
  <c r="D68" i="1"/>
  <c r="C68" i="1"/>
  <c r="J67" i="1"/>
  <c r="I67" i="1"/>
  <c r="H67" i="1"/>
  <c r="G67" i="1"/>
  <c r="F67" i="1"/>
  <c r="L78" i="1" s="1"/>
  <c r="E67" i="1"/>
  <c r="D67" i="1"/>
  <c r="C67" i="1"/>
  <c r="H60" i="1"/>
  <c r="I60" i="1" s="1"/>
  <c r="J60" i="1" s="1"/>
  <c r="G60" i="1"/>
  <c r="D60" i="1"/>
  <c r="E60" i="1" s="1"/>
  <c r="F60" i="1" s="1"/>
  <c r="C60" i="1"/>
  <c r="J59" i="1"/>
  <c r="I59" i="1"/>
  <c r="H59" i="1"/>
  <c r="G59" i="1"/>
  <c r="F59" i="1"/>
  <c r="E59" i="1"/>
  <c r="D59" i="1"/>
  <c r="C59" i="1"/>
  <c r="G58" i="1"/>
  <c r="H58" i="1" s="1"/>
  <c r="H62" i="1" s="1"/>
  <c r="H63" i="1" s="1"/>
  <c r="H64" i="1" s="1"/>
  <c r="D58" i="1"/>
  <c r="D62" i="1" s="1"/>
  <c r="D63" i="1" s="1"/>
  <c r="D64" i="1" s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C51" i="1"/>
  <c r="B11" i="7" l="1"/>
  <c r="D11" i="7" s="1"/>
  <c r="B8" i="6"/>
  <c r="J77" i="1"/>
  <c r="K74" i="1" s="1"/>
  <c r="G77" i="1"/>
  <c r="E78" i="1"/>
  <c r="I78" i="1"/>
  <c r="C79" i="1"/>
  <c r="G79" i="1"/>
  <c r="K79" i="1"/>
  <c r="E80" i="1"/>
  <c r="I80" i="1"/>
  <c r="C62" i="1"/>
  <c r="C63" i="1" s="1"/>
  <c r="C64" i="1" s="1"/>
  <c r="C81" i="1"/>
  <c r="G81" i="1"/>
  <c r="K81" i="1"/>
  <c r="G62" i="1"/>
  <c r="G63" i="1" s="1"/>
  <c r="G64" i="1" s="1"/>
  <c r="E82" i="1"/>
  <c r="I82" i="1"/>
  <c r="E58" i="1"/>
  <c r="F58" i="1" s="1"/>
  <c r="F62" i="1" s="1"/>
  <c r="F63" i="1" s="1"/>
  <c r="F64" i="1" s="1"/>
  <c r="I58" i="1"/>
  <c r="J58" i="1" s="1"/>
  <c r="J62" i="1" s="1"/>
  <c r="J63" i="1" s="1"/>
  <c r="J64" i="1" s="1"/>
  <c r="D77" i="1"/>
  <c r="H77" i="1"/>
  <c r="L77" i="1"/>
  <c r="F78" i="1"/>
  <c r="J78" i="1"/>
  <c r="D79" i="1"/>
  <c r="H79" i="1"/>
  <c r="L79" i="1"/>
  <c r="F80" i="1"/>
  <c r="J80" i="1"/>
  <c r="D81" i="1"/>
  <c r="H81" i="1"/>
  <c r="L81" i="1"/>
  <c r="F82" i="1"/>
  <c r="J82" i="1"/>
  <c r="E77" i="1"/>
  <c r="I77" i="1"/>
  <c r="C78" i="1"/>
  <c r="G78" i="1"/>
  <c r="K78" i="1"/>
  <c r="E79" i="1"/>
  <c r="I79" i="1"/>
  <c r="C80" i="1"/>
  <c r="G80" i="1"/>
  <c r="K80" i="1"/>
  <c r="E81" i="1"/>
  <c r="I81" i="1"/>
  <c r="C82" i="1"/>
  <c r="G82" i="1"/>
  <c r="K82" i="1"/>
  <c r="F77" i="1"/>
  <c r="D78" i="1"/>
  <c r="H78" i="1"/>
  <c r="F79" i="1"/>
  <c r="D80" i="1"/>
  <c r="H80" i="1"/>
  <c r="F81" i="1"/>
  <c r="D82" i="1"/>
  <c r="H82" i="1"/>
  <c r="I62" i="1" l="1"/>
  <c r="I63" i="1" s="1"/>
  <c r="I64" i="1" s="1"/>
  <c r="E62" i="1"/>
  <c r="E63" i="1" s="1"/>
  <c r="E64" i="1" s="1"/>
  <c r="G4" i="1" l="1"/>
  <c r="H16" i="1" l="1"/>
  <c r="H15" i="1"/>
  <c r="H14" i="1"/>
  <c r="H13" i="1"/>
  <c r="H12" i="1"/>
  <c r="E2" i="2"/>
  <c r="B9" i="6" l="1"/>
  <c r="D9" i="6" s="1"/>
  <c r="D8" i="6"/>
  <c r="B10" i="5"/>
  <c r="E31" i="3"/>
  <c r="E23" i="3"/>
  <c r="B4" i="7"/>
  <c r="D4" i="7" s="1"/>
  <c r="E22" i="3"/>
  <c r="E21" i="3"/>
  <c r="B12" i="7" l="1"/>
  <c r="D12" i="7" s="1"/>
  <c r="B11" i="6"/>
  <c r="D11" i="6" s="1"/>
  <c r="C46" i="2"/>
  <c r="B14" i="6" l="1"/>
  <c r="D14" i="6" s="1"/>
  <c r="B13" i="6"/>
  <c r="D13" i="6" s="1"/>
  <c r="B15" i="5"/>
  <c r="D15" i="5" s="1"/>
  <c r="D14" i="5"/>
  <c r="E15" i="3"/>
  <c r="E11" i="2"/>
  <c r="B12" i="5" l="1"/>
  <c r="D12" i="5" s="1"/>
  <c r="B10" i="7"/>
  <c r="D10" i="7" s="1"/>
  <c r="E30" i="3"/>
  <c r="E29" i="3"/>
  <c r="B20" i="3"/>
  <c r="E20" i="3" s="1"/>
  <c r="E19" i="3"/>
  <c r="B13" i="7" s="1"/>
  <c r="D13" i="7" s="1"/>
  <c r="E18" i="3"/>
  <c r="B11" i="5" s="1"/>
  <c r="D11" i="5" s="1"/>
  <c r="E17" i="3"/>
  <c r="B10" i="6"/>
  <c r="D10" i="6" s="1"/>
  <c r="E7" i="3"/>
  <c r="E8" i="3"/>
  <c r="E9" i="3"/>
  <c r="B8" i="7" s="1"/>
  <c r="D8" i="7" s="1"/>
  <c r="E10" i="3"/>
  <c r="E11" i="3"/>
  <c r="E12" i="3"/>
  <c r="B4" i="6" s="1"/>
  <c r="D4" i="6" s="1"/>
  <c r="E13" i="3"/>
  <c r="E14" i="3"/>
  <c r="E3" i="2"/>
  <c r="E4" i="2"/>
  <c r="E5" i="2"/>
  <c r="E6" i="2"/>
  <c r="E7" i="2"/>
  <c r="E8" i="2"/>
  <c r="E9" i="2"/>
  <c r="E10" i="2"/>
  <c r="E12" i="2"/>
  <c r="E13" i="2"/>
  <c r="E14" i="2"/>
  <c r="E15" i="2"/>
  <c r="D19" i="3"/>
  <c r="D17" i="3"/>
  <c r="D16" i="3"/>
  <c r="D15" i="3"/>
  <c r="D14" i="3"/>
  <c r="D13" i="3"/>
  <c r="D12" i="3"/>
  <c r="D11" i="3"/>
  <c r="D10" i="3"/>
  <c r="D9" i="3"/>
  <c r="D8" i="3"/>
  <c r="D7" i="3"/>
  <c r="C44" i="2"/>
  <c r="C20" i="2"/>
  <c r="C40" i="2" s="1"/>
  <c r="C39" i="2"/>
  <c r="C38" i="2"/>
  <c r="C37" i="2"/>
  <c r="B7" i="7" l="1"/>
  <c r="D7" i="7" s="1"/>
  <c r="B15" i="6"/>
  <c r="D15" i="6" s="1"/>
  <c r="B16" i="5"/>
  <c r="D16" i="5" s="1"/>
  <c r="B16" i="7"/>
  <c r="D16" i="7" s="1"/>
  <c r="B4" i="5"/>
  <c r="D4" i="5" s="1"/>
  <c r="B5" i="7"/>
  <c r="D5" i="7" s="1"/>
  <c r="B5" i="5"/>
  <c r="D5" i="5" s="1"/>
  <c r="B6" i="7"/>
  <c r="D6" i="7" s="1"/>
  <c r="C47" i="2"/>
  <c r="C48" i="2" s="1"/>
  <c r="E16" i="2"/>
  <c r="I4" i="2" s="1"/>
  <c r="B13" i="5"/>
  <c r="D13" i="5" s="1"/>
  <c r="B12" i="6"/>
  <c r="D12" i="6" s="1"/>
  <c r="B7" i="5"/>
  <c r="D7" i="5" s="1"/>
  <c r="B6" i="6"/>
  <c r="D6" i="6" s="1"/>
  <c r="D10" i="5"/>
  <c r="B6" i="5"/>
  <c r="D6" i="5" s="1"/>
  <c r="B5" i="6"/>
  <c r="D5" i="6" s="1"/>
  <c r="B7" i="6"/>
  <c r="D7" i="6" s="1"/>
  <c r="B8" i="5"/>
  <c r="D8" i="5" s="1"/>
  <c r="B9" i="5"/>
  <c r="D9" i="5" s="1"/>
  <c r="C54" i="2"/>
  <c r="D54" i="2" s="1"/>
  <c r="C51" i="2"/>
  <c r="D51" i="2" s="1"/>
  <c r="C52" i="2"/>
  <c r="D52" i="2" s="1"/>
  <c r="C53" i="2"/>
  <c r="D53" i="2" s="1"/>
  <c r="I3" i="2"/>
  <c r="G3" i="7" l="1"/>
  <c r="G7" i="7" s="1"/>
  <c r="G11" i="7" s="1"/>
  <c r="G3" i="6"/>
  <c r="G7" i="6" s="1"/>
  <c r="G3" i="5"/>
  <c r="G7" i="5" s="1"/>
  <c r="I2" i="2"/>
  <c r="I6" i="2" s="1"/>
  <c r="G10" i="6" l="1"/>
  <c r="F30" i="1" l="1"/>
  <c r="F22" i="1" l="1"/>
  <c r="F23" i="1"/>
  <c r="F24" i="1"/>
  <c r="F25" i="1"/>
  <c r="F26" i="1"/>
  <c r="F27" i="1"/>
  <c r="F28" i="1"/>
  <c r="F29" i="1"/>
  <c r="F31" i="1"/>
  <c r="F21" i="1"/>
  <c r="F32" i="1" l="1"/>
  <c r="C13" i="1"/>
  <c r="C18" i="1" s="1"/>
  <c r="F34" i="1" l="1"/>
  <c r="G3" i="1" s="1"/>
  <c r="G6" i="1" s="1"/>
  <c r="G9" i="1" s="1"/>
</calcChain>
</file>

<file path=xl/sharedStrings.xml><?xml version="1.0" encoding="utf-8"?>
<sst xmlns="http://schemas.openxmlformats.org/spreadsheetml/2006/main" count="236" uniqueCount="142">
  <si>
    <t>Curso de cerveza ProstBier</t>
  </si>
  <si>
    <t>Enfriador de  placas</t>
  </si>
  <si>
    <t>Tapadora Manual</t>
  </si>
  <si>
    <t>Análisis de Agua</t>
  </si>
  <si>
    <t>Equipo para Cerveza distrines</t>
  </si>
  <si>
    <t>Costo</t>
  </si>
  <si>
    <t>Equipos</t>
  </si>
  <si>
    <t>Juanma</t>
  </si>
  <si>
    <t>Juanda</t>
  </si>
  <si>
    <t>Aportes de Cada uno</t>
  </si>
  <si>
    <t>Quemadores de gas</t>
  </si>
  <si>
    <t>accesorios gas</t>
  </si>
  <si>
    <t>Bombas distriness + envio</t>
  </si>
  <si>
    <t xml:space="preserve">escencias y azucares </t>
  </si>
  <si>
    <t>Mangueras y acoples</t>
  </si>
  <si>
    <t xml:space="preserve">botellas </t>
  </si>
  <si>
    <t>Botellas 24 x 4</t>
  </si>
  <si>
    <t>Tapas</t>
  </si>
  <si>
    <t>Costo Total</t>
  </si>
  <si>
    <t>Costo Unitario</t>
  </si>
  <si>
    <t>Recuperar inversion 30 baches</t>
  </si>
  <si>
    <t>Malta pilsen Best Malz 3 - 4,9 EBC 1,6 - 2,3 L Kg</t>
  </si>
  <si>
    <t>Malta Caramel Munich III Best Malz 131 - 200 EBC 50 - 76 L Kg</t>
  </si>
  <si>
    <t>Malta Chocolate Best Malz 800 - 1000 EBC 300 - 380 Kg</t>
  </si>
  <si>
    <t>Lúpulo cascade 6,3%  aa CROP 2019 USA</t>
  </si>
  <si>
    <t>Lúpulo Mandarina Bavaria 7,2% aa CROP 2018 Alemania</t>
  </si>
  <si>
    <t>Lúpulo Northern Brewer 5,4% aa CROP 2019 Alemania</t>
  </si>
  <si>
    <t>Lúpulo Perle 5,8% aa CROP 2018 Alemania</t>
  </si>
  <si>
    <t>Levadura Safale T58 Sobre 11g</t>
  </si>
  <si>
    <t>Bolsa filtradora de macerado para Olla de 38,5 litros 40/30</t>
  </si>
  <si>
    <t>clarificante whirflog tabletas 1 rinde 5 galones</t>
  </si>
  <si>
    <t>ITEM</t>
  </si>
  <si>
    <t>PRECIO</t>
  </si>
  <si>
    <t xml:space="preserve">UNIDAD </t>
  </si>
  <si>
    <t>Subtotal</t>
  </si>
  <si>
    <t>TOTAL menos 5% descuento</t>
  </si>
  <si>
    <t>Envío</t>
  </si>
  <si>
    <t>Domicilio</t>
  </si>
  <si>
    <t>Estructura con quemadores</t>
  </si>
  <si>
    <t>accesorios gas adicionales</t>
  </si>
  <si>
    <t>Colador</t>
  </si>
  <si>
    <t>Aerosol</t>
  </si>
  <si>
    <t>Costo de producción 43 botellas</t>
  </si>
  <si>
    <t>400 g malta chocolate</t>
  </si>
  <si>
    <t>595 g malta Caramel Munich III</t>
  </si>
  <si>
    <t xml:space="preserve">4078g Malta Pilsen Best Malz </t>
  </si>
  <si>
    <t>Gas + Agua +Energía</t>
  </si>
  <si>
    <t xml:space="preserve">Azucar + saborizante </t>
  </si>
  <si>
    <t xml:space="preserve">Sticker </t>
  </si>
  <si>
    <t>27 g Lúpulo cascade 6,3%  aa CROP 2019 USA</t>
  </si>
  <si>
    <t>Pago inicial para diseño del logo de la marca</t>
  </si>
  <si>
    <t>Prostbier</t>
  </si>
  <si>
    <t>Distriness</t>
  </si>
  <si>
    <t>1 a 24</t>
  </si>
  <si>
    <t>25 a 499</t>
  </si>
  <si>
    <t>&gt;500</t>
  </si>
  <si>
    <t>25 a 299</t>
  </si>
  <si>
    <t>&gt;300</t>
  </si>
  <si>
    <t>Kg</t>
  </si>
  <si>
    <t>500 g</t>
  </si>
  <si>
    <t xml:space="preserve">Cuantas botellas para </t>
  </si>
  <si>
    <t>Numero de Lotes según el tamaño de las OLLAS en litros</t>
  </si>
  <si>
    <t>Litros</t>
  </si>
  <si>
    <t>Numero de botellas</t>
  </si>
  <si>
    <t>Numero de Lotes para $1.000.000</t>
  </si>
  <si>
    <t>Numero de Lotes para $2.000.000</t>
  </si>
  <si>
    <t>Numero de Lotes para $3.000.000</t>
  </si>
  <si>
    <t>Numero de Lotes para $4.000.000</t>
  </si>
  <si>
    <t>Numero de Lotes para $5.000.000</t>
  </si>
  <si>
    <t>Malta pilsen Fuglsang 3,0 - 4,2 EBC</t>
  </si>
  <si>
    <t>Precio</t>
  </si>
  <si>
    <t>cantidad</t>
  </si>
  <si>
    <t>subtotal</t>
  </si>
  <si>
    <t>Malta pale ale Fuglsang 6,0 - 10,0 EBC</t>
  </si>
  <si>
    <t>Malta Melanoidin Best Malz 61 - 80 EBC 23 - 31 L Kg</t>
  </si>
  <si>
    <t>Malta Caramel Munich III Best Malz 131 - 200 EBC 50 - 76 Kg</t>
  </si>
  <si>
    <t>Malta Black Extra Best Malz 1300 - 1500 EBC 490 - 570 Kg</t>
  </si>
  <si>
    <t>Malta Trigo Best Malz 3,5 -6 EBC 1,8 - 2,7 L KG</t>
  </si>
  <si>
    <t>Malta trigo oscuro Best Malz 16 - 20 EBC 6,5 a 8 L Kg</t>
  </si>
  <si>
    <t>Malta Smoked Best Malz 3 - 8 EBC 1,6 - 3,5 L Kg</t>
  </si>
  <si>
    <t>Lúpulo Cascade 8,3% aa Crop 2019 USA</t>
  </si>
  <si>
    <t>Levadura Safale S-04 sobre 11g</t>
  </si>
  <si>
    <t>Levadura Saftbrew BE 256 Abbaye Sobre 11g</t>
  </si>
  <si>
    <t>Levadura Safale T 58 500 g</t>
  </si>
  <si>
    <t>Clarificante Whirflog Tabletas 1 rinde 5 gal</t>
  </si>
  <si>
    <t>TOTAL</t>
  </si>
  <si>
    <t>15 cajas de botellas 330 ml Unicor con tapa</t>
  </si>
  <si>
    <t>Cada uno</t>
  </si>
  <si>
    <t xml:space="preserve">Juanda </t>
  </si>
  <si>
    <t xml:space="preserve">Juanma </t>
  </si>
  <si>
    <t>Juanma debe</t>
  </si>
  <si>
    <t>Juanda debe</t>
  </si>
  <si>
    <t>Envio</t>
  </si>
  <si>
    <t>Malta chocolate</t>
  </si>
  <si>
    <t>Malta Caramel Munich III</t>
  </si>
  <si>
    <t xml:space="preserve">Malta Pilsen Best Malz </t>
  </si>
  <si>
    <t>Unitario</t>
  </si>
  <si>
    <t>Total</t>
  </si>
  <si>
    <t xml:space="preserve">Venta </t>
  </si>
  <si>
    <t>ganancia</t>
  </si>
  <si>
    <t>costo por gr</t>
  </si>
  <si>
    <t>botella ambar 330ml con tapa</t>
  </si>
  <si>
    <t>gas</t>
  </si>
  <si>
    <t>agua</t>
  </si>
  <si>
    <t>azucar</t>
  </si>
  <si>
    <t>saborizante</t>
  </si>
  <si>
    <t>sanitizante</t>
  </si>
  <si>
    <t>materia prima</t>
  </si>
  <si>
    <t>costo por gramo</t>
  </si>
  <si>
    <t>cantidad usada</t>
  </si>
  <si>
    <t>Columna1</t>
  </si>
  <si>
    <t>costo total</t>
  </si>
  <si>
    <t>costo global de la receta</t>
  </si>
  <si>
    <t>total botellas producidas</t>
  </si>
  <si>
    <t>costo unitario cerveza</t>
  </si>
  <si>
    <t>OTROS</t>
  </si>
  <si>
    <t>COSTOS FIJOS</t>
  </si>
  <si>
    <t>PRECIO DE VENTA</t>
  </si>
  <si>
    <t>UTILIDAD NETA LOTE</t>
  </si>
  <si>
    <t>Lúpulo mandarina Bavaria 7,2% Aa crop</t>
  </si>
  <si>
    <t>Lúpulo Northern Brewer 5,4% AA Crop 20</t>
  </si>
  <si>
    <t>Lúpulo Perle 5,8 AA Crop 2018 Alemani</t>
  </si>
  <si>
    <t>Lavador de Botellas</t>
  </si>
  <si>
    <t>filtro para el agua</t>
  </si>
  <si>
    <t>regulador de temperatura nevera</t>
  </si>
  <si>
    <t xml:space="preserve">Escoba + Limpido + Hembra conexion </t>
  </si>
  <si>
    <t>Recarga de pipeta de Gas</t>
  </si>
  <si>
    <t>Instalación de agua PVC</t>
  </si>
  <si>
    <t>Pipeta de gas y regulador</t>
  </si>
  <si>
    <t>Estantería, trapos, accesorios</t>
  </si>
  <si>
    <t>Coca para molienda</t>
  </si>
  <si>
    <t>Malta pilsen Best Malz</t>
  </si>
  <si>
    <t>Lúpulo Cascade 13,7% AA CROP 2021 USA</t>
  </si>
  <si>
    <t>Lúpulo CITRA 13,6% AA CROP 2021 USA</t>
  </si>
  <si>
    <t>Lúpulo Centennial 12,5% AA CROP 2021 USA</t>
  </si>
  <si>
    <t>Avena Don Pancho</t>
  </si>
  <si>
    <t>Ahora viene el cascade pero de 7,3%AA</t>
  </si>
  <si>
    <t>Malta Pale Ale Best Malz 5 - 7 EBC 2,3 - 3,1 L kg</t>
  </si>
  <si>
    <t>Cebada Tostada Roasted Barley 1200 - 1400 EBC 450 - 530 L Kg</t>
  </si>
  <si>
    <t>Malta Caramel Munich II Best Malz 110 - 130 EBC 42 - 49 L Kg</t>
  </si>
  <si>
    <t>Lúpulo Golding 5% aa CROP 2021 USA</t>
  </si>
  <si>
    <t>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</si>
</sst>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&quot;$&quot;\ * #,##0.0_-;\-&quot;$&quot;\ * #,##0.0_-;_-&quot;$&quot;\ 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9">
    <xf numFmtId="0" fontId="0" fillId="0" borderId="0" xfId="0"/>
    <xf numFmtId="42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4" xfId="0" applyBorder="1"/>
    <xf numFmtId="42" fontId="0" fillId="0" borderId="0" xfId="1" applyFont="1" applyBorder="1"/>
    <xf numFmtId="42" fontId="0" fillId="0" borderId="5" xfId="0" applyNumberFormat="1" applyBorder="1"/>
    <xf numFmtId="0" fontId="0" fillId="0" borderId="6" xfId="0" applyBorder="1"/>
    <xf numFmtId="42" fontId="0" fillId="0" borderId="8" xfId="0" applyNumberFormat="1" applyBorder="1"/>
    <xf numFmtId="42" fontId="2" fillId="0" borderId="5" xfId="0" applyNumberFormat="1" applyFont="1" applyBorder="1"/>
    <xf numFmtId="42" fontId="0" fillId="0" borderId="7" xfId="0" applyNumberFormat="1" applyBorder="1"/>
    <xf numFmtId="14" fontId="0" fillId="0" borderId="0" xfId="0" applyNumberFormat="1"/>
    <xf numFmtId="42" fontId="0" fillId="0" borderId="0" xfId="1" applyFont="1" applyFill="1" applyBorder="1"/>
    <xf numFmtId="42" fontId="0" fillId="0" borderId="7" xfId="1" applyFont="1" applyFill="1" applyBorder="1"/>
    <xf numFmtId="0" fontId="0" fillId="0" borderId="1" xfId="0" applyBorder="1"/>
    <xf numFmtId="42" fontId="0" fillId="0" borderId="2" xfId="1" applyFont="1" applyBorder="1"/>
    <xf numFmtId="42" fontId="0" fillId="0" borderId="3" xfId="1" applyFont="1" applyBorder="1"/>
    <xf numFmtId="42" fontId="0" fillId="0" borderId="5" xfId="1" applyFont="1" applyBorder="1"/>
    <xf numFmtId="42" fontId="0" fillId="0" borderId="0" xfId="1" applyFont="1"/>
    <xf numFmtId="0" fontId="0" fillId="0" borderId="0" xfId="1" applyNumberFormat="1" applyFont="1"/>
    <xf numFmtId="0" fontId="0" fillId="0" borderId="0" xfId="1" applyNumberFormat="1" applyFont="1" applyBorder="1"/>
    <xf numFmtId="42" fontId="0" fillId="0" borderId="7" xfId="1" applyFont="1" applyBorder="1"/>
    <xf numFmtId="0" fontId="0" fillId="0" borderId="7" xfId="1" applyNumberFormat="1" applyFont="1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42" fontId="0" fillId="0" borderId="11" xfId="1" applyFont="1" applyBorder="1"/>
    <xf numFmtId="17" fontId="0" fillId="0" borderId="0" xfId="0" applyNumberFormat="1"/>
    <xf numFmtId="42" fontId="0" fillId="0" borderId="1" xfId="1" applyFont="1" applyBorder="1"/>
    <xf numFmtId="42" fontId="0" fillId="0" borderId="4" xfId="1" applyFont="1" applyBorder="1"/>
    <xf numFmtId="42" fontId="0" fillId="0" borderId="4" xfId="0" applyNumberFormat="1" applyBorder="1"/>
    <xf numFmtId="42" fontId="0" fillId="0" borderId="6" xfId="0" applyNumberFormat="1" applyBorder="1"/>
    <xf numFmtId="0" fontId="0" fillId="3" borderId="0" xfId="0" applyFill="1"/>
    <xf numFmtId="42" fontId="0" fillId="3" borderId="0" xfId="1" applyFont="1" applyFill="1" applyBorder="1"/>
    <xf numFmtId="42" fontId="0" fillId="3" borderId="0" xfId="0" applyNumberFormat="1" applyFill="1"/>
    <xf numFmtId="42" fontId="0" fillId="4" borderId="0" xfId="0" applyNumberFormat="1" applyFill="1"/>
    <xf numFmtId="1" fontId="0" fillId="0" borderId="0" xfId="1" applyNumberFormat="1" applyFont="1"/>
    <xf numFmtId="1" fontId="0" fillId="0" borderId="0" xfId="0" applyNumberFormat="1"/>
    <xf numFmtId="1" fontId="0" fillId="0" borderId="12" xfId="0" applyNumberFormat="1" applyBorder="1"/>
    <xf numFmtId="0" fontId="0" fillId="5" borderId="0" xfId="0" applyFill="1"/>
    <xf numFmtId="42" fontId="0" fillId="5" borderId="0" xfId="0" applyNumberFormat="1" applyFill="1"/>
    <xf numFmtId="42" fontId="0" fillId="0" borderId="12" xfId="0" applyNumberFormat="1" applyBorder="1"/>
    <xf numFmtId="0" fontId="0" fillId="0" borderId="0" xfId="0" applyAlignment="1">
      <alignment horizontal="left"/>
    </xf>
    <xf numFmtId="164" fontId="0" fillId="0" borderId="0" xfId="0" applyNumberFormat="1"/>
    <xf numFmtId="0" fontId="5" fillId="6" borderId="13" xfId="0" applyFont="1" applyFill="1" applyBorder="1"/>
    <xf numFmtId="42" fontId="5" fillId="6" borderId="13" xfId="1" applyFont="1" applyFill="1" applyBorder="1"/>
    <xf numFmtId="0" fontId="4" fillId="7" borderId="0" xfId="0" applyFont="1" applyFill="1"/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center" vertical="center"/>
    </xf>
    <xf numFmtId="42" fontId="0" fillId="0" borderId="2" xfId="1" applyFont="1" applyFill="1" applyBorder="1"/>
    <xf numFmtId="42" fontId="0" fillId="0" borderId="3" xfId="0" applyNumberFormat="1" applyBorder="1"/>
    <xf numFmtId="0" fontId="0" fillId="0" borderId="3" xfId="0" applyBorder="1"/>
    <xf numFmtId="42" fontId="0" fillId="0" borderId="3" xfId="1" applyFont="1" applyFill="1" applyBorder="1"/>
    <xf numFmtId="42" fontId="0" fillId="0" borderId="5" xfId="1" applyFont="1" applyFill="1" applyBorder="1"/>
    <xf numFmtId="42" fontId="0" fillId="0" borderId="8" xfId="1" applyFont="1" applyFill="1" applyBorder="1"/>
    <xf numFmtId="0" fontId="4" fillId="0" borderId="11" xfId="0" applyFont="1" applyBorder="1" applyAlignment="1">
      <alignment horizontal="center" vertical="center"/>
    </xf>
    <xf numFmtId="42" fontId="0" fillId="0" borderId="8" xfId="1" applyFont="1" applyBorder="1"/>
    <xf numFmtId="0" fontId="3" fillId="0" borderId="3" xfId="0" applyFont="1" applyBorder="1" applyAlignment="1">
      <alignment horizontal="center" vertical="center"/>
    </xf>
    <xf numFmtId="42" fontId="0" fillId="2" borderId="8" xfId="0" applyNumberFormat="1" applyFill="1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E35" totalsRowShown="0">
  <autoFilter ref="A2:E35" xr:uid="{00000000-0009-0000-0100-000001000000}"/>
  <tableColumns count="5">
    <tableColumn id="1" xr3:uid="{00000000-0010-0000-0000-000001000000}" name="Columna1"/>
    <tableColumn id="2" xr3:uid="{00000000-0010-0000-0000-000002000000}" name="Precio"/>
    <tableColumn id="3" xr3:uid="{00000000-0010-0000-0000-000003000000}" name="cantidad"/>
    <tableColumn id="4" xr3:uid="{00000000-0010-0000-0000-000004000000}" name="subtotal"/>
    <tableColumn id="5" xr3:uid="{00000000-0010-0000-0000-000005000000}" name="costo por gr">
      <calculatedColumnFormula>B3/C3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3:D29" totalsRowShown="0">
  <tableColumns count="4">
    <tableColumn id="1" xr3:uid="{00000000-0010-0000-0100-000001000000}" name="materia prima"/>
    <tableColumn id="2" xr3:uid="{00000000-0010-0000-0100-000002000000}" name="costo por gramo">
      <calculatedColumnFormula>+VLOOKUP(Tabla2[materia prima], Tabla1[#All], 5,FALSE)</calculatedColumnFormula>
    </tableColumn>
    <tableColumn id="3" xr3:uid="{00000000-0010-0000-0100-000003000000}" name="cantidad usada"/>
    <tableColumn id="4" xr3:uid="{00000000-0010-0000-0100-000004000000}" name="costo total" dataDxfId="2">
      <calculatedColumnFormula>+Tabla2[[#This Row],[cantidad usada]]*Tabla2[[#This Row],[costo por gramo]]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24" displayName="Tabla24" ref="A3:D28" totalsRowShown="0">
  <tableColumns count="4">
    <tableColumn id="1" xr3:uid="{00000000-0010-0000-0200-000001000000}" name="materia prima"/>
    <tableColumn id="2" xr3:uid="{00000000-0010-0000-0200-000002000000}" name="costo por gramo">
      <calculatedColumnFormula>+VLOOKUP(Tabla24[materia prima], Tabla1[#All], 5,FALSE)</calculatedColumnFormula>
    </tableColumn>
    <tableColumn id="3" xr3:uid="{00000000-0010-0000-0200-000003000000}" name="cantidad usada"/>
    <tableColumn id="4" xr3:uid="{00000000-0010-0000-0200-000004000000}" name="costo total" dataDxfId="1">
      <calculatedColumnFormula>+Tabla24[[#This Row],[cantidad usada]]*Tabla24[[#This Row],[costo por gramo]]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E5EAE5-A6C5-442F-B5D0-6EC3092E17E9}" name="Tabla245" displayName="Tabla245" ref="A3:D29" totalsRowShown="0">
  <tableColumns count="4">
    <tableColumn id="1" xr3:uid="{6DF5F5BF-584C-49B4-B9DA-1E28D211A617}" name="materia prima"/>
    <tableColumn id="2" xr3:uid="{BF517056-48B5-42B1-8980-86258EF1D050}" name="costo por gramo">
      <calculatedColumnFormula>+VLOOKUP(Tabla245[materia prima], Tabla1[#All], 5,FALSE)</calculatedColumnFormula>
    </tableColumn>
    <tableColumn id="3" xr3:uid="{F0CAB587-2029-4EE1-9DB8-40C5AC06A716}" name="cantidad usada"/>
    <tableColumn id="4" xr3:uid="{86CA581D-CB7A-41E0-B4CC-7552B62E0C94}" name="costo total" dataDxfId="0">
      <calculatedColumnFormula>+Tabla245[[#This Row],[cantidad usada]]*Tabla245[[#This Row],[costo por gramo]]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opLeftCell="A18" zoomScale="85" zoomScaleNormal="85" workbookViewId="0">
      <selection activeCell="D52" sqref="D52"/>
    </sheetView>
  </sheetViews>
  <sheetFormatPr baseColWidth="10" defaultRowHeight="15" x14ac:dyDescent="0.25"/>
  <cols>
    <col min="2" max="2" width="41.140625" customWidth="1"/>
    <col min="3" max="3" width="26.85546875" customWidth="1"/>
    <col min="4" max="4" width="12" bestFit="1" customWidth="1"/>
    <col min="5" max="5" width="16.42578125" customWidth="1"/>
    <col min="6" max="6" width="11.5703125" bestFit="1" customWidth="1"/>
    <col min="7" max="7" width="12" bestFit="1" customWidth="1"/>
    <col min="8" max="10" width="12.5703125" bestFit="1" customWidth="1"/>
  </cols>
  <sheetData>
    <row r="1" spans="1:9" ht="15.75" thickBot="1" x14ac:dyDescent="0.3"/>
    <row r="2" spans="1:9" ht="41.25" customHeight="1" thickBot="1" x14ac:dyDescent="0.3">
      <c r="B2" s="2" t="s">
        <v>6</v>
      </c>
      <c r="C2" s="58" t="s">
        <v>5</v>
      </c>
      <c r="F2" s="61" t="s">
        <v>9</v>
      </c>
      <c r="G2" s="62"/>
      <c r="H2" s="63"/>
    </row>
    <row r="3" spans="1:9" x14ac:dyDescent="0.25">
      <c r="B3" s="13" t="s">
        <v>0</v>
      </c>
      <c r="C3" s="15">
        <v>250000</v>
      </c>
      <c r="F3" s="3" t="s">
        <v>7</v>
      </c>
      <c r="G3" s="1">
        <f>C18-C7-C6-C3+F34+C35+C41+C42+C43+C44+C45</f>
        <v>1832320</v>
      </c>
      <c r="H3" s="8"/>
      <c r="I3" s="1"/>
    </row>
    <row r="4" spans="1:9" ht="15.75" thickBot="1" x14ac:dyDescent="0.3">
      <c r="B4" s="3" t="s">
        <v>1</v>
      </c>
      <c r="C4" s="16">
        <v>247313</v>
      </c>
      <c r="F4" s="6" t="s">
        <v>8</v>
      </c>
      <c r="G4" s="9">
        <f>C3/2+C6/2+C7+C37+C38+C39</f>
        <v>1191600</v>
      </c>
      <c r="H4" s="7"/>
      <c r="I4" s="1"/>
    </row>
    <row r="5" spans="1:9" x14ac:dyDescent="0.25">
      <c r="B5" s="3" t="s">
        <v>2</v>
      </c>
      <c r="C5" s="16">
        <v>150995</v>
      </c>
    </row>
    <row r="6" spans="1:9" x14ac:dyDescent="0.25">
      <c r="B6" s="3" t="s">
        <v>3</v>
      </c>
      <c r="C6" s="16">
        <v>71200</v>
      </c>
      <c r="F6" s="38" t="s">
        <v>91</v>
      </c>
      <c r="G6" s="39">
        <f>(G3+G4)/2-G4</f>
        <v>320360</v>
      </c>
      <c r="H6" s="1"/>
    </row>
    <row r="7" spans="1:9" x14ac:dyDescent="0.25">
      <c r="B7" s="3" t="s">
        <v>4</v>
      </c>
      <c r="C7" s="16">
        <v>699000</v>
      </c>
    </row>
    <row r="8" spans="1:9" ht="15.75" thickBot="1" x14ac:dyDescent="0.3">
      <c r="A8" s="10">
        <v>43799</v>
      </c>
      <c r="B8" s="3" t="s">
        <v>10</v>
      </c>
      <c r="C8" s="54">
        <v>68000</v>
      </c>
    </row>
    <row r="9" spans="1:9" ht="15.75" thickBot="1" x14ac:dyDescent="0.3">
      <c r="A9" s="10">
        <v>43904</v>
      </c>
      <c r="B9" s="3" t="s">
        <v>11</v>
      </c>
      <c r="C9" s="54">
        <v>45000</v>
      </c>
      <c r="G9" s="40">
        <f>'Pedido Prostbier 29ene21'!I6-Hoja1!G6</f>
        <v>246576</v>
      </c>
    </row>
    <row r="10" spans="1:9" x14ac:dyDescent="0.25">
      <c r="B10" s="3" t="s">
        <v>12</v>
      </c>
      <c r="C10" s="54">
        <v>140000</v>
      </c>
    </row>
    <row r="11" spans="1:9" ht="15.75" thickBot="1" x14ac:dyDescent="0.3">
      <c r="B11" s="3" t="s">
        <v>13</v>
      </c>
      <c r="C11" s="54">
        <v>21500</v>
      </c>
    </row>
    <row r="12" spans="1:9" x14ac:dyDescent="0.25">
      <c r="B12" s="3" t="s">
        <v>14</v>
      </c>
      <c r="C12" s="54">
        <v>22000</v>
      </c>
      <c r="E12" s="10">
        <v>44233</v>
      </c>
      <c r="F12" s="13" t="s">
        <v>122</v>
      </c>
      <c r="G12" s="50">
        <v>100000</v>
      </c>
      <c r="H12" s="51">
        <f t="shared" ref="H12:H16" si="0">G12/2</f>
        <v>50000</v>
      </c>
      <c r="I12" s="41"/>
    </row>
    <row r="13" spans="1:9" x14ac:dyDescent="0.25">
      <c r="B13" s="3" t="s">
        <v>16</v>
      </c>
      <c r="C13" s="54">
        <f>608*24*4</f>
        <v>58368</v>
      </c>
      <c r="D13" s="1"/>
      <c r="F13" s="3" t="s">
        <v>123</v>
      </c>
      <c r="G13" s="11">
        <v>95000</v>
      </c>
      <c r="H13" s="5">
        <f t="shared" si="0"/>
        <v>47500</v>
      </c>
    </row>
    <row r="14" spans="1:9" x14ac:dyDescent="0.25">
      <c r="A14" s="10">
        <v>44114</v>
      </c>
      <c r="B14" s="3" t="s">
        <v>38</v>
      </c>
      <c r="C14" s="54">
        <v>90000</v>
      </c>
      <c r="F14" s="3" t="s">
        <v>124</v>
      </c>
      <c r="G14" s="11">
        <v>92000</v>
      </c>
      <c r="H14" s="5">
        <f t="shared" si="0"/>
        <v>46000</v>
      </c>
    </row>
    <row r="15" spans="1:9" x14ac:dyDescent="0.25">
      <c r="B15" s="3" t="s">
        <v>39</v>
      </c>
      <c r="C15" s="54">
        <v>14000</v>
      </c>
      <c r="F15" s="3" t="s">
        <v>125</v>
      </c>
      <c r="G15" s="11">
        <v>12000</v>
      </c>
      <c r="H15" s="5">
        <f t="shared" si="0"/>
        <v>6000</v>
      </c>
    </row>
    <row r="16" spans="1:9" ht="15.75" thickBot="1" x14ac:dyDescent="0.3">
      <c r="B16" s="3" t="s">
        <v>40</v>
      </c>
      <c r="C16" s="54">
        <v>2000</v>
      </c>
      <c r="F16" s="6" t="s">
        <v>126</v>
      </c>
      <c r="G16" s="12">
        <v>135000</v>
      </c>
      <c r="H16" s="7">
        <f t="shared" si="0"/>
        <v>67500</v>
      </c>
    </row>
    <row r="17" spans="1:6" ht="15.75" thickBot="1" x14ac:dyDescent="0.3">
      <c r="B17" s="6" t="s">
        <v>41</v>
      </c>
      <c r="C17" s="55">
        <v>7000</v>
      </c>
    </row>
    <row r="18" spans="1:6" ht="15.75" thickBot="1" x14ac:dyDescent="0.3">
      <c r="B18" s="6"/>
      <c r="C18" s="59">
        <f>SUM(C3:C17)</f>
        <v>1886376</v>
      </c>
    </row>
    <row r="19" spans="1:6" ht="15.75" thickBot="1" x14ac:dyDescent="0.3"/>
    <row r="20" spans="1:6" ht="15.75" thickBot="1" x14ac:dyDescent="0.3">
      <c r="B20" s="67" t="s">
        <v>31</v>
      </c>
      <c r="C20" s="68"/>
      <c r="D20" s="49" t="s">
        <v>32</v>
      </c>
      <c r="E20" s="49" t="s">
        <v>33</v>
      </c>
      <c r="F20" s="56" t="s">
        <v>34</v>
      </c>
    </row>
    <row r="21" spans="1:6" x14ac:dyDescent="0.25">
      <c r="A21" s="10">
        <v>44087</v>
      </c>
      <c r="B21" s="64" t="s">
        <v>21</v>
      </c>
      <c r="C21" s="60"/>
      <c r="D21" s="4">
        <v>6000</v>
      </c>
      <c r="E21" s="19">
        <v>16</v>
      </c>
      <c r="F21" s="16">
        <f>D21*E21</f>
        <v>96000</v>
      </c>
    </row>
    <row r="22" spans="1:6" x14ac:dyDescent="0.25">
      <c r="B22" s="64" t="s">
        <v>22</v>
      </c>
      <c r="C22" s="60"/>
      <c r="D22" s="4">
        <v>7300</v>
      </c>
      <c r="E22" s="19">
        <v>2.4</v>
      </c>
      <c r="F22" s="16">
        <f t="shared" ref="F22:F29" si="1">D22*E22</f>
        <v>17520</v>
      </c>
    </row>
    <row r="23" spans="1:6" x14ac:dyDescent="0.25">
      <c r="B23" s="64" t="s">
        <v>23</v>
      </c>
      <c r="C23" s="60"/>
      <c r="D23" s="4">
        <v>8500</v>
      </c>
      <c r="E23" s="19">
        <v>1.6</v>
      </c>
      <c r="F23" s="16">
        <f t="shared" si="1"/>
        <v>13600</v>
      </c>
    </row>
    <row r="24" spans="1:6" x14ac:dyDescent="0.25">
      <c r="A24" t="s">
        <v>58</v>
      </c>
      <c r="B24" s="64" t="s">
        <v>24</v>
      </c>
      <c r="C24" s="60"/>
      <c r="D24" s="4">
        <v>210</v>
      </c>
      <c r="E24" s="19">
        <v>140</v>
      </c>
      <c r="F24" s="16">
        <f t="shared" si="1"/>
        <v>29400</v>
      </c>
    </row>
    <row r="25" spans="1:6" x14ac:dyDescent="0.25">
      <c r="B25" s="64" t="s">
        <v>25</v>
      </c>
      <c r="C25" s="60"/>
      <c r="D25" s="4">
        <v>225</v>
      </c>
      <c r="E25" s="19">
        <v>200</v>
      </c>
      <c r="F25" s="16">
        <f t="shared" si="1"/>
        <v>45000</v>
      </c>
    </row>
    <row r="26" spans="1:6" x14ac:dyDescent="0.25">
      <c r="B26" s="64" t="s">
        <v>26</v>
      </c>
      <c r="C26" s="60"/>
      <c r="D26" s="4">
        <v>200</v>
      </c>
      <c r="E26" s="19">
        <v>200</v>
      </c>
      <c r="F26" s="16">
        <f t="shared" si="1"/>
        <v>40000</v>
      </c>
    </row>
    <row r="27" spans="1:6" x14ac:dyDescent="0.25">
      <c r="B27" s="64" t="s">
        <v>27</v>
      </c>
      <c r="C27" s="60"/>
      <c r="D27" s="4">
        <v>310</v>
      </c>
      <c r="E27" s="19">
        <v>200</v>
      </c>
      <c r="F27" s="16">
        <f t="shared" si="1"/>
        <v>62000</v>
      </c>
    </row>
    <row r="28" spans="1:6" x14ac:dyDescent="0.25">
      <c r="A28" t="s">
        <v>59</v>
      </c>
      <c r="B28" s="64" t="s">
        <v>28</v>
      </c>
      <c r="C28" s="60"/>
      <c r="D28" s="4">
        <v>14000</v>
      </c>
      <c r="E28" s="19">
        <v>4</v>
      </c>
      <c r="F28" s="16">
        <f t="shared" si="1"/>
        <v>56000</v>
      </c>
    </row>
    <row r="29" spans="1:6" x14ac:dyDescent="0.25">
      <c r="B29" s="64" t="s">
        <v>29</v>
      </c>
      <c r="C29" s="60"/>
      <c r="D29" s="4">
        <v>20000</v>
      </c>
      <c r="E29" s="19">
        <v>1</v>
      </c>
      <c r="F29" s="16">
        <f t="shared" si="1"/>
        <v>20000</v>
      </c>
    </row>
    <row r="30" spans="1:6" x14ac:dyDescent="0.25">
      <c r="B30" s="47" t="s">
        <v>36</v>
      </c>
      <c r="C30" s="48"/>
      <c r="D30" s="4">
        <v>24000</v>
      </c>
      <c r="E30" s="19">
        <v>1</v>
      </c>
      <c r="F30" s="16">
        <f>D30*E30</f>
        <v>24000</v>
      </c>
    </row>
    <row r="31" spans="1:6" ht="15.75" thickBot="1" x14ac:dyDescent="0.3">
      <c r="B31" s="65" t="s">
        <v>30</v>
      </c>
      <c r="C31" s="66"/>
      <c r="D31" s="20">
        <v>800</v>
      </c>
      <c r="E31" s="21">
        <v>5</v>
      </c>
      <c r="F31" s="57">
        <f>D31*E31</f>
        <v>4000</v>
      </c>
    </row>
    <row r="32" spans="1:6" x14ac:dyDescent="0.25">
      <c r="D32" s="17"/>
      <c r="E32" s="18" t="s">
        <v>34</v>
      </c>
      <c r="F32" s="17">
        <f>SUM(F21:F31)</f>
        <v>407520</v>
      </c>
    </row>
    <row r="33" spans="1:6" x14ac:dyDescent="0.25">
      <c r="D33" s="17"/>
      <c r="E33" s="18" t="s">
        <v>37</v>
      </c>
      <c r="F33" s="17">
        <v>24000</v>
      </c>
    </row>
    <row r="34" spans="1:6" ht="15.75" thickBot="1" x14ac:dyDescent="0.3">
      <c r="E34" t="s">
        <v>35</v>
      </c>
      <c r="F34" s="1">
        <f>F32-F32*0.05+F33</f>
        <v>411144</v>
      </c>
    </row>
    <row r="35" spans="1:6" ht="15.75" thickBot="1" x14ac:dyDescent="0.3">
      <c r="A35" s="10">
        <v>44455</v>
      </c>
      <c r="B35" s="24" t="s">
        <v>50</v>
      </c>
      <c r="C35" s="25">
        <v>250000</v>
      </c>
    </row>
    <row r="36" spans="1:6" ht="15.75" thickBot="1" x14ac:dyDescent="0.3"/>
    <row r="37" spans="1:6" x14ac:dyDescent="0.25">
      <c r="A37" s="10">
        <v>44240</v>
      </c>
      <c r="B37" s="13" t="s">
        <v>127</v>
      </c>
      <c r="C37" s="52">
        <v>127000</v>
      </c>
    </row>
    <row r="38" spans="1:6" x14ac:dyDescent="0.25">
      <c r="B38" s="3" t="s">
        <v>129</v>
      </c>
      <c r="C38" s="22">
        <v>70000</v>
      </c>
    </row>
    <row r="39" spans="1:6" ht="15.75" thickBot="1" x14ac:dyDescent="0.3">
      <c r="B39" s="6" t="s">
        <v>128</v>
      </c>
      <c r="C39" s="23">
        <v>135000</v>
      </c>
    </row>
    <row r="40" spans="1:6" ht="15.75" thickBot="1" x14ac:dyDescent="0.3"/>
    <row r="41" spans="1:6" x14ac:dyDescent="0.25">
      <c r="A41" s="10">
        <v>44233</v>
      </c>
      <c r="B41" s="13" t="s">
        <v>122</v>
      </c>
      <c r="C41" s="53">
        <v>100000</v>
      </c>
      <c r="D41" s="1"/>
    </row>
    <row r="42" spans="1:6" x14ac:dyDescent="0.25">
      <c r="B42" s="3" t="s">
        <v>123</v>
      </c>
      <c r="C42" s="54">
        <v>95000</v>
      </c>
    </row>
    <row r="43" spans="1:6" x14ac:dyDescent="0.25">
      <c r="B43" s="3" t="s">
        <v>124</v>
      </c>
      <c r="C43" s="54">
        <v>92000</v>
      </c>
    </row>
    <row r="44" spans="1:6" x14ac:dyDescent="0.25">
      <c r="B44" s="3" t="s">
        <v>125</v>
      </c>
      <c r="C44" s="54">
        <v>12000</v>
      </c>
    </row>
    <row r="45" spans="1:6" ht="15.75" thickBot="1" x14ac:dyDescent="0.3">
      <c r="B45" s="6" t="s">
        <v>130</v>
      </c>
      <c r="C45" s="55">
        <v>6000</v>
      </c>
    </row>
    <row r="49" spans="2:10" x14ac:dyDescent="0.25">
      <c r="D49" s="60" t="s">
        <v>52</v>
      </c>
      <c r="E49" s="60"/>
      <c r="F49" s="60"/>
      <c r="G49" s="60" t="s">
        <v>51</v>
      </c>
      <c r="H49" s="60"/>
      <c r="I49" s="60"/>
    </row>
    <row r="50" spans="2:10" ht="15.75" thickBot="1" x14ac:dyDescent="0.3">
      <c r="B50" t="s">
        <v>42</v>
      </c>
      <c r="D50" s="26" t="s">
        <v>53</v>
      </c>
      <c r="E50" t="s">
        <v>54</v>
      </c>
      <c r="F50" t="s">
        <v>55</v>
      </c>
      <c r="G50" t="s">
        <v>53</v>
      </c>
      <c r="H50" t="s">
        <v>56</v>
      </c>
      <c r="I50" t="s">
        <v>57</v>
      </c>
      <c r="J50" t="s">
        <v>55</v>
      </c>
    </row>
    <row r="51" spans="2:10" x14ac:dyDescent="0.25">
      <c r="B51" s="13" t="s">
        <v>43</v>
      </c>
      <c r="C51" s="14">
        <f>D35*0.4</f>
        <v>0</v>
      </c>
      <c r="D51" s="27">
        <f>H35*0.4</f>
        <v>0</v>
      </c>
      <c r="E51" s="14">
        <f t="shared" ref="E51:J51" si="2">I35*0.4</f>
        <v>0</v>
      </c>
      <c r="F51" s="14">
        <f t="shared" si="2"/>
        <v>0</v>
      </c>
      <c r="G51" s="14">
        <f t="shared" si="2"/>
        <v>0</v>
      </c>
      <c r="H51" s="14">
        <f t="shared" si="2"/>
        <v>0</v>
      </c>
      <c r="I51" s="14">
        <f t="shared" si="2"/>
        <v>0</v>
      </c>
      <c r="J51" s="15">
        <f t="shared" si="2"/>
        <v>0</v>
      </c>
    </row>
    <row r="52" spans="2:10" x14ac:dyDescent="0.25">
      <c r="B52" s="3" t="s">
        <v>44</v>
      </c>
      <c r="C52" s="4">
        <f>D34*0.595</f>
        <v>0</v>
      </c>
      <c r="D52" s="28">
        <f>H34*0.595</f>
        <v>0</v>
      </c>
      <c r="E52" s="4">
        <f t="shared" ref="E52:J52" si="3">I34*0.595</f>
        <v>0</v>
      </c>
      <c r="F52" s="4">
        <f t="shared" si="3"/>
        <v>0</v>
      </c>
      <c r="G52" s="4">
        <f t="shared" si="3"/>
        <v>0</v>
      </c>
      <c r="H52" s="4">
        <f t="shared" si="3"/>
        <v>0</v>
      </c>
      <c r="I52" s="4">
        <f t="shared" si="3"/>
        <v>0</v>
      </c>
      <c r="J52" s="16">
        <f t="shared" si="3"/>
        <v>0</v>
      </c>
    </row>
    <row r="53" spans="2:10" x14ac:dyDescent="0.25">
      <c r="B53" s="3" t="s">
        <v>45</v>
      </c>
      <c r="C53" s="4">
        <f>D33*4.078</f>
        <v>0</v>
      </c>
      <c r="D53" s="28">
        <f>H33*4.078</f>
        <v>0</v>
      </c>
      <c r="E53" s="4">
        <f t="shared" ref="E53:J53" si="4">I33*4.078</f>
        <v>0</v>
      </c>
      <c r="F53" s="4">
        <f t="shared" si="4"/>
        <v>0</v>
      </c>
      <c r="G53" s="4">
        <f t="shared" si="4"/>
        <v>0</v>
      </c>
      <c r="H53" s="4">
        <f t="shared" si="4"/>
        <v>0</v>
      </c>
      <c r="I53" s="4">
        <f t="shared" si="4"/>
        <v>0</v>
      </c>
      <c r="J53" s="16">
        <f t="shared" si="4"/>
        <v>0</v>
      </c>
    </row>
    <row r="54" spans="2:10" x14ac:dyDescent="0.25">
      <c r="B54" s="3" t="s">
        <v>15</v>
      </c>
      <c r="C54" s="4">
        <f>608*43</f>
        <v>26144</v>
      </c>
      <c r="D54" s="28">
        <f>608*43</f>
        <v>26144</v>
      </c>
      <c r="E54" s="4">
        <f t="shared" ref="E54:J54" si="5">608*43</f>
        <v>26144</v>
      </c>
      <c r="F54" s="4">
        <f t="shared" si="5"/>
        <v>26144</v>
      </c>
      <c r="G54" s="4">
        <f t="shared" si="5"/>
        <v>26144</v>
      </c>
      <c r="H54" s="4">
        <f t="shared" si="5"/>
        <v>26144</v>
      </c>
      <c r="I54" s="4">
        <f t="shared" si="5"/>
        <v>26144</v>
      </c>
      <c r="J54" s="16">
        <f t="shared" si="5"/>
        <v>26144</v>
      </c>
    </row>
    <row r="55" spans="2:10" x14ac:dyDescent="0.25">
      <c r="B55" s="3" t="s">
        <v>17</v>
      </c>
      <c r="C55" s="4">
        <f>43*10000/144</f>
        <v>2986.1111111111113</v>
      </c>
      <c r="D55" s="28">
        <f t="shared" ref="D55:J55" si="6">43*10000/144</f>
        <v>2986.1111111111113</v>
      </c>
      <c r="E55" s="4">
        <f t="shared" si="6"/>
        <v>2986.1111111111113</v>
      </c>
      <c r="F55" s="4">
        <f t="shared" si="6"/>
        <v>2986.1111111111113</v>
      </c>
      <c r="G55" s="4">
        <f t="shared" si="6"/>
        <v>2986.1111111111113</v>
      </c>
      <c r="H55" s="4">
        <f t="shared" si="6"/>
        <v>2986.1111111111113</v>
      </c>
      <c r="I55" s="4">
        <f t="shared" si="6"/>
        <v>2986.1111111111113</v>
      </c>
      <c r="J55" s="16">
        <f t="shared" si="6"/>
        <v>2986.1111111111113</v>
      </c>
    </row>
    <row r="56" spans="2:10" x14ac:dyDescent="0.25">
      <c r="B56" s="3" t="s">
        <v>46</v>
      </c>
      <c r="C56" s="4">
        <v>10000</v>
      </c>
      <c r="D56" s="28">
        <v>10000</v>
      </c>
      <c r="E56" s="4">
        <v>10000</v>
      </c>
      <c r="F56" s="4">
        <v>10000</v>
      </c>
      <c r="G56" s="4">
        <v>10000</v>
      </c>
      <c r="H56" s="4">
        <v>10000</v>
      </c>
      <c r="I56" s="4">
        <v>10000</v>
      </c>
      <c r="J56" s="16">
        <v>10000</v>
      </c>
    </row>
    <row r="57" spans="2:10" x14ac:dyDescent="0.25">
      <c r="B57" s="3" t="s">
        <v>47</v>
      </c>
      <c r="C57" s="4">
        <v>2000</v>
      </c>
      <c r="D57" s="28">
        <v>2000</v>
      </c>
      <c r="E57" s="4">
        <v>2000</v>
      </c>
      <c r="F57" s="4">
        <v>2000</v>
      </c>
      <c r="G57" s="4">
        <v>2000</v>
      </c>
      <c r="H57" s="4">
        <v>2000</v>
      </c>
      <c r="I57" s="4">
        <v>2000</v>
      </c>
      <c r="J57" s="16">
        <v>2000</v>
      </c>
    </row>
    <row r="58" spans="2:10" x14ac:dyDescent="0.25">
      <c r="B58" s="3" t="s">
        <v>28</v>
      </c>
      <c r="C58" s="4">
        <v>14000</v>
      </c>
      <c r="D58" s="29">
        <f>H40/500*11</f>
        <v>0</v>
      </c>
      <c r="E58" s="1">
        <f>D58</f>
        <v>0</v>
      </c>
      <c r="F58" s="1">
        <f t="shared" ref="F58" si="7">E58</f>
        <v>0</v>
      </c>
      <c r="G58" s="1">
        <f>K40/500*11</f>
        <v>0</v>
      </c>
      <c r="H58" s="1">
        <f>G58</f>
        <v>0</v>
      </c>
      <c r="I58" s="1">
        <f t="shared" ref="I58:J58" si="8">H58</f>
        <v>0</v>
      </c>
      <c r="J58" s="5">
        <f t="shared" si="8"/>
        <v>0</v>
      </c>
    </row>
    <row r="59" spans="2:10" x14ac:dyDescent="0.25">
      <c r="B59" s="3" t="s">
        <v>48</v>
      </c>
      <c r="C59" s="4">
        <f>200*43</f>
        <v>8600</v>
      </c>
      <c r="D59" s="28">
        <f t="shared" ref="D59:J59" si="9">200*43</f>
        <v>8600</v>
      </c>
      <c r="E59" s="4">
        <f t="shared" si="9"/>
        <v>8600</v>
      </c>
      <c r="F59" s="4">
        <f t="shared" si="9"/>
        <v>8600</v>
      </c>
      <c r="G59" s="4">
        <f t="shared" si="9"/>
        <v>8600</v>
      </c>
      <c r="H59" s="4">
        <f t="shared" si="9"/>
        <v>8600</v>
      </c>
      <c r="I59" s="4">
        <f t="shared" si="9"/>
        <v>8600</v>
      </c>
      <c r="J59" s="16">
        <f t="shared" si="9"/>
        <v>8600</v>
      </c>
    </row>
    <row r="60" spans="2:10" ht="15.75" thickBot="1" x14ac:dyDescent="0.3">
      <c r="B60" s="6" t="s">
        <v>49</v>
      </c>
      <c r="C60" s="9">
        <f>27*D36</f>
        <v>0</v>
      </c>
      <c r="D60" s="30">
        <f>H36/1000*27</f>
        <v>0</v>
      </c>
      <c r="E60" s="9">
        <f>D60</f>
        <v>0</v>
      </c>
      <c r="F60" s="9">
        <f>E60</f>
        <v>0</v>
      </c>
      <c r="G60" s="9">
        <f>K36/1000*27</f>
        <v>0</v>
      </c>
      <c r="H60" s="9">
        <f>G60</f>
        <v>0</v>
      </c>
      <c r="I60" s="9">
        <f t="shared" ref="I60:J60" si="10">H60</f>
        <v>0</v>
      </c>
      <c r="J60" s="7">
        <f t="shared" si="10"/>
        <v>0</v>
      </c>
    </row>
    <row r="61" spans="2:10" x14ac:dyDescent="0.25">
      <c r="B61" t="s">
        <v>20</v>
      </c>
      <c r="C61" s="4"/>
    </row>
    <row r="62" spans="2:10" x14ac:dyDescent="0.25">
      <c r="B62" s="31" t="s">
        <v>18</v>
      </c>
      <c r="C62" s="32">
        <f>SUM(C51:C61)</f>
        <v>63730.111111111109</v>
      </c>
      <c r="D62" s="32">
        <f t="shared" ref="D62:J62" si="11">SUM(D51:D61)</f>
        <v>49730.111111111109</v>
      </c>
      <c r="E62" s="32">
        <f t="shared" si="11"/>
        <v>49730.111111111109</v>
      </c>
      <c r="F62" s="32">
        <f t="shared" si="11"/>
        <v>49730.111111111109</v>
      </c>
      <c r="G62" s="32">
        <f t="shared" si="11"/>
        <v>49730.111111111109</v>
      </c>
      <c r="H62" s="32">
        <f t="shared" si="11"/>
        <v>49730.111111111109</v>
      </c>
      <c r="I62" s="32">
        <f t="shared" si="11"/>
        <v>49730.111111111109</v>
      </c>
      <c r="J62" s="32">
        <f t="shared" si="11"/>
        <v>49730.111111111109</v>
      </c>
    </row>
    <row r="63" spans="2:10" x14ac:dyDescent="0.25">
      <c r="B63" s="31" t="s">
        <v>19</v>
      </c>
      <c r="C63" s="33">
        <f>C62/45</f>
        <v>1416.2246913580248</v>
      </c>
      <c r="D63" s="33">
        <f t="shared" ref="D63:J63" si="12">D62/45</f>
        <v>1105.1135802469134</v>
      </c>
      <c r="E63" s="33">
        <f t="shared" si="12"/>
        <v>1105.1135802469134</v>
      </c>
      <c r="F63" s="33">
        <f t="shared" si="12"/>
        <v>1105.1135802469134</v>
      </c>
      <c r="G63" s="33">
        <f t="shared" si="12"/>
        <v>1105.1135802469134</v>
      </c>
      <c r="H63" s="33">
        <f t="shared" si="12"/>
        <v>1105.1135802469134</v>
      </c>
      <c r="I63" s="33">
        <f t="shared" si="12"/>
        <v>1105.1135802469134</v>
      </c>
      <c r="J63" s="33">
        <f t="shared" si="12"/>
        <v>1105.1135802469134</v>
      </c>
    </row>
    <row r="64" spans="2:10" x14ac:dyDescent="0.25">
      <c r="C64" s="1">
        <f>4000-C63</f>
        <v>2583.7753086419752</v>
      </c>
      <c r="D64" s="1">
        <f t="shared" ref="D64:J64" si="13">4000-D63</f>
        <v>2894.8864197530866</v>
      </c>
      <c r="E64" s="34">
        <f t="shared" si="13"/>
        <v>2894.8864197530866</v>
      </c>
      <c r="F64" s="1">
        <f t="shared" si="13"/>
        <v>2894.8864197530866</v>
      </c>
      <c r="G64" s="1">
        <f t="shared" si="13"/>
        <v>2894.8864197530866</v>
      </c>
      <c r="H64" s="1">
        <f t="shared" si="13"/>
        <v>2894.8864197530866</v>
      </c>
      <c r="I64" s="1">
        <f t="shared" si="13"/>
        <v>2894.8864197530866</v>
      </c>
      <c r="J64" s="1">
        <f t="shared" si="13"/>
        <v>2894.8864197530866</v>
      </c>
    </row>
    <row r="66" spans="2:12" ht="15.75" thickBot="1" x14ac:dyDescent="0.3">
      <c r="B66" t="s">
        <v>60</v>
      </c>
      <c r="C66">
        <v>3800</v>
      </c>
      <c r="D66">
        <v>4000</v>
      </c>
      <c r="E66">
        <v>4200</v>
      </c>
      <c r="F66">
        <v>4400</v>
      </c>
      <c r="G66">
        <v>4600</v>
      </c>
      <c r="H66">
        <v>4800</v>
      </c>
      <c r="I66">
        <v>5000</v>
      </c>
      <c r="J66">
        <v>5200</v>
      </c>
    </row>
    <row r="67" spans="2:12" ht="15.75" thickBot="1" x14ac:dyDescent="0.3">
      <c r="B67" s="17">
        <v>1000000</v>
      </c>
      <c r="C67" s="36" t="e">
        <f>$B$61/(C66-$E$57)</f>
        <v>#VALUE!</v>
      </c>
      <c r="D67" s="36" t="e">
        <f t="shared" ref="D67:J67" si="14">$B$61/(D66-$E$57)</f>
        <v>#VALUE!</v>
      </c>
      <c r="E67" s="36" t="e">
        <f t="shared" si="14"/>
        <v>#VALUE!</v>
      </c>
      <c r="F67" s="37" t="e">
        <f t="shared" si="14"/>
        <v>#VALUE!</v>
      </c>
      <c r="G67" s="36" t="e">
        <f t="shared" si="14"/>
        <v>#VALUE!</v>
      </c>
      <c r="H67" s="36" t="e">
        <f t="shared" si="14"/>
        <v>#VALUE!</v>
      </c>
      <c r="I67" s="36" t="e">
        <f t="shared" si="14"/>
        <v>#VALUE!</v>
      </c>
      <c r="J67" s="36" t="e">
        <f t="shared" si="14"/>
        <v>#VALUE!</v>
      </c>
    </row>
    <row r="68" spans="2:12" x14ac:dyDescent="0.25">
      <c r="B68" s="17">
        <v>2000000</v>
      </c>
      <c r="C68" s="36" t="e">
        <f>$B$62/(C66-$E$57)</f>
        <v>#VALUE!</v>
      </c>
      <c r="D68" s="36" t="e">
        <f t="shared" ref="D68:J68" si="15">$B$62/(D66-$E$57)</f>
        <v>#VALUE!</v>
      </c>
      <c r="E68" s="36" t="e">
        <f t="shared" si="15"/>
        <v>#VALUE!</v>
      </c>
      <c r="F68" s="36" t="e">
        <f t="shared" si="15"/>
        <v>#VALUE!</v>
      </c>
      <c r="G68" s="36" t="e">
        <f t="shared" si="15"/>
        <v>#VALUE!</v>
      </c>
      <c r="H68" s="36" t="e">
        <f t="shared" si="15"/>
        <v>#VALUE!</v>
      </c>
      <c r="I68" s="36" t="e">
        <f t="shared" si="15"/>
        <v>#VALUE!</v>
      </c>
      <c r="J68" s="36" t="e">
        <f t="shared" si="15"/>
        <v>#VALUE!</v>
      </c>
    </row>
    <row r="69" spans="2:12" x14ac:dyDescent="0.25">
      <c r="B69" s="17">
        <v>3000000</v>
      </c>
      <c r="C69" s="36" t="e">
        <f>$B$63/(C66-$E$57)</f>
        <v>#VALUE!</v>
      </c>
      <c r="D69" s="36" t="e">
        <f t="shared" ref="D69:J69" si="16">$B$63/(D66-$E$57)</f>
        <v>#VALUE!</v>
      </c>
      <c r="E69" s="36" t="e">
        <f t="shared" si="16"/>
        <v>#VALUE!</v>
      </c>
      <c r="F69" s="36" t="e">
        <f t="shared" si="16"/>
        <v>#VALUE!</v>
      </c>
      <c r="G69" s="36" t="e">
        <f t="shared" si="16"/>
        <v>#VALUE!</v>
      </c>
      <c r="H69" s="36" t="e">
        <f t="shared" si="16"/>
        <v>#VALUE!</v>
      </c>
      <c r="I69" s="36" t="e">
        <f t="shared" si="16"/>
        <v>#VALUE!</v>
      </c>
      <c r="J69" s="36" t="e">
        <f t="shared" si="16"/>
        <v>#VALUE!</v>
      </c>
    </row>
    <row r="70" spans="2:12" x14ac:dyDescent="0.25">
      <c r="B70" s="17">
        <v>4000000</v>
      </c>
      <c r="C70" s="36">
        <f>$B$64/(C66-$E$57)</f>
        <v>0</v>
      </c>
      <c r="D70" s="36">
        <f t="shared" ref="D70:J70" si="17">$B$64/(D66-$E$57)</f>
        <v>0</v>
      </c>
      <c r="E70" s="36">
        <f t="shared" si="17"/>
        <v>0</v>
      </c>
      <c r="F70" s="36">
        <f t="shared" si="17"/>
        <v>0</v>
      </c>
      <c r="G70" s="36">
        <f t="shared" si="17"/>
        <v>0</v>
      </c>
      <c r="H70" s="36">
        <f t="shared" si="17"/>
        <v>0</v>
      </c>
      <c r="I70" s="36">
        <f t="shared" si="17"/>
        <v>0</v>
      </c>
      <c r="J70" s="36">
        <f t="shared" si="17"/>
        <v>0</v>
      </c>
    </row>
    <row r="71" spans="2:12" x14ac:dyDescent="0.25">
      <c r="B71" s="17">
        <v>5000000</v>
      </c>
      <c r="C71" s="36">
        <f>$B$65/(C66-$E$57)</f>
        <v>0</v>
      </c>
      <c r="D71" s="36">
        <f t="shared" ref="D71:J71" si="18">$B$65/(D66-$E$57)</f>
        <v>0</v>
      </c>
      <c r="E71" s="36">
        <f t="shared" si="18"/>
        <v>0</v>
      </c>
      <c r="F71" s="36">
        <f t="shared" si="18"/>
        <v>0</v>
      </c>
      <c r="G71" s="36">
        <f t="shared" si="18"/>
        <v>0</v>
      </c>
      <c r="H71" s="36">
        <f t="shared" si="18"/>
        <v>0</v>
      </c>
      <c r="I71" s="36">
        <f t="shared" si="18"/>
        <v>0</v>
      </c>
      <c r="J71" s="36">
        <f t="shared" si="18"/>
        <v>0</v>
      </c>
    </row>
    <row r="72" spans="2:12" x14ac:dyDescent="0.25">
      <c r="B72" s="17">
        <v>6000000</v>
      </c>
      <c r="C72" s="36" t="e">
        <f>$B$66/(C66-$E$57)</f>
        <v>#VALUE!</v>
      </c>
      <c r="D72" s="36" t="e">
        <f t="shared" ref="D72:J72" si="19">$B$66/(D66-$E$57)</f>
        <v>#VALUE!</v>
      </c>
      <c r="E72" s="36" t="e">
        <f t="shared" si="19"/>
        <v>#VALUE!</v>
      </c>
      <c r="F72" s="36" t="e">
        <f t="shared" si="19"/>
        <v>#VALUE!</v>
      </c>
      <c r="G72" s="36" t="e">
        <f t="shared" si="19"/>
        <v>#VALUE!</v>
      </c>
      <c r="H72" s="36" t="e">
        <f t="shared" si="19"/>
        <v>#VALUE!</v>
      </c>
      <c r="I72" s="36" t="e">
        <f t="shared" si="19"/>
        <v>#VALUE!</v>
      </c>
      <c r="J72" s="36" t="e">
        <f t="shared" si="19"/>
        <v>#VALUE!</v>
      </c>
    </row>
    <row r="74" spans="2:12" x14ac:dyDescent="0.25">
      <c r="B74" s="60" t="s">
        <v>61</v>
      </c>
      <c r="C74" s="60"/>
      <c r="D74" s="60"/>
      <c r="E74" s="60"/>
      <c r="F74" s="60"/>
      <c r="G74" s="60"/>
      <c r="H74" s="60"/>
      <c r="I74" s="60"/>
      <c r="J74" s="60"/>
      <c r="K74" t="e">
        <f>J77*0.33</f>
        <v>#DIV/0!</v>
      </c>
    </row>
    <row r="75" spans="2:12" x14ac:dyDescent="0.25">
      <c r="B75">
        <f>C77*0.33</f>
        <v>14.190000000000001</v>
      </c>
    </row>
    <row r="76" spans="2:12" x14ac:dyDescent="0.25">
      <c r="B76" t="s">
        <v>62</v>
      </c>
      <c r="C76">
        <v>30</v>
      </c>
      <c r="D76">
        <v>40</v>
      </c>
      <c r="E76">
        <v>50</v>
      </c>
      <c r="F76">
        <v>60</v>
      </c>
      <c r="G76">
        <v>70</v>
      </c>
      <c r="H76">
        <v>80</v>
      </c>
      <c r="I76">
        <v>90</v>
      </c>
      <c r="J76">
        <v>100</v>
      </c>
      <c r="K76">
        <v>150</v>
      </c>
      <c r="L76">
        <v>200</v>
      </c>
    </row>
    <row r="77" spans="2:12" x14ac:dyDescent="0.25">
      <c r="B77" t="s">
        <v>63</v>
      </c>
      <c r="C77" s="35">
        <v>43</v>
      </c>
      <c r="D77" s="36" t="e">
        <f>D76*$C$71/$C$70</f>
        <v>#DIV/0!</v>
      </c>
      <c r="E77" s="36" t="e">
        <f t="shared" ref="E77:I77" si="20">E76*$C$71/$C$70</f>
        <v>#DIV/0!</v>
      </c>
      <c r="F77" s="36" t="e">
        <f t="shared" si="20"/>
        <v>#DIV/0!</v>
      </c>
      <c r="G77" s="36" t="e">
        <f t="shared" si="20"/>
        <v>#DIV/0!</v>
      </c>
      <c r="H77" s="36" t="e">
        <f t="shared" si="20"/>
        <v>#DIV/0!</v>
      </c>
      <c r="I77" s="36" t="e">
        <f t="shared" si="20"/>
        <v>#DIV/0!</v>
      </c>
      <c r="J77" s="36" t="e">
        <f>J76*$C$71/$C$70</f>
        <v>#DIV/0!</v>
      </c>
      <c r="K77" s="36" t="e">
        <f t="shared" ref="K77:L77" si="21">K76*$C$71/$C$70</f>
        <v>#DIV/0!</v>
      </c>
      <c r="L77" s="36" t="e">
        <f t="shared" si="21"/>
        <v>#DIV/0!</v>
      </c>
    </row>
    <row r="78" spans="2:12" x14ac:dyDescent="0.25">
      <c r="B78" t="s">
        <v>64</v>
      </c>
      <c r="C78" s="36" t="e">
        <f>F67/$C$71</f>
        <v>#VALUE!</v>
      </c>
      <c r="D78" s="36" t="e">
        <f>F67/$D$71</f>
        <v>#VALUE!</v>
      </c>
      <c r="E78" s="36" t="e">
        <f>F67/$E$71</f>
        <v>#VALUE!</v>
      </c>
      <c r="F78" s="36" t="e">
        <f>F67/$F$71</f>
        <v>#VALUE!</v>
      </c>
      <c r="G78" s="36" t="e">
        <f>F67/$G$71</f>
        <v>#VALUE!</v>
      </c>
      <c r="H78" s="36" t="e">
        <f>F67/$H$71</f>
        <v>#VALUE!</v>
      </c>
      <c r="I78" s="36" t="e">
        <f>F67/$I$71</f>
        <v>#VALUE!</v>
      </c>
      <c r="J78" s="36" t="e">
        <f>F67/$J$71</f>
        <v>#VALUE!</v>
      </c>
      <c r="K78" s="36" t="e">
        <f>F67/$K$71</f>
        <v>#VALUE!</v>
      </c>
      <c r="L78" s="36" t="e">
        <f>F67/$L$71</f>
        <v>#VALUE!</v>
      </c>
    </row>
    <row r="79" spans="2:12" ht="15.75" thickBot="1" x14ac:dyDescent="0.3">
      <c r="B79" t="s">
        <v>65</v>
      </c>
      <c r="C79" s="36" t="e">
        <f t="shared" ref="C79:C82" si="22">F68/$C$71</f>
        <v>#VALUE!</v>
      </c>
      <c r="D79" s="36" t="e">
        <f t="shared" ref="D79:D82" si="23">F68/$D$71</f>
        <v>#VALUE!</v>
      </c>
      <c r="E79" s="36" t="e">
        <f t="shared" ref="E79:E82" si="24">F68/$E$71</f>
        <v>#VALUE!</v>
      </c>
      <c r="F79" s="36" t="e">
        <f t="shared" ref="F79:F82" si="25">F68/$F$71</f>
        <v>#VALUE!</v>
      </c>
      <c r="G79" s="36" t="e">
        <f t="shared" ref="G79:G82" si="26">F68/$G$71</f>
        <v>#VALUE!</v>
      </c>
      <c r="H79" s="36" t="e">
        <f t="shared" ref="H79:H82" si="27">F68/$H$71</f>
        <v>#VALUE!</v>
      </c>
      <c r="I79" s="36" t="e">
        <f t="shared" ref="I79:I82" si="28">F68/$I$71</f>
        <v>#VALUE!</v>
      </c>
      <c r="J79" s="36" t="e">
        <f t="shared" ref="J79:J82" si="29">F68/$J$71</f>
        <v>#VALUE!</v>
      </c>
      <c r="K79" s="36" t="e">
        <f t="shared" ref="K79:K82" si="30">F68/$K$71</f>
        <v>#VALUE!</v>
      </c>
      <c r="L79" s="36" t="e">
        <f t="shared" ref="L79:L81" si="31">F68/$L$71</f>
        <v>#VALUE!</v>
      </c>
    </row>
    <row r="80" spans="2:12" ht="15.75" thickBot="1" x14ac:dyDescent="0.3">
      <c r="B80" t="s">
        <v>66</v>
      </c>
      <c r="C80" s="36" t="e">
        <f t="shared" si="22"/>
        <v>#VALUE!</v>
      </c>
      <c r="D80" s="36" t="e">
        <f t="shared" si="23"/>
        <v>#VALUE!</v>
      </c>
      <c r="E80" s="36" t="e">
        <f t="shared" si="24"/>
        <v>#VALUE!</v>
      </c>
      <c r="F80" s="36" t="e">
        <f t="shared" si="25"/>
        <v>#VALUE!</v>
      </c>
      <c r="G80" s="36" t="e">
        <f t="shared" si="26"/>
        <v>#VALUE!</v>
      </c>
      <c r="H80" s="36" t="e">
        <f t="shared" si="27"/>
        <v>#VALUE!</v>
      </c>
      <c r="I80" s="36" t="e">
        <f t="shared" si="28"/>
        <v>#VALUE!</v>
      </c>
      <c r="J80" s="36" t="e">
        <f t="shared" si="29"/>
        <v>#VALUE!</v>
      </c>
      <c r="K80" s="36" t="e">
        <f t="shared" si="30"/>
        <v>#VALUE!</v>
      </c>
      <c r="L80" s="37" t="e">
        <f t="shared" si="31"/>
        <v>#VALUE!</v>
      </c>
    </row>
    <row r="81" spans="2:12" x14ac:dyDescent="0.25">
      <c r="B81" t="s">
        <v>67</v>
      </c>
      <c r="C81" s="36" t="e">
        <f t="shared" si="22"/>
        <v>#DIV/0!</v>
      </c>
      <c r="D81" s="36" t="e">
        <f t="shared" si="23"/>
        <v>#DIV/0!</v>
      </c>
      <c r="E81" s="36" t="e">
        <f t="shared" si="24"/>
        <v>#DIV/0!</v>
      </c>
      <c r="F81" s="36" t="e">
        <f t="shared" si="25"/>
        <v>#DIV/0!</v>
      </c>
      <c r="G81" s="36" t="e">
        <f t="shared" si="26"/>
        <v>#DIV/0!</v>
      </c>
      <c r="H81" s="36" t="e">
        <f t="shared" si="27"/>
        <v>#DIV/0!</v>
      </c>
      <c r="I81" s="36" t="e">
        <f t="shared" si="28"/>
        <v>#DIV/0!</v>
      </c>
      <c r="J81" s="36" t="e">
        <f t="shared" si="29"/>
        <v>#DIV/0!</v>
      </c>
      <c r="K81" s="36" t="e">
        <f t="shared" si="30"/>
        <v>#DIV/0!</v>
      </c>
      <c r="L81" s="36" t="e">
        <f t="shared" si="31"/>
        <v>#DIV/0!</v>
      </c>
    </row>
    <row r="82" spans="2:12" x14ac:dyDescent="0.25">
      <c r="B82" t="s">
        <v>68</v>
      </c>
      <c r="C82" s="36" t="e">
        <f t="shared" si="22"/>
        <v>#DIV/0!</v>
      </c>
      <c r="D82" s="36" t="e">
        <f t="shared" si="23"/>
        <v>#DIV/0!</v>
      </c>
      <c r="E82" s="36" t="e">
        <f t="shared" si="24"/>
        <v>#DIV/0!</v>
      </c>
      <c r="F82" s="36" t="e">
        <f t="shared" si="25"/>
        <v>#DIV/0!</v>
      </c>
      <c r="G82" s="36" t="e">
        <f t="shared" si="26"/>
        <v>#DIV/0!</v>
      </c>
      <c r="H82" s="36" t="e">
        <f t="shared" si="27"/>
        <v>#DIV/0!</v>
      </c>
      <c r="I82" s="36" t="e">
        <f t="shared" si="28"/>
        <v>#DIV/0!</v>
      </c>
      <c r="J82" s="36" t="e">
        <f t="shared" si="29"/>
        <v>#DIV/0!</v>
      </c>
      <c r="K82" s="36" t="e">
        <f t="shared" si="30"/>
        <v>#DIV/0!</v>
      </c>
      <c r="L82" s="36" t="e">
        <f>F71/$L$71</f>
        <v>#DIV/0!</v>
      </c>
    </row>
    <row r="83" spans="2:12" ht="15.75" thickBot="1" x14ac:dyDescent="0.3"/>
    <row r="84" spans="2:12" ht="15.75" thickBot="1" x14ac:dyDescent="0.3">
      <c r="B84" s="17"/>
      <c r="C84" s="36"/>
      <c r="D84" s="36"/>
      <c r="E84" s="36"/>
      <c r="F84" s="37"/>
      <c r="G84" s="36"/>
      <c r="H84" s="36"/>
      <c r="I84" s="36"/>
      <c r="J84" s="36"/>
    </row>
    <row r="85" spans="2:12" x14ac:dyDescent="0.25">
      <c r="B85" s="17"/>
      <c r="C85" s="36"/>
      <c r="D85" s="36"/>
      <c r="E85" s="36"/>
      <c r="F85" s="36"/>
      <c r="H85" s="36"/>
      <c r="I85" s="36"/>
      <c r="J85" s="36"/>
    </row>
    <row r="86" spans="2:12" x14ac:dyDescent="0.25">
      <c r="B86" s="17"/>
      <c r="C86" s="36"/>
      <c r="E86" s="36"/>
      <c r="F86" s="36"/>
      <c r="H86" s="36"/>
      <c r="I86" s="36"/>
      <c r="J86" s="36"/>
    </row>
    <row r="87" spans="2:12" x14ac:dyDescent="0.25">
      <c r="B87" s="17"/>
      <c r="C87" s="36"/>
      <c r="D87" s="48"/>
      <c r="E87" s="36"/>
      <c r="F87" s="36"/>
      <c r="H87" s="36"/>
      <c r="I87" s="36"/>
      <c r="J87" s="36"/>
    </row>
    <row r="88" spans="2:12" x14ac:dyDescent="0.25">
      <c r="B88" s="17"/>
      <c r="C88" s="36"/>
      <c r="E88" s="36"/>
      <c r="F88" s="36"/>
      <c r="H88" s="36"/>
      <c r="I88" s="36"/>
      <c r="J88" s="36"/>
    </row>
    <row r="89" spans="2:12" x14ac:dyDescent="0.25">
      <c r="B89" s="17"/>
      <c r="C89" s="36"/>
      <c r="E89" s="36"/>
      <c r="F89" s="36"/>
      <c r="H89" s="36"/>
      <c r="I89" s="36"/>
      <c r="J89" s="36"/>
    </row>
    <row r="90" spans="2:12" x14ac:dyDescent="0.25">
      <c r="D90" s="36"/>
    </row>
    <row r="91" spans="2:12" x14ac:dyDescent="0.25">
      <c r="B91" s="48"/>
      <c r="C91" s="48"/>
      <c r="D91" s="36"/>
      <c r="E91" s="48"/>
      <c r="F91" s="48"/>
      <c r="H91" s="48"/>
      <c r="I91" s="48"/>
      <c r="J91" s="48"/>
    </row>
    <row r="92" spans="2:12" x14ac:dyDescent="0.25">
      <c r="D92" s="36"/>
    </row>
    <row r="93" spans="2:12" x14ac:dyDescent="0.25">
      <c r="D93" s="36"/>
    </row>
    <row r="94" spans="2:12" x14ac:dyDescent="0.25">
      <c r="C94" s="35"/>
      <c r="D94" s="36"/>
      <c r="E94" s="36"/>
      <c r="F94" s="36"/>
      <c r="H94" s="36"/>
      <c r="I94" s="36"/>
      <c r="J94" s="36"/>
      <c r="K94" s="36"/>
      <c r="L94" s="36"/>
    </row>
    <row r="95" spans="2:12" x14ac:dyDescent="0.25">
      <c r="C95" s="36"/>
      <c r="D95" s="36"/>
      <c r="E95" s="36"/>
      <c r="F95" s="36"/>
      <c r="H95" s="36"/>
      <c r="I95" s="36"/>
      <c r="J95" s="36"/>
      <c r="K95" s="36"/>
      <c r="L95" s="36"/>
    </row>
    <row r="96" spans="2:12" ht="15.75" thickBot="1" x14ac:dyDescent="0.3">
      <c r="C96" s="36"/>
      <c r="E96" s="36"/>
      <c r="F96" s="36"/>
      <c r="H96" s="36"/>
      <c r="I96" s="36"/>
      <c r="J96" s="36"/>
      <c r="K96" s="36"/>
      <c r="L96" s="36"/>
    </row>
    <row r="97" spans="3:12" ht="15.75" thickBot="1" x14ac:dyDescent="0.3">
      <c r="C97" s="36"/>
      <c r="E97" s="36"/>
      <c r="F97" s="36"/>
      <c r="H97" s="36"/>
      <c r="I97" s="36"/>
      <c r="J97" s="36"/>
      <c r="K97" s="36"/>
      <c r="L97" s="37"/>
    </row>
    <row r="98" spans="3:12" x14ac:dyDescent="0.25">
      <c r="C98" s="36"/>
      <c r="E98" s="36"/>
      <c r="F98" s="36"/>
      <c r="H98" s="36"/>
      <c r="I98" s="36"/>
      <c r="J98" s="36"/>
      <c r="K98" s="36"/>
      <c r="L98" s="36"/>
    </row>
    <row r="99" spans="3:12" x14ac:dyDescent="0.25">
      <c r="C99" s="36"/>
      <c r="E99" s="36"/>
      <c r="F99" s="36"/>
      <c r="H99" s="36"/>
      <c r="I99" s="36"/>
      <c r="J99" s="36"/>
      <c r="K99" s="36"/>
      <c r="L99" s="36"/>
    </row>
  </sheetData>
  <mergeCells count="15">
    <mergeCell ref="B74:J74"/>
    <mergeCell ref="F2:H2"/>
    <mergeCell ref="B21:C21"/>
    <mergeCell ref="B22:C22"/>
    <mergeCell ref="B23:C23"/>
    <mergeCell ref="B24:C24"/>
    <mergeCell ref="D49:F49"/>
    <mergeCell ref="G49:I49"/>
    <mergeCell ref="B31:C31"/>
    <mergeCell ref="B20:C20"/>
    <mergeCell ref="B25:C25"/>
    <mergeCell ref="B26:C26"/>
    <mergeCell ref="B27:C27"/>
    <mergeCell ref="B28:C28"/>
    <mergeCell ref="B29:C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workbookViewId="0">
      <selection activeCell="G19" sqref="G19"/>
    </sheetView>
  </sheetViews>
  <sheetFormatPr baseColWidth="10" defaultRowHeight="15" x14ac:dyDescent="0.25"/>
  <cols>
    <col min="1" max="1" width="6" bestFit="1" customWidth="1"/>
    <col min="2" max="2" width="53.140625" bestFit="1" customWidth="1"/>
    <col min="3" max="4" width="10.42578125" bestFit="1" customWidth="1"/>
    <col min="5" max="5" width="12" bestFit="1" customWidth="1"/>
    <col min="8" max="8" width="12.42578125" customWidth="1"/>
    <col min="9" max="9" width="13" customWidth="1"/>
  </cols>
  <sheetData>
    <row r="1" spans="2:9" x14ac:dyDescent="0.25">
      <c r="C1" t="s">
        <v>70</v>
      </c>
      <c r="D1" t="s">
        <v>71</v>
      </c>
      <c r="E1" t="s">
        <v>72</v>
      </c>
    </row>
    <row r="2" spans="2:9" x14ac:dyDescent="0.25">
      <c r="B2" t="s">
        <v>69</v>
      </c>
      <c r="C2" s="17">
        <v>5200</v>
      </c>
      <c r="D2">
        <v>208</v>
      </c>
      <c r="E2" s="17">
        <f t="shared" ref="E2:E15" si="0">C2*D2</f>
        <v>1081600</v>
      </c>
      <c r="H2" t="s">
        <v>87</v>
      </c>
      <c r="I2" s="17">
        <f>(E16+C18+C19)/2</f>
        <v>1484536</v>
      </c>
    </row>
    <row r="3" spans="2:9" x14ac:dyDescent="0.25">
      <c r="B3" t="s">
        <v>73</v>
      </c>
      <c r="C3" s="17">
        <v>6000</v>
      </c>
      <c r="D3">
        <v>5</v>
      </c>
      <c r="E3" s="17">
        <f t="shared" si="0"/>
        <v>30000</v>
      </c>
      <c r="H3" t="s">
        <v>88</v>
      </c>
      <c r="I3" s="17">
        <f>1800000+C18</f>
        <v>2051472</v>
      </c>
    </row>
    <row r="4" spans="2:9" x14ac:dyDescent="0.25">
      <c r="B4" t="s">
        <v>74</v>
      </c>
      <c r="C4" s="17">
        <v>7000</v>
      </c>
      <c r="D4">
        <v>1</v>
      </c>
      <c r="E4" s="17">
        <f t="shared" si="0"/>
        <v>7000</v>
      </c>
      <c r="H4" t="s">
        <v>89</v>
      </c>
      <c r="I4" s="1">
        <f>E16+C18+C19-I3</f>
        <v>917600</v>
      </c>
    </row>
    <row r="5" spans="2:9" x14ac:dyDescent="0.25">
      <c r="B5" t="s">
        <v>75</v>
      </c>
      <c r="C5" s="17">
        <v>6800</v>
      </c>
      <c r="D5">
        <v>38</v>
      </c>
      <c r="E5" s="17">
        <f t="shared" si="0"/>
        <v>258400</v>
      </c>
    </row>
    <row r="6" spans="2:9" x14ac:dyDescent="0.25">
      <c r="B6" t="s">
        <v>23</v>
      </c>
      <c r="C6" s="17">
        <v>8000</v>
      </c>
      <c r="D6">
        <v>25</v>
      </c>
      <c r="E6" s="17">
        <f t="shared" si="0"/>
        <v>200000</v>
      </c>
      <c r="H6" s="38" t="s">
        <v>90</v>
      </c>
      <c r="I6" s="39">
        <f>I2-I4</f>
        <v>566936</v>
      </c>
    </row>
    <row r="7" spans="2:9" x14ac:dyDescent="0.25">
      <c r="B7" t="s">
        <v>76</v>
      </c>
      <c r="C7" s="17">
        <v>8500</v>
      </c>
      <c r="D7">
        <v>1</v>
      </c>
      <c r="E7" s="17">
        <f t="shared" si="0"/>
        <v>8500</v>
      </c>
    </row>
    <row r="8" spans="2:9" x14ac:dyDescent="0.25">
      <c r="B8" t="s">
        <v>77</v>
      </c>
      <c r="C8" s="17">
        <v>6000</v>
      </c>
      <c r="D8">
        <v>5</v>
      </c>
      <c r="E8" s="17">
        <f t="shared" si="0"/>
        <v>30000</v>
      </c>
    </row>
    <row r="9" spans="2:9" x14ac:dyDescent="0.25">
      <c r="B9" t="s">
        <v>78</v>
      </c>
      <c r="C9" s="17">
        <v>6100</v>
      </c>
      <c r="D9">
        <v>5</v>
      </c>
      <c r="E9" s="17">
        <f t="shared" si="0"/>
        <v>30500</v>
      </c>
    </row>
    <row r="10" spans="2:9" x14ac:dyDescent="0.25">
      <c r="B10" t="s">
        <v>79</v>
      </c>
      <c r="C10" s="17">
        <v>9100</v>
      </c>
      <c r="D10">
        <v>1</v>
      </c>
      <c r="E10" s="17">
        <f t="shared" si="0"/>
        <v>9100</v>
      </c>
    </row>
    <row r="11" spans="2:9" x14ac:dyDescent="0.25">
      <c r="B11" t="s">
        <v>80</v>
      </c>
      <c r="C11" s="17">
        <v>135</v>
      </c>
      <c r="D11">
        <v>2300</v>
      </c>
      <c r="E11" s="17">
        <f>C11*D11</f>
        <v>310500</v>
      </c>
    </row>
    <row r="12" spans="2:9" x14ac:dyDescent="0.25">
      <c r="B12" t="s">
        <v>81</v>
      </c>
      <c r="C12" s="17">
        <v>15000</v>
      </c>
      <c r="D12">
        <v>10</v>
      </c>
      <c r="E12" s="17">
        <f t="shared" si="0"/>
        <v>150000</v>
      </c>
    </row>
    <row r="13" spans="2:9" x14ac:dyDescent="0.25">
      <c r="B13" t="s">
        <v>82</v>
      </c>
      <c r="C13" s="17">
        <v>17000</v>
      </c>
      <c r="D13">
        <v>10</v>
      </c>
      <c r="E13" s="17">
        <f t="shared" si="0"/>
        <v>170000</v>
      </c>
    </row>
    <row r="14" spans="2:9" x14ac:dyDescent="0.25">
      <c r="B14" t="s">
        <v>83</v>
      </c>
      <c r="C14" s="17">
        <v>242000</v>
      </c>
      <c r="D14">
        <v>1</v>
      </c>
      <c r="E14" s="17">
        <f t="shared" si="0"/>
        <v>242000</v>
      </c>
    </row>
    <row r="15" spans="2:9" x14ac:dyDescent="0.25">
      <c r="B15" t="s">
        <v>84</v>
      </c>
      <c r="C15" s="17">
        <v>700</v>
      </c>
      <c r="D15">
        <v>100</v>
      </c>
      <c r="E15" s="17">
        <f t="shared" si="0"/>
        <v>70000</v>
      </c>
    </row>
    <row r="16" spans="2:9" x14ac:dyDescent="0.25">
      <c r="D16" t="s">
        <v>85</v>
      </c>
      <c r="E16" s="17">
        <f>SUM(E2:E15)</f>
        <v>2597600</v>
      </c>
    </row>
    <row r="18" spans="2:3" x14ac:dyDescent="0.25">
      <c r="B18" t="s">
        <v>86</v>
      </c>
      <c r="C18" s="17">
        <v>251472</v>
      </c>
    </row>
    <row r="19" spans="2:3" x14ac:dyDescent="0.25">
      <c r="B19" t="s">
        <v>92</v>
      </c>
      <c r="C19" s="17">
        <v>120000</v>
      </c>
    </row>
    <row r="20" spans="2:3" x14ac:dyDescent="0.25">
      <c r="B20" t="s">
        <v>96</v>
      </c>
      <c r="C20">
        <f>(C18+(C19/2))/360</f>
        <v>865.2</v>
      </c>
    </row>
    <row r="36" spans="1:3" ht="15.75" thickBot="1" x14ac:dyDescent="0.3">
      <c r="A36" t="s">
        <v>58</v>
      </c>
    </row>
    <row r="37" spans="1:3" x14ac:dyDescent="0.25">
      <c r="A37">
        <v>0.4</v>
      </c>
      <c r="B37" s="13" t="s">
        <v>93</v>
      </c>
      <c r="C37" s="15">
        <f>A37*C6</f>
        <v>3200</v>
      </c>
    </row>
    <row r="38" spans="1:3" x14ac:dyDescent="0.25">
      <c r="A38">
        <v>0.59499999999999997</v>
      </c>
      <c r="B38" s="3" t="s">
        <v>94</v>
      </c>
      <c r="C38" s="16">
        <f>C5</f>
        <v>6800</v>
      </c>
    </row>
    <row r="39" spans="1:3" x14ac:dyDescent="0.25">
      <c r="A39">
        <v>4.0780000000000003</v>
      </c>
      <c r="B39" s="3" t="s">
        <v>95</v>
      </c>
      <c r="C39" s="16">
        <f>C2</f>
        <v>5200</v>
      </c>
    </row>
    <row r="40" spans="1:3" x14ac:dyDescent="0.25">
      <c r="A40">
        <v>43</v>
      </c>
      <c r="B40" s="3" t="s">
        <v>15</v>
      </c>
      <c r="C40" s="16">
        <f>A40*C20</f>
        <v>37203.599999999999</v>
      </c>
    </row>
    <row r="41" spans="1:3" x14ac:dyDescent="0.25">
      <c r="A41">
        <v>43</v>
      </c>
      <c r="B41" s="3" t="s">
        <v>17</v>
      </c>
      <c r="C41" s="16"/>
    </row>
    <row r="42" spans="1:3" x14ac:dyDescent="0.25">
      <c r="B42" s="3" t="s">
        <v>46</v>
      </c>
      <c r="C42" s="16">
        <v>10000</v>
      </c>
    </row>
    <row r="43" spans="1:3" x14ac:dyDescent="0.25">
      <c r="B43" s="3" t="s">
        <v>47</v>
      </c>
      <c r="C43" s="16">
        <v>2000</v>
      </c>
    </row>
    <row r="44" spans="1:3" x14ac:dyDescent="0.25">
      <c r="A44">
        <v>1</v>
      </c>
      <c r="B44" s="3" t="s">
        <v>28</v>
      </c>
      <c r="C44" s="16">
        <f>A44*C14/500*11</f>
        <v>5324</v>
      </c>
    </row>
    <row r="45" spans="1:3" x14ac:dyDescent="0.25">
      <c r="B45" s="3" t="s">
        <v>48</v>
      </c>
      <c r="C45" s="16">
        <v>250</v>
      </c>
    </row>
    <row r="46" spans="1:3" ht="15.75" thickBot="1" x14ac:dyDescent="0.3">
      <c r="A46">
        <v>3.5999999999999997E-2</v>
      </c>
      <c r="B46" s="6" t="s">
        <v>24</v>
      </c>
      <c r="C46" s="7">
        <f>C11*A46*1000</f>
        <v>4859.9999999999991</v>
      </c>
    </row>
    <row r="47" spans="1:3" x14ac:dyDescent="0.25">
      <c r="B47" s="3" t="s">
        <v>97</v>
      </c>
      <c r="C47" s="1">
        <f>SUM(C37:C46)</f>
        <v>74837.600000000006</v>
      </c>
    </row>
    <row r="48" spans="1:3" x14ac:dyDescent="0.25">
      <c r="B48" s="3" t="s">
        <v>96</v>
      </c>
      <c r="C48" s="1">
        <f>C47/43</f>
        <v>1740.4093023255816</v>
      </c>
    </row>
    <row r="50" spans="2:4" x14ac:dyDescent="0.25">
      <c r="B50" t="s">
        <v>98</v>
      </c>
      <c r="C50" t="s">
        <v>99</v>
      </c>
    </row>
    <row r="51" spans="2:4" x14ac:dyDescent="0.25">
      <c r="B51">
        <v>3500</v>
      </c>
      <c r="C51" s="17">
        <f>(B51-$C$48)*$A$40</f>
        <v>75662.399999999994</v>
      </c>
      <c r="D51" s="17">
        <f>C51*4</f>
        <v>302649.59999999998</v>
      </c>
    </row>
    <row r="52" spans="2:4" x14ac:dyDescent="0.25">
      <c r="B52">
        <v>4000</v>
      </c>
      <c r="C52" s="17">
        <f t="shared" ref="C52:C54" si="1">(B52-$C$48)*$A$40</f>
        <v>97162.39999999998</v>
      </c>
      <c r="D52" s="17">
        <f>C52*4</f>
        <v>388649.59999999992</v>
      </c>
    </row>
    <row r="53" spans="2:4" x14ac:dyDescent="0.25">
      <c r="B53">
        <v>4500</v>
      </c>
      <c r="C53" s="17">
        <f t="shared" si="1"/>
        <v>118662.39999999998</v>
      </c>
      <c r="D53" s="17">
        <f>C53*4</f>
        <v>474649.59999999992</v>
      </c>
    </row>
    <row r="54" spans="2:4" x14ac:dyDescent="0.25">
      <c r="B54">
        <v>5000</v>
      </c>
      <c r="C54" s="17">
        <f t="shared" si="1"/>
        <v>140162.4</v>
      </c>
      <c r="D54" s="17">
        <f>C54*4</f>
        <v>560649.6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5"/>
  <sheetViews>
    <sheetView topLeftCell="A13" zoomScale="85" zoomScaleNormal="85" workbookViewId="0">
      <selection activeCell="B36" sqref="B36"/>
    </sheetView>
  </sheetViews>
  <sheetFormatPr baseColWidth="10" defaultRowHeight="15" x14ac:dyDescent="0.25"/>
  <cols>
    <col min="1" max="1" width="57" customWidth="1"/>
    <col min="2" max="2" width="10.42578125" bestFit="1" customWidth="1"/>
    <col min="3" max="3" width="10.28515625" customWidth="1"/>
    <col min="4" max="4" width="13.140625" bestFit="1" customWidth="1"/>
    <col min="5" max="5" width="13" customWidth="1"/>
  </cols>
  <sheetData>
    <row r="2" spans="1:7" x14ac:dyDescent="0.25">
      <c r="A2" t="s">
        <v>110</v>
      </c>
      <c r="B2" t="s">
        <v>70</v>
      </c>
      <c r="C2" t="s">
        <v>71</v>
      </c>
      <c r="D2" t="s">
        <v>72</v>
      </c>
      <c r="E2" t="s">
        <v>100</v>
      </c>
    </row>
    <row r="3" spans="1:7" x14ac:dyDescent="0.25">
      <c r="A3" t="s">
        <v>131</v>
      </c>
      <c r="B3" s="17">
        <v>8700</v>
      </c>
      <c r="C3">
        <v>1</v>
      </c>
      <c r="D3" s="17">
        <f>B3*C3</f>
        <v>8700</v>
      </c>
      <c r="E3" s="42">
        <f>B3/1000</f>
        <v>8.6999999999999993</v>
      </c>
    </row>
    <row r="4" spans="1:7" x14ac:dyDescent="0.25">
      <c r="A4" t="s">
        <v>137</v>
      </c>
      <c r="B4" s="17">
        <v>8900</v>
      </c>
      <c r="C4">
        <v>1</v>
      </c>
      <c r="D4" s="17">
        <f>Tabla1[[#This Row],[Precio]]*Tabla1[[#This Row],[cantidad]]</f>
        <v>8900</v>
      </c>
      <c r="E4" s="42">
        <f>B4/1000</f>
        <v>8.9</v>
      </c>
    </row>
    <row r="5" spans="1:7" x14ac:dyDescent="0.25">
      <c r="A5" t="s">
        <v>138</v>
      </c>
      <c r="B5" s="17">
        <v>14300</v>
      </c>
      <c r="C5">
        <v>1</v>
      </c>
      <c r="D5" s="17">
        <f>Tabla1[[#This Row],[Precio]]*Tabla1[[#This Row],[cantidad]]</f>
        <v>14300</v>
      </c>
      <c r="E5" s="42">
        <f>B5/1000</f>
        <v>14.3</v>
      </c>
    </row>
    <row r="6" spans="1:7" x14ac:dyDescent="0.25">
      <c r="A6" t="s">
        <v>139</v>
      </c>
      <c r="B6" s="17">
        <v>10000</v>
      </c>
      <c r="C6">
        <v>1</v>
      </c>
      <c r="D6" s="17">
        <f>Tabla1[[#This Row],[Precio]]*Tabla1[[#This Row],[cantidad]]</f>
        <v>10000</v>
      </c>
      <c r="E6" s="42">
        <f>B6/1000</f>
        <v>10</v>
      </c>
    </row>
    <row r="7" spans="1:7" x14ac:dyDescent="0.25">
      <c r="A7" t="s">
        <v>73</v>
      </c>
      <c r="B7" s="17">
        <v>6000</v>
      </c>
      <c r="C7">
        <v>5</v>
      </c>
      <c r="D7" s="17">
        <f t="shared" ref="D7:D19" si="0">B7*C7</f>
        <v>30000</v>
      </c>
      <c r="E7" s="42">
        <f t="shared" ref="E7:E14" si="1">B7/1000</f>
        <v>6</v>
      </c>
    </row>
    <row r="8" spans="1:7" x14ac:dyDescent="0.25">
      <c r="A8" t="s">
        <v>74</v>
      </c>
      <c r="B8" s="17">
        <v>7000</v>
      </c>
      <c r="C8">
        <v>1</v>
      </c>
      <c r="D8" s="17">
        <f t="shared" si="0"/>
        <v>7000</v>
      </c>
      <c r="E8" s="42">
        <f t="shared" si="1"/>
        <v>7</v>
      </c>
    </row>
    <row r="9" spans="1:7" x14ac:dyDescent="0.25">
      <c r="A9" t="s">
        <v>75</v>
      </c>
      <c r="B9" s="17">
        <v>10900</v>
      </c>
      <c r="C9">
        <v>1</v>
      </c>
      <c r="D9" s="17">
        <f t="shared" si="0"/>
        <v>10900</v>
      </c>
      <c r="E9" s="42">
        <f t="shared" si="1"/>
        <v>10.9</v>
      </c>
    </row>
    <row r="10" spans="1:7" x14ac:dyDescent="0.25">
      <c r="A10" t="s">
        <v>23</v>
      </c>
      <c r="B10" s="17">
        <v>11400</v>
      </c>
      <c r="C10">
        <v>25</v>
      </c>
      <c r="D10" s="17">
        <f t="shared" si="0"/>
        <v>285000</v>
      </c>
      <c r="E10" s="42">
        <f t="shared" si="1"/>
        <v>11.4</v>
      </c>
    </row>
    <row r="11" spans="1:7" x14ac:dyDescent="0.25">
      <c r="A11" t="s">
        <v>76</v>
      </c>
      <c r="B11" s="17">
        <v>11600</v>
      </c>
      <c r="C11">
        <v>1</v>
      </c>
      <c r="D11" s="17">
        <f t="shared" si="0"/>
        <v>11600</v>
      </c>
      <c r="E11" s="42">
        <f t="shared" si="1"/>
        <v>11.6</v>
      </c>
    </row>
    <row r="12" spans="1:7" x14ac:dyDescent="0.25">
      <c r="A12" t="s">
        <v>77</v>
      </c>
      <c r="B12" s="17">
        <v>6000</v>
      </c>
      <c r="C12">
        <v>5</v>
      </c>
      <c r="D12" s="17">
        <f t="shared" si="0"/>
        <v>30000</v>
      </c>
      <c r="E12" s="42">
        <f t="shared" si="1"/>
        <v>6</v>
      </c>
    </row>
    <row r="13" spans="1:7" x14ac:dyDescent="0.25">
      <c r="A13" t="s">
        <v>78</v>
      </c>
      <c r="B13" s="17">
        <v>6100</v>
      </c>
      <c r="C13">
        <v>5</v>
      </c>
      <c r="D13" s="17">
        <f t="shared" si="0"/>
        <v>30500</v>
      </c>
      <c r="E13" s="42">
        <f t="shared" si="1"/>
        <v>6.1</v>
      </c>
    </row>
    <row r="14" spans="1:7" x14ac:dyDescent="0.25">
      <c r="A14" t="s">
        <v>79</v>
      </c>
      <c r="B14" s="17">
        <v>9100</v>
      </c>
      <c r="C14">
        <v>1</v>
      </c>
      <c r="D14" s="17">
        <f t="shared" si="0"/>
        <v>9100</v>
      </c>
      <c r="E14" s="42">
        <f t="shared" si="1"/>
        <v>9.1</v>
      </c>
    </row>
    <row r="15" spans="1:7" x14ac:dyDescent="0.25">
      <c r="A15" t="s">
        <v>132</v>
      </c>
      <c r="B15" s="17">
        <v>215</v>
      </c>
      <c r="C15">
        <v>2300</v>
      </c>
      <c r="D15" s="17">
        <f t="shared" si="0"/>
        <v>494500</v>
      </c>
      <c r="E15" s="42">
        <f>B15</f>
        <v>215</v>
      </c>
      <c r="G15" t="s">
        <v>136</v>
      </c>
    </row>
    <row r="16" spans="1:7" x14ac:dyDescent="0.25">
      <c r="A16" t="s">
        <v>81</v>
      </c>
      <c r="B16" s="17">
        <v>262000</v>
      </c>
      <c r="C16">
        <v>1</v>
      </c>
      <c r="D16" s="17">
        <f t="shared" si="0"/>
        <v>262000</v>
      </c>
      <c r="E16" s="42">
        <f>B16/500</f>
        <v>524</v>
      </c>
    </row>
    <row r="17" spans="1:5" x14ac:dyDescent="0.25">
      <c r="A17" t="s">
        <v>82</v>
      </c>
      <c r="B17" s="17">
        <v>17000</v>
      </c>
      <c r="C17">
        <v>10</v>
      </c>
      <c r="D17" s="17">
        <f t="shared" si="0"/>
        <v>170000</v>
      </c>
      <c r="E17" s="42">
        <f>B17/11</f>
        <v>1545.4545454545455</v>
      </c>
    </row>
    <row r="18" spans="1:5" x14ac:dyDescent="0.25">
      <c r="A18" t="s">
        <v>83</v>
      </c>
      <c r="B18" s="17">
        <v>242000</v>
      </c>
      <c r="C18">
        <v>1</v>
      </c>
      <c r="D18" s="17">
        <f>B18*C18</f>
        <v>242000</v>
      </c>
      <c r="E18" s="42">
        <f>B18/500</f>
        <v>484</v>
      </c>
    </row>
    <row r="19" spans="1:5" x14ac:dyDescent="0.25">
      <c r="A19" t="s">
        <v>84</v>
      </c>
      <c r="B19" s="17">
        <v>1000</v>
      </c>
      <c r="C19">
        <v>1</v>
      </c>
      <c r="D19" s="17">
        <f t="shared" si="0"/>
        <v>1000</v>
      </c>
      <c r="E19" s="42">
        <f>B19</f>
        <v>1000</v>
      </c>
    </row>
    <row r="20" spans="1:5" x14ac:dyDescent="0.25">
      <c r="A20" t="s">
        <v>101</v>
      </c>
      <c r="B20">
        <f>251472+120000</f>
        <v>371472</v>
      </c>
      <c r="C20">
        <v>360</v>
      </c>
      <c r="E20">
        <f>B20/C20</f>
        <v>1031.8666666666666</v>
      </c>
    </row>
    <row r="21" spans="1:5" x14ac:dyDescent="0.25">
      <c r="A21" t="s">
        <v>119</v>
      </c>
      <c r="C21">
        <v>200</v>
      </c>
      <c r="D21">
        <v>45000</v>
      </c>
      <c r="E21" s="1">
        <f>Tabla1[[#This Row],[subtotal]]/Tabla1[[#This Row],[cantidad]]</f>
        <v>225</v>
      </c>
    </row>
    <row r="22" spans="1:5" x14ac:dyDescent="0.25">
      <c r="A22" t="s">
        <v>120</v>
      </c>
      <c r="C22">
        <v>200</v>
      </c>
      <c r="D22">
        <v>40000</v>
      </c>
      <c r="E22" s="1">
        <f>Tabla1[[#This Row],[subtotal]]/Tabla1[[#This Row],[cantidad]]</f>
        <v>200</v>
      </c>
    </row>
    <row r="23" spans="1:5" x14ac:dyDescent="0.25">
      <c r="A23" t="s">
        <v>121</v>
      </c>
      <c r="C23">
        <v>200</v>
      </c>
      <c r="D23">
        <v>62000</v>
      </c>
      <c r="E23" s="1">
        <f>Tabla1[[#This Row],[subtotal]]/Tabla1[[#This Row],[cantidad]]</f>
        <v>310</v>
      </c>
    </row>
    <row r="24" spans="1:5" x14ac:dyDescent="0.25">
      <c r="A24" t="s">
        <v>133</v>
      </c>
      <c r="B24">
        <v>310</v>
      </c>
      <c r="C24">
        <v>1</v>
      </c>
      <c r="E24" s="1">
        <f>B24/C24</f>
        <v>310</v>
      </c>
    </row>
    <row r="25" spans="1:5" x14ac:dyDescent="0.25">
      <c r="A25" t="s">
        <v>140</v>
      </c>
      <c r="B25">
        <v>285</v>
      </c>
      <c r="C25">
        <v>1</v>
      </c>
      <c r="E25" s="1">
        <f>B25/C25</f>
        <v>285</v>
      </c>
    </row>
    <row r="26" spans="1:5" x14ac:dyDescent="0.25">
      <c r="A26" t="s">
        <v>134</v>
      </c>
      <c r="B26">
        <v>235</v>
      </c>
      <c r="C26">
        <v>1</v>
      </c>
      <c r="E26" s="1">
        <f>B26/C26</f>
        <v>235</v>
      </c>
    </row>
    <row r="27" spans="1:5" x14ac:dyDescent="0.25">
      <c r="A27" t="s">
        <v>135</v>
      </c>
      <c r="B27">
        <v>12000</v>
      </c>
      <c r="C27">
        <v>1200</v>
      </c>
      <c r="E27" s="1">
        <f>B27/C27</f>
        <v>10</v>
      </c>
    </row>
    <row r="28" spans="1:5" x14ac:dyDescent="0.25">
      <c r="A28" s="45" t="s">
        <v>115</v>
      </c>
      <c r="E28">
        <v>0</v>
      </c>
    </row>
    <row r="29" spans="1:5" x14ac:dyDescent="0.25">
      <c r="A29" t="s">
        <v>104</v>
      </c>
      <c r="B29">
        <v>3000</v>
      </c>
      <c r="C29">
        <v>500</v>
      </c>
      <c r="E29">
        <f>B29/C29</f>
        <v>6</v>
      </c>
    </row>
    <row r="30" spans="1:5" x14ac:dyDescent="0.25">
      <c r="A30" t="s">
        <v>105</v>
      </c>
      <c r="B30">
        <v>2000</v>
      </c>
      <c r="C30">
        <v>50</v>
      </c>
      <c r="E30">
        <f>B30/C30</f>
        <v>40</v>
      </c>
    </row>
    <row r="31" spans="1:5" x14ac:dyDescent="0.25">
      <c r="A31" t="s">
        <v>106</v>
      </c>
      <c r="B31">
        <v>16807</v>
      </c>
      <c r="C31">
        <v>100</v>
      </c>
      <c r="E31">
        <f>B31/C31</f>
        <v>168.07</v>
      </c>
    </row>
    <row r="32" spans="1:5" x14ac:dyDescent="0.25">
      <c r="A32" s="46" t="s">
        <v>116</v>
      </c>
      <c r="E32" s="1"/>
    </row>
    <row r="33" spans="1:5" x14ac:dyDescent="0.25">
      <c r="A33" t="s">
        <v>102</v>
      </c>
      <c r="B33">
        <v>5000</v>
      </c>
      <c r="C33">
        <v>1</v>
      </c>
      <c r="E33" s="1">
        <v>5000</v>
      </c>
    </row>
    <row r="34" spans="1:5" x14ac:dyDescent="0.25">
      <c r="A34" t="s">
        <v>103</v>
      </c>
      <c r="B34">
        <v>5000</v>
      </c>
      <c r="C34">
        <v>1</v>
      </c>
      <c r="E34" s="1">
        <v>5000</v>
      </c>
    </row>
    <row r="35" spans="1:5" x14ac:dyDescent="0.25">
      <c r="A35" t="s">
        <v>141</v>
      </c>
      <c r="B35">
        <v>50000</v>
      </c>
      <c r="C35">
        <v>1</v>
      </c>
      <c r="E35" s="1">
        <f t="shared" ref="E35" si="2">B35/C35</f>
        <v>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7"/>
  <sheetViews>
    <sheetView topLeftCell="A4" workbookViewId="0">
      <selection activeCell="F16" sqref="F16"/>
    </sheetView>
  </sheetViews>
  <sheetFormatPr baseColWidth="10" defaultRowHeight="15" x14ac:dyDescent="0.25"/>
  <cols>
    <col min="1" max="1" width="71.5703125" customWidth="1"/>
    <col min="2" max="2" width="15.140625" bestFit="1" customWidth="1"/>
    <col min="3" max="3" width="14.140625" bestFit="1" customWidth="1"/>
    <col min="6" max="6" width="22.5703125" bestFit="1" customWidth="1"/>
    <col min="7" max="7" width="13" bestFit="1" customWidth="1"/>
  </cols>
  <sheetData>
    <row r="3" spans="1:7" x14ac:dyDescent="0.25">
      <c r="A3" t="s">
        <v>107</v>
      </c>
      <c r="B3" t="s">
        <v>108</v>
      </c>
      <c r="C3" t="s">
        <v>109</v>
      </c>
      <c r="D3" t="s">
        <v>111</v>
      </c>
      <c r="F3" s="43" t="s">
        <v>112</v>
      </c>
      <c r="G3" s="44">
        <f>+SUM(D4:D24)</f>
        <v>556728.65999999992</v>
      </c>
    </row>
    <row r="4" spans="1:7" x14ac:dyDescent="0.25">
      <c r="A4" t="s">
        <v>131</v>
      </c>
      <c r="B4">
        <f>+VLOOKUP(Tabla2[materia prima], Tabla1[#All], 5,FALSE)</f>
        <v>8.6999999999999993</v>
      </c>
      <c r="C4">
        <v>12180</v>
      </c>
      <c r="D4">
        <f>+Tabla2[[#This Row],[cantidad usada]]*Tabla2[[#This Row],[costo por gramo]]</f>
        <v>105965.99999999999</v>
      </c>
    </row>
    <row r="5" spans="1:7" x14ac:dyDescent="0.25">
      <c r="A5" t="s">
        <v>75</v>
      </c>
      <c r="B5">
        <f>+VLOOKUP(Tabla2[materia prima], Tabla1[#All], 5,FALSE)</f>
        <v>10.9</v>
      </c>
      <c r="C5">
        <v>1785</v>
      </c>
      <c r="D5">
        <f>+Tabla2[[#This Row],[cantidad usada]]*Tabla2[[#This Row],[costo por gramo]]</f>
        <v>19456.5</v>
      </c>
      <c r="F5" s="43" t="s">
        <v>113</v>
      </c>
      <c r="G5" s="43">
        <v>210</v>
      </c>
    </row>
    <row r="6" spans="1:7" x14ac:dyDescent="0.25">
      <c r="A6" t="s">
        <v>23</v>
      </c>
      <c r="B6">
        <f>+VLOOKUP(Tabla2[materia prima], Tabla1[#All], 5,FALSE)</f>
        <v>11.4</v>
      </c>
      <c r="C6">
        <v>1200</v>
      </c>
      <c r="D6">
        <f>+Tabla2[[#This Row],[cantidad usada]]*Tabla2[[#This Row],[costo por gramo]]</f>
        <v>13680</v>
      </c>
    </row>
    <row r="7" spans="1:7" x14ac:dyDescent="0.25">
      <c r="A7" t="s">
        <v>135</v>
      </c>
      <c r="B7">
        <f>+VLOOKUP(Tabla2[materia prima], Tabla1[#All], 5,FALSE)</f>
        <v>10</v>
      </c>
      <c r="C7">
        <v>680</v>
      </c>
      <c r="D7">
        <f>+Tabla2[[#This Row],[cantidad usada]]*Tabla2[[#This Row],[costo por gramo]]</f>
        <v>6800</v>
      </c>
      <c r="F7" s="43" t="s">
        <v>114</v>
      </c>
      <c r="G7" s="44">
        <f>+G3/G5</f>
        <v>2651.0888571428568</v>
      </c>
    </row>
    <row r="8" spans="1:7" x14ac:dyDescent="0.25">
      <c r="A8" t="s">
        <v>104</v>
      </c>
      <c r="B8">
        <f>+VLOOKUP(Tabla2[materia prima], Tabla1[#All], 5,FALSE)</f>
        <v>6</v>
      </c>
      <c r="C8">
        <v>800</v>
      </c>
      <c r="D8">
        <f>+Tabla2[[#This Row],[cantidad usada]]*Tabla2[[#This Row],[costo por gramo]]</f>
        <v>4800</v>
      </c>
    </row>
    <row r="9" spans="1:7" x14ac:dyDescent="0.25">
      <c r="A9" t="s">
        <v>105</v>
      </c>
      <c r="B9">
        <f>+VLOOKUP(Tabla2[materia prima], Tabla1[#All], 5,FALSE)</f>
        <v>40</v>
      </c>
      <c r="C9">
        <v>10</v>
      </c>
      <c r="D9">
        <f>+Tabla2[[#This Row],[cantidad usada]]*Tabla2[[#This Row],[costo por gramo]]</f>
        <v>400</v>
      </c>
      <c r="F9" s="43" t="s">
        <v>117</v>
      </c>
      <c r="G9" s="44">
        <v>6000</v>
      </c>
    </row>
    <row r="10" spans="1:7" x14ac:dyDescent="0.25">
      <c r="A10" t="s">
        <v>106</v>
      </c>
      <c r="B10">
        <f>+VLOOKUP(Tabla2[materia prima], Tabla1[#All], 5,FALSE)</f>
        <v>168.07</v>
      </c>
      <c r="C10">
        <v>8</v>
      </c>
      <c r="D10">
        <f>+Tabla2[[#This Row],[cantidad usada]]*Tabla2[[#This Row],[costo por gramo]]</f>
        <v>1344.56</v>
      </c>
    </row>
    <row r="11" spans="1:7" x14ac:dyDescent="0.25">
      <c r="A11" t="s">
        <v>83</v>
      </c>
      <c r="B11">
        <f>+VLOOKUP(Tabla2[materia prima], Tabla1[#All], 5,FALSE)</f>
        <v>484</v>
      </c>
      <c r="C11">
        <v>34.4</v>
      </c>
      <c r="D11">
        <f>+Tabla2[[#This Row],[cantidad usada]]*Tabla2[[#This Row],[costo por gramo]]</f>
        <v>16649.599999999999</v>
      </c>
      <c r="F11" s="43" t="s">
        <v>118</v>
      </c>
      <c r="G11" s="44">
        <f>+G5*(G9-G7)</f>
        <v>703271.34000000008</v>
      </c>
    </row>
    <row r="12" spans="1:7" x14ac:dyDescent="0.25">
      <c r="A12" t="s">
        <v>132</v>
      </c>
      <c r="B12">
        <f>+VLOOKUP(Tabla2[materia prima], Tabla1[#All], 5,FALSE)</f>
        <v>215</v>
      </c>
      <c r="C12">
        <v>116</v>
      </c>
      <c r="D12">
        <f>+Tabla2[[#This Row],[cantidad usada]]*Tabla2[[#This Row],[costo por gramo]]</f>
        <v>24940</v>
      </c>
    </row>
    <row r="13" spans="1:7" x14ac:dyDescent="0.25">
      <c r="A13" t="s">
        <v>84</v>
      </c>
      <c r="B13">
        <f>+VLOOKUP(Tabla2[materia prima], Tabla1[#All], 5,FALSE)</f>
        <v>1000</v>
      </c>
      <c r="C13">
        <v>6</v>
      </c>
      <c r="D13">
        <f>+Tabla2[[#This Row],[cantidad usada]]*Tabla2[[#This Row],[costo por gramo]]</f>
        <v>6000</v>
      </c>
    </row>
    <row r="14" spans="1:7" x14ac:dyDescent="0.25">
      <c r="A14" t="s">
        <v>102</v>
      </c>
      <c r="B14">
        <f>+VLOOKUP(Tabla2[materia prima], Tabla1[#All], 5,FALSE)</f>
        <v>5000</v>
      </c>
      <c r="C14">
        <v>4</v>
      </c>
      <c r="D14">
        <f>+Tabla2[[#This Row],[cantidad usada]]*Tabla2[[#This Row],[costo por gramo]]</f>
        <v>20000</v>
      </c>
    </row>
    <row r="15" spans="1:7" x14ac:dyDescent="0.25">
      <c r="A15" t="s">
        <v>103</v>
      </c>
      <c r="B15">
        <f>+VLOOKUP(Tabla2[materia prima], Tabla1[#All], 5,FALSE)</f>
        <v>5000</v>
      </c>
      <c r="C15">
        <v>4</v>
      </c>
      <c r="D15">
        <f>+Tabla2[[#This Row],[cantidad usada]]*Tabla2[[#This Row],[costo por gramo]]</f>
        <v>20000</v>
      </c>
    </row>
    <row r="16" spans="1:7" x14ac:dyDescent="0.25">
      <c r="A16" t="s">
        <v>101</v>
      </c>
      <c r="B16">
        <f>+VLOOKUP(Tabla2[materia prima], Tabla1[#All], 5,FALSE)</f>
        <v>1031.8666666666666</v>
      </c>
      <c r="C16">
        <v>210</v>
      </c>
      <c r="D16">
        <f>+Tabla2[[#This Row],[cantidad usada]]*Tabla2[[#This Row],[costo por gramo]]</f>
        <v>216691.99999999997</v>
      </c>
    </row>
    <row r="17" spans="1:4" x14ac:dyDescent="0.25">
      <c r="A17" t="s">
        <v>141</v>
      </c>
      <c r="B17">
        <f>+VLOOKUP(Tabla2[materia prima], Tabla1[#All], 5,FALSE)</f>
        <v>50000</v>
      </c>
      <c r="C17">
        <v>2</v>
      </c>
      <c r="D17">
        <f>+Tabla2[[#This Row],[cantidad usada]]*Tabla2[[#This Row],[costo por gramo]]</f>
        <v>100000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'MATERIAS PRIMAS'!$A$2:$A$31</xm:f>
          </x14:formula1>
          <xm:sqref>A29</xm:sqref>
        </x14:dataValidation>
        <x14:dataValidation type="list" allowBlank="1" showInputMessage="1" showErrorMessage="1" xr:uid="{00000000-0002-0000-0300-000001000000}">
          <x14:formula1>
            <xm:f>'MATERIAS PRIMAS'!$A$2:$A$35</xm:f>
          </x14:formula1>
          <xm:sqref>A4:A28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7"/>
  <sheetViews>
    <sheetView workbookViewId="0">
      <selection activeCell="C18" sqref="C18"/>
    </sheetView>
  </sheetViews>
  <sheetFormatPr baseColWidth="10" defaultRowHeight="15" x14ac:dyDescent="0.25"/>
  <cols>
    <col min="1" max="1" width="71.5703125" customWidth="1"/>
    <col min="2" max="2" width="15.140625" bestFit="1" customWidth="1"/>
    <col min="3" max="3" width="14.140625" bestFit="1" customWidth="1"/>
    <col min="6" max="6" width="22.5703125" bestFit="1" customWidth="1"/>
    <col min="7" max="7" width="12" bestFit="1" customWidth="1"/>
  </cols>
  <sheetData>
    <row r="3" spans="1:7" x14ac:dyDescent="0.25">
      <c r="A3" t="s">
        <v>107</v>
      </c>
      <c r="B3" t="s">
        <v>108</v>
      </c>
      <c r="C3" t="s">
        <v>109</v>
      </c>
      <c r="D3" t="s">
        <v>111</v>
      </c>
      <c r="F3" s="43" t="s">
        <v>112</v>
      </c>
      <c r="G3" s="44">
        <f>+SUM(D4:D23)</f>
        <v>558105.34</v>
      </c>
    </row>
    <row r="4" spans="1:7" x14ac:dyDescent="0.25">
      <c r="A4" t="s">
        <v>131</v>
      </c>
      <c r="B4">
        <f>+VLOOKUP(Tabla24[materia prima], Tabla1[#All], 5,FALSE)</f>
        <v>8.6999999999999993</v>
      </c>
      <c r="C4">
        <v>12000</v>
      </c>
      <c r="D4">
        <f>+Tabla24[[#This Row],[cantidad usada]]*Tabla24[[#This Row],[costo por gramo]]</f>
        <v>104399.99999999999</v>
      </c>
    </row>
    <row r="5" spans="1:7" x14ac:dyDescent="0.25">
      <c r="A5" t="s">
        <v>23</v>
      </c>
      <c r="B5">
        <f>+VLOOKUP(Tabla24[materia prima], Tabla1[#All], 5,FALSE)</f>
        <v>11.4</v>
      </c>
      <c r="C5">
        <v>133</v>
      </c>
      <c r="D5">
        <f>+Tabla24[[#This Row],[cantidad usada]]*Tabla24[[#This Row],[costo por gramo]]</f>
        <v>1516.2</v>
      </c>
      <c r="F5" s="43" t="s">
        <v>113</v>
      </c>
      <c r="G5" s="43">
        <v>210</v>
      </c>
    </row>
    <row r="6" spans="1:7" x14ac:dyDescent="0.25">
      <c r="A6" t="s">
        <v>75</v>
      </c>
      <c r="B6">
        <f>+VLOOKUP(Tabla24[materia prima], Tabla1[#All], 5,FALSE)</f>
        <v>10.9</v>
      </c>
      <c r="C6">
        <v>133</v>
      </c>
      <c r="D6">
        <f>+Tabla24[[#This Row],[cantidad usada]]*Tabla24[[#This Row],[costo por gramo]]</f>
        <v>1449.7</v>
      </c>
    </row>
    <row r="7" spans="1:7" x14ac:dyDescent="0.25">
      <c r="A7" t="s">
        <v>104</v>
      </c>
      <c r="B7">
        <f>+VLOOKUP(Tabla24[materia prima], Tabla1[#All], 5,FALSE)</f>
        <v>6</v>
      </c>
      <c r="C7">
        <v>800</v>
      </c>
      <c r="D7">
        <f>+Tabla24[[#This Row],[cantidad usada]]*Tabla24[[#This Row],[costo por gramo]]</f>
        <v>4800</v>
      </c>
      <c r="F7" s="43" t="s">
        <v>114</v>
      </c>
      <c r="G7" s="44">
        <f>+G3/G5</f>
        <v>2657.6444761904759</v>
      </c>
    </row>
    <row r="8" spans="1:7" x14ac:dyDescent="0.25">
      <c r="A8" t="s">
        <v>133</v>
      </c>
      <c r="B8">
        <f>+VLOOKUP(Tabla24[materia prima], Tabla1[#All], 5,FALSE)</f>
        <v>310</v>
      </c>
      <c r="C8">
        <v>103</v>
      </c>
      <c r="D8">
        <f>+Tabla24[[#This Row],[cantidad usada]]*Tabla24[[#This Row],[costo por gramo]]</f>
        <v>31930</v>
      </c>
    </row>
    <row r="9" spans="1:7" x14ac:dyDescent="0.25">
      <c r="A9" t="s">
        <v>134</v>
      </c>
      <c r="B9">
        <f>+VLOOKUP(Tabla24[materia prima], Tabla1[#All], 5,FALSE)</f>
        <v>235</v>
      </c>
      <c r="C9">
        <v>41</v>
      </c>
      <c r="D9">
        <f>+Tabla24[[#This Row],[cantidad usada]]*Tabla24[[#This Row],[costo por gramo]]</f>
        <v>9635</v>
      </c>
      <c r="F9" s="43" t="s">
        <v>117</v>
      </c>
      <c r="G9" s="44">
        <v>6000</v>
      </c>
    </row>
    <row r="10" spans="1:7" x14ac:dyDescent="0.25">
      <c r="A10" t="s">
        <v>81</v>
      </c>
      <c r="B10">
        <f>+VLOOKUP(Tabla24[materia prima], Tabla1[#All], 5,FALSE)</f>
        <v>524</v>
      </c>
      <c r="C10">
        <v>44.4</v>
      </c>
      <c r="D10">
        <f>+Tabla24[[#This Row],[cantidad usada]]*Tabla24[[#This Row],[costo por gramo]]</f>
        <v>23265.599999999999</v>
      </c>
      <c r="F10" s="43" t="s">
        <v>118</v>
      </c>
      <c r="G10" s="44">
        <f>+G5*(G9-G7)</f>
        <v>701894.66</v>
      </c>
    </row>
    <row r="11" spans="1:7" x14ac:dyDescent="0.25">
      <c r="A11" t="s">
        <v>106</v>
      </c>
      <c r="B11">
        <f>+VLOOKUP(Tabla24[materia prima], Tabla1[#All], 5,FALSE)</f>
        <v>168.07</v>
      </c>
      <c r="C11">
        <v>12</v>
      </c>
      <c r="D11">
        <f>+Tabla24[[#This Row],[cantidad usada]]*Tabla24[[#This Row],[costo por gramo]]</f>
        <v>2016.84</v>
      </c>
    </row>
    <row r="12" spans="1:7" x14ac:dyDescent="0.25">
      <c r="A12" t="s">
        <v>84</v>
      </c>
      <c r="B12">
        <f>+VLOOKUP(Tabla24[materia prima], Tabla1[#All], 5,FALSE)</f>
        <v>1000</v>
      </c>
      <c r="C12">
        <v>6</v>
      </c>
      <c r="D12">
        <f>+Tabla24[[#This Row],[cantidad usada]]*Tabla24[[#This Row],[costo por gramo]]</f>
        <v>6000</v>
      </c>
    </row>
    <row r="13" spans="1:7" x14ac:dyDescent="0.25">
      <c r="A13" t="s">
        <v>102</v>
      </c>
      <c r="B13">
        <f>+VLOOKUP(Tabla24[materia prima], Tabla1[#All], 5,FALSE)</f>
        <v>5000</v>
      </c>
      <c r="C13">
        <v>5</v>
      </c>
      <c r="D13">
        <f>+Tabla24[[#This Row],[cantidad usada]]*Tabla24[[#This Row],[costo por gramo]]</f>
        <v>25000</v>
      </c>
    </row>
    <row r="14" spans="1:7" x14ac:dyDescent="0.25">
      <c r="A14" t="s">
        <v>103</v>
      </c>
      <c r="B14">
        <f>+VLOOKUP(Tabla24[materia prima], Tabla1[#All], 5,FALSE)</f>
        <v>5000</v>
      </c>
      <c r="C14">
        <v>5</v>
      </c>
      <c r="D14">
        <f>+Tabla24[[#This Row],[cantidad usada]]*Tabla24[[#This Row],[costo por gramo]]</f>
        <v>25000</v>
      </c>
    </row>
    <row r="15" spans="1:7" x14ac:dyDescent="0.25">
      <c r="A15" t="s">
        <v>101</v>
      </c>
      <c r="B15">
        <f>+VLOOKUP(Tabla24[materia prima], Tabla1[#All], 5,FALSE)</f>
        <v>1031.8666666666666</v>
      </c>
      <c r="C15">
        <v>210</v>
      </c>
      <c r="D15">
        <f>+Tabla24[[#This Row],[cantidad usada]]*Tabla24[[#This Row],[costo por gramo]]</f>
        <v>216691.99999999997</v>
      </c>
    </row>
    <row r="16" spans="1:7" x14ac:dyDescent="0.25">
      <c r="A16" t="s">
        <v>135</v>
      </c>
      <c r="B16">
        <f>+VLOOKUP(Tabla24[materia prima], Tabla1[#All], 5,FALSE)</f>
        <v>10</v>
      </c>
      <c r="C16">
        <v>640</v>
      </c>
      <c r="D16">
        <f>+Tabla24[[#This Row],[cantidad usada]]*Tabla24[[#This Row],[costo por gramo]]</f>
        <v>6400</v>
      </c>
    </row>
    <row r="17" spans="1:4" x14ac:dyDescent="0.25">
      <c r="A17" t="s">
        <v>141</v>
      </c>
      <c r="B17">
        <f>+VLOOKUP(Tabla24[materia prima], Tabla1[#All], 5,FALSE)</f>
        <v>50000</v>
      </c>
      <c r="C17">
        <v>2</v>
      </c>
      <c r="D17">
        <f>+Tabla24[[#This Row],[cantidad usada]]*Tabla24[[#This Row],[costo por gramo]]</f>
        <v>100000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'MATERIAS PRIMAS'!$A$2:$A$31</xm:f>
          </x14:formula1>
          <xm:sqref>A28</xm:sqref>
        </x14:dataValidation>
        <x14:dataValidation type="list" allowBlank="1" showInputMessage="1" showErrorMessage="1" xr:uid="{00000000-0002-0000-0400-000001000000}">
          <x14:formula1>
            <xm:f>'MATERIAS PRIMAS'!$A$2:$A$35</xm:f>
          </x14:formula1>
          <xm:sqref>A4:A27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CCEA-7CFA-49B5-B7EA-92AE691DE509}">
  <dimension ref="A3:G18"/>
  <sheetViews>
    <sheetView workbookViewId="0">
      <selection activeCell="C21" sqref="C21"/>
    </sheetView>
  </sheetViews>
  <sheetFormatPr baseColWidth="10" defaultRowHeight="15" x14ac:dyDescent="0.25"/>
  <cols>
    <col min="1" max="1" width="71.5703125" customWidth="1"/>
    <col min="2" max="2" width="15.140625" bestFit="1" customWidth="1"/>
    <col min="3" max="3" width="14.140625" bestFit="1" customWidth="1"/>
    <col min="6" max="6" width="22.5703125" bestFit="1" customWidth="1"/>
    <col min="7" max="7" width="12" bestFit="1" customWidth="1"/>
  </cols>
  <sheetData>
    <row r="3" spans="1:7" x14ac:dyDescent="0.25">
      <c r="A3" t="s">
        <v>107</v>
      </c>
      <c r="B3" t="s">
        <v>108</v>
      </c>
      <c r="C3" t="s">
        <v>109</v>
      </c>
      <c r="D3" t="s">
        <v>111</v>
      </c>
      <c r="F3" s="43" t="s">
        <v>112</v>
      </c>
      <c r="G3" s="44">
        <f>+SUM(D4:D24)</f>
        <v>490884.55266666668</v>
      </c>
    </row>
    <row r="4" spans="1:7" x14ac:dyDescent="0.25">
      <c r="A4" t="s">
        <v>137</v>
      </c>
      <c r="B4">
        <f>+VLOOKUP(Tabla245[materia prima], Tabla1[#All], 5,FALSE)</f>
        <v>8.9</v>
      </c>
      <c r="C4">
        <v>10000</v>
      </c>
      <c r="D4">
        <f>+Tabla245[[#This Row],[cantidad usada]]*Tabla245[[#This Row],[costo por gramo]]</f>
        <v>89000</v>
      </c>
    </row>
    <row r="5" spans="1:7" x14ac:dyDescent="0.25">
      <c r="A5" t="s">
        <v>23</v>
      </c>
      <c r="B5">
        <f>+VLOOKUP(Tabla245[materia prima], Tabla1[#All], 5,FALSE)</f>
        <v>11.4</v>
      </c>
      <c r="C5">
        <v>1570</v>
      </c>
      <c r="D5">
        <f>+Tabla245[[#This Row],[cantidad usada]]*Tabla245[[#This Row],[costo por gramo]]</f>
        <v>17898</v>
      </c>
      <c r="F5" s="43" t="s">
        <v>113</v>
      </c>
      <c r="G5" s="43">
        <v>100</v>
      </c>
    </row>
    <row r="6" spans="1:7" x14ac:dyDescent="0.25">
      <c r="A6" t="s">
        <v>138</v>
      </c>
      <c r="B6">
        <f>+VLOOKUP(Tabla245[materia prima], Tabla1[#All], 5,FALSE)</f>
        <v>14.3</v>
      </c>
      <c r="C6">
        <v>580</v>
      </c>
      <c r="D6">
        <f>+Tabla245[[#This Row],[cantidad usada]]*Tabla245[[#This Row],[costo por gramo]]</f>
        <v>8294</v>
      </c>
    </row>
    <row r="7" spans="1:7" x14ac:dyDescent="0.25">
      <c r="A7" t="s">
        <v>76</v>
      </c>
      <c r="B7">
        <f>+VLOOKUP(Tabla245[materia prima], Tabla1[#All], 5,FALSE)</f>
        <v>11.6</v>
      </c>
      <c r="C7">
        <v>1000</v>
      </c>
      <c r="D7">
        <f>+Tabla245[[#This Row],[cantidad usada]]*Tabla245[[#This Row],[costo por gramo]]</f>
        <v>11600</v>
      </c>
      <c r="F7" s="43" t="s">
        <v>114</v>
      </c>
      <c r="G7" s="44">
        <f>+G3/G5</f>
        <v>4908.845526666667</v>
      </c>
    </row>
    <row r="8" spans="1:7" x14ac:dyDescent="0.25">
      <c r="A8" t="s">
        <v>75</v>
      </c>
      <c r="B8">
        <f>+VLOOKUP(Tabla245[materia prima], Tabla1[#All], 5,FALSE)</f>
        <v>10.9</v>
      </c>
      <c r="C8">
        <v>0.54</v>
      </c>
      <c r="D8">
        <f>+Tabla245[[#This Row],[cantidad usada]]*Tabla245[[#This Row],[costo por gramo]]</f>
        <v>5.886000000000001</v>
      </c>
    </row>
    <row r="9" spans="1:7" x14ac:dyDescent="0.25">
      <c r="A9" t="s">
        <v>139</v>
      </c>
      <c r="B9">
        <f>+VLOOKUP(Tabla245[materia prima], Tabla1[#All], 5,FALSE)</f>
        <v>10</v>
      </c>
      <c r="C9">
        <v>1350</v>
      </c>
      <c r="D9">
        <f>+Tabla245[[#This Row],[cantidad usada]]*Tabla245[[#This Row],[costo por gramo]]</f>
        <v>13500</v>
      </c>
      <c r="F9" s="43" t="s">
        <v>117</v>
      </c>
      <c r="G9" s="44">
        <v>7000</v>
      </c>
    </row>
    <row r="10" spans="1:7" x14ac:dyDescent="0.25">
      <c r="A10" t="s">
        <v>135</v>
      </c>
      <c r="B10">
        <f>+VLOOKUP(Tabla245[materia prima], Tabla1[#All], 5,FALSE)</f>
        <v>10</v>
      </c>
      <c r="C10">
        <v>610</v>
      </c>
      <c r="D10">
        <f>+Tabla245[[#This Row],[cantidad usada]]*Tabla245[[#This Row],[costo por gramo]]</f>
        <v>6100</v>
      </c>
    </row>
    <row r="11" spans="1:7" x14ac:dyDescent="0.25">
      <c r="A11" t="s">
        <v>134</v>
      </c>
      <c r="B11">
        <f>+VLOOKUP(Tabla245[materia prima], Tabla1[#All], 5,FALSE)</f>
        <v>235</v>
      </c>
      <c r="C11">
        <v>100</v>
      </c>
      <c r="D11">
        <f>+Tabla245[[#This Row],[cantidad usada]]*Tabla245[[#This Row],[costo por gramo]]</f>
        <v>23500</v>
      </c>
      <c r="F11" s="43" t="s">
        <v>118</v>
      </c>
      <c r="G11" s="44">
        <f>+G5*(G9-G7)</f>
        <v>209115.44733333332</v>
      </c>
    </row>
    <row r="12" spans="1:7" x14ac:dyDescent="0.25">
      <c r="A12" t="s">
        <v>140</v>
      </c>
      <c r="B12">
        <f>+VLOOKUP(Tabla245[materia prima], Tabla1[#All], 5,FALSE)</f>
        <v>285</v>
      </c>
      <c r="C12">
        <v>200</v>
      </c>
      <c r="D12">
        <f>+Tabla245[[#This Row],[cantidad usada]]*Tabla245[[#This Row],[costo por gramo]]</f>
        <v>57000</v>
      </c>
    </row>
    <row r="13" spans="1:7" x14ac:dyDescent="0.25">
      <c r="A13" t="s">
        <v>84</v>
      </c>
      <c r="B13">
        <f>+VLOOKUP(Tabla245[materia prima], Tabla1[#All], 5,FALSE)</f>
        <v>1000</v>
      </c>
      <c r="C13">
        <v>6</v>
      </c>
      <c r="D13">
        <f>+Tabla245[[#This Row],[cantidad usada]]*Tabla245[[#This Row],[costo por gramo]]</f>
        <v>6000</v>
      </c>
    </row>
    <row r="14" spans="1:7" x14ac:dyDescent="0.25">
      <c r="A14" t="s">
        <v>102</v>
      </c>
      <c r="B14">
        <f>+VLOOKUP(Tabla245[materia prima], Tabla1[#All], 5,FALSE)</f>
        <v>5000</v>
      </c>
      <c r="C14">
        <v>5</v>
      </c>
      <c r="D14">
        <f>+Tabla245[[#This Row],[cantidad usada]]*Tabla245[[#This Row],[costo por gramo]]</f>
        <v>25000</v>
      </c>
    </row>
    <row r="15" spans="1:7" x14ac:dyDescent="0.25">
      <c r="A15" t="s">
        <v>103</v>
      </c>
      <c r="B15">
        <f>+VLOOKUP(Tabla245[materia prima], Tabla1[#All], 5,FALSE)</f>
        <v>5000</v>
      </c>
      <c r="C15">
        <v>5</v>
      </c>
      <c r="D15">
        <f>+Tabla245[[#This Row],[cantidad usada]]*Tabla245[[#This Row],[costo por gramo]]</f>
        <v>25000</v>
      </c>
    </row>
    <row r="16" spans="1:7" x14ac:dyDescent="0.25">
      <c r="A16" t="s">
        <v>101</v>
      </c>
      <c r="B16">
        <f>+VLOOKUP(Tabla245[materia prima], Tabla1[#All], 5,FALSE)</f>
        <v>1031.8666666666666</v>
      </c>
      <c r="C16">
        <v>100</v>
      </c>
      <c r="D16">
        <f>+Tabla245[[#This Row],[cantidad usada]]*Tabla245[[#This Row],[costo por gramo]]</f>
        <v>103186.66666666666</v>
      </c>
    </row>
    <row r="17" spans="1:4" x14ac:dyDescent="0.25">
      <c r="A17" t="s">
        <v>104</v>
      </c>
      <c r="B17">
        <f>+VLOOKUP(Tabla245[materia prima], Tabla1[#All], 5,FALSE)</f>
        <v>6</v>
      </c>
      <c r="C17">
        <v>800</v>
      </c>
      <c r="D17">
        <f>+Tabla245[[#This Row],[cantidad usada]]*Tabla245[[#This Row],[costo por gramo]]</f>
        <v>4800</v>
      </c>
    </row>
    <row r="18" spans="1:4" x14ac:dyDescent="0.25">
      <c r="A18" t="s">
        <v>141</v>
      </c>
      <c r="B18">
        <f>+VLOOKUP(Tabla245[materia prima], Tabla1[#All], 5,FALSE)</f>
        <v>50000</v>
      </c>
      <c r="C18">
        <v>2</v>
      </c>
      <c r="D18">
        <f>+Tabla245[[#This Row],[cantidad usada]]*Tabla245[[#This Row],[costo por gramo]]</f>
        <v>100000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6CFF65-ABA7-4B5C-B418-FFB712952C85}">
          <x14:formula1>
            <xm:f>'MATERIAS PRIMAS'!$A$2:$A$35</xm:f>
          </x14:formula1>
          <xm:sqref>A4:A28</xm:sqref>
        </x14:dataValidation>
        <x14:dataValidation type="list" allowBlank="1" showInputMessage="1" showErrorMessage="1" xr:uid="{A417CD57-FA3B-4F90-A5AE-0524C7CEA218}">
          <x14:formula1>
            <xm:f>'MATERIAS PRIMAS'!$A$2:$A$31</xm:f>
          </x14:formula1>
          <xm:sqref>A29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EDD0-7F41-4BD3-9B83-BFD3BF3A8A66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X 1 B U r H 8 2 1 O m A A A A + Q A A A B I A H A B D b 2 5 m a W c v U G F j a 2 F n Z S 5 4 b W w g o h g A K K A U A A A A A A A A A A A A A A A A A A A A A A A A A A A A h Y + 9 D o I w G E V f h X S n f 0 S j 5 K M M r B J N T I x r A x U a o R h a L O / m 4 C P 5 C p I o 6 u Z 4 T 8 5 w 7 u N 2 h 3 R s m + C q e q s 7 k y C G K Q q U K b p S m y p B g z u F K 5 Q K 2 M n i L C s V T L K x 8 W j L B N X O X W J C v P f Y R 7 j r K 8 I p Z e S Y b / Z F r V q J P r L + L 4 f a W C d N o Z C A w y t G c L x k e M H W H L O I M i A z h 1 y b r 8 O n Z E y B / E D I h s Y N v R L K h t k W y D y B v G + I J 1 B L A w Q U A A I A C A B p f U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X 1 B U i i K R 7 g O A A A A E Q A A A B M A H A B G b 3 J t d W x h c y 9 T Z W N 0 a W 9 u M S 5 t I K I Y A C i g F A A A A A A A A A A A A A A A A A A A A A A A A A A A A C t O T S 7 J z M 9 T C I b Q h t Y A U E s B A i 0 A F A A C A A g A a X 1 B U r H 8 2 1 O m A A A A + Q A A A B I A A A A A A A A A A A A A A A A A A A A A A E N v b m Z p Z y 9 Q Y W N r Y W d l L n h t b F B L A Q I t A B Q A A g A I A G l 9 Q V I P y u m r p A A A A O k A A A A T A A A A A A A A A A A A A A A A A P I A A A B b Q 2 9 u d G V u d F 9 U e X B l c 1 0 u e G 1 s U E s B A i 0 A F A A C A A g A a X 1 B U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B r n B Q C 2 d + d I p 9 N o H R e 1 G A w A A A A A A g A A A A A A A 2 Y A A M A A A A A Q A A A A Q K O E I 5 3 y m e e H x O R z 8 7 m j S A A A A A A E g A A A o A A A A B A A A A D M q Z Q B V F J g 9 6 V H u V w l G s 8 B U A A A A F o T R E r N 3 + y 7 B E 4 v o y A 5 u y 5 q k k D l p 4 K T b 8 A i 6 0 1 2 s 6 h N 8 P 9 y s Y f t a l j u h c z j s p 7 b C U x L N x Q g 2 F K U t f M o n O 8 L w n T 8 B A p 4 t V s g k D g 4 p x W A U s 8 6 F A A A A B s v a 3 k E W 6 3 K m M 8 Z j U / y Z G j N 3 9 p 9 < / D a t a M a s h u p > 
</file>

<file path=customXml/itemProps1.xml><?xml version="1.0" encoding="utf-8"?>
<ds:datastoreItem xmlns:ds="http://schemas.openxmlformats.org/officeDocument/2006/customXml" ds:itemID="{2B48F28C-449C-4A7D-B746-65593B0FE3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Pedido Prostbier 29ene21</vt:lpstr>
      <vt:lpstr>MATERIAS PRIMAS</vt:lpstr>
      <vt:lpstr>AMBAR</vt:lpstr>
      <vt:lpstr>RUBIA</vt:lpstr>
      <vt:lpstr>STOUT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</dc:creator>
  <cp:lastModifiedBy>Juan Manuel Acevedo</cp:lastModifiedBy>
  <dcterms:created xsi:type="dcterms:W3CDTF">2019-11-05T02:05:19Z</dcterms:created>
  <dcterms:modified xsi:type="dcterms:W3CDTF">2022-08-10T04:05:58Z</dcterms:modified>
</cp:coreProperties>
</file>