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ater &amp; Sewer Rates" sheetId="1" state="visible" r:id="rId3"/>
    <sheet name="City Administrator Salaries" sheetId="2"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<sst xmlns="http://schemas.openxmlformats.org/spreadsheetml/2006/main" count="101" uniqueCount="73">
  <si>
    <t xml:space="preserve">City/Municipality</t>
  </si>
  <si>
    <t xml:space="preserve">Population (as of 2020 census)</t>
  </si>
  <si>
    <t xml:space="preserve">2023 Median Household Income (according to city-data.com)</t>
  </si>
  <si>
    <t xml:space="preserve">Population Rank Out of 10 Largest Northwest Ohio Cities</t>
  </si>
  <si>
    <t xml:space="preserve">Current Residential Water Usage Rates (per 1,000 gallons)</t>
  </si>
  <si>
    <t xml:space="preserve">City Buys Water From Toledo</t>
  </si>
  <si>
    <t xml:space="preserve">Current Residential Sewer Usage Rates (per 1,000 gallons)</t>
  </si>
  <si>
    <t xml:space="preserve">Type of Flat Fee Charged</t>
  </si>
  <si>
    <t xml:space="preserve">Quarterly Equivalent Minimum Usage Gallons</t>
  </si>
  <si>
    <r>
      <rPr>
        <sz val="10"/>
        <rFont val="Arial"/>
        <family val="2"/>
      </rPr>
      <t xml:space="preserve">Equivalent Quarterly Minimum Usage Fee, Flat Fee and/or Meter Fee (</t>
    </r>
    <r>
      <rPr>
        <b val="true"/>
        <sz val="10"/>
        <rFont val="Arial"/>
        <family val="2"/>
      </rPr>
      <t xml:space="preserve">5/8”</t>
    </r>
    <r>
      <rPr>
        <sz val="10"/>
        <rFont val="Arial"/>
        <family val="2"/>
      </rPr>
      <t xml:space="preserve"> Meter)</t>
    </r>
  </si>
  <si>
    <r>
      <rPr>
        <sz val="10"/>
        <rFont val="Arial"/>
        <family val="2"/>
      </rPr>
      <t xml:space="preserve">Equivalent Quarterly Bill for 3,000 gallons of usage (</t>
    </r>
    <r>
      <rPr>
        <b val="true"/>
        <sz val="10"/>
        <rFont val="Arial"/>
        <family val="2"/>
      </rPr>
      <t xml:space="preserve">5/8”</t>
    </r>
    <r>
      <rPr>
        <sz val="10"/>
        <rFont val="Arial"/>
        <family val="2"/>
      </rPr>
      <t xml:space="preserve"> Meter)</t>
    </r>
  </si>
  <si>
    <r>
      <rPr>
        <sz val="10"/>
        <rFont val="Arial"/>
        <family val="2"/>
      </rPr>
      <t xml:space="preserve">Equivalent Quarterly Bill for 6,000 gallons of usage (</t>
    </r>
    <r>
      <rPr>
        <b val="true"/>
        <sz val="10"/>
        <rFont val="Arial"/>
        <family val="2"/>
      </rPr>
      <t xml:space="preserve">5/8”</t>
    </r>
    <r>
      <rPr>
        <sz val="10"/>
        <rFont val="Arial"/>
        <family val="2"/>
      </rPr>
      <t xml:space="preserve"> Meter)</t>
    </r>
  </si>
  <si>
    <r>
      <rPr>
        <sz val="10"/>
        <rFont val="Arial"/>
        <family val="2"/>
      </rPr>
      <t xml:space="preserve">Equivalent Quarterly Bill for 12,000 gallons of usage (</t>
    </r>
    <r>
      <rPr>
        <b val="true"/>
        <sz val="10"/>
        <rFont val="Arial"/>
        <family val="2"/>
      </rPr>
      <t xml:space="preserve">5/8”</t>
    </r>
    <r>
      <rPr>
        <sz val="10"/>
        <rFont val="Arial"/>
        <family val="2"/>
      </rPr>
      <t xml:space="preserve"> Meter)</t>
    </r>
  </si>
  <si>
    <r>
      <rPr>
        <sz val="10"/>
        <rFont val="Arial"/>
        <family val="2"/>
      </rPr>
      <t xml:space="preserve">Equivalent Quarterly Minimum Usage Fee, Flat Fee and/or Meter Fee (</t>
    </r>
    <r>
      <rPr>
        <b val="true"/>
        <sz val="10"/>
        <rFont val="Arial"/>
        <family val="2"/>
      </rPr>
      <t xml:space="preserve">3/4”</t>
    </r>
    <r>
      <rPr>
        <sz val="10"/>
        <rFont val="Arial"/>
        <family val="2"/>
      </rPr>
      <t xml:space="preserve"> Meter)</t>
    </r>
  </si>
  <si>
    <r>
      <rPr>
        <sz val="10"/>
        <rFont val="Arial"/>
        <family val="2"/>
      </rPr>
      <t xml:space="preserve">Equivalent Quarterly Bill for 3,000 gallons of usage (</t>
    </r>
    <r>
      <rPr>
        <b val="true"/>
        <sz val="10"/>
        <rFont val="Arial"/>
        <family val="2"/>
      </rPr>
      <t xml:space="preserve">3/4”</t>
    </r>
    <r>
      <rPr>
        <sz val="10"/>
        <rFont val="Arial"/>
        <family val="2"/>
      </rPr>
      <t xml:space="preserve"> Meter)</t>
    </r>
  </si>
  <si>
    <r>
      <rPr>
        <sz val="10"/>
        <rFont val="Arial"/>
        <family val="2"/>
      </rPr>
      <t xml:space="preserve">Equivalent Quarterly Bill for 6,000 gallons of usage (</t>
    </r>
    <r>
      <rPr>
        <b val="true"/>
        <sz val="10"/>
        <rFont val="Arial"/>
        <family val="2"/>
      </rPr>
      <t xml:space="preserve">3/4”</t>
    </r>
    <r>
      <rPr>
        <sz val="10"/>
        <rFont val="Arial"/>
        <family val="2"/>
      </rPr>
      <t xml:space="preserve"> Meter)</t>
    </r>
  </si>
  <si>
    <r>
      <rPr>
        <sz val="10"/>
        <rFont val="Arial"/>
        <family val="2"/>
      </rPr>
      <t xml:space="preserve">Equivalent Quarterly Bill for 12,000 gallons of usage (</t>
    </r>
    <r>
      <rPr>
        <b val="true"/>
        <sz val="10"/>
        <rFont val="Arial"/>
        <family val="2"/>
      </rPr>
      <t xml:space="preserve">3/4”</t>
    </r>
    <r>
      <rPr>
        <sz val="10"/>
        <rFont val="Arial"/>
        <family val="2"/>
      </rPr>
      <t xml:space="preserve"> Meter)</t>
    </r>
  </si>
  <si>
    <r>
      <rPr>
        <sz val="10"/>
        <rFont val="Arial"/>
        <family val="2"/>
      </rPr>
      <t xml:space="preserve">Equivalent Quarterly Minimum Usage Fee, Flat Fee and/or Meter Fee (</t>
    </r>
    <r>
      <rPr>
        <b val="true"/>
        <sz val="10"/>
        <rFont val="Arial"/>
        <family val="2"/>
      </rPr>
      <t xml:space="preserve">1”</t>
    </r>
    <r>
      <rPr>
        <sz val="10"/>
        <rFont val="Arial"/>
        <family val="2"/>
      </rPr>
      <t xml:space="preserve"> Meter)</t>
    </r>
  </si>
  <si>
    <r>
      <rPr>
        <sz val="10"/>
        <rFont val="Arial"/>
        <family val="2"/>
      </rPr>
      <t xml:space="preserve">Equivalent Quarterly Bill for 3,000 gallons of usage (</t>
    </r>
    <r>
      <rPr>
        <b val="true"/>
        <sz val="10"/>
        <rFont val="Arial"/>
        <family val="2"/>
      </rPr>
      <t xml:space="preserve">1”</t>
    </r>
    <r>
      <rPr>
        <sz val="10"/>
        <rFont val="Arial"/>
        <family val="2"/>
      </rPr>
      <t xml:space="preserve"> Meter)</t>
    </r>
  </si>
  <si>
    <r>
      <rPr>
        <sz val="10"/>
        <rFont val="Arial"/>
        <family val="2"/>
      </rPr>
      <t xml:space="preserve">Equivalent Quarterly Bill for 6,000 gallons of usage (</t>
    </r>
    <r>
      <rPr>
        <b val="true"/>
        <sz val="10"/>
        <rFont val="Arial"/>
        <family val="2"/>
      </rPr>
      <t xml:space="preserve">1”</t>
    </r>
    <r>
      <rPr>
        <sz val="10"/>
        <rFont val="Arial"/>
        <family val="2"/>
      </rPr>
      <t xml:space="preserve"> Meter)</t>
    </r>
  </si>
  <si>
    <r>
      <rPr>
        <sz val="10"/>
        <rFont val="Arial"/>
        <family val="2"/>
      </rPr>
      <t xml:space="preserve">Equivalent Quarterly Bill for 12,000 gallons of usage (</t>
    </r>
    <r>
      <rPr>
        <b val="true"/>
        <sz val="10"/>
        <rFont val="Arial"/>
        <family val="2"/>
      </rPr>
      <t xml:space="preserve">1”</t>
    </r>
    <r>
      <rPr>
        <sz val="10"/>
        <rFont val="Arial"/>
        <family val="2"/>
      </rPr>
      <t xml:space="preserve"> Meter)</t>
    </r>
  </si>
  <si>
    <t xml:space="preserve">Water Rate Source</t>
  </si>
  <si>
    <t xml:space="preserve">Toledo</t>
  </si>
  <si>
    <t xml:space="preserve">Yes</t>
  </si>
  <si>
    <t xml:space="preserve">Meter Fee Based on Meter Size &amp; Flat Fee</t>
  </si>
  <si>
    <t xml:space="preserve">https://toledo.oh.gov/residents/water/rates</t>
  </si>
  <si>
    <t xml:space="preserve">Findlay</t>
  </si>
  <si>
    <t xml:space="preserve">No</t>
  </si>
  <si>
    <t xml:space="preserve">Minimum Usage Fee Based on Meter Size</t>
  </si>
  <si>
    <t xml:space="preserve">https://www.findlayohio.gov/home/showpublisheddocument/16350/638677831257830000
https://www.findlayohio.gov/home/showpublisheddocument/2468/636693760887570000</t>
  </si>
  <si>
    <t xml:space="preserve">Lima</t>
  </si>
  <si>
    <r>
      <rPr>
        <sz val="7"/>
        <rFont val="Arial"/>
        <family val="2"/>
      </rPr>
      <t xml:space="preserve">&lt;=6732 gallons    </t>
    </r>
    <r>
      <rPr>
        <sz val="10"/>
        <rFont val="Arial"/>
        <family val="2"/>
      </rPr>
      <t xml:space="preserve">$187.17
</t>
    </r>
    <r>
      <rPr>
        <sz val="7"/>
        <rFont val="Arial"/>
        <family val="2"/>
      </rPr>
      <t xml:space="preserve">&gt;6732 gallons    </t>
    </r>
    <r>
      <rPr>
        <sz val="10"/>
        <rFont val="Arial"/>
        <family val="2"/>
      </rPr>
      <t xml:space="preserve">$218.52</t>
    </r>
  </si>
  <si>
    <r>
      <rPr>
        <sz val="7"/>
        <rFont val="Arial"/>
        <family val="2"/>
      </rPr>
      <t xml:space="preserve">&lt;=6732 gallons    </t>
    </r>
    <r>
      <rPr>
        <sz val="10"/>
        <rFont val="Arial"/>
        <family val="2"/>
      </rPr>
      <t xml:space="preserve">$200.79
</t>
    </r>
    <r>
      <rPr>
        <sz val="7"/>
        <rFont val="Arial"/>
        <family val="2"/>
      </rPr>
      <t xml:space="preserve">&gt;6732 gallons    </t>
    </r>
    <r>
      <rPr>
        <sz val="10"/>
        <rFont val="Arial"/>
        <family val="2"/>
      </rPr>
      <t xml:space="preserve">$239.10</t>
    </r>
  </si>
  <si>
    <r>
      <rPr>
        <sz val="7"/>
        <rFont val="Arial"/>
        <family val="2"/>
      </rPr>
      <t xml:space="preserve">&lt;=6732 gallons    </t>
    </r>
    <r>
      <rPr>
        <sz val="10"/>
        <rFont val="Arial"/>
        <family val="2"/>
      </rPr>
      <t xml:space="preserve">$269.22
</t>
    </r>
    <r>
      <rPr>
        <sz val="7"/>
        <rFont val="Arial"/>
        <family val="2"/>
      </rPr>
      <t xml:space="preserve">&gt;6732 gallons    </t>
    </r>
    <r>
      <rPr>
        <sz val="10"/>
        <rFont val="Arial"/>
        <family val="2"/>
      </rPr>
      <t xml:space="preserve">$279.93</t>
    </r>
  </si>
  <si>
    <r>
      <rPr>
        <sz val="10"/>
        <color rgb="FF0000FF"/>
        <rFont val="Arial"/>
        <family val="2"/>
      </rPr>
      <t xml:space="preserve">https://www.limaohio.gov/DocumentCenter/View/11009/WATER-RATES-2025---2027
https://www.limaohio.gov/DocumentCenter/View/10219/2024-Sewer-Rates?bidId</t>
    </r>
    <r>
      <rPr>
        <sz val="10"/>
        <rFont val="Arial"/>
        <family val="2"/>
      </rPr>
      <t xml:space="preserve">=</t>
    </r>
  </si>
  <si>
    <t xml:space="preserve">Bowling Green</t>
  </si>
  <si>
    <t xml:space="preserve">https://www.bgohio.org/321/Rates-Fees</t>
  </si>
  <si>
    <t xml:space="preserve">Perrysburg</t>
  </si>
  <si>
    <t xml:space="preserve">Minimum Usage Fee</t>
  </si>
  <si>
    <t xml:space="preserve">https://www.perrysburgoh.gov/DocumentCenter/View/540/2025-Water-and-Sewer-Rates-PDF</t>
  </si>
  <si>
    <t xml:space="preserve">Sylvania</t>
  </si>
  <si>
    <t xml:space="preserve">None</t>
  </si>
  <si>
    <t xml:space="preserve">https://www.cityofsylvania.com/government/utilities/</t>
  </si>
  <si>
    <t xml:space="preserve">Tiffin</t>
  </si>
  <si>
    <t xml:space="preserve">Meter Fee Based on Meter Size</t>
  </si>
  <si>
    <t xml:space="preserve">https://www.aquawater.com/customers/water-rates
https://codelibrary.amlegal.com/codes/tiffin/latest/tiffin_oh/0-0-0-13795</t>
  </si>
  <si>
    <t xml:space="preserve">Defiance</t>
  </si>
  <si>
    <t xml:space="preserve">Flat Fee</t>
  </si>
  <si>
    <t xml:space="preserve">https://codelibrary.amlegal.com/codes/defiance/latest/defiance_oh/0-0-0-21833</t>
  </si>
  <si>
    <t xml:space="preserve">Fremont</t>
  </si>
  <si>
    <r>
      <rPr>
        <sz val="7"/>
        <rFont val="Arial"/>
        <family val="2"/>
      </rPr>
      <t xml:space="preserve">&lt;= 4488 gal</t>
    </r>
    <r>
      <rPr>
        <sz val="10"/>
        <rFont val="Arial"/>
        <family val="2"/>
      </rPr>
      <t xml:space="preserve"> $7.77
</t>
    </r>
    <r>
      <rPr>
        <sz val="7"/>
        <rFont val="Arial"/>
        <family val="2"/>
      </rPr>
      <t xml:space="preserve">&gt; 4488 gal</t>
    </r>
    <r>
      <rPr>
        <sz val="10"/>
        <rFont val="Arial"/>
        <family val="2"/>
      </rPr>
      <t xml:space="preserve">  $7.45</t>
    </r>
  </si>
  <si>
    <t xml:space="preserve">https://www.fremontohio.org/departments/water-billing/</t>
  </si>
  <si>
    <t xml:space="preserve">Maumee</t>
  </si>
  <si>
    <t xml:space="preserve">https://maumee.org/download/ordinance-015-2024/</t>
  </si>
  <si>
    <t xml:space="preserve">2023 Median Household Income***</t>
  </si>
  <si>
    <t xml:space="preserve">City Administrator Name (as of 2022)*</t>
  </si>
  <si>
    <t xml:space="preserve">Reported Title (as of 2022)*</t>
  </si>
  <si>
    <t xml:space="preserve">2022 Salary*</t>
  </si>
  <si>
    <t xml:space="preserve">Salary-to-Population Ratio ($ of salary per resident)</t>
  </si>
  <si>
    <t xml:space="preserve">**</t>
  </si>
  <si>
    <t xml:space="preserve">Lori Trettor</t>
  </si>
  <si>
    <t xml:space="preserve">Municipal Administrator</t>
  </si>
  <si>
    <t xml:space="preserve">Bridgette Kabat</t>
  </si>
  <si>
    <t xml:space="preserve">City Administrator</t>
  </si>
  <si>
    <t xml:space="preserve">Kevin Aller</t>
  </si>
  <si>
    <t xml:space="preserve">Director Of Public Service Safety Director</t>
  </si>
  <si>
    <t xml:space="preserve">Dale Thornton</t>
  </si>
  <si>
    <t xml:space="preserve">Jeffery Leonard</t>
  </si>
  <si>
    <t xml:space="preserve">Administrator</t>
  </si>
  <si>
    <t xml:space="preserve">Kenneth Frost</t>
  </si>
  <si>
    <t xml:space="preserve">Safety/Service Director</t>
  </si>
  <si>
    <t xml:space="preserve">Patrick Burtch</t>
  </si>
  <si>
    <t xml:space="preserve">City Admin Safety &amp; Serv Dir</t>
  </si>
</sst>
</file>

<file path=xl/styles.xml><?xml version="1.0" encoding="utf-8"?>
<styleSheet xmlns="http://schemas.openxmlformats.org/spreadsheetml/2006/main">
  <numFmts count="4">
    <numFmt numFmtId="164" formatCode="General"/>
    <numFmt numFmtId="165" formatCode="#,##0"/>
    <numFmt numFmtId="166" formatCode="[$$-409]#,##0;[RED]\-[$$-409]#,##0"/>
    <numFmt numFmtId="167" formatCode="[$$-409]#,##0.00;[RED]\-[$$-409]#,##0.00"/>
  </numFmts>
  <fonts count="8">
    <font>
      <sz val="10"/>
      <name val="Arial"/>
      <family val="2"/>
    </font>
    <font>
      <sz val="10"/>
      <name val="Arial"/>
      <family val="0"/>
    </font>
    <font>
      <sz val="10"/>
      <name val="Arial"/>
      <family val="0"/>
    </font>
    <font>
      <sz val="10"/>
      <name val="Arial"/>
      <family val="0"/>
    </font>
    <font>
      <b val="true"/>
      <sz val="10"/>
      <name val="Arial"/>
      <family val="2"/>
    </font>
    <font>
      <sz val="10"/>
      <color rgb="FF0000FF"/>
      <name val="Arial"/>
      <family val="2"/>
    </font>
    <font>
      <sz val="7"/>
      <name val="Arial"/>
      <family val="2"/>
    </font>
    <font>
      <sz val="10.5"/>
      <name val="Arial"/>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right" vertical="center" textRotation="0" wrapText="false" indent="0" shrinkToFit="false"/>
      <protection locked="true" hidden="false"/>
    </xf>
    <xf numFmtId="167" fontId="0"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7" fontId="6" fillId="0" borderId="0" xfId="0" applyFont="true" applyBorder="false" applyAlignment="true" applyProtection="false">
      <alignment horizontal="right" vertical="center" textRotation="0" wrapText="true" indent="0" shrinkToFit="false"/>
      <protection locked="true" hidden="false"/>
    </xf>
    <xf numFmtId="167" fontId="6" fillId="2" borderId="0" xfId="0" applyFont="true" applyBorder="false" applyAlignment="true" applyProtection="false">
      <alignment horizontal="right"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patternType="solid">
          <bgColor rgb="FF000000"/>
        </patternFill>
      </fill>
    </dxf>
    <dxf>
      <fill>
        <patternFill patternType="solid">
          <fgColor rgb="FF00A933"/>
          <bgColor rgb="FF000000"/>
        </patternFill>
      </fill>
    </dxf>
    <dxf>
      <fill>
        <patternFill patternType="solid">
          <fgColor rgb="FF5DC821"/>
          <bgColor rgb="FF000000"/>
        </patternFill>
      </fill>
    </dxf>
    <dxf>
      <fill>
        <patternFill patternType="solid">
          <fgColor rgb="FF75D01C"/>
          <bgColor rgb="FF000000"/>
        </patternFill>
      </fill>
    </dxf>
    <dxf>
      <fill>
        <patternFill patternType="solid">
          <fgColor rgb="FF90D917"/>
          <bgColor rgb="FF000000"/>
        </patternFill>
      </fill>
    </dxf>
    <dxf>
      <fill>
        <patternFill patternType="solid">
          <fgColor rgb="FFF9FD02"/>
          <bgColor rgb="FF000000"/>
        </patternFill>
      </fill>
    </dxf>
    <dxf>
      <fill>
        <patternFill patternType="solid">
          <fgColor rgb="FFFF0000"/>
          <bgColor rgb="FF000000"/>
        </patternFill>
      </fill>
    </dxf>
    <dxf>
      <fill>
        <patternFill patternType="solid">
          <fgColor rgb="FFFF4C00"/>
          <bgColor rgb="FF000000"/>
        </patternFill>
      </fill>
    </dxf>
    <dxf>
      <fill>
        <patternFill patternType="solid">
          <fgColor rgb="FFFF5C00"/>
          <bgColor rgb="FF000000"/>
        </patternFill>
      </fill>
    </dxf>
    <dxf>
      <fill>
        <patternFill patternType="solid">
          <fgColor rgb="FFFFEC00"/>
          <bgColor rgb="FF000000"/>
        </patternFill>
      </fill>
    </dxf>
    <dxf>
      <fill>
        <patternFill patternType="solid">
          <fgColor rgb="FFFFFB00"/>
          <bgColor rgb="FF000000"/>
        </patternFill>
      </fill>
    </dxf>
    <dxf>
      <fill>
        <patternFill patternType="solid">
          <fgColor rgb="FF8ED917"/>
          <bgColor rgb="FF000000"/>
        </patternFill>
      </fill>
    </dxf>
    <dxf>
      <fill>
        <patternFill patternType="solid">
          <fgColor rgb="FFA3E013"/>
          <bgColor rgb="FF000000"/>
        </patternFill>
      </fill>
    </dxf>
    <dxf>
      <fill>
        <patternFill patternType="solid">
          <fgColor rgb="FFB3E510"/>
          <bgColor rgb="FF000000"/>
        </patternFill>
      </fill>
    </dxf>
    <dxf>
      <fill>
        <patternFill patternType="solid">
          <fgColor rgb="FFFFBF00"/>
          <bgColor rgb="FF000000"/>
        </patternFill>
      </fill>
    </dxf>
    <dxf>
      <fill>
        <patternFill patternType="solid">
          <fgColor rgb="FFFFD200"/>
          <bgColor rgb="FF000000"/>
        </patternFill>
      </fill>
    </dxf>
    <dxf>
      <fill>
        <patternFill patternType="solid">
          <fgColor rgb="FFFFF700"/>
          <bgColor rgb="FF000000"/>
        </patternFill>
      </fill>
    </dxf>
    <dxf>
      <fill>
        <patternFill patternType="solid">
          <fgColor rgb="FFFFFF00"/>
          <bgColor rgb="FF000000"/>
        </patternFill>
      </fill>
    </dxf>
    <dxf>
      <fill>
        <patternFill patternType="solid">
          <fgColor rgb="FF17B02F"/>
          <bgColor rgb="FF000000"/>
        </patternFill>
      </fill>
    </dxf>
    <dxf>
      <fill>
        <patternFill patternType="solid">
          <fgColor rgb="FF79D11B"/>
          <bgColor rgb="FF000000"/>
        </patternFill>
      </fill>
    </dxf>
    <dxf>
      <fill>
        <patternFill patternType="solid">
          <fgColor rgb="FFFFE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hyperlink" Target="https://govsalaries.com/" TargetMode="External"/><Relationship Id="rId2" Type="http://schemas.openxmlformats.org/officeDocument/2006/relationships/hyperlink" Target="https://www.city-data.com/"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35280</xdr:colOff>
      <xdr:row>12</xdr:row>
      <xdr:rowOff>158400</xdr:rowOff>
    </xdr:from>
    <xdr:to>
      <xdr:col>9</xdr:col>
      <xdr:colOff>95760</xdr:colOff>
      <xdr:row>21</xdr:row>
      <xdr:rowOff>37080</xdr:rowOff>
    </xdr:to>
    <xdr:sp>
      <xdr:nvSpPr>
        <xdr:cNvPr id="0" name="Text Frame 1"/>
        <xdr:cNvSpPr txBox="1"/>
      </xdr:nvSpPr>
      <xdr:spPr>
        <a:xfrm>
          <a:off x="35280" y="4838400"/>
          <a:ext cx="8065440" cy="1341720"/>
        </a:xfrm>
        <a:prstGeom prst="rect">
          <a:avLst/>
        </a:prstGeom>
        <a:solidFill>
          <a:srgbClr val="ffffff"/>
        </a:solidFill>
        <a:ln w="0">
          <a:noFill/>
        </a:ln>
      </xdr:spPr>
      <xdr:txBody>
        <a:bodyPr lIns="0" rIns="0" tIns="0" bIns="0" anchor="t">
          <a:noAutofit/>
        </a:bodyPr>
        <a:p>
          <a:r>
            <a:rPr b="0" lang="en-US" sz="1050" strike="noStrike" u="none">
              <a:uFillTx/>
              <a:latin typeface="Arial"/>
            </a:rPr>
            <a:t>Notes:</a:t>
          </a:r>
          <a:endParaRPr b="0" lang="en-US" sz="1050" strike="noStrike" u="none">
            <a:uFillTx/>
            <a:latin typeface="Times New Roman"/>
          </a:endParaRPr>
        </a:p>
        <a:p>
          <a:r>
            <a:rPr b="0" lang="en-US" sz="1050" strike="noStrike" u="none">
              <a:uFillTx/>
              <a:latin typeface="Arial"/>
            </a:rPr>
            <a:t>1. Usage rates were converted from a variety of billing standards to Maumee’s 1,000 gallon billing standard for comparison. Most cities charge per 100 cubic feet, the cost for which can be converted to a 1,000 gallon rate by multiplying it by 1.3368 (there are 748.0543 gallons in 100 cubic feet).</a:t>
          </a:r>
          <a:endParaRPr b="0" lang="en-US" sz="1050" strike="noStrike" u="none">
            <a:uFillTx/>
            <a:latin typeface="Times New Roman"/>
          </a:endParaRPr>
        </a:p>
        <a:p>
          <a:r>
            <a:rPr b="0" lang="en-US" sz="1050" strike="noStrike" u="none">
              <a:uFillTx/>
              <a:latin typeface="Arial"/>
            </a:rPr>
            <a:t>2. Most cities bill monthly, with one or two billing bimonthly. All bill estimates, as well as minimum usage volumes and fees, have been converted into quarterly figures for comparison to Maumee’s quarterly billing standard. These figures all assume the customer uses the same amout of water each month.</a:t>
          </a:r>
          <a:endParaRPr b="0" lang="en-US" sz="1050" strike="noStrike" u="none">
            <a:uFillTx/>
            <a:latin typeface="Times New Roman"/>
          </a:endParaRPr>
        </a:p>
        <a:p>
          <a:r>
            <a:rPr b="0" lang="en-US" sz="1050" strike="noStrike" u="none">
              <a:uFillTx/>
              <a:latin typeface="Arial"/>
            </a:rPr>
            <a:t>3. Feel free to use this data as you wish, attribution is not required.</a:t>
          </a:r>
          <a:endParaRPr b="0" lang="en-US" sz="1050" strike="noStrike" u="none">
            <a:uFillTx/>
            <a:latin typeface="Times New Roman"/>
          </a:endParaRPr>
        </a:p>
        <a:p>
          <a:r>
            <a:rPr b="0" lang="en-US" sz="1050" strike="noStrike" u="none">
              <a:uFillTx/>
              <a:latin typeface="Arial"/>
            </a:rPr>
            <a:t>4. If you find a mistake please let me know at waterrates@funkybeluga.com</a:t>
          </a:r>
          <a:endParaRPr b="0" lang="en-US" sz="1050" strike="noStrike" u="none">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30240</xdr:colOff>
      <xdr:row>13</xdr:row>
      <xdr:rowOff>117360</xdr:rowOff>
    </xdr:from>
    <xdr:to>
      <xdr:col>6</xdr:col>
      <xdr:colOff>120600</xdr:colOff>
      <xdr:row>17</xdr:row>
      <xdr:rowOff>36360</xdr:rowOff>
    </xdr:to>
    <xdr:sp>
      <xdr:nvSpPr>
        <xdr:cNvPr id="1" name="Text Frame 2"/>
        <xdr:cNvSpPr txBox="1"/>
      </xdr:nvSpPr>
      <xdr:spPr>
        <a:xfrm>
          <a:off x="30240" y="4823280"/>
          <a:ext cx="5636520" cy="569160"/>
        </a:xfrm>
        <a:prstGeom prst="rect">
          <a:avLst/>
        </a:prstGeom>
        <a:solidFill>
          <a:srgbClr val="ffffff"/>
        </a:solidFill>
        <a:ln w="0">
          <a:noFill/>
        </a:ln>
      </xdr:spPr>
      <xdr:txBody>
        <a:bodyPr lIns="0" rIns="0" tIns="0" bIns="0" anchor="t">
          <a:noAutofit/>
        </a:bodyPr>
        <a:p>
          <a:r>
            <a:rPr b="0" lang="en-US" sz="1000" strike="noStrike" u="none">
              <a:uFillTx/>
              <a:latin typeface="Arial"/>
              <a:ea typeface="Noto Sans CJK SC"/>
            </a:rPr>
            <a:t>Notes</a:t>
          </a:r>
          <a:endParaRPr b="0" lang="en-US" sz="1000" strike="noStrike" u="none">
            <a:uFillTx/>
            <a:latin typeface="Times New Roman"/>
          </a:endParaRPr>
        </a:p>
        <a:p>
          <a:r>
            <a:rPr b="0" lang="en-US" sz="1000" strike="noStrike" u="none">
              <a:uFillTx/>
              <a:latin typeface="Arial"/>
              <a:ea typeface="Noto Sans CJK SC"/>
            </a:rPr>
            <a:t>* According to </a:t>
          </a:r>
          <a:r>
            <a:rPr b="0" lang="en-US" sz="1000" strike="noStrike" u="none">
              <a:uFillTx/>
              <a:latin typeface="Arial"/>
              <a:ea typeface="Noto Sans CJK SC"/>
              <a:hlinkClick r:id="rId1"/>
            </a:rPr>
            <a:t>https://govsalaries.com/</a:t>
          </a:r>
          <a:endParaRPr b="0" lang="en-US" sz="1000" strike="noStrike" u="none">
            <a:uFillTx/>
            <a:latin typeface="Times New Roman"/>
          </a:endParaRPr>
        </a:p>
        <a:p>
          <a:r>
            <a:rPr b="0" lang="en-US" sz="1000" strike="noStrike" u="none">
              <a:uFillTx/>
              <a:latin typeface="Arial"/>
              <a:ea typeface="Noto Sans CJK SC"/>
            </a:rPr>
            <a:t>** The larger cities don’t have a position commensurate with Maumee’s City Administrator position</a:t>
          </a:r>
          <a:endParaRPr b="0" lang="en-US" sz="1000" strike="noStrike" u="none">
            <a:uFillTx/>
            <a:latin typeface="Times New Roman"/>
          </a:endParaRPr>
        </a:p>
        <a:p>
          <a:r>
            <a:rPr b="0" lang="en-US" sz="1000" strike="noStrike" u="none">
              <a:uFillTx/>
              <a:latin typeface="Arial"/>
              <a:ea typeface="Noto Sans CJK SC"/>
            </a:rPr>
            <a:t>*** According to </a:t>
          </a:r>
          <a:r>
            <a:rPr b="0" lang="en-US" sz="1000" strike="noStrike" u="none">
              <a:uFillTx/>
              <a:latin typeface="Arial"/>
              <a:ea typeface="Noto Sans CJK SC"/>
              <a:hlinkClick r:id="rId2"/>
            </a:rPr>
            <a:t>https://www.city-data.com/</a:t>
          </a:r>
          <a:endParaRPr b="0" lang="en-US" sz="1000" strike="noStrike" u="none">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toledo.oh.gov/residents/water/rates" TargetMode="External"/><Relationship Id="rId2" Type="http://schemas.openxmlformats.org/officeDocument/2006/relationships/hyperlink" Target="https://www.bgohio.org/321/Rates-Fees" TargetMode="External"/><Relationship Id="rId3" Type="http://schemas.openxmlformats.org/officeDocument/2006/relationships/hyperlink" Target="https://www.perrysburgoh.gov/DocumentCenter/View/540/2025-Water-and-Sewer-Rates-PDF" TargetMode="External"/><Relationship Id="rId4" Type="http://schemas.openxmlformats.org/officeDocument/2006/relationships/hyperlink" Target="https://www.cityofsylvania.com/government/utilities/" TargetMode="External"/><Relationship Id="rId5" Type="http://schemas.openxmlformats.org/officeDocument/2006/relationships/hyperlink" Target="https://codelibrary.amlegal.com/codes/defiance/latest/defiance_oh/0-0-0-21833" TargetMode="External"/><Relationship Id="rId6" Type="http://schemas.openxmlformats.org/officeDocument/2006/relationships/hyperlink" Target="https://www.fremontohio.org/departments/water-billing/" TargetMode="External"/><Relationship Id="rId7" Type="http://schemas.openxmlformats.org/officeDocument/2006/relationships/hyperlink" Target="https://maumee.org/download/ordinance-015-2024/"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1"/>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I4" activeCellId="0" sqref="I4"/>
    </sheetView>
  </sheetViews>
  <sheetFormatPr defaultColWidth="11.53515625" defaultRowHeight="12.8" zeroHeight="false" outlineLevelRow="0" outlineLevelCol="0"/>
  <cols>
    <col collapsed="false" customWidth="true" hidden="false" outlineLevel="0" max="1" min="1" style="1" width="10.33"/>
    <col collapsed="false" customWidth="true" hidden="false" outlineLevel="0" max="2" min="2" style="2" width="9.84"/>
    <col collapsed="false" customWidth="true" hidden="false" outlineLevel="0" max="3" min="3" style="3" width="12.51"/>
    <col collapsed="false" customWidth="true" hidden="false" outlineLevel="0" max="4" min="4" style="2" width="11.43"/>
    <col collapsed="false" customWidth="true" hidden="false" outlineLevel="0" max="7" min="5" style="4" width="12.92"/>
    <col collapsed="false" customWidth="true" hidden="false" outlineLevel="0" max="8" min="8" style="5" width="19.17"/>
    <col collapsed="false" customWidth="false" hidden="false" outlineLevel="0" max="9" min="9" style="2" width="11.53"/>
    <col collapsed="false" customWidth="true" hidden="false" outlineLevel="0" max="10" min="10" style="4" width="18.11"/>
    <col collapsed="false" customWidth="false" hidden="false" outlineLevel="0" max="13" min="11" style="4" width="11.53"/>
    <col collapsed="false" customWidth="true" hidden="false" outlineLevel="0" max="14" min="14" style="4" width="18.11"/>
    <col collapsed="false" customWidth="false" hidden="false" outlineLevel="0" max="17" min="15" style="4" width="11.53"/>
    <col collapsed="false" customWidth="true" hidden="false" outlineLevel="0" max="18" min="18" style="4" width="18.11"/>
    <col collapsed="false" customWidth="false" hidden="false" outlineLevel="0" max="21" min="19" style="4" width="11.53"/>
    <col collapsed="false" customWidth="true" hidden="false" outlineLevel="0" max="22" min="22" style="6" width="79.62"/>
    <col collapsed="false" customWidth="false" hidden="false" outlineLevel="0" max="16377" min="23" style="6" width="11.53"/>
  </cols>
  <sheetData>
    <row r="1" s="7" customFormat="true" ht="68.2" hidden="false" customHeight="false" outlineLevel="0" collapsed="false">
      <c r="A1" s="7" t="s">
        <v>0</v>
      </c>
      <c r="B1" s="8" t="s">
        <v>1</v>
      </c>
      <c r="C1" s="9" t="s">
        <v>2</v>
      </c>
      <c r="D1" s="8" t="s">
        <v>3</v>
      </c>
      <c r="E1" s="10" t="s">
        <v>4</v>
      </c>
      <c r="F1" s="10" t="s">
        <v>5</v>
      </c>
      <c r="G1" s="10" t="s">
        <v>6</v>
      </c>
      <c r="H1" s="10" t="s">
        <v>7</v>
      </c>
      <c r="I1" s="8" t="s">
        <v>8</v>
      </c>
      <c r="J1" s="10" t="s">
        <v>9</v>
      </c>
      <c r="K1" s="10" t="s">
        <v>10</v>
      </c>
      <c r="L1" s="10" t="s">
        <v>11</v>
      </c>
      <c r="M1" s="10" t="s">
        <v>12</v>
      </c>
      <c r="N1" s="10" t="s">
        <v>13</v>
      </c>
      <c r="O1" s="10" t="s">
        <v>14</v>
      </c>
      <c r="P1" s="10" t="s">
        <v>15</v>
      </c>
      <c r="Q1" s="10" t="s">
        <v>16</v>
      </c>
      <c r="R1" s="10" t="s">
        <v>17</v>
      </c>
      <c r="S1" s="10" t="s">
        <v>18</v>
      </c>
      <c r="T1" s="10" t="s">
        <v>19</v>
      </c>
      <c r="U1" s="10" t="s">
        <v>20</v>
      </c>
      <c r="V1" s="7" t="s">
        <v>21</v>
      </c>
      <c r="XEX1" s="0"/>
      <c r="XEY1" s="0"/>
      <c r="XEZ1" s="0"/>
      <c r="XFA1" s="0"/>
      <c r="XFB1" s="0"/>
      <c r="XFC1" s="0"/>
      <c r="XFD1" s="0"/>
    </row>
    <row r="2" s="20" customFormat="true" ht="28.75" hidden="false" customHeight="true" outlineLevel="0" collapsed="false">
      <c r="A2" s="11" t="s">
        <v>22</v>
      </c>
      <c r="B2" s="12" t="n">
        <v>270871</v>
      </c>
      <c r="C2" s="13" t="n">
        <v>46302</v>
      </c>
      <c r="D2" s="14" t="n">
        <v>1</v>
      </c>
      <c r="E2" s="15" t="n">
        <v>5.9</v>
      </c>
      <c r="F2" s="16" t="s">
        <v>23</v>
      </c>
      <c r="G2" s="15" t="n">
        <v>7.81</v>
      </c>
      <c r="H2" s="17" t="s">
        <v>24</v>
      </c>
      <c r="I2" s="18" t="n">
        <v>0</v>
      </c>
      <c r="J2" s="19" t="n">
        <f aca="false">29.47*3</f>
        <v>88.41</v>
      </c>
      <c r="K2" s="15" t="n">
        <f aca="false">IF($I2&gt;3000,(VALUE($J2)),($J2+((3000-$I2)/1000*($E2+$G2))))</f>
        <v>129.54</v>
      </c>
      <c r="L2" s="15" t="n">
        <f aca="false">IF($I2&gt;6000,(VALUE($J2)),($J2+((6000-$I2)/1000*($E2+$G2))))</f>
        <v>170.67</v>
      </c>
      <c r="M2" s="15" t="n">
        <f aca="false">IF($I2&gt;12000,(VALUE($J2)),($J2+((12000-$I2)/1000*($E2+$G2))))</f>
        <v>252.93</v>
      </c>
      <c r="N2" s="19" t="n">
        <f aca="false">31.74*3</f>
        <v>95.22</v>
      </c>
      <c r="O2" s="19" t="n">
        <f aca="false">IF($I2&gt;3000,(VALUE($N2)),($N2+((3000-$I2)/1000*($E2+$G2))))</f>
        <v>136.35</v>
      </c>
      <c r="P2" s="19" t="n">
        <f aca="false">IF($I2&gt;6000,(VALUE($N2)),($N2+((6000-$I2)/1000*($E2+$G2))))</f>
        <v>177.48</v>
      </c>
      <c r="Q2" s="19" t="n">
        <f aca="false">IF($I2&gt;12000,(VALUE($N2)),($N2+((12000-$I2)/1000*($E2+$G2))))</f>
        <v>259.74</v>
      </c>
      <c r="R2" s="19" t="n">
        <f aca="false">48.45*3</f>
        <v>145.35</v>
      </c>
      <c r="S2" s="19" t="n">
        <f aca="false">IF($I2&gt;3000,(VALUE($R2)),($R2+((3000-$I2)/1000*($E2+$G2))))</f>
        <v>186.48</v>
      </c>
      <c r="T2" s="19" t="n">
        <f aca="false">IF($I2&gt;6000,(VALUE($R2)),($R2+((6000-$I2)/1000*($E2+$G2))))</f>
        <v>227.61</v>
      </c>
      <c r="U2" s="19" t="n">
        <f aca="false">IF($I2&gt;12000,(VALUE($R2)),($R2+((12000-$I2)/1000*($E2+$G2))))</f>
        <v>309.87</v>
      </c>
      <c r="V2" s="20" t="s">
        <v>25</v>
      </c>
      <c r="XEX2" s="0"/>
      <c r="XEY2" s="0"/>
      <c r="XEZ2" s="0"/>
      <c r="XFA2" s="0"/>
      <c r="XFB2" s="0"/>
      <c r="XFC2" s="0"/>
      <c r="XFD2" s="0"/>
    </row>
    <row r="3" s="20" customFormat="true" ht="28.75" hidden="false" customHeight="true" outlineLevel="0" collapsed="false">
      <c r="A3" s="11" t="s">
        <v>26</v>
      </c>
      <c r="B3" s="12" t="n">
        <v>40313</v>
      </c>
      <c r="C3" s="13" t="n">
        <v>58197</v>
      </c>
      <c r="D3" s="14" t="n">
        <v>2</v>
      </c>
      <c r="E3" s="15" t="n">
        <v>5.35</v>
      </c>
      <c r="F3" s="16" t="s">
        <v>27</v>
      </c>
      <c r="G3" s="15" t="n">
        <v>2.39</v>
      </c>
      <c r="H3" s="17" t="s">
        <v>28</v>
      </c>
      <c r="I3" s="18" t="n">
        <f aca="false">1496*3</f>
        <v>4488</v>
      </c>
      <c r="J3" s="19" t="n">
        <f aca="false">(12.72+21.04)*3</f>
        <v>101.28</v>
      </c>
      <c r="K3" s="15" t="n">
        <f aca="false">IF($I3&gt;3000,(VALUE($J3)),($J3+((3000-$I3)/1000*($E3+$G3))))</f>
        <v>101.28</v>
      </c>
      <c r="L3" s="15" t="n">
        <f aca="false">IF($I3&gt;6000,(VALUE($J3)),($J3+((6000-$I3)/1000*($E3+$G3))))</f>
        <v>112.98288</v>
      </c>
      <c r="M3" s="15" t="n">
        <f aca="false">IF($I3&gt;12000,(VALUE($J3)),($J3+((12000-$I3)/1000*($E3+$G3))))</f>
        <v>159.42288</v>
      </c>
      <c r="N3" s="19" t="n">
        <f aca="false">(15.09+29.78)*3</f>
        <v>134.61</v>
      </c>
      <c r="O3" s="19" t="n">
        <f aca="false">IF($I3&gt;3000,(VALUE($N3)),($N3+((3000-$I3)/1000*($E3+$G3))))</f>
        <v>134.61</v>
      </c>
      <c r="P3" s="19" t="n">
        <f aca="false">IF($I3&gt;6000,(VALUE($N3)),($N3+((6000-$I3)/1000*($E3+$G3))))</f>
        <v>146.31288</v>
      </c>
      <c r="Q3" s="19" t="n">
        <f aca="false">IF($I3&gt;12000,(VALUE($N3)),($N3+((12000-$I3)/1000*($E3+$G3))))</f>
        <v>192.75288</v>
      </c>
      <c r="R3" s="19" t="n">
        <f aca="false">(19.82+47.24)*3</f>
        <v>201.18</v>
      </c>
      <c r="S3" s="19" t="n">
        <f aca="false">IF($I3&gt;3000,(VALUE($R3)),($R3+((3000-$I3)/1000*($E3+$G3))))</f>
        <v>201.18</v>
      </c>
      <c r="T3" s="19" t="n">
        <f aca="false">IF($I3&gt;6000,(VALUE($R3)),($R3+((6000-$I3)/1000*($E3+$G3))))</f>
        <v>212.88288</v>
      </c>
      <c r="U3" s="19" t="n">
        <f aca="false">IF($I3&gt;12000,(VALUE($R3)),($R3+((12000-$I3)/1000*($E3+$G3))))</f>
        <v>259.32288</v>
      </c>
      <c r="V3" s="21" t="s">
        <v>29</v>
      </c>
      <c r="XEX3" s="0"/>
      <c r="XEY3" s="0"/>
      <c r="XEZ3" s="0"/>
      <c r="XFA3" s="0"/>
      <c r="XFB3" s="0"/>
      <c r="XFC3" s="0"/>
      <c r="XFD3" s="0"/>
    </row>
    <row r="4" s="20" customFormat="true" ht="28.75" hidden="false" customHeight="true" outlineLevel="0" collapsed="false">
      <c r="A4" s="11" t="s">
        <v>30</v>
      </c>
      <c r="B4" s="12" t="n">
        <v>35579</v>
      </c>
      <c r="C4" s="13" t="n">
        <v>46790</v>
      </c>
      <c r="D4" s="14" t="n">
        <v>3</v>
      </c>
      <c r="E4" s="15" t="n">
        <v>4.85</v>
      </c>
      <c r="F4" s="16" t="s">
        <v>27</v>
      </c>
      <c r="G4" s="15" t="n">
        <v>5.86</v>
      </c>
      <c r="H4" s="17" t="s">
        <v>28</v>
      </c>
      <c r="I4" s="18" t="n">
        <f aca="false">2244*3</f>
        <v>6732</v>
      </c>
      <c r="J4" s="22" t="s">
        <v>31</v>
      </c>
      <c r="K4" s="15" t="n">
        <f aca="false">IF($I4&gt;3000,187.17,(187.17+((3000-$I4)/1000*($E4+$G4))))</f>
        <v>187.17</v>
      </c>
      <c r="L4" s="15" t="n">
        <f aca="false">IF($I4&gt;6000,187.17,(187.17+((6000-$I4)/1000*($E4+$G4))))</f>
        <v>187.17</v>
      </c>
      <c r="M4" s="15" t="n">
        <f aca="false">IF($I4&gt;12000,218.52,(218.52+((12000-$I4)/1000*($E4+$G4))))</f>
        <v>274.94028</v>
      </c>
      <c r="N4" s="22" t="s">
        <v>32</v>
      </c>
      <c r="O4" s="19" t="n">
        <f aca="false">IF($I4&gt;3000,200.79,(200.79+((3000-$I4)/1000*($E4+$G4))))</f>
        <v>200.79</v>
      </c>
      <c r="P4" s="19" t="n">
        <f aca="false">IF($I4&gt;6000,200.79,(200.79+((6000-$I4)/1000*($E4+$G4))))</f>
        <v>200.79</v>
      </c>
      <c r="Q4" s="19" t="n">
        <f aca="false">IF($I4&gt;12000,239.1,(239.1+((12000-$I4)/1000*($E4+$G4))))</f>
        <v>295.52028</v>
      </c>
      <c r="R4" s="22" t="s">
        <v>33</v>
      </c>
      <c r="S4" s="19" t="n">
        <f aca="false">IF($I4&gt;3000,269.22,(269.22+((3000-$I4)/1000*($E4+$G4))))</f>
        <v>269.22</v>
      </c>
      <c r="T4" s="19" t="n">
        <f aca="false">IF($I4&gt;6000,269.22,(269.22+((6000-$I4)/1000*($E4+$G4))))</f>
        <v>269.22</v>
      </c>
      <c r="U4" s="19" t="n">
        <f aca="false">IF($I4&gt;12000,279.93,(279.93+((12000-$I4)/1000*($E4+$G4))))</f>
        <v>336.35028</v>
      </c>
      <c r="V4" s="21" t="s">
        <v>34</v>
      </c>
      <c r="XEX4" s="0"/>
      <c r="XEY4" s="0"/>
      <c r="XEZ4" s="0"/>
      <c r="XFA4" s="0"/>
      <c r="XFB4" s="0"/>
      <c r="XFC4" s="0"/>
      <c r="XFD4" s="0"/>
    </row>
    <row r="5" s="20" customFormat="true" ht="28.75" hidden="false" customHeight="true" outlineLevel="0" collapsed="false">
      <c r="A5" s="11" t="s">
        <v>35</v>
      </c>
      <c r="B5" s="12" t="n">
        <v>30808</v>
      </c>
      <c r="C5" s="13" t="n">
        <v>46605</v>
      </c>
      <c r="D5" s="14" t="n">
        <v>4</v>
      </c>
      <c r="E5" s="15" t="n">
        <v>2.89</v>
      </c>
      <c r="F5" s="16" t="s">
        <v>27</v>
      </c>
      <c r="G5" s="15" t="n">
        <v>5.15</v>
      </c>
      <c r="H5" s="17" t="s">
        <v>24</v>
      </c>
      <c r="I5" s="18" t="n">
        <v>0</v>
      </c>
      <c r="J5" s="19" t="n">
        <v>19.5</v>
      </c>
      <c r="K5" s="15" t="n">
        <f aca="false">IF($I5&gt;3000,(VALUE($J5)),($J5+((3000-$I5)/1000*($E5+$G5))))</f>
        <v>43.62</v>
      </c>
      <c r="L5" s="15" t="n">
        <f aca="false">IF($I5&gt;6000,(VALUE($J5)),($J5+((6000-$I5)/1000*($E5+$G5))))</f>
        <v>67.74</v>
      </c>
      <c r="M5" s="15" t="n">
        <f aca="false">IF($I5&gt;12000,(VALUE($J5)),($J5+((12000-$I5)/1000*($E5+$G5))))</f>
        <v>115.98</v>
      </c>
      <c r="N5" s="19" t="n">
        <v>19.5</v>
      </c>
      <c r="O5" s="19" t="n">
        <f aca="false">IF($I5&gt;3000,(VALUE($N5)),($N5+((3000-$I5)/1000*($E5+$G5))))</f>
        <v>43.62</v>
      </c>
      <c r="P5" s="19" t="n">
        <f aca="false">IF($I5&gt;6000,(VALUE($N5)),($N5+((6000-$I5)/1000*($E5+$G5))))</f>
        <v>67.74</v>
      </c>
      <c r="Q5" s="19" t="n">
        <f aca="false">IF($I5&gt;12000,(VALUE($N5)),($N5+((12000-$I5)/1000*($E5+$G5))))</f>
        <v>115.98</v>
      </c>
      <c r="R5" s="19" t="n">
        <v>19.5</v>
      </c>
      <c r="S5" s="19" t="n">
        <f aca="false">IF($I5&gt;3000,(VALUE($R5)),($R5+((3000-$I5)/1000*($E5+$G5))))</f>
        <v>43.62</v>
      </c>
      <c r="T5" s="19" t="n">
        <f aca="false">IF($I5&gt;6000,(VALUE($R5)),($R5+((6000-$I5)/1000*($E5+$G5))))</f>
        <v>67.74</v>
      </c>
      <c r="U5" s="19" t="n">
        <f aca="false">IF($I5&gt;12000,(VALUE($R5)),($R5+((12000-$I5)/1000*($E5+$G5))))</f>
        <v>115.98</v>
      </c>
      <c r="V5" s="20" t="s">
        <v>36</v>
      </c>
      <c r="XEX5" s="0"/>
      <c r="XEY5" s="0"/>
      <c r="XEZ5" s="0"/>
      <c r="XFA5" s="0"/>
      <c r="XFB5" s="0"/>
      <c r="XFC5" s="0"/>
      <c r="XFD5" s="0"/>
    </row>
    <row r="6" s="20" customFormat="true" ht="28.75" hidden="false" customHeight="true" outlineLevel="0" collapsed="false">
      <c r="A6" s="11" t="s">
        <v>37</v>
      </c>
      <c r="B6" s="12" t="n">
        <v>25041</v>
      </c>
      <c r="C6" s="13" t="n">
        <v>104971</v>
      </c>
      <c r="D6" s="14" t="n">
        <v>5</v>
      </c>
      <c r="E6" s="15" t="n">
        <v>13.12</v>
      </c>
      <c r="F6" s="16" t="s">
        <v>23</v>
      </c>
      <c r="G6" s="15" t="n">
        <v>10.86</v>
      </c>
      <c r="H6" s="17" t="s">
        <v>38</v>
      </c>
      <c r="I6" s="18" t="n">
        <f aca="false">2244.163*3</f>
        <v>6732.489</v>
      </c>
      <c r="J6" s="19" t="n">
        <v>161.52</v>
      </c>
      <c r="K6" s="15" t="n">
        <f aca="false">IF($I6&gt;3000,(VALUE($J6)),($J6+((3000-$I6)/1000*($E6+$G6))))</f>
        <v>161.52</v>
      </c>
      <c r="L6" s="15" t="n">
        <f aca="false">IF($I6&gt;6000,(VALUE($J6)),($J6+((6000-$I6)/1000*($E6+$G6))))</f>
        <v>161.52</v>
      </c>
      <c r="M6" s="15" t="n">
        <f aca="false">IF($I6&gt;12000,(VALUE($J6)),($J6+((12000-$I6)/1000*($E6+$G6))))</f>
        <v>287.83491378</v>
      </c>
      <c r="N6" s="19" t="n">
        <v>161.52</v>
      </c>
      <c r="O6" s="19" t="n">
        <f aca="false">IF($I6&gt;3000,(VALUE($N6)),($N6+((3000-$I6)/1000*($E6+$G6))))</f>
        <v>161.52</v>
      </c>
      <c r="P6" s="19" t="n">
        <f aca="false">IF($I6&gt;6000,(VALUE($N6)),($N6+((6000-$I6)/1000*($E6+$G6))))</f>
        <v>161.52</v>
      </c>
      <c r="Q6" s="19" t="n">
        <f aca="false">IF($I6&gt;12000,(VALUE($N6)),($N6+((12000-$I6)/1000*($E6+$G6))))</f>
        <v>287.83491378</v>
      </c>
      <c r="R6" s="19" t="n">
        <v>161.52</v>
      </c>
      <c r="S6" s="19" t="n">
        <f aca="false">IF($I6&gt;3000,(VALUE($R6)),($R6+((3000-$I6)/1000*($E6+$G6))))</f>
        <v>161.52</v>
      </c>
      <c r="T6" s="19" t="n">
        <f aca="false">IF($I6&gt;6000,(VALUE($R6)),($R6+((6000-$I6)/1000*($E6+$G6))))</f>
        <v>161.52</v>
      </c>
      <c r="U6" s="19" t="n">
        <f aca="false">IF($I6&gt;12000,(VALUE($R6)),($R6+((12000-$I6)/1000*($E6+$G6))))</f>
        <v>287.83491378</v>
      </c>
      <c r="V6" s="20" t="s">
        <v>39</v>
      </c>
      <c r="XEX6" s="0"/>
      <c r="XEY6" s="0"/>
      <c r="XEZ6" s="0"/>
      <c r="XFA6" s="0"/>
      <c r="XFB6" s="0"/>
      <c r="XFC6" s="0"/>
      <c r="XFD6" s="0"/>
    </row>
    <row r="7" s="20" customFormat="true" ht="28.75" hidden="false" customHeight="true" outlineLevel="0" collapsed="false">
      <c r="A7" s="11" t="s">
        <v>40</v>
      </c>
      <c r="B7" s="12" t="n">
        <v>19011</v>
      </c>
      <c r="C7" s="13" t="n">
        <v>96136</v>
      </c>
      <c r="D7" s="14" t="n">
        <v>6</v>
      </c>
      <c r="E7" s="15" t="n">
        <v>8.75</v>
      </c>
      <c r="F7" s="16" t="s">
        <v>23</v>
      </c>
      <c r="G7" s="15" t="n">
        <v>5.56</v>
      </c>
      <c r="H7" s="17" t="s">
        <v>41</v>
      </c>
      <c r="I7" s="18" t="n">
        <v>0</v>
      </c>
      <c r="J7" s="19" t="n">
        <v>0</v>
      </c>
      <c r="K7" s="15" t="n">
        <f aca="false">IF($I7&gt;3000,(VALUE($J7)),($J7+((3000-$I7)/1000*($E7+$G7))))</f>
        <v>42.93</v>
      </c>
      <c r="L7" s="15" t="n">
        <f aca="false">IF($I7&gt;6000,(VALUE($J7)),($J7+((6000-$I7)/1000*($E7+$G7))))</f>
        <v>85.86</v>
      </c>
      <c r="M7" s="15" t="n">
        <f aca="false">IF($I7&gt;12000,(VALUE($J7)),($J7+((12000-$I7)/1000*($E7+$G7))))</f>
        <v>171.72</v>
      </c>
      <c r="N7" s="19" t="n">
        <v>0</v>
      </c>
      <c r="O7" s="19" t="n">
        <f aca="false">IF($I7&gt;3000,(VALUE($N7)),($N7+((3000-$I7)/1000*($E7+$G7))))</f>
        <v>42.93</v>
      </c>
      <c r="P7" s="19" t="n">
        <f aca="false">IF($I7&gt;6000,(VALUE($N7)),($N7+((6000-$I7)/1000*($E7+$G7))))</f>
        <v>85.86</v>
      </c>
      <c r="Q7" s="19" t="n">
        <f aca="false">IF($I7&gt;12000,(VALUE($N7)),($N7+((12000-$I7)/1000*($E7+$G7))))</f>
        <v>171.72</v>
      </c>
      <c r="R7" s="19" t="n">
        <v>0</v>
      </c>
      <c r="S7" s="19" t="n">
        <f aca="false">IF($I7&gt;3000,(VALUE($R7)),($R7+((3000-$I7)/1000*($E7+$G7))))</f>
        <v>42.93</v>
      </c>
      <c r="T7" s="19" t="n">
        <f aca="false">IF($I7&gt;6000,(VALUE($R7)),($R7+((6000-$I7)/1000*($E7+$G7))))</f>
        <v>85.86</v>
      </c>
      <c r="U7" s="19" t="n">
        <f aca="false">IF($I7&gt;12000,(VALUE($R7)),($R7+((12000-$I7)/1000*($E7+$G7))))</f>
        <v>171.72</v>
      </c>
      <c r="V7" s="20" t="s">
        <v>42</v>
      </c>
      <c r="XEX7" s="0"/>
      <c r="XEY7" s="0"/>
      <c r="XEZ7" s="0"/>
      <c r="XFA7" s="0"/>
      <c r="XFB7" s="0"/>
      <c r="XFC7" s="0"/>
      <c r="XFD7" s="0"/>
    </row>
    <row r="8" s="20" customFormat="true" ht="28.75" hidden="false" customHeight="true" outlineLevel="0" collapsed="false">
      <c r="A8" s="11" t="s">
        <v>43</v>
      </c>
      <c r="B8" s="12" t="n">
        <v>17953</v>
      </c>
      <c r="C8" s="13" t="n">
        <v>54172</v>
      </c>
      <c r="D8" s="14" t="n">
        <v>7</v>
      </c>
      <c r="E8" s="15" t="n">
        <v>12.67</v>
      </c>
      <c r="F8" s="16" t="s">
        <v>27</v>
      </c>
      <c r="G8" s="15" t="n">
        <f aca="false">7.34*1.3368</f>
        <v>9.812112</v>
      </c>
      <c r="H8" s="17" t="s">
        <v>44</v>
      </c>
      <c r="I8" s="18" t="n">
        <v>0</v>
      </c>
      <c r="J8" s="19" t="n">
        <f aca="false">19*3</f>
        <v>57</v>
      </c>
      <c r="K8" s="15" t="n">
        <f aca="false">IF($I8&gt;3000,(VALUE($J8)),($J8+((3000-$I8)/1000*($E8+$G8))))</f>
        <v>124.446336</v>
      </c>
      <c r="L8" s="15" t="n">
        <f aca="false">IF($I8&gt;6000,(VALUE($J8)),($J8+((6000-$I8)/1000*($E8+$G8))))</f>
        <v>191.892672</v>
      </c>
      <c r="M8" s="15" t="n">
        <f aca="false">IF($I8&gt;12000,(VALUE($J8)),($J8+((12000-$I8)/1000*($E8+$G8))))</f>
        <v>326.785344</v>
      </c>
      <c r="N8" s="19" t="n">
        <f aca="false">19*3</f>
        <v>57</v>
      </c>
      <c r="O8" s="19" t="n">
        <f aca="false">IF($I8&gt;3000,(VALUE($N8)),($N8+((3000-$I8)/1000*($E8+$G8))))</f>
        <v>124.446336</v>
      </c>
      <c r="P8" s="19" t="n">
        <f aca="false">IF($I8&gt;6000,(VALUE($N8)),($N8+((6000-$I8)/1000*($E8+$G8))))</f>
        <v>191.892672</v>
      </c>
      <c r="Q8" s="19" t="n">
        <f aca="false">IF($I8&gt;12000,(VALUE($N8)),($N8+((12000-$I8)/1000*($E8+$G8))))</f>
        <v>326.785344</v>
      </c>
      <c r="R8" s="19" t="n">
        <f aca="false">81.35/2*3</f>
        <v>122.025</v>
      </c>
      <c r="S8" s="19" t="n">
        <f aca="false">IF($I8&gt;3000,(VALUE($R8)),($R8+((3000-$I8)/1000*($E8+$G8))))</f>
        <v>189.471336</v>
      </c>
      <c r="T8" s="19" t="n">
        <f aca="false">IF($I8&gt;6000,(VALUE($R8)),($R8+((6000-$I8)/1000*($E8+$G8))))</f>
        <v>256.917672</v>
      </c>
      <c r="U8" s="19" t="n">
        <f aca="false">IF($I8&gt;12000,(VALUE($R8)),($R8+((12000-$I8)/1000*($E8+$G8))))</f>
        <v>391.810344</v>
      </c>
      <c r="V8" s="21" t="s">
        <v>45</v>
      </c>
      <c r="XEX8" s="0"/>
      <c r="XEY8" s="0"/>
      <c r="XEZ8" s="0"/>
      <c r="XFA8" s="0"/>
      <c r="XFB8" s="0"/>
      <c r="XFC8" s="0"/>
      <c r="XFD8" s="0"/>
    </row>
    <row r="9" s="20" customFormat="true" ht="28.75" hidden="false" customHeight="true" outlineLevel="0" collapsed="false">
      <c r="A9" s="11" t="s">
        <v>46</v>
      </c>
      <c r="B9" s="12" t="n">
        <v>17066</v>
      </c>
      <c r="C9" s="13" t="n">
        <v>61386</v>
      </c>
      <c r="D9" s="14" t="n">
        <v>8</v>
      </c>
      <c r="E9" s="15" t="n">
        <v>8.1</v>
      </c>
      <c r="F9" s="16" t="s">
        <v>27</v>
      </c>
      <c r="G9" s="15" t="n">
        <v>7.33</v>
      </c>
      <c r="H9" s="17" t="s">
        <v>47</v>
      </c>
      <c r="I9" s="18" t="n">
        <v>0</v>
      </c>
      <c r="J9" s="19" t="n">
        <v>62.94</v>
      </c>
      <c r="K9" s="15" t="n">
        <f aca="false">IF($I9&gt;3000,(VALUE($J9)),($J9+((3000-$I9)/1000*($E9+$G9))))</f>
        <v>109.23</v>
      </c>
      <c r="L9" s="15" t="n">
        <f aca="false">IF($I9&gt;6000,(VALUE($J9)),($J9+((6000-$I9)/1000*($E9+$G9))))</f>
        <v>155.52</v>
      </c>
      <c r="M9" s="15" t="n">
        <f aca="false">IF($I9&gt;12000,(VALUE($J9)),($J9+((12000-$I9)/1000*($E9+$G9))))</f>
        <v>248.1</v>
      </c>
      <c r="N9" s="19" t="n">
        <v>62.94</v>
      </c>
      <c r="O9" s="19" t="n">
        <f aca="false">IF($I9&gt;3000,(VALUE($N9)),($N9+((3000-$I9)/1000*($E9+$G9))))</f>
        <v>109.23</v>
      </c>
      <c r="P9" s="19" t="n">
        <f aca="false">IF($I9&gt;6000,(VALUE($N9)),($N9+((6000-$I9)/1000*($E9+$G9))))</f>
        <v>155.52</v>
      </c>
      <c r="Q9" s="19" t="n">
        <f aca="false">IF($I9&gt;12000,(VALUE($N9)),($N9+((12000-$I9)/1000*($E9+$G9))))</f>
        <v>248.1</v>
      </c>
      <c r="R9" s="19" t="n">
        <v>62.94</v>
      </c>
      <c r="S9" s="19" t="n">
        <f aca="false">IF($I9&gt;3000,(VALUE($R9)),($R9+((3000-$I9)/1000*($E9+$G9))))</f>
        <v>109.23</v>
      </c>
      <c r="T9" s="19" t="n">
        <f aca="false">IF($I9&gt;6000,(VALUE($R9)),($R9+((6000-$I9)/1000*($E9+$G9))))</f>
        <v>155.52</v>
      </c>
      <c r="U9" s="19" t="n">
        <f aca="false">IF($I9&gt;12000,(VALUE($R9)),($R9+((12000-$I9)/1000*($E9+$G9))))</f>
        <v>248.1</v>
      </c>
      <c r="V9" s="20" t="s">
        <v>48</v>
      </c>
      <c r="XEX9" s="0"/>
      <c r="XEY9" s="0"/>
      <c r="XEZ9" s="0"/>
      <c r="XFA9" s="0"/>
      <c r="XFB9" s="0"/>
      <c r="XFC9" s="0"/>
      <c r="XFD9" s="0"/>
    </row>
    <row r="10" s="20" customFormat="true" ht="28.75" hidden="false" customHeight="true" outlineLevel="0" collapsed="false">
      <c r="A10" s="11" t="s">
        <v>49</v>
      </c>
      <c r="B10" s="12" t="n">
        <v>15930</v>
      </c>
      <c r="C10" s="13" t="n">
        <v>49576</v>
      </c>
      <c r="D10" s="14" t="n">
        <v>9</v>
      </c>
      <c r="E10" s="15" t="n">
        <v>8.33</v>
      </c>
      <c r="F10" s="16" t="s">
        <v>27</v>
      </c>
      <c r="G10" s="23" t="s">
        <v>50</v>
      </c>
      <c r="H10" s="24" t="s">
        <v>44</v>
      </c>
      <c r="I10" s="18" t="n">
        <v>0</v>
      </c>
      <c r="J10" s="19" t="n">
        <f aca="false">(15.45+6.62)*3</f>
        <v>66.21</v>
      </c>
      <c r="K10" s="15" t="n">
        <f aca="false">$J$10+(3*8.33)+(3*7.77)</f>
        <v>114.51</v>
      </c>
      <c r="L10" s="15" t="n">
        <f aca="false">$J$10+(6*8.33)+(4.488*7.77)+((6-4.488)*7.45)</f>
        <v>162.32616</v>
      </c>
      <c r="M10" s="15" t="n">
        <f aca="false">$J$10+(12*8.33)+(4.488*7.77)+((12-4.488)*7.45)</f>
        <v>257.00616</v>
      </c>
      <c r="N10" s="19" t="n">
        <f aca="false">(23.47+9.92)*3</f>
        <v>100.17</v>
      </c>
      <c r="O10" s="19" t="n">
        <f aca="false">$N$10+(3*8.33)+(3*7.77)</f>
        <v>148.47</v>
      </c>
      <c r="P10" s="19" t="n">
        <f aca="false">$N$10+(6*8.33)+(4.488*7.77)+((6-4.488)*7.45)</f>
        <v>196.28616</v>
      </c>
      <c r="Q10" s="19" t="n">
        <f aca="false">$N$10+(12*8.33)+(4.488*7.77)+((12-4.488)*7.45)</f>
        <v>290.96616</v>
      </c>
      <c r="R10" s="19" t="n">
        <f aca="false">(38.68+16.54)*3</f>
        <v>165.66</v>
      </c>
      <c r="S10" s="19" t="n">
        <f aca="false">$R$10+(3*8.33)+(3*7.77)</f>
        <v>213.96</v>
      </c>
      <c r="T10" s="19" t="n">
        <f aca="false">$R$10+(6*8.33)+(4.488*7.77)+((6-4.488)*7.45)</f>
        <v>261.77616</v>
      </c>
      <c r="U10" s="19" t="n">
        <f aca="false">$R$10+(12*8.33)+(4.488*7.77)+((12-4.488)*7.45)</f>
        <v>356.45616</v>
      </c>
      <c r="V10" s="20" t="s">
        <v>51</v>
      </c>
      <c r="XEX10" s="0"/>
      <c r="XEY10" s="0"/>
      <c r="XEZ10" s="0"/>
      <c r="XFA10" s="0"/>
      <c r="XFB10" s="0"/>
      <c r="XFC10" s="0"/>
      <c r="XFD10" s="0"/>
    </row>
    <row r="11" s="20" customFormat="true" ht="28.75" hidden="false" customHeight="true" outlineLevel="0" collapsed="false">
      <c r="A11" s="11" t="s">
        <v>52</v>
      </c>
      <c r="B11" s="12" t="n">
        <v>13896</v>
      </c>
      <c r="C11" s="13" t="n">
        <v>82189</v>
      </c>
      <c r="D11" s="14" t="n">
        <v>10</v>
      </c>
      <c r="E11" s="15" t="n">
        <v>15.17</v>
      </c>
      <c r="F11" s="16" t="s">
        <v>23</v>
      </c>
      <c r="G11" s="15" t="n">
        <v>21.26</v>
      </c>
      <c r="H11" s="17" t="s">
        <v>38</v>
      </c>
      <c r="I11" s="18" t="n">
        <v>6000</v>
      </c>
      <c r="J11" s="19" t="n">
        <v>218.58</v>
      </c>
      <c r="K11" s="15" t="n">
        <f aca="false">IF($I11&gt;3000,(VALUE($J11)),($J11+((3000-$I11)/1000*($E11+$G11))))</f>
        <v>218.58</v>
      </c>
      <c r="L11" s="15" t="n">
        <f aca="false">IF($I11&gt;6000,(VALUE($J11)),($J11+((6000-$I11)/1000*($E11+$G11))))</f>
        <v>218.58</v>
      </c>
      <c r="M11" s="15" t="n">
        <f aca="false">IF($I11&gt;12000,(VALUE($J11)),($J11+((12000-$I11)/1000*($E11+$G11))))</f>
        <v>437.16</v>
      </c>
      <c r="N11" s="19" t="n">
        <v>218.58</v>
      </c>
      <c r="O11" s="19" t="n">
        <f aca="false">IF($I11&gt;3000,(VALUE($N11)),($N11+((3000-$I11)/1000*($E11+$G11))))</f>
        <v>218.58</v>
      </c>
      <c r="P11" s="19" t="n">
        <f aca="false">IF($I11&gt;6000,(VALUE($N11)),($N11+((6000-$I11)/1000*($E11+$G11))))</f>
        <v>218.58</v>
      </c>
      <c r="Q11" s="19" t="n">
        <f aca="false">IF($I11&gt;12000,(VALUE($N11)),($N11+((12000-$I11)/1000*($E11+$G11))))</f>
        <v>437.16</v>
      </c>
      <c r="R11" s="19" t="n">
        <v>218.58</v>
      </c>
      <c r="S11" s="19" t="n">
        <f aca="false">IF($I11&gt;3000,(VALUE($R11)),($R11+((3000-$I11)/1000*($E11+$G11))))</f>
        <v>218.58</v>
      </c>
      <c r="T11" s="19" t="n">
        <f aca="false">IF($I11&gt;6000,(VALUE($R11)),($R11+((6000-$I11)/1000*($E11+$G11))))</f>
        <v>218.58</v>
      </c>
      <c r="U11" s="19" t="n">
        <f aca="false">IF($I11&gt;12000,(VALUE($R11)),($R11+((12000-$I11)/1000*($E11+$G11))))</f>
        <v>437.16</v>
      </c>
      <c r="V11" s="20" t="s">
        <v>53</v>
      </c>
      <c r="XEX11" s="0"/>
      <c r="XEY11" s="0"/>
      <c r="XEZ11" s="0"/>
      <c r="XFA11" s="0"/>
      <c r="XFB11" s="0"/>
      <c r="XFC11" s="0"/>
      <c r="XFD11" s="0"/>
    </row>
  </sheetData>
  <conditionalFormatting sqref="E2:E11">
    <cfRule type="colorScale" priority="2">
      <colorScale>
        <cfvo type="min" val="0"/>
        <cfvo type="percentile" val="50"/>
        <cfvo type="max" val="0"/>
        <color rgb="FF00A933"/>
        <color rgb="FFFFFF00"/>
        <color rgb="FFFF0000"/>
      </colorScale>
    </cfRule>
  </conditionalFormatting>
  <conditionalFormatting sqref="G2:G11">
    <cfRule type="colorScale" priority="3">
      <colorScale>
        <cfvo type="min" val="0"/>
        <cfvo type="percentile" val="50"/>
        <cfvo type="max" val="0"/>
        <color rgb="FF00A933"/>
        <color rgb="FFFFFF00"/>
        <color rgb="FFFF0000"/>
      </colorScale>
    </cfRule>
  </conditionalFormatting>
  <conditionalFormatting sqref="K2:K11">
    <cfRule type="colorScale" priority="4">
      <colorScale>
        <cfvo type="min" val="0"/>
        <cfvo type="percentile" val="50"/>
        <cfvo type="max" val="0"/>
        <color rgb="FF00A933"/>
        <color rgb="FFFFFF00"/>
        <color rgb="FFFF0000"/>
      </colorScale>
    </cfRule>
  </conditionalFormatting>
  <conditionalFormatting sqref="L2:L11">
    <cfRule type="colorScale" priority="5">
      <colorScale>
        <cfvo type="min" val="0"/>
        <cfvo type="percentile" val="50"/>
        <cfvo type="max" val="0"/>
        <color rgb="FF00A933"/>
        <color rgb="FFFFFF00"/>
        <color rgb="FFFF0000"/>
      </colorScale>
    </cfRule>
  </conditionalFormatting>
  <conditionalFormatting sqref="M2:M11">
    <cfRule type="colorScale" priority="6">
      <colorScale>
        <cfvo type="min" val="0"/>
        <cfvo type="percentile" val="50"/>
        <cfvo type="max" val="0"/>
        <color rgb="FF00A933"/>
        <color rgb="FFFFFF00"/>
        <color rgb="FFFF0000"/>
      </colorScale>
    </cfRule>
  </conditionalFormatting>
  <conditionalFormatting sqref="O2:O11">
    <cfRule type="colorScale" priority="7">
      <colorScale>
        <cfvo type="min" val="0"/>
        <cfvo type="percentile" val="50"/>
        <cfvo type="max" val="0"/>
        <color rgb="FF00A933"/>
        <color rgb="FFFFFF00"/>
        <color rgb="FFFF0000"/>
      </colorScale>
    </cfRule>
  </conditionalFormatting>
  <conditionalFormatting sqref="P2:P11">
    <cfRule type="colorScale" priority="8">
      <colorScale>
        <cfvo type="min" val="0"/>
        <cfvo type="percentile" val="50"/>
        <cfvo type="max" val="0"/>
        <color rgb="FF00A933"/>
        <color rgb="FFFFFF00"/>
        <color rgb="FFFF0000"/>
      </colorScale>
    </cfRule>
  </conditionalFormatting>
  <conditionalFormatting sqref="Q2:Q11">
    <cfRule type="colorScale" priority="9">
      <colorScale>
        <cfvo type="min" val="0"/>
        <cfvo type="percentile" val="50"/>
        <cfvo type="max" val="0"/>
        <color rgb="FF00A933"/>
        <color rgb="FFFFFF00"/>
        <color rgb="FFFF0000"/>
      </colorScale>
    </cfRule>
  </conditionalFormatting>
  <conditionalFormatting sqref="S2:S11">
    <cfRule type="colorScale" priority="10">
      <colorScale>
        <cfvo type="min" val="0"/>
        <cfvo type="percentile" val="50"/>
        <cfvo type="max" val="0"/>
        <color rgb="FF00A933"/>
        <color rgb="FFFFFF00"/>
        <color rgb="FFFF0000"/>
      </colorScale>
    </cfRule>
  </conditionalFormatting>
  <conditionalFormatting sqref="T2:T11">
    <cfRule type="colorScale" priority="11">
      <colorScale>
        <cfvo type="min" val="0"/>
        <cfvo type="percentile" val="50"/>
        <cfvo type="max" val="0"/>
        <color rgb="FF00A933"/>
        <color rgb="FFFFFF00"/>
        <color rgb="FFFF0000"/>
      </colorScale>
    </cfRule>
  </conditionalFormatting>
  <conditionalFormatting sqref="U2:U11">
    <cfRule type="colorScale" priority="12">
      <colorScale>
        <cfvo type="min" val="0"/>
        <cfvo type="percentile" val="50"/>
        <cfvo type="max" val="0"/>
        <color rgb="FF00A933"/>
        <color rgb="FFFFFF00"/>
        <color rgb="FFFF0000"/>
      </colorScale>
    </cfRule>
  </conditionalFormatting>
  <hyperlinks>
    <hyperlink ref="V2" r:id="rId1" display="https://toledo.oh.gov/residents/water/rates"/>
    <hyperlink ref="V5" r:id="rId2" display="https://www.bgohio.org/321/Rates-Fees"/>
    <hyperlink ref="V6" r:id="rId3" display="https://www.perrysburgoh.gov/DocumentCenter/View/540/2025-Water-and-Sewer-Rates-PDF"/>
    <hyperlink ref="V7" r:id="rId4" display="https://www.cityofsylvania.com/government/utilities/"/>
    <hyperlink ref="V9" r:id="rId5" display="https://codelibrary.amlegal.com/codes/defiance/latest/defiance_oh/0-0-0-21833"/>
    <hyperlink ref="V10" r:id="rId6" display="https://www.fremontohio.org/departments/water-billing/"/>
    <hyperlink ref="V11" r:id="rId7" display="https://maumee.org/download/ordinance-015-2024/"/>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17" activeCellId="0" sqref="I17"/>
    </sheetView>
  </sheetViews>
  <sheetFormatPr defaultColWidth="11.53515625" defaultRowHeight="12.8" zeroHeight="false" outlineLevelRow="0" outlineLevelCol="0"/>
  <cols>
    <col collapsed="false" customWidth="true" hidden="false" outlineLevel="0" max="1" min="1" style="1" width="10.33"/>
    <col collapsed="false" customWidth="true" hidden="false" outlineLevel="0" max="2" min="2" style="2" width="9.84"/>
    <col collapsed="false" customWidth="true" hidden="false" outlineLevel="0" max="3" min="3" style="3" width="11.43"/>
    <col collapsed="false" customWidth="true" hidden="false" outlineLevel="0" max="4" min="4" style="2" width="11.43"/>
    <col collapsed="false" customWidth="true" hidden="false" outlineLevel="0" max="5" min="5" style="6" width="14.51"/>
    <col collapsed="false" customWidth="true" hidden="false" outlineLevel="0" max="6" min="6" style="6" width="21.16"/>
    <col collapsed="false" customWidth="true" hidden="false" outlineLevel="0" max="7" min="7" style="3" width="9.53"/>
    <col collapsed="false" customWidth="true" hidden="false" outlineLevel="0" max="8" min="8" style="4" width="9.33"/>
    <col collapsed="false" customWidth="false" hidden="false" outlineLevel="0" max="16363" min="9" style="6" width="11.53"/>
  </cols>
  <sheetData>
    <row r="1" s="7" customFormat="true" ht="57.45" hidden="false" customHeight="false" outlineLevel="0" collapsed="false">
      <c r="A1" s="7" t="s">
        <v>0</v>
      </c>
      <c r="B1" s="8" t="s">
        <v>1</v>
      </c>
      <c r="C1" s="9" t="s">
        <v>54</v>
      </c>
      <c r="D1" s="8" t="s">
        <v>3</v>
      </c>
      <c r="E1" s="7" t="s">
        <v>55</v>
      </c>
      <c r="F1" s="7" t="s">
        <v>56</v>
      </c>
      <c r="G1" s="9" t="s">
        <v>57</v>
      </c>
      <c r="H1" s="10" t="s">
        <v>58</v>
      </c>
      <c r="XEJ1" s="0"/>
      <c r="XEK1" s="0"/>
      <c r="XEL1" s="0"/>
      <c r="XEM1" s="0"/>
      <c r="XEN1" s="0"/>
      <c r="XEO1" s="0"/>
      <c r="XEP1" s="0"/>
      <c r="XEQ1" s="0"/>
      <c r="XER1" s="0"/>
      <c r="XES1" s="0"/>
      <c r="XET1" s="0"/>
      <c r="XEU1" s="0"/>
      <c r="XEV1" s="0"/>
      <c r="XEW1" s="0"/>
      <c r="XEX1" s="0"/>
      <c r="XEY1" s="0"/>
      <c r="XEZ1" s="0"/>
      <c r="XFA1" s="0"/>
      <c r="XFB1" s="0"/>
      <c r="XFC1" s="0"/>
      <c r="XFD1" s="0"/>
    </row>
    <row r="2" s="20" customFormat="true" ht="28.75" hidden="false" customHeight="true" outlineLevel="0" collapsed="false">
      <c r="A2" s="11" t="s">
        <v>22</v>
      </c>
      <c r="B2" s="12" t="n">
        <v>270871</v>
      </c>
      <c r="C2" s="13" t="n">
        <v>46302</v>
      </c>
      <c r="D2" s="14" t="n">
        <v>1</v>
      </c>
      <c r="E2" s="25" t="s">
        <v>59</v>
      </c>
      <c r="F2" s="11"/>
      <c r="G2" s="13"/>
      <c r="H2" s="15" t="str">
        <f aca="false">IF(G2="","",(G2/B2))</f>
        <v/>
      </c>
      <c r="K2" s="25"/>
      <c r="L2" s="25"/>
      <c r="M2" s="25"/>
      <c r="O2" s="25"/>
      <c r="P2" s="25"/>
      <c r="Q2" s="25"/>
      <c r="S2" s="25"/>
      <c r="T2" s="25"/>
      <c r="U2" s="25"/>
      <c r="XEJ2" s="0"/>
      <c r="XEK2" s="0"/>
      <c r="XEL2" s="0"/>
      <c r="XEM2" s="0"/>
      <c r="XEN2" s="0"/>
      <c r="XEO2" s="0"/>
      <c r="XEP2" s="0"/>
      <c r="XEQ2" s="0"/>
      <c r="XER2" s="0"/>
      <c r="XES2" s="0"/>
      <c r="XET2" s="0"/>
      <c r="XEU2" s="0"/>
      <c r="XEV2" s="0"/>
      <c r="XEW2" s="0"/>
      <c r="XEX2" s="0"/>
      <c r="XEY2" s="0"/>
      <c r="XEZ2" s="0"/>
      <c r="XFA2" s="0"/>
      <c r="XFB2" s="0"/>
      <c r="XFC2" s="0"/>
      <c r="XFD2" s="0"/>
    </row>
    <row r="3" s="20" customFormat="true" ht="28.75" hidden="false" customHeight="true" outlineLevel="0" collapsed="false">
      <c r="A3" s="11" t="s">
        <v>26</v>
      </c>
      <c r="B3" s="12" t="n">
        <v>40313</v>
      </c>
      <c r="C3" s="13" t="n">
        <v>58197</v>
      </c>
      <c r="D3" s="14" t="n">
        <v>2</v>
      </c>
      <c r="E3" s="25" t="s">
        <v>59</v>
      </c>
      <c r="F3" s="11"/>
      <c r="G3" s="13"/>
      <c r="H3" s="15" t="str">
        <f aca="false">IF(G3="","",(G3/B3))</f>
        <v/>
      </c>
      <c r="K3" s="25"/>
      <c r="L3" s="25"/>
      <c r="M3" s="25"/>
      <c r="O3" s="25"/>
      <c r="P3" s="25"/>
      <c r="Q3" s="25"/>
      <c r="S3" s="25"/>
      <c r="T3" s="25"/>
      <c r="U3" s="25"/>
      <c r="XEJ3" s="0"/>
      <c r="XEK3" s="0"/>
      <c r="XEL3" s="0"/>
      <c r="XEM3" s="0"/>
      <c r="XEN3" s="0"/>
      <c r="XEO3" s="0"/>
      <c r="XEP3" s="0"/>
      <c r="XEQ3" s="0"/>
      <c r="XER3" s="0"/>
      <c r="XES3" s="0"/>
      <c r="XET3" s="0"/>
      <c r="XEU3" s="0"/>
      <c r="XEV3" s="0"/>
      <c r="XEW3" s="0"/>
      <c r="XEX3" s="0"/>
      <c r="XEY3" s="0"/>
      <c r="XEZ3" s="0"/>
      <c r="XFA3" s="0"/>
      <c r="XFB3" s="0"/>
      <c r="XFC3" s="0"/>
      <c r="XFD3" s="0"/>
    </row>
    <row r="4" s="20" customFormat="true" ht="28.75" hidden="false" customHeight="true" outlineLevel="0" collapsed="false">
      <c r="A4" s="11" t="s">
        <v>30</v>
      </c>
      <c r="B4" s="12" t="n">
        <v>35579</v>
      </c>
      <c r="C4" s="13" t="n">
        <v>46790</v>
      </c>
      <c r="D4" s="14" t="n">
        <v>3</v>
      </c>
      <c r="E4" s="25" t="s">
        <v>59</v>
      </c>
      <c r="F4" s="11"/>
      <c r="G4" s="13"/>
      <c r="H4" s="15" t="str">
        <f aca="false">IF(G4="","",(G4/B4))</f>
        <v/>
      </c>
      <c r="K4" s="25"/>
      <c r="L4" s="25"/>
      <c r="M4" s="25"/>
      <c r="O4" s="25"/>
      <c r="P4" s="25"/>
      <c r="Q4" s="25"/>
      <c r="S4" s="25"/>
      <c r="T4" s="25"/>
      <c r="U4" s="25"/>
      <c r="XEJ4" s="0"/>
      <c r="XEK4" s="0"/>
      <c r="XEL4" s="0"/>
      <c r="XEM4" s="0"/>
      <c r="XEN4" s="0"/>
      <c r="XEO4" s="0"/>
      <c r="XEP4" s="0"/>
      <c r="XEQ4" s="0"/>
      <c r="XER4" s="0"/>
      <c r="XES4" s="0"/>
      <c r="XET4" s="0"/>
      <c r="XEU4" s="0"/>
      <c r="XEV4" s="0"/>
      <c r="XEW4" s="0"/>
      <c r="XEX4" s="0"/>
      <c r="XEY4" s="0"/>
      <c r="XEZ4" s="0"/>
      <c r="XFA4" s="0"/>
      <c r="XFB4" s="0"/>
      <c r="XFC4" s="0"/>
      <c r="XFD4" s="0"/>
    </row>
    <row r="5" s="20" customFormat="true" ht="28.75" hidden="false" customHeight="true" outlineLevel="0" collapsed="false">
      <c r="A5" s="11" t="s">
        <v>35</v>
      </c>
      <c r="B5" s="12" t="n">
        <v>30808</v>
      </c>
      <c r="C5" s="13" t="n">
        <v>46605</v>
      </c>
      <c r="D5" s="14" t="n">
        <v>4</v>
      </c>
      <c r="E5" s="25" t="s">
        <v>60</v>
      </c>
      <c r="F5" s="11" t="s">
        <v>61</v>
      </c>
      <c r="G5" s="13" t="n">
        <v>130471</v>
      </c>
      <c r="H5" s="15" t="n">
        <f aca="false">IF(G5="","",(G5/B5))</f>
        <v>4.23497143599065</v>
      </c>
      <c r="K5" s="25"/>
      <c r="L5" s="25"/>
      <c r="M5" s="25"/>
      <c r="O5" s="25"/>
      <c r="P5" s="25"/>
      <c r="Q5" s="25"/>
      <c r="S5" s="25"/>
      <c r="T5" s="25"/>
      <c r="U5" s="25"/>
      <c r="XEJ5" s="0"/>
      <c r="XEK5" s="0"/>
      <c r="XEL5" s="0"/>
      <c r="XEM5" s="0"/>
      <c r="XEN5" s="0"/>
      <c r="XEO5" s="0"/>
      <c r="XEP5" s="0"/>
      <c r="XEQ5" s="0"/>
      <c r="XER5" s="0"/>
      <c r="XES5" s="0"/>
      <c r="XET5" s="0"/>
      <c r="XEU5" s="0"/>
      <c r="XEV5" s="0"/>
      <c r="XEW5" s="0"/>
      <c r="XEX5" s="0"/>
      <c r="XEY5" s="0"/>
      <c r="XEZ5" s="0"/>
      <c r="XFA5" s="0"/>
      <c r="XFB5" s="0"/>
      <c r="XFC5" s="0"/>
      <c r="XFD5" s="0"/>
    </row>
    <row r="6" s="20" customFormat="true" ht="28.75" hidden="false" customHeight="true" outlineLevel="0" collapsed="false">
      <c r="A6" s="11" t="s">
        <v>37</v>
      </c>
      <c r="B6" s="12" t="n">
        <v>25041</v>
      </c>
      <c r="C6" s="13" t="n">
        <v>104971</v>
      </c>
      <c r="D6" s="14" t="n">
        <v>5</v>
      </c>
      <c r="E6" s="25" t="s">
        <v>62</v>
      </c>
      <c r="F6" s="11" t="s">
        <v>63</v>
      </c>
      <c r="G6" s="13" t="n">
        <v>130784</v>
      </c>
      <c r="H6" s="15" t="n">
        <f aca="false">IF(G6="","",(G6/B6))</f>
        <v>5.2227946168284</v>
      </c>
      <c r="K6" s="25"/>
      <c r="L6" s="25"/>
      <c r="M6" s="25"/>
      <c r="O6" s="25"/>
      <c r="P6" s="25"/>
      <c r="Q6" s="25"/>
      <c r="S6" s="25"/>
      <c r="T6" s="25"/>
      <c r="U6" s="25"/>
      <c r="XEJ6" s="0"/>
      <c r="XEK6" s="0"/>
      <c r="XEL6" s="0"/>
      <c r="XEM6" s="0"/>
      <c r="XEN6" s="0"/>
      <c r="XEO6" s="0"/>
      <c r="XEP6" s="0"/>
      <c r="XEQ6" s="0"/>
      <c r="XER6" s="0"/>
      <c r="XES6" s="0"/>
      <c r="XET6" s="0"/>
      <c r="XEU6" s="0"/>
      <c r="XEV6" s="0"/>
      <c r="XEW6" s="0"/>
      <c r="XEX6" s="0"/>
      <c r="XEY6" s="0"/>
      <c r="XEZ6" s="0"/>
      <c r="XFA6" s="0"/>
      <c r="XFB6" s="0"/>
      <c r="XFC6" s="0"/>
      <c r="XFD6" s="0"/>
    </row>
    <row r="7" s="20" customFormat="true" ht="28.75" hidden="false" customHeight="true" outlineLevel="0" collapsed="false">
      <c r="A7" s="11" t="s">
        <v>40</v>
      </c>
      <c r="B7" s="12" t="n">
        <v>19011</v>
      </c>
      <c r="C7" s="13" t="n">
        <v>96136</v>
      </c>
      <c r="D7" s="14" t="n">
        <v>6</v>
      </c>
      <c r="E7" s="25" t="s">
        <v>64</v>
      </c>
      <c r="F7" s="11" t="s">
        <v>65</v>
      </c>
      <c r="G7" s="13" t="n">
        <v>124692</v>
      </c>
      <c r="H7" s="15" t="n">
        <f aca="false">IF(G7="","",(G7/B7))</f>
        <v>6.55893956130661</v>
      </c>
      <c r="K7" s="25"/>
      <c r="L7" s="25"/>
      <c r="M7" s="25"/>
      <c r="O7" s="25"/>
      <c r="P7" s="25"/>
      <c r="Q7" s="25"/>
      <c r="S7" s="25"/>
      <c r="T7" s="25"/>
      <c r="U7" s="25"/>
      <c r="XEJ7" s="0"/>
      <c r="XEK7" s="0"/>
      <c r="XEL7" s="0"/>
      <c r="XEM7" s="0"/>
      <c r="XEN7" s="0"/>
      <c r="XEO7" s="0"/>
      <c r="XEP7" s="0"/>
      <c r="XEQ7" s="0"/>
      <c r="XER7" s="0"/>
      <c r="XES7" s="0"/>
      <c r="XET7" s="0"/>
      <c r="XEU7" s="0"/>
      <c r="XEV7" s="0"/>
      <c r="XEW7" s="0"/>
      <c r="XEX7" s="0"/>
      <c r="XEY7" s="0"/>
      <c r="XEZ7" s="0"/>
      <c r="XFA7" s="0"/>
      <c r="XFB7" s="0"/>
      <c r="XFC7" s="0"/>
      <c r="XFD7" s="0"/>
    </row>
    <row r="8" s="20" customFormat="true" ht="28.75" hidden="false" customHeight="true" outlineLevel="0" collapsed="false">
      <c r="A8" s="11" t="s">
        <v>43</v>
      </c>
      <c r="B8" s="12" t="n">
        <v>17953</v>
      </c>
      <c r="C8" s="13" t="n">
        <v>54172</v>
      </c>
      <c r="D8" s="14" t="n">
        <v>7</v>
      </c>
      <c r="E8" s="25" t="s">
        <v>66</v>
      </c>
      <c r="F8" s="11" t="s">
        <v>63</v>
      </c>
      <c r="G8" s="13" t="n">
        <v>79451</v>
      </c>
      <c r="H8" s="15" t="n">
        <f aca="false">IF(G8="","",(G8/B8))</f>
        <v>4.4254999164485</v>
      </c>
      <c r="K8" s="25"/>
      <c r="L8" s="25"/>
      <c r="M8" s="25"/>
      <c r="O8" s="25"/>
      <c r="P8" s="25"/>
      <c r="Q8" s="25"/>
      <c r="S8" s="25"/>
      <c r="T8" s="25"/>
      <c r="U8" s="25"/>
      <c r="XEJ8" s="0"/>
      <c r="XEK8" s="0"/>
      <c r="XEL8" s="0"/>
      <c r="XEM8" s="0"/>
      <c r="XEN8" s="0"/>
      <c r="XEO8" s="0"/>
      <c r="XEP8" s="0"/>
      <c r="XEQ8" s="0"/>
      <c r="XER8" s="0"/>
      <c r="XES8" s="0"/>
      <c r="XET8" s="0"/>
      <c r="XEU8" s="0"/>
      <c r="XEV8" s="0"/>
      <c r="XEW8" s="0"/>
      <c r="XEX8" s="0"/>
      <c r="XEY8" s="0"/>
      <c r="XEZ8" s="0"/>
      <c r="XFA8" s="0"/>
      <c r="XFB8" s="0"/>
      <c r="XFC8" s="0"/>
      <c r="XFD8" s="0"/>
    </row>
    <row r="9" s="20" customFormat="true" ht="28.75" hidden="false" customHeight="true" outlineLevel="0" collapsed="false">
      <c r="A9" s="11" t="s">
        <v>46</v>
      </c>
      <c r="B9" s="12" t="n">
        <v>17066</v>
      </c>
      <c r="C9" s="13" t="n">
        <v>61386</v>
      </c>
      <c r="D9" s="14" t="n">
        <v>8</v>
      </c>
      <c r="E9" s="25" t="s">
        <v>67</v>
      </c>
      <c r="F9" s="11" t="s">
        <v>68</v>
      </c>
      <c r="G9" s="13" t="n">
        <v>107668</v>
      </c>
      <c r="H9" s="15" t="n">
        <f aca="false">IF(G9="","",(G9/B9))</f>
        <v>6.30891831712176</v>
      </c>
      <c r="K9" s="25"/>
      <c r="L9" s="25"/>
      <c r="M9" s="25"/>
      <c r="O9" s="25"/>
      <c r="P9" s="25"/>
      <c r="Q9" s="25"/>
      <c r="S9" s="25"/>
      <c r="T9" s="25"/>
      <c r="U9" s="25"/>
      <c r="XEJ9" s="0"/>
      <c r="XEK9" s="0"/>
      <c r="XEL9" s="0"/>
      <c r="XEM9" s="0"/>
      <c r="XEN9" s="0"/>
      <c r="XEO9" s="0"/>
      <c r="XEP9" s="0"/>
      <c r="XEQ9" s="0"/>
      <c r="XER9" s="0"/>
      <c r="XES9" s="0"/>
      <c r="XET9" s="0"/>
      <c r="XEU9" s="0"/>
      <c r="XEV9" s="0"/>
      <c r="XEW9" s="0"/>
      <c r="XEX9" s="0"/>
      <c r="XEY9" s="0"/>
      <c r="XEZ9" s="0"/>
      <c r="XFA9" s="0"/>
      <c r="XFB9" s="0"/>
      <c r="XFC9" s="0"/>
      <c r="XFD9" s="0"/>
    </row>
    <row r="10" s="20" customFormat="true" ht="28.75" hidden="false" customHeight="true" outlineLevel="0" collapsed="false">
      <c r="A10" s="11" t="s">
        <v>49</v>
      </c>
      <c r="B10" s="12" t="n">
        <v>15930</v>
      </c>
      <c r="C10" s="13" t="n">
        <v>49576</v>
      </c>
      <c r="D10" s="14" t="n">
        <v>9</v>
      </c>
      <c r="E10" s="25" t="s">
        <v>69</v>
      </c>
      <c r="F10" s="11" t="s">
        <v>70</v>
      </c>
      <c r="G10" s="13" t="n">
        <v>115294</v>
      </c>
      <c r="H10" s="15" t="n">
        <f aca="false">IF(G10="","",(G10/B10))</f>
        <v>7.2375392341494</v>
      </c>
      <c r="K10" s="25"/>
      <c r="L10" s="25"/>
      <c r="M10" s="25"/>
      <c r="O10" s="25"/>
      <c r="P10" s="25"/>
      <c r="Q10" s="25"/>
      <c r="S10" s="25"/>
      <c r="T10" s="25"/>
      <c r="U10" s="25"/>
      <c r="XEJ10" s="0"/>
      <c r="XEK10" s="0"/>
      <c r="XEL10" s="0"/>
      <c r="XEM10" s="0"/>
      <c r="XEN10" s="0"/>
      <c r="XEO10" s="0"/>
      <c r="XEP10" s="0"/>
      <c r="XEQ10" s="0"/>
      <c r="XER10" s="0"/>
      <c r="XES10" s="0"/>
      <c r="XET10" s="0"/>
      <c r="XEU10" s="0"/>
      <c r="XEV10" s="0"/>
      <c r="XEW10" s="0"/>
      <c r="XEX10" s="0"/>
      <c r="XEY10" s="0"/>
      <c r="XEZ10" s="0"/>
      <c r="XFA10" s="0"/>
      <c r="XFB10" s="0"/>
      <c r="XFC10" s="0"/>
      <c r="XFD10" s="0"/>
    </row>
    <row r="11" s="20" customFormat="true" ht="28.75" hidden="false" customHeight="true" outlineLevel="0" collapsed="false">
      <c r="A11" s="11" t="s">
        <v>52</v>
      </c>
      <c r="B11" s="12" t="n">
        <v>13896</v>
      </c>
      <c r="C11" s="13" t="n">
        <v>82189</v>
      </c>
      <c r="D11" s="14" t="n">
        <v>10</v>
      </c>
      <c r="E11" s="25" t="s">
        <v>71</v>
      </c>
      <c r="F11" s="11" t="s">
        <v>72</v>
      </c>
      <c r="G11" s="13" t="n">
        <v>192268</v>
      </c>
      <c r="H11" s="15" t="n">
        <f aca="false">IF(G11="","",(G11/B11))</f>
        <v>13.8362118595279</v>
      </c>
      <c r="K11" s="25"/>
      <c r="L11" s="25"/>
      <c r="M11" s="25"/>
      <c r="O11" s="25"/>
      <c r="P11" s="25"/>
      <c r="Q11" s="25"/>
      <c r="S11" s="25"/>
      <c r="T11" s="25"/>
      <c r="U11" s="25"/>
      <c r="XEJ11" s="0"/>
      <c r="XEK11" s="0"/>
      <c r="XEL11" s="0"/>
      <c r="XEM11" s="0"/>
      <c r="XEN11" s="0"/>
      <c r="XEO11" s="0"/>
      <c r="XEP11" s="0"/>
      <c r="XEQ11" s="0"/>
      <c r="XER11" s="0"/>
      <c r="XES11" s="0"/>
      <c r="XET11" s="0"/>
      <c r="XEU11" s="0"/>
      <c r="XEV11" s="0"/>
      <c r="XEW11" s="0"/>
      <c r="XEX11" s="0"/>
      <c r="XEY11" s="0"/>
      <c r="XEZ11" s="0"/>
      <c r="XFA11" s="0"/>
      <c r="XFB11" s="0"/>
      <c r="XFC11" s="0"/>
      <c r="XFD11" s="0"/>
    </row>
  </sheetData>
  <conditionalFormatting sqref="E2:E11">
    <cfRule type="colorScale" priority="2">
      <colorScale>
        <cfvo type="min" val="0"/>
        <cfvo type="percentile" val="50"/>
        <cfvo type="max" val="0"/>
        <color rgb="FF00A933"/>
        <color rgb="FFFFFF00"/>
        <color rgb="FFFF0000"/>
      </colorScale>
    </cfRule>
  </conditionalFormatting>
  <conditionalFormatting sqref="G2:G11">
    <cfRule type="colorScale" priority="3">
      <colorScale>
        <cfvo type="min" val="0"/>
        <cfvo type="percentile" val="50"/>
        <cfvo type="max" val="0"/>
        <color rgb="FF00A933"/>
        <color rgb="FFFFFF00"/>
        <color rgb="FFFF0000"/>
      </colorScale>
    </cfRule>
  </conditionalFormatting>
  <conditionalFormatting sqref="K2:K11">
    <cfRule type="colorScale" priority="4">
      <colorScale>
        <cfvo type="min" val="0"/>
        <cfvo type="percentile" val="50"/>
        <cfvo type="max" val="0"/>
        <color rgb="FF00A933"/>
        <color rgb="FFFFFF00"/>
        <color rgb="FFFF0000"/>
      </colorScale>
    </cfRule>
  </conditionalFormatting>
  <conditionalFormatting sqref="L2:L11">
    <cfRule type="colorScale" priority="5">
      <colorScale>
        <cfvo type="min" val="0"/>
        <cfvo type="percentile" val="50"/>
        <cfvo type="max" val="0"/>
        <color rgb="FF00A933"/>
        <color rgb="FFFFFF00"/>
        <color rgb="FFFF0000"/>
      </colorScale>
    </cfRule>
  </conditionalFormatting>
  <conditionalFormatting sqref="M2:M11">
    <cfRule type="colorScale" priority="6">
      <colorScale>
        <cfvo type="min" val="0"/>
        <cfvo type="percentile" val="50"/>
        <cfvo type="max" val="0"/>
        <color rgb="FF00A933"/>
        <color rgb="FFFFFF00"/>
        <color rgb="FFFF0000"/>
      </colorScale>
    </cfRule>
  </conditionalFormatting>
  <conditionalFormatting sqref="O2:O11">
    <cfRule type="colorScale" priority="7">
      <colorScale>
        <cfvo type="min" val="0"/>
        <cfvo type="percentile" val="50"/>
        <cfvo type="max" val="0"/>
        <color rgb="FF00A933"/>
        <color rgb="FFFFFF00"/>
        <color rgb="FFFF0000"/>
      </colorScale>
    </cfRule>
  </conditionalFormatting>
  <conditionalFormatting sqref="P2:P11">
    <cfRule type="colorScale" priority="8">
      <colorScale>
        <cfvo type="min" val="0"/>
        <cfvo type="percentile" val="50"/>
        <cfvo type="max" val="0"/>
        <color rgb="FF00A933"/>
        <color rgb="FFFFFF00"/>
        <color rgb="FFFF0000"/>
      </colorScale>
    </cfRule>
  </conditionalFormatting>
  <conditionalFormatting sqref="Q2:Q11">
    <cfRule type="colorScale" priority="9">
      <colorScale>
        <cfvo type="min" val="0"/>
        <cfvo type="percentile" val="50"/>
        <cfvo type="max" val="0"/>
        <color rgb="FF00A933"/>
        <color rgb="FFFFFF00"/>
        <color rgb="FFFF0000"/>
      </colorScale>
    </cfRule>
  </conditionalFormatting>
  <conditionalFormatting sqref="S2:S11">
    <cfRule type="colorScale" priority="10">
      <colorScale>
        <cfvo type="min" val="0"/>
        <cfvo type="percentile" val="50"/>
        <cfvo type="max" val="0"/>
        <color rgb="FF00A933"/>
        <color rgb="FFFFFF00"/>
        <color rgb="FFFF0000"/>
      </colorScale>
    </cfRule>
  </conditionalFormatting>
  <conditionalFormatting sqref="T2:T11">
    <cfRule type="colorScale" priority="11">
      <colorScale>
        <cfvo type="min" val="0"/>
        <cfvo type="percentile" val="50"/>
        <cfvo type="max" val="0"/>
        <color rgb="FF00A933"/>
        <color rgb="FFFFFF00"/>
        <color rgb="FFFF0000"/>
      </colorScale>
    </cfRule>
  </conditionalFormatting>
  <conditionalFormatting sqref="U2:U11">
    <cfRule type="colorScale" priority="12">
      <colorScale>
        <cfvo type="min" val="0"/>
        <cfvo type="percentile" val="50"/>
        <cfvo type="max" val="0"/>
        <color rgb="FF00A933"/>
        <color rgb="FFFFFF00"/>
        <color rgb="FFFF0000"/>
      </colorScale>
    </cfRule>
  </conditionalFormatting>
  <conditionalFormatting sqref="G2:G11">
    <cfRule type="colorScale" priority="13">
      <colorScale>
        <cfvo type="min" val="0"/>
        <cfvo type="percentile" val="50"/>
        <cfvo type="max" val="0"/>
        <color rgb="FF00A933"/>
        <color rgb="FFFFFF00"/>
        <color rgb="FFFF0000"/>
      </colorScale>
    </cfRule>
  </conditionalFormatting>
  <conditionalFormatting sqref="H2:H11">
    <cfRule type="colorScale" priority="14">
      <colorScale>
        <cfvo type="min" val="0"/>
        <cfvo type="percentile" val="50"/>
        <cfvo type="max" val="0"/>
        <color rgb="FF00A933"/>
        <color rgb="FFFFFF00"/>
        <color rgb="FFFF0000"/>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314</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2025-02-02T14:01:57Z</dcterms:created>
  <dc:creator/>
  <dc:description/>
  <dc:language>en-US</dc:language>
  <cp:lastModifiedBy/>
  <dcterms:modified xsi:type="dcterms:W3CDTF">2025-02-05T21:54:01Z</dcterms:modified>
  <cp:revision>22</cp:revision>
  <dc:subject/>
  <dc:title/>
</cp:coreProperties>
</file>