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Работа_Гурин\М-4_Дон\318км\2022-11-15__Временный мост\Excel\"/>
    </mc:Choice>
  </mc:AlternateContent>
  <xr:revisionPtr revIDLastSave="0" documentId="13_ncr:1_{033CBD18-135A-481F-91B4-BFFC17A0A74C}" xr6:coauthVersionLast="47" xr6:coauthVersionMax="47" xr10:uidLastSave="{00000000-0000-0000-0000-000000000000}"/>
  <bookViews>
    <workbookView xWindow="-120" yWindow="-120" windowWidth="29040" windowHeight="15990" xr2:uid="{A7AE302A-1981-4AFD-AD9D-9DA440D085A3}"/>
  </bookViews>
  <sheets>
    <sheet name="Лист1" sheetId="1" r:id="rId1"/>
    <sheet name="Лист1 (2)" sheetId="2" r:id="rId2"/>
  </sheets>
  <definedNames>
    <definedName name="_xlnm.Print_Area" localSheetId="0">Лист1!$A$1:$D$36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26" i="1" s="1"/>
  <c r="G19" i="1"/>
  <c r="G20" i="1"/>
  <c r="G21" i="1"/>
  <c r="C11" i="1"/>
  <c r="C18" i="1" s="1"/>
  <c r="C31" i="1" s="1"/>
  <c r="C10" i="1"/>
  <c r="C17" i="1" s="1"/>
  <c r="C30" i="1" s="1"/>
  <c r="C9" i="2"/>
  <c r="C15" i="2"/>
  <c r="C14" i="2"/>
  <c r="G11" i="2"/>
  <c r="C10" i="2"/>
  <c r="C15" i="1" l="1"/>
  <c r="C28" i="1" s="1"/>
  <c r="C40" i="1"/>
  <c r="C48" i="1" s="1"/>
  <c r="C16" i="1"/>
  <c r="C29" i="1" s="1"/>
  <c r="C24" i="2"/>
  <c r="C29" i="2" s="1"/>
  <c r="B30" i="2" s="1"/>
  <c r="C20" i="2"/>
  <c r="C23" i="2"/>
  <c r="C27" i="2" s="1"/>
  <c r="B28" i="2" s="1"/>
  <c r="C18" i="2"/>
  <c r="B19" i="2" s="1"/>
  <c r="B21" i="2"/>
  <c r="G22" i="1"/>
  <c r="C47" i="1" l="1"/>
  <c r="C46" i="1"/>
  <c r="C51" i="1" s="1"/>
  <c r="C49" i="1"/>
  <c r="C32" i="1"/>
  <c r="C43" i="1"/>
  <c r="B44" i="1" s="1"/>
  <c r="C35" i="1" l="1"/>
  <c r="B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Гурин В.С.</author>
    <author>PSC</author>
  </authors>
  <commentList>
    <comment ref="C19" authorId="0" shapeId="0" xr:uid="{BA8255C6-182F-4A16-951D-61932D81F270}">
      <text>
        <r>
          <rPr>
            <b/>
            <sz val="9"/>
            <color indexed="81"/>
            <rFont val="Tahoma"/>
            <family val="2"/>
            <charset val="204"/>
          </rPr>
          <t>Гурин В.С.:</t>
        </r>
        <r>
          <rPr>
            <sz val="9"/>
            <color indexed="81"/>
            <rFont val="Tahoma"/>
            <family val="2"/>
            <charset val="204"/>
          </rPr>
          <t xml:space="preserve">
Таблица 6.10 СП35.13330.2011
для НК</t>
        </r>
      </text>
    </comment>
    <comment ref="C20" authorId="0" shapeId="0" xr:uid="{84650B6F-EAC6-4EF5-8860-F78F465A21FF}">
      <text>
        <r>
          <rPr>
            <b/>
            <sz val="9"/>
            <color indexed="81"/>
            <rFont val="Tahoma"/>
            <family val="2"/>
            <charset val="204"/>
          </rPr>
          <t>Гурин В.С.:</t>
        </r>
        <r>
          <rPr>
            <sz val="9"/>
            <color indexed="81"/>
            <rFont val="Tahoma"/>
            <family val="2"/>
            <charset val="204"/>
          </rPr>
          <t xml:space="preserve">
Таблица 6.10 СП35.13330.2011
для НК</t>
        </r>
      </text>
    </comment>
    <comment ref="C21" authorId="0" shapeId="0" xr:uid="{046A3955-4D9E-49F2-A8DF-4366717055BD}">
      <text>
        <r>
          <rPr>
            <b/>
            <sz val="9"/>
            <color indexed="81"/>
            <rFont val="Tahoma"/>
            <family val="2"/>
            <charset val="204"/>
          </rPr>
          <t>Гурин В.С.:</t>
        </r>
        <r>
          <rPr>
            <sz val="9"/>
            <color indexed="81"/>
            <rFont val="Tahoma"/>
            <family val="2"/>
            <charset val="204"/>
          </rPr>
          <t xml:space="preserve">
Таблица 6.10 СП35.13330.2011
для НК</t>
        </r>
      </text>
    </comment>
    <comment ref="C22" authorId="0" shapeId="0" xr:uid="{1E70FFF6-5375-4737-9EDF-A5185F74F4F0}">
      <text>
        <r>
          <rPr>
            <b/>
            <sz val="9"/>
            <color indexed="81"/>
            <rFont val="Tahoma"/>
            <family val="2"/>
            <charset val="204"/>
          </rPr>
          <t>Гурин В.С.:</t>
        </r>
        <r>
          <rPr>
            <sz val="9"/>
            <color indexed="81"/>
            <rFont val="Tahoma"/>
            <family val="2"/>
            <charset val="204"/>
          </rPr>
          <t xml:space="preserve">
Таблица 6.10 СП35.13330.2011
для НК</t>
        </r>
      </text>
    </comment>
    <comment ref="C23" authorId="0" shapeId="0" xr:uid="{43A48012-7570-45A5-9EEE-CF36F34473C9}">
      <text>
        <r>
          <rPr>
            <b/>
            <sz val="9"/>
            <color indexed="81"/>
            <rFont val="Tahoma"/>
            <family val="2"/>
            <charset val="204"/>
          </rPr>
          <t>Гурин В.С.:</t>
        </r>
        <r>
          <rPr>
            <sz val="9"/>
            <color indexed="81"/>
            <rFont val="Tahoma"/>
            <family val="2"/>
            <charset val="204"/>
          </rPr>
          <t xml:space="preserve">
СП 35.13330.2011
п. 6.22 2)а)</t>
        </r>
      </text>
    </comment>
    <comment ref="B35" authorId="1" shapeId="0" xr:uid="{655C8591-F310-49AE-86AC-A751A82A931C}">
      <text>
        <r>
          <rPr>
            <b/>
            <sz val="9"/>
            <color indexed="81"/>
            <rFont val="Tahoma"/>
            <family val="2"/>
            <charset val="204"/>
          </rPr>
          <t>PSC:</t>
        </r>
        <r>
          <rPr>
            <sz val="9"/>
            <color indexed="81"/>
            <rFont val="Tahoma"/>
            <family val="2"/>
            <charset val="204"/>
          </rPr>
          <t xml:space="preserve">
СП 35.13330.2011
п.10.30</t>
        </r>
      </text>
    </comment>
    <comment ref="A39" authorId="1" shapeId="0" xr:uid="{D46BE56A-E074-4B31-9010-B4BF1176B27D}">
      <text>
        <r>
          <rPr>
            <b/>
            <sz val="9"/>
            <color indexed="81"/>
            <rFont val="Tahoma"/>
            <family val="2"/>
            <charset val="204"/>
          </rPr>
          <t>PSC:</t>
        </r>
        <r>
          <rPr>
            <sz val="9"/>
            <color indexed="81"/>
            <rFont val="Tahoma"/>
            <family val="2"/>
            <charset val="204"/>
          </rPr>
          <t xml:space="preserve">
СТО 136-2009
п.14.23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Гурин В.С.</author>
    <author>PSC</author>
  </authors>
  <commentList>
    <comment ref="C11" authorId="0" shapeId="0" xr:uid="{B893B8FC-AC27-4776-9CE7-FF6EC454DC59}">
      <text>
        <r>
          <rPr>
            <b/>
            <sz val="9"/>
            <color indexed="81"/>
            <rFont val="Tahoma"/>
            <family val="2"/>
            <charset val="204"/>
          </rPr>
          <t>Гурин В.С.:</t>
        </r>
        <r>
          <rPr>
            <sz val="9"/>
            <color indexed="81"/>
            <rFont val="Tahoma"/>
            <family val="2"/>
            <charset val="204"/>
          </rPr>
          <t xml:space="preserve">
Таблица 6.10 СП35.13330.2011
для НК</t>
        </r>
      </text>
    </comment>
    <comment ref="A12" authorId="1" shapeId="0" xr:uid="{581A530D-6A10-489C-914C-EEB3C06241E3}">
      <text>
        <r>
          <rPr>
            <b/>
            <sz val="9"/>
            <color indexed="81"/>
            <rFont val="Tahoma"/>
            <family val="2"/>
            <charset val="204"/>
          </rPr>
          <t>PSC:</t>
        </r>
        <r>
          <rPr>
            <sz val="9"/>
            <color indexed="81"/>
            <rFont val="Tahoma"/>
            <family val="2"/>
            <charset val="204"/>
          </rPr>
          <t xml:space="preserve">
СТО 136-2009
п.14.23</t>
        </r>
      </text>
    </comment>
    <comment ref="B27" authorId="1" shapeId="0" xr:uid="{6B43A239-BB37-4544-8C24-6ED7D88D2491}">
      <text>
        <r>
          <rPr>
            <b/>
            <sz val="9"/>
            <color indexed="81"/>
            <rFont val="Tahoma"/>
            <family val="2"/>
            <charset val="204"/>
          </rPr>
          <t>PSC:</t>
        </r>
        <r>
          <rPr>
            <sz val="9"/>
            <color indexed="81"/>
            <rFont val="Tahoma"/>
            <family val="2"/>
            <charset val="204"/>
          </rPr>
          <t xml:space="preserve">
СП 35.13330.2011
п.10.30</t>
        </r>
      </text>
    </comment>
    <comment ref="B29" authorId="1" shapeId="0" xr:uid="{C79E3E21-C4C8-4DDB-ADAE-924619388E3B}">
      <text>
        <r>
          <rPr>
            <b/>
            <sz val="9"/>
            <color indexed="81"/>
            <rFont val="Tahoma"/>
            <family val="2"/>
            <charset val="204"/>
          </rPr>
          <t>PSC:</t>
        </r>
        <r>
          <rPr>
            <sz val="9"/>
            <color indexed="81"/>
            <rFont val="Tahoma"/>
            <family val="2"/>
            <charset val="204"/>
          </rPr>
          <t xml:space="preserve">
СП 35.13330.2011
п.10.30</t>
        </r>
      </text>
    </comment>
  </commentList>
</comments>
</file>

<file path=xl/sharedStrings.xml><?xml version="1.0" encoding="utf-8"?>
<sst xmlns="http://schemas.openxmlformats.org/spreadsheetml/2006/main" count="176" uniqueCount="93">
  <si>
    <t>Доска</t>
  </si>
  <si>
    <t>мм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</si>
  <si>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vertAlign val="superscript"/>
        <sz val="11"/>
        <color theme="1"/>
        <rFont val="Calibri"/>
        <family val="2"/>
        <charset val="204"/>
        <scheme val="minor"/>
      </rPr>
      <t>сеч.</t>
    </r>
  </si>
  <si>
    <r>
      <t>мм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</si>
  <si>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vertAlign val="superscript"/>
        <sz val="11"/>
        <color theme="1"/>
        <rFont val="Calibri"/>
        <family val="2"/>
        <charset val="204"/>
        <scheme val="minor"/>
      </rPr>
      <t>сеч.</t>
    </r>
  </si>
  <si>
    <r>
      <t>мм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</si>
  <si>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Ширина сечения доски</t>
  </si>
  <si>
    <t>Высота сечения доски</t>
  </si>
  <si>
    <t>b</t>
  </si>
  <si>
    <t>a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</si>
  <si>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vertAlign val="superscript"/>
        <sz val="11"/>
        <color theme="1"/>
        <rFont val="Calibri"/>
        <family val="2"/>
        <charset val="204"/>
        <scheme val="minor"/>
      </rPr>
      <t>F</t>
    </r>
  </si>
  <si>
    <t>Величина сосредоточенной нагрузки</t>
  </si>
  <si>
    <t>F</t>
  </si>
  <si>
    <t>кг</t>
  </si>
  <si>
    <t>Величина распределённой нагрузки</t>
  </si>
  <si>
    <t>q</t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</si>
  <si>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</si>
  <si>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vertAlign val="superscript"/>
        <sz val="11"/>
        <color theme="1"/>
        <rFont val="Calibri"/>
        <family val="2"/>
        <charset val="204"/>
        <scheme val="minor"/>
      </rPr>
      <t>q</t>
    </r>
  </si>
  <si>
    <t>Момент от распределённой нагрузки</t>
  </si>
  <si>
    <t>Момент от сосредоточенной нагрузки</t>
  </si>
  <si>
    <t>Момент инерции сечения доски</t>
  </si>
  <si>
    <t>Момент сопротивления сечения доски</t>
  </si>
  <si>
    <t>Максимальный прогиб доски от сосредоточенной нагрузки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</si>
  <si>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max</t>
    </r>
    <r>
      <rPr>
        <vertAlign val="superscript"/>
        <sz val="11"/>
        <color theme="1"/>
        <rFont val="Calibri"/>
        <family val="2"/>
        <charset val="204"/>
        <scheme val="minor"/>
      </rPr>
      <t>F</t>
    </r>
  </si>
  <si>
    <t>Максимальный прогиб доски от распределённой нагрузки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</si>
  <si>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max</t>
    </r>
    <r>
      <rPr>
        <vertAlign val="superscript"/>
        <sz val="11"/>
        <color theme="1"/>
        <rFont val="Calibri"/>
        <family val="2"/>
        <charset val="204"/>
        <scheme val="minor"/>
      </rPr>
      <t>q</t>
    </r>
  </si>
  <si>
    <r>
      <t>E</t>
    </r>
    <r>
      <rPr>
        <vertAlign val="subscript"/>
        <sz val="11"/>
        <color theme="1"/>
        <rFont val="Calibri"/>
        <family val="2"/>
        <charset val="204"/>
        <scheme val="minor"/>
      </rPr>
      <t>сосна</t>
    </r>
  </si>
  <si>
    <t>Модуль упругости на изгиб для сосны</t>
  </si>
  <si>
    <t>l</t>
  </si>
  <si>
    <t>Расчётное сопротивление на изгиб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</si>
  <si>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db</t>
    </r>
  </si>
  <si>
    <t>МПа</t>
  </si>
  <si>
    <t>Нормальные напряжения в сечении от сосредоточенной нагрузки</t>
  </si>
  <si>
    <t>кг*мм</t>
  </si>
  <si>
    <r>
      <rPr>
        <sz val="11"/>
        <color theme="1"/>
        <rFont val="Calibri"/>
        <family val="2"/>
        <charset val="204"/>
      </rPr>
      <t>σ</t>
    </r>
    <r>
      <rPr>
        <vertAlign val="superscript"/>
        <sz val="11"/>
        <color theme="1"/>
        <rFont val="Calibri"/>
        <family val="2"/>
        <charset val="204"/>
      </rPr>
      <t>F</t>
    </r>
  </si>
  <si>
    <r>
      <t>σ</t>
    </r>
    <r>
      <rPr>
        <vertAlign val="superscript"/>
        <sz val="11"/>
        <color theme="1"/>
        <rFont val="Calibri"/>
        <family val="2"/>
        <charset val="204"/>
      </rPr>
      <t>q</t>
    </r>
  </si>
  <si>
    <r>
      <rPr>
        <sz val="11"/>
        <color theme="1"/>
        <rFont val="Calibri"/>
        <family val="2"/>
        <charset val="204"/>
      </rPr>
      <t>γ</t>
    </r>
    <r>
      <rPr>
        <vertAlign val="subscript"/>
        <sz val="11"/>
        <color theme="1"/>
        <rFont val="Calibri"/>
        <family val="2"/>
        <charset val="204"/>
      </rPr>
      <t>f</t>
    </r>
  </si>
  <si>
    <t>Предельно допустимый прогиб</t>
  </si>
  <si>
    <r>
      <t>f</t>
    </r>
    <r>
      <rPr>
        <vertAlign val="subscript"/>
        <sz val="11"/>
        <color theme="1"/>
        <rFont val="Calibri"/>
        <family val="2"/>
        <charset val="204"/>
      </rPr>
      <t>max</t>
    </r>
    <r>
      <rPr>
        <vertAlign val="superscript"/>
        <sz val="11"/>
        <color theme="1"/>
        <rFont val="Calibri"/>
        <family val="2"/>
        <charset val="204"/>
      </rPr>
      <t>lim</t>
    </r>
  </si>
  <si>
    <t>Проверки по прогибу</t>
  </si>
  <si>
    <t>Проверки по прочности</t>
  </si>
  <si>
    <t>Из СП35.13330.2011</t>
  </si>
  <si>
    <t>t</t>
  </si>
  <si>
    <t>Нормальные напряжения в сечении от распределённой нагрузки</t>
  </si>
  <si>
    <t>Пролёт между брусьями (в свету)</t>
  </si>
  <si>
    <t>Коэффициент надёжности по нагрузке</t>
  </si>
  <si>
    <t>Расчётный пролёт плиты</t>
  </si>
  <si>
    <t>Величина распределённой нагрузки от собственного веса</t>
  </si>
  <si>
    <t>Ширина распределённой нагрузки от колеса АК</t>
  </si>
  <si>
    <t>Ширина распределённой нагрузки от колеса НК</t>
  </si>
  <si>
    <t>Величина распределённой нагрузки от асфальто-бетонного покрытия</t>
  </si>
  <si>
    <t>Толщина а/б покрытия у края (для распределения нагрузки на плиту)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</si>
  <si>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</si>
  <si>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серед</t>
    </r>
  </si>
  <si>
    <t>Ширина колеса АК</t>
  </si>
  <si>
    <t>Ширина колеса НК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</si>
  <si>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к</t>
    </r>
    <r>
      <rPr>
        <vertAlign val="superscript"/>
        <sz val="11"/>
        <color theme="1"/>
        <rFont val="Calibri"/>
        <family val="2"/>
        <charset val="204"/>
        <scheme val="minor"/>
      </rPr>
      <t>АК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</si>
  <si>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к</t>
    </r>
    <r>
      <rPr>
        <vertAlign val="superscript"/>
        <sz val="11"/>
        <color theme="1"/>
        <rFont val="Calibri"/>
        <family val="2"/>
        <charset val="204"/>
        <scheme val="minor"/>
      </rPr>
      <t>НК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</si>
  <si>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АК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</si>
  <si>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НК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</si>
  <si>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к</t>
    </r>
    <r>
      <rPr>
        <vertAlign val="superscript"/>
        <sz val="11"/>
        <color theme="1"/>
        <rFont val="Calibri"/>
        <family val="2"/>
        <charset val="204"/>
        <scheme val="minor"/>
      </rPr>
      <t>ф</t>
    </r>
  </si>
  <si>
    <t>Величина распределённой нагрузки от колеса АК</t>
  </si>
  <si>
    <t>Величина распределённой нагрузки от колеса НК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</si>
  <si>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СВ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</si>
  <si>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а/б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</si>
  <si>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АК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</si>
  <si>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НК</t>
    </r>
  </si>
  <si>
    <t>Момент от собственного веса</t>
  </si>
  <si>
    <t>Момент от асфальтобетона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</si>
  <si>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СВ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</si>
  <si>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а/б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</si>
  <si>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АК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</si>
  <si>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НК</t>
    </r>
  </si>
  <si>
    <t>т/м</t>
  </si>
  <si>
    <t>т*м</t>
  </si>
  <si>
    <t>Момент от колеса АК</t>
  </si>
  <si>
    <t>Момент от колеса НК</t>
  </si>
  <si>
    <r>
      <t>ИТОГОВЫЙ МОМЕНТ   M</t>
    </r>
    <r>
      <rPr>
        <vertAlign val="subscript"/>
        <sz val="11"/>
        <color theme="1"/>
        <rFont val="Calibri"/>
        <family val="2"/>
        <charset val="204"/>
        <scheme val="minor"/>
      </rPr>
      <t>СВ</t>
    </r>
    <r>
      <rPr>
        <sz val="11"/>
        <color theme="1"/>
        <rFont val="Calibri"/>
        <family val="2"/>
        <charset val="204"/>
        <scheme val="minor"/>
      </rPr>
      <t xml:space="preserve"> + M</t>
    </r>
    <r>
      <rPr>
        <vertAlign val="subscript"/>
        <sz val="11"/>
        <color theme="1"/>
        <rFont val="Calibri"/>
        <family val="2"/>
        <charset val="204"/>
        <scheme val="minor"/>
      </rPr>
      <t>а/б</t>
    </r>
    <r>
      <rPr>
        <sz val="11"/>
        <color theme="1"/>
        <rFont val="Calibri"/>
        <family val="2"/>
        <charset val="204"/>
        <scheme val="minor"/>
      </rPr>
      <t xml:space="preserve"> + MAX(M</t>
    </r>
    <r>
      <rPr>
        <vertAlign val="subscript"/>
        <sz val="11"/>
        <color theme="1"/>
        <rFont val="Calibri"/>
        <family val="2"/>
        <charset val="204"/>
        <scheme val="minor"/>
      </rPr>
      <t>АК</t>
    </r>
    <r>
      <rPr>
        <sz val="11"/>
        <color theme="1"/>
        <rFont val="Calibri"/>
        <family val="2"/>
        <charset val="204"/>
        <scheme val="minor"/>
      </rPr>
      <t>;M</t>
    </r>
    <r>
      <rPr>
        <vertAlign val="subscript"/>
        <sz val="11"/>
        <color theme="1"/>
        <rFont val="Calibri"/>
        <family val="2"/>
        <charset val="204"/>
        <scheme val="minor"/>
      </rPr>
      <t>НК</t>
    </r>
    <r>
      <rPr>
        <sz val="11"/>
        <color theme="1"/>
        <rFont val="Calibri"/>
        <family val="2"/>
        <charset val="204"/>
        <scheme val="minor"/>
      </rPr>
      <t>)</t>
    </r>
  </si>
  <si>
    <t>Расчёт деревоплиты пролётного строения</t>
  </si>
  <si>
    <t>Ширина следа колеса на фасаде (не участвует в расчёте)</t>
  </si>
  <si>
    <t>Максимальный прогиб плиты от распределённой нагрузки</t>
  </si>
  <si>
    <t>Предельно допустимый прогиб (не регламентирован для плиты ПЧ)</t>
  </si>
  <si>
    <t>Коэффициент надёжности по нагрузке АК</t>
  </si>
  <si>
    <t>Коэффициент надёжности по нагрузке НК</t>
  </si>
  <si>
    <t>Коэффициент надёжности по нагрузке от собственного веса</t>
  </si>
  <si>
    <t>Коэффициент надёжности по нагрузке от веса асфальтобетона</t>
  </si>
  <si>
    <t>Коэффициент динамичности по нагрузке АК</t>
  </si>
  <si>
    <t>Коэффициент динамичности по нагрузке НК</t>
  </si>
  <si>
    <r>
      <rPr>
        <sz val="11"/>
        <color theme="1"/>
        <rFont val="Times New Roman"/>
        <family val="1"/>
        <charset val="204"/>
      </rPr>
      <t>(1+μ)</t>
    </r>
    <r>
      <rPr>
        <vertAlign val="subscript"/>
        <sz val="11"/>
        <color theme="1"/>
        <rFont val="Times New Roman"/>
        <family val="1"/>
        <charset val="204"/>
      </rPr>
      <t>АК</t>
    </r>
  </si>
  <si>
    <r>
      <t>(1+μ)</t>
    </r>
    <r>
      <rPr>
        <vertAlign val="subscript"/>
        <sz val="11"/>
        <color theme="1"/>
        <rFont val="Calibri"/>
        <family val="2"/>
        <charset val="204"/>
      </rPr>
      <t>НК</t>
    </r>
  </si>
  <si>
    <t>Высота сечения плиты</t>
  </si>
  <si>
    <t>Расчётная ширина сечения плиты (ф.10.3 СП35.13330.2011)</t>
  </si>
  <si>
    <t>Момент сопротивления расчётного сечения плиты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</si>
</sst>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4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 wrapText="1"/>
    </xf>
    <xf numFmtId="165" fontId="0" fillId="3" borderId="8" xfId="0" applyNumberForma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6" fontId="0" fillId="3" borderId="3" xfId="0" applyNumberFormat="1" applyFill="1" applyBorder="1" applyAlignment="1">
      <alignment horizontal="center" vertical="center" wrapText="1"/>
    </xf>
    <xf numFmtId="166" fontId="0" fillId="3" borderId="8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</cellXfs>
  <cellStyles count="1">
    <cellStyle name="Обычный" xfId="0" builtinId="0"/>
  </cellStyles>
  <dxfs count="12">
    <dxf>
      <fill>
        <patternFill>
          <bgColor rgb="FF92D050"/>
        </patternFill>
      </fill>
    </dxf>
    <dxf>
      <font>
        <b/>
        <i val="0"/>
        <color theme="7" tint="0.39994506668294322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7" tint="0.39994506668294322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7" tint="0.39994506668294322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7" tint="0.39994506668294322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7" tint="0.39994506668294322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7" tint="0.3999450666829432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9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33</xdr:row>
      <xdr:rowOff>238125</xdr:rowOff>
    </xdr:from>
    <xdr:to>
      <xdr:col>5</xdr:col>
      <xdr:colOff>114300</xdr:colOff>
      <xdr:row>35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91105FD-D9CA-4A55-9738-EB0049E2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9448800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24</xdr:row>
      <xdr:rowOff>0</xdr:rowOff>
    </xdr:from>
    <xdr:to>
      <xdr:col>16</xdr:col>
      <xdr:colOff>276225</xdr:colOff>
      <xdr:row>33</xdr:row>
      <xdr:rowOff>19050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638283A-1B19-4F8A-A9C6-A4341636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7724775"/>
          <a:ext cx="7743825" cy="20288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27</xdr:row>
      <xdr:rowOff>180975</xdr:rowOff>
    </xdr:from>
    <xdr:to>
      <xdr:col>16</xdr:col>
      <xdr:colOff>276225</xdr:colOff>
      <xdr:row>33</xdr:row>
      <xdr:rowOff>180975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E9B6F34-6234-4407-8802-7648600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9875" y="9725025"/>
          <a:ext cx="7743825" cy="1362075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</xdr:colOff>
      <xdr:row>1</xdr:row>
      <xdr:rowOff>11461</xdr:rowOff>
    </xdr:from>
    <xdr:to>
      <xdr:col>12</xdr:col>
      <xdr:colOff>476249</xdr:colOff>
      <xdr:row>1</xdr:row>
      <xdr:rowOff>942974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53573FA-19AA-485A-84D8-C1679AACC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67224" y="211486"/>
          <a:ext cx="5495925" cy="93151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</xdr:row>
      <xdr:rowOff>2362201</xdr:rowOff>
    </xdr:from>
    <xdr:to>
      <xdr:col>7</xdr:col>
      <xdr:colOff>447676</xdr:colOff>
      <xdr:row>4</xdr:row>
      <xdr:rowOff>96174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EBCCA71-CE13-4281-9A65-090DE3F65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7026" y="2609851"/>
          <a:ext cx="2419350" cy="1172498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1</xdr:row>
      <xdr:rowOff>19050</xdr:rowOff>
    </xdr:from>
    <xdr:to>
      <xdr:col>3</xdr:col>
      <xdr:colOff>110871</xdr:colOff>
      <xdr:row>1</xdr:row>
      <xdr:rowOff>2971800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48CC303-759F-98EF-BA2B-4DA443FBD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" y="266700"/>
          <a:ext cx="5740146" cy="295275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</xdr:row>
      <xdr:rowOff>952500</xdr:rowOff>
    </xdr:from>
    <xdr:to>
      <xdr:col>12</xdr:col>
      <xdr:colOff>466726</xdr:colOff>
      <xdr:row>1</xdr:row>
      <xdr:rowOff>2349038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DC85C1B-9F83-ADB3-DC2F-A37DD3F08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77026" y="1200150"/>
          <a:ext cx="5486400" cy="1396538"/>
        </a:xfrm>
        <a:prstGeom prst="rect">
          <a:avLst/>
        </a:prstGeom>
      </xdr:spPr>
    </xdr:pic>
    <xdr:clientData/>
  </xdr:twoCellAnchor>
  <xdr:twoCellAnchor editAs="oneCell">
    <xdr:from>
      <xdr:col>0</xdr:col>
      <xdr:colOff>3848100</xdr:colOff>
      <xdr:row>5</xdr:row>
      <xdr:rowOff>28575</xdr:rowOff>
    </xdr:from>
    <xdr:to>
      <xdr:col>0</xdr:col>
      <xdr:colOff>4610100</xdr:colOff>
      <xdr:row>5</xdr:row>
      <xdr:rowOff>171450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92FEBEF-A688-DC9D-E55F-D2AC688286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" r="68992" b="9028"/>
        <a:stretch/>
      </xdr:blipFill>
      <xdr:spPr>
        <a:xfrm>
          <a:off x="3848100" y="3905250"/>
          <a:ext cx="762000" cy="14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2293948</xdr:colOff>
      <xdr:row>1</xdr:row>
      <xdr:rowOff>28575</xdr:rowOff>
    </xdr:from>
    <xdr:to>
      <xdr:col>3</xdr:col>
      <xdr:colOff>600075</xdr:colOff>
      <xdr:row>1</xdr:row>
      <xdr:rowOff>1276350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4440E4-5EF7-4634-B5E4-BD62AFA1F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3948" y="228600"/>
          <a:ext cx="2144702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28</xdr:row>
      <xdr:rowOff>0</xdr:rowOff>
    </xdr:from>
    <xdr:to>
      <xdr:col>5</xdr:col>
      <xdr:colOff>133350</xdr:colOff>
      <xdr:row>29</xdr:row>
      <xdr:rowOff>66675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140868-2518-4625-9912-B7F37F867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8334375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13</xdr:row>
      <xdr:rowOff>104775</xdr:rowOff>
    </xdr:from>
    <xdr:to>
      <xdr:col>16</xdr:col>
      <xdr:colOff>276225</xdr:colOff>
      <xdr:row>20</xdr:row>
      <xdr:rowOff>66675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531A26C-8FA8-44B8-AC93-191207EE7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7700" y="4448175"/>
          <a:ext cx="7743825" cy="20288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20</xdr:row>
      <xdr:rowOff>57150</xdr:rowOff>
    </xdr:from>
    <xdr:to>
      <xdr:col>16</xdr:col>
      <xdr:colOff>276225</xdr:colOff>
      <xdr:row>26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91DCBC4-1CC9-49B0-84D2-4A150530E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57700" y="6467475"/>
          <a:ext cx="7743825" cy="13620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28574</xdr:colOff>
      <xdr:row>1</xdr:row>
      <xdr:rowOff>20986</xdr:rowOff>
    </xdr:from>
    <xdr:to>
      <xdr:col>12</xdr:col>
      <xdr:colOff>485774</xdr:colOff>
      <xdr:row>1</xdr:row>
      <xdr:rowOff>952499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5AC94B3-4D74-4777-9A17-1EB194AFD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76749" y="221011"/>
          <a:ext cx="5495925" cy="931513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1</xdr:row>
      <xdr:rowOff>933451</xdr:rowOff>
    </xdr:from>
    <xdr:to>
      <xdr:col>7</xdr:col>
      <xdr:colOff>457201</xdr:colOff>
      <xdr:row>6</xdr:row>
      <xdr:rowOff>924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0156D9A-8AB8-49AA-9C28-37CA0EF93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76751" y="1133476"/>
          <a:ext cx="2419350" cy="1172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0025-DD99-4E99-B462-AEDBBA1D4A90}">
  <sheetPr>
    <pageSetUpPr fitToPage="1"/>
  </sheetPr>
  <dimension ref="A1:R51"/>
  <sheetViews>
    <sheetView tabSelected="1" view="pageBreakPreview" zoomScaleNormal="100" zoomScaleSheetLayoutView="100" workbookViewId="0">
      <selection activeCell="C14" sqref="C14"/>
    </sheetView>
  </sheetViews>
  <sheetFormatPr defaultRowHeight="15" x14ac:dyDescent="0.25"/>
  <cols>
    <col min="1" max="1" width="69.28515625" style="2" customWidth="1"/>
    <col min="2" max="2" width="9.140625" style="1"/>
    <col min="3" max="3" width="12.28515625" style="1" bestFit="1" customWidth="1"/>
    <col min="4" max="6" width="9.140625" style="1"/>
    <col min="7" max="7" width="11.5703125" style="1" bestFit="1" customWidth="1"/>
    <col min="8" max="16384" width="9.140625" style="1"/>
  </cols>
  <sheetData>
    <row r="1" spans="1:18" ht="19.5" thickBot="1" x14ac:dyDescent="0.3">
      <c r="A1" s="54" t="s">
        <v>78</v>
      </c>
      <c r="B1" s="54"/>
      <c r="C1" s="54"/>
      <c r="D1" s="54"/>
      <c r="F1" s="45" t="s">
        <v>41</v>
      </c>
      <c r="G1" s="45"/>
      <c r="H1" s="45"/>
    </row>
    <row r="2" spans="1:18" ht="234.75" customHeight="1" thickBot="1" x14ac:dyDescent="0.3">
      <c r="A2" s="46"/>
      <c r="B2" s="47"/>
      <c r="C2" s="47"/>
      <c r="D2" s="48"/>
    </row>
    <row r="3" spans="1:18" ht="18" x14ac:dyDescent="0.25">
      <c r="A3" s="9" t="s">
        <v>51</v>
      </c>
      <c r="B3" s="10" t="s">
        <v>52</v>
      </c>
      <c r="C3" s="10">
        <v>60</v>
      </c>
      <c r="D3" s="11" t="s">
        <v>1</v>
      </c>
    </row>
    <row r="4" spans="1:18" ht="18" x14ac:dyDescent="0.25">
      <c r="A4" s="27" t="s">
        <v>51</v>
      </c>
      <c r="B4" s="28" t="s">
        <v>53</v>
      </c>
      <c r="C4" s="28">
        <v>120</v>
      </c>
      <c r="D4" s="30" t="s">
        <v>1</v>
      </c>
    </row>
    <row r="5" spans="1:18" x14ac:dyDescent="0.25">
      <c r="A5" s="4" t="s">
        <v>90</v>
      </c>
      <c r="B5" s="3" t="s">
        <v>9</v>
      </c>
      <c r="C5" s="13">
        <v>190</v>
      </c>
      <c r="D5" s="5" t="s">
        <v>1</v>
      </c>
    </row>
    <row r="6" spans="1:18" x14ac:dyDescent="0.25">
      <c r="A6" s="27" t="s">
        <v>91</v>
      </c>
      <c r="B6" s="28" t="s">
        <v>8</v>
      </c>
      <c r="C6" s="29">
        <f>C5+2*C3+4*50</f>
        <v>510</v>
      </c>
      <c r="D6" s="30" t="s">
        <v>1</v>
      </c>
    </row>
    <row r="7" spans="1:18" ht="18.75" x14ac:dyDescent="0.25">
      <c r="A7" s="27" t="s">
        <v>79</v>
      </c>
      <c r="B7" s="28" t="s">
        <v>60</v>
      </c>
      <c r="C7" s="29">
        <v>200</v>
      </c>
      <c r="D7" s="30" t="s">
        <v>1</v>
      </c>
    </row>
    <row r="8" spans="1:18" ht="18.75" x14ac:dyDescent="0.25">
      <c r="A8" s="27" t="s">
        <v>54</v>
      </c>
      <c r="B8" s="28" t="s">
        <v>56</v>
      </c>
      <c r="C8" s="29">
        <v>600</v>
      </c>
      <c r="D8" s="30" t="s">
        <v>1</v>
      </c>
    </row>
    <row r="9" spans="1:18" ht="18.75" x14ac:dyDescent="0.25">
      <c r="A9" s="27" t="s">
        <v>55</v>
      </c>
      <c r="B9" s="28" t="s">
        <v>57</v>
      </c>
      <c r="C9" s="29">
        <v>800</v>
      </c>
      <c r="D9" s="30" t="s">
        <v>1</v>
      </c>
    </row>
    <row r="10" spans="1:18" ht="18" x14ac:dyDescent="0.25">
      <c r="A10" s="4" t="s">
        <v>48</v>
      </c>
      <c r="B10" s="3" t="s">
        <v>58</v>
      </c>
      <c r="C10" s="13">
        <f>C8+2*C3</f>
        <v>720</v>
      </c>
      <c r="D10" s="5" t="s">
        <v>1</v>
      </c>
    </row>
    <row r="11" spans="1:18" ht="18.75" thickBot="1" x14ac:dyDescent="0.3">
      <c r="A11" s="6" t="s">
        <v>49</v>
      </c>
      <c r="B11" s="7" t="s">
        <v>59</v>
      </c>
      <c r="C11" s="14">
        <f>C9+2*C3</f>
        <v>920</v>
      </c>
      <c r="D11" s="8" t="s">
        <v>1</v>
      </c>
    </row>
    <row r="12" spans="1:18" ht="15.75" thickBot="1" x14ac:dyDescent="0.3">
      <c r="R12"/>
    </row>
    <row r="13" spans="1:18" ht="18" x14ac:dyDescent="0.25">
      <c r="A13" s="9" t="s">
        <v>29</v>
      </c>
      <c r="B13" s="10" t="s">
        <v>30</v>
      </c>
      <c r="C13" s="12">
        <v>13.7</v>
      </c>
      <c r="D13" s="11" t="s">
        <v>31</v>
      </c>
      <c r="F13" s="1" t="s">
        <v>9</v>
      </c>
      <c r="G13" s="1">
        <v>800</v>
      </c>
      <c r="H13" s="1" t="s">
        <v>1</v>
      </c>
    </row>
    <row r="14" spans="1:18" x14ac:dyDescent="0.25">
      <c r="A14" s="4" t="s">
        <v>46</v>
      </c>
      <c r="B14" s="3" t="s">
        <v>28</v>
      </c>
      <c r="C14" s="13">
        <v>1240</v>
      </c>
      <c r="D14" s="5" t="s">
        <v>1</v>
      </c>
      <c r="F14" s="1" t="s">
        <v>42</v>
      </c>
      <c r="G14" s="1">
        <v>50</v>
      </c>
      <c r="H14" s="1" t="s">
        <v>1</v>
      </c>
    </row>
    <row r="15" spans="1:18" ht="18" x14ac:dyDescent="0.25">
      <c r="A15" s="4" t="s">
        <v>47</v>
      </c>
      <c r="B15" s="3" t="s">
        <v>63</v>
      </c>
      <c r="C15" s="33">
        <f>(C6*C5)/1000000*0.8</f>
        <v>7.7520000000000006E-2</v>
      </c>
      <c r="D15" s="5" t="s">
        <v>73</v>
      </c>
      <c r="F15" s="1" t="s">
        <v>28</v>
      </c>
      <c r="G15" s="1">
        <v>200</v>
      </c>
      <c r="H15" s="1" t="s">
        <v>1</v>
      </c>
    </row>
    <row r="16" spans="1:18" ht="18" x14ac:dyDescent="0.25">
      <c r="A16" s="4" t="s">
        <v>50</v>
      </c>
      <c r="B16" s="3" t="s">
        <v>64</v>
      </c>
      <c r="C16" s="33">
        <f>(C6*C4)/1000000*2.3</f>
        <v>0.14076</v>
      </c>
      <c r="D16" s="5" t="s">
        <v>73</v>
      </c>
      <c r="F16" s="1" t="s">
        <v>28</v>
      </c>
      <c r="G16" s="1">
        <v>200</v>
      </c>
      <c r="H16" s="1" t="s">
        <v>1</v>
      </c>
    </row>
    <row r="17" spans="1:8" ht="18" x14ac:dyDescent="0.25">
      <c r="A17" s="4" t="s">
        <v>61</v>
      </c>
      <c r="B17" s="3" t="s">
        <v>65</v>
      </c>
      <c r="C17" s="34">
        <f>5*14/9.80665/C10*1000</f>
        <v>9.9139076261743035</v>
      </c>
      <c r="D17" s="5" t="s">
        <v>73</v>
      </c>
      <c r="F17" s="1" t="s">
        <v>28</v>
      </c>
      <c r="G17" s="1">
        <v>200</v>
      </c>
      <c r="H17" s="1" t="s">
        <v>1</v>
      </c>
    </row>
    <row r="18" spans="1:8" ht="18" x14ac:dyDescent="0.25">
      <c r="A18" s="4" t="s">
        <v>62</v>
      </c>
      <c r="B18" s="3" t="s">
        <v>66</v>
      </c>
      <c r="C18" s="34">
        <f>9*14/9.80665/C11*1000</f>
        <v>13.96567856904554</v>
      </c>
      <c r="D18" s="5" t="s">
        <v>73</v>
      </c>
      <c r="F18" s="1" t="s">
        <v>28</v>
      </c>
      <c r="G18" s="1">
        <v>200</v>
      </c>
      <c r="H18" s="1" t="s">
        <v>1</v>
      </c>
    </row>
    <row r="19" spans="1:8" ht="18" x14ac:dyDescent="0.25">
      <c r="A19" s="4" t="s">
        <v>84</v>
      </c>
      <c r="B19" s="19" t="s">
        <v>36</v>
      </c>
      <c r="C19" s="13">
        <v>1.1000000000000001</v>
      </c>
      <c r="D19" s="5"/>
      <c r="F19" s="1" t="s">
        <v>8</v>
      </c>
      <c r="G19" s="1">
        <f>G11+2*G38+0.25*G12</f>
        <v>0</v>
      </c>
    </row>
    <row r="20" spans="1:8" ht="18" x14ac:dyDescent="0.25">
      <c r="A20" s="4" t="s">
        <v>85</v>
      </c>
      <c r="B20" s="19" t="s">
        <v>36</v>
      </c>
      <c r="C20" s="13">
        <v>1.1000000000000001</v>
      </c>
      <c r="D20" s="5"/>
      <c r="F20" s="1" t="s">
        <v>8</v>
      </c>
      <c r="G20" s="1">
        <f>G38+2*G12+0.25*G13</f>
        <v>200</v>
      </c>
    </row>
    <row r="21" spans="1:8" ht="18" x14ac:dyDescent="0.25">
      <c r="A21" s="4" t="s">
        <v>82</v>
      </c>
      <c r="B21" s="19" t="s">
        <v>36</v>
      </c>
      <c r="C21" s="13">
        <v>1.5</v>
      </c>
      <c r="D21" s="5"/>
      <c r="F21" s="1" t="s">
        <v>8</v>
      </c>
      <c r="G21" s="1">
        <f>G12+2*G13+0.25*G14</f>
        <v>1612.5</v>
      </c>
    </row>
    <row r="22" spans="1:8" ht="18" x14ac:dyDescent="0.25">
      <c r="A22" s="36" t="s">
        <v>83</v>
      </c>
      <c r="B22" s="38" t="s">
        <v>36</v>
      </c>
      <c r="C22" s="39">
        <v>1.1000000000000001</v>
      </c>
      <c r="D22" s="37"/>
      <c r="F22" s="1" t="s">
        <v>8</v>
      </c>
      <c r="G22" s="1">
        <f>G13+2*G14+0.25*G15</f>
        <v>950</v>
      </c>
    </row>
    <row r="23" spans="1:8" ht="16.5" x14ac:dyDescent="0.25">
      <c r="A23" s="4" t="s">
        <v>86</v>
      </c>
      <c r="B23" s="40" t="s">
        <v>88</v>
      </c>
      <c r="C23" s="13">
        <v>1.4</v>
      </c>
      <c r="D23" s="5"/>
    </row>
    <row r="24" spans="1:8" ht="18.75" thickBot="1" x14ac:dyDescent="0.3">
      <c r="A24" s="6" t="s">
        <v>87</v>
      </c>
      <c r="B24" s="20" t="s">
        <v>89</v>
      </c>
      <c r="C24" s="14">
        <v>1</v>
      </c>
      <c r="D24" s="8"/>
    </row>
    <row r="25" spans="1:8" ht="15.75" thickBot="1" x14ac:dyDescent="0.3"/>
    <row r="26" spans="1:8" ht="19.5" thickBot="1" x14ac:dyDescent="0.3">
      <c r="A26" s="41" t="s">
        <v>92</v>
      </c>
      <c r="B26" s="42" t="s">
        <v>4</v>
      </c>
      <c r="C26" s="43">
        <f>C6*C5^2/6</f>
        <v>3068500</v>
      </c>
      <c r="D26" s="44" t="s">
        <v>5</v>
      </c>
    </row>
    <row r="27" spans="1:8" ht="15.75" thickBot="1" x14ac:dyDescent="0.3"/>
    <row r="28" spans="1:8" ht="18" x14ac:dyDescent="0.25">
      <c r="A28" s="9" t="s">
        <v>67</v>
      </c>
      <c r="B28" s="10" t="s">
        <v>69</v>
      </c>
      <c r="C28" s="31">
        <f>C15*C19*(C14/1000)^2/8</f>
        <v>1.6389278400000002E-2</v>
      </c>
      <c r="D28" s="11" t="s">
        <v>74</v>
      </c>
    </row>
    <row r="29" spans="1:8" ht="18" x14ac:dyDescent="0.25">
      <c r="A29" s="4" t="s">
        <v>68</v>
      </c>
      <c r="B29" s="3" t="s">
        <v>70</v>
      </c>
      <c r="C29" s="33">
        <f>C16*C20*(C14/1000)^2/8</f>
        <v>2.9759479200000001E-2</v>
      </c>
      <c r="D29" s="5" t="s">
        <v>74</v>
      </c>
    </row>
    <row r="30" spans="1:8" ht="18" x14ac:dyDescent="0.25">
      <c r="A30" s="4" t="s">
        <v>75</v>
      </c>
      <c r="B30" s="3" t="s">
        <v>71</v>
      </c>
      <c r="C30" s="33">
        <f>C17*C21*C23*C10/1000/2*C14/1000/2-C17*C21*C23*C10/1000/2*C10/1000/4</f>
        <v>3.2977622327706193</v>
      </c>
      <c r="D30" s="5" t="s">
        <v>74</v>
      </c>
    </row>
    <row r="31" spans="1:8" ht="18.75" thickBot="1" x14ac:dyDescent="0.3">
      <c r="A31" s="6" t="s">
        <v>76</v>
      </c>
      <c r="B31" s="7" t="s">
        <v>72</v>
      </c>
      <c r="C31" s="32">
        <f>C18*C22*C24*C11/1000/2*C14/1000/2-C18*C22*C24*C11/1000/2*C11/1000/4</f>
        <v>2.7559870088154472</v>
      </c>
      <c r="D31" s="8" t="s">
        <v>74</v>
      </c>
    </row>
    <row r="32" spans="1:8" ht="18.75" thickBot="1" x14ac:dyDescent="0.3">
      <c r="A32" s="6" t="s">
        <v>77</v>
      </c>
      <c r="B32" s="7" t="s">
        <v>72</v>
      </c>
      <c r="C32" s="32">
        <f>C28+C29+MAX(C30,C31)</f>
        <v>3.3439109903706195</v>
      </c>
      <c r="D32" s="8" t="s">
        <v>74</v>
      </c>
    </row>
    <row r="33" spans="1:9" ht="15.75" thickBot="1" x14ac:dyDescent="0.3">
      <c r="C33" s="24"/>
    </row>
    <row r="34" spans="1:9" ht="21.75" customHeight="1" thickBot="1" x14ac:dyDescent="0.3">
      <c r="A34" s="51" t="s">
        <v>40</v>
      </c>
      <c r="B34" s="52"/>
      <c r="C34" s="52"/>
      <c r="D34" s="53"/>
    </row>
    <row r="35" spans="1:9" ht="17.25" x14ac:dyDescent="0.25">
      <c r="A35" s="9" t="s">
        <v>32</v>
      </c>
      <c r="B35" s="17" t="s">
        <v>34</v>
      </c>
      <c r="C35" s="16">
        <f>C32/(C26/1000000000)*C22/1000*9.80665</f>
        <v>11.755522628349304</v>
      </c>
      <c r="D35" s="11" t="s">
        <v>31</v>
      </c>
    </row>
    <row r="36" spans="1:9" ht="15.75" customHeight="1" thickBot="1" x14ac:dyDescent="0.3">
      <c r="A36" s="6"/>
      <c r="B36" s="49" t="str">
        <f>IF(C35&lt;C13,"Проходит","Не проходит")</f>
        <v>Проходит</v>
      </c>
      <c r="C36" s="49"/>
      <c r="D36" s="50"/>
    </row>
    <row r="38" spans="1:9" ht="18.75" thickBot="1" x14ac:dyDescent="0.3">
      <c r="A38" s="6" t="s">
        <v>27</v>
      </c>
      <c r="B38" s="7" t="s">
        <v>26</v>
      </c>
      <c r="C38" s="14">
        <v>12600</v>
      </c>
      <c r="D38" s="8" t="s">
        <v>31</v>
      </c>
    </row>
    <row r="39" spans="1:9" ht="19.5" thickBot="1" x14ac:dyDescent="0.3">
      <c r="A39" s="6" t="s">
        <v>81</v>
      </c>
      <c r="B39" s="20" t="s">
        <v>38</v>
      </c>
      <c r="C39" s="14"/>
      <c r="D39" s="8" t="s">
        <v>1</v>
      </c>
    </row>
    <row r="40" spans="1:9" ht="18.75" x14ac:dyDescent="0.25">
      <c r="A40" s="9" t="s">
        <v>20</v>
      </c>
      <c r="B40" s="10" t="s">
        <v>2</v>
      </c>
      <c r="C40" s="21">
        <f>C6*C5^3/12</f>
        <v>291507500</v>
      </c>
      <c r="D40" s="11" t="s">
        <v>3</v>
      </c>
      <c r="I40"/>
    </row>
    <row r="41" spans="1:9" ht="15.75" thickBot="1" x14ac:dyDescent="0.3"/>
    <row r="42" spans="1:9" ht="21.75" customHeight="1" thickBot="1" x14ac:dyDescent="0.3">
      <c r="A42" s="51" t="s">
        <v>39</v>
      </c>
      <c r="B42" s="52"/>
      <c r="C42" s="52"/>
      <c r="D42" s="53"/>
    </row>
    <row r="43" spans="1:9" ht="18.75" x14ac:dyDescent="0.25">
      <c r="A43" s="9" t="s">
        <v>80</v>
      </c>
      <c r="B43" s="10" t="s">
        <v>25</v>
      </c>
      <c r="C43" s="18">
        <f>-5*C15/1000000*C6*C14^4/384/(C38/9.80665)/C40</f>
        <v>-3.2494499965503239E-6</v>
      </c>
      <c r="D43" s="11" t="s">
        <v>1</v>
      </c>
    </row>
    <row r="44" spans="1:9" ht="15.75" customHeight="1" thickBot="1" x14ac:dyDescent="0.3">
      <c r="A44" s="6"/>
      <c r="B44" s="49" t="str">
        <f>IF(ABS(C43)&lt;C39,"Проходит","Не проходит")</f>
        <v>Не проходит</v>
      </c>
      <c r="C44" s="49"/>
      <c r="D44" s="50"/>
    </row>
    <row r="45" spans="1:9" x14ac:dyDescent="0.25">
      <c r="C45" s="15"/>
    </row>
    <row r="46" spans="1:9" x14ac:dyDescent="0.25">
      <c r="C46" s="35">
        <f>5*(C15*9.80665/1000)*($C$14/1000)^4/384/$C$38/($C$40/1000000000000)*1000</f>
        <v>6.3714705814712225E-3</v>
      </c>
      <c r="D46" s="1" t="s">
        <v>1</v>
      </c>
    </row>
    <row r="47" spans="1:9" x14ac:dyDescent="0.25">
      <c r="C47" s="35">
        <f>5*(C16*9.80665/1000)*($C$14/1000)^4/384/$C$38/($C$40/1000000000000)*1000</f>
        <v>1.1569249213724061E-2</v>
      </c>
      <c r="D47" s="1" t="s">
        <v>1</v>
      </c>
    </row>
    <row r="48" spans="1:9" x14ac:dyDescent="0.25">
      <c r="C48" s="35">
        <f>5*(C17*9.80665/1000)*($C$14/1000)^4/384/$C$38/($C$40/1000000000000)*1000</f>
        <v>0.81483708446327097</v>
      </c>
      <c r="D48" s="1" t="s">
        <v>1</v>
      </c>
    </row>
    <row r="49" spans="3:4" x14ac:dyDescent="0.25">
      <c r="C49" s="35">
        <f>5*(C18*9.80665/1000)*($C$14/1000)^4/384/$C$38/($C$40/1000000000000)*1000</f>
        <v>1.1478574581134775</v>
      </c>
      <c r="D49" s="1" t="s">
        <v>1</v>
      </c>
    </row>
    <row r="51" spans="3:4" x14ac:dyDescent="0.25">
      <c r="C51" s="35">
        <f>C46+C47+MAX(C48,C49)</f>
        <v>1.1657981779086728</v>
      </c>
      <c r="D51" s="1" t="s">
        <v>1</v>
      </c>
    </row>
  </sheetData>
  <mergeCells count="7">
    <mergeCell ref="F1:H1"/>
    <mergeCell ref="A2:D2"/>
    <mergeCell ref="B36:D36"/>
    <mergeCell ref="B44:D44"/>
    <mergeCell ref="A42:D42"/>
    <mergeCell ref="A34:D34"/>
    <mergeCell ref="A1:D1"/>
  </mergeCells>
  <phoneticPr fontId="3" type="noConversion"/>
  <conditionalFormatting sqref="B44:D44">
    <cfRule type="containsText" dxfId="11" priority="5" operator="containsText" text="Не проходит">
      <formula>NOT(ISERROR(SEARCH("Не проходит",B44)))</formula>
    </cfRule>
    <cfRule type="containsText" dxfId="10" priority="6" operator="containsText" text="Проходит">
      <formula>NOT(ISERROR(SEARCH("Проходит",B44)))</formula>
    </cfRule>
  </conditionalFormatting>
  <conditionalFormatting sqref="B36:D36">
    <cfRule type="containsText" dxfId="9" priority="3" operator="containsText" text="Не проходит">
      <formula>NOT(ISERROR(SEARCH("Не проходит",B36)))</formula>
    </cfRule>
    <cfRule type="containsText" dxfId="8" priority="4" operator="containsText" text="Проходит">
      <formula>NOT(ISERROR(SEARCH("Проходит",B36)))</formula>
    </cfRule>
  </conditionalFormatting>
  <pageMargins left="0.7" right="0.7" top="0.75" bottom="0.75" header="0.3" footer="0.3"/>
  <pageSetup paperSize="9" scale="87" orientation="portrait" r:id="rId1"/>
  <rowBreaks count="1" manualBreakCount="1">
    <brk id="38" max="3" man="1"/>
  </rowBreaks>
  <colBreaks count="1" manualBreakCount="1">
    <brk id="4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2FEA-4113-4BA7-8A5B-4552553CF06A}">
  <dimension ref="A1:R30"/>
  <sheetViews>
    <sheetView workbookViewId="0">
      <selection activeCell="B8" sqref="B8"/>
    </sheetView>
  </sheetViews>
  <sheetFormatPr defaultRowHeight="15" x14ac:dyDescent="0.25"/>
  <cols>
    <col min="1" max="1" width="36.85546875" style="2" customWidth="1"/>
    <col min="2" max="2" width="9.140625" style="1"/>
    <col min="3" max="3" width="11.5703125" style="1" bestFit="1" customWidth="1"/>
    <col min="4" max="6" width="9.140625" style="1"/>
    <col min="7" max="7" width="11.5703125" style="1" bestFit="1" customWidth="1"/>
    <col min="8" max="16384" width="9.140625" style="1"/>
  </cols>
  <sheetData>
    <row r="1" spans="1:18" ht="15.75" thickBot="1" x14ac:dyDescent="0.3">
      <c r="F1" s="45" t="s">
        <v>41</v>
      </c>
      <c r="G1" s="45"/>
      <c r="H1" s="45"/>
    </row>
    <row r="2" spans="1:18" ht="101.25" customHeight="1" thickBot="1" x14ac:dyDescent="0.3">
      <c r="A2" s="55" t="s">
        <v>0</v>
      </c>
      <c r="B2" s="56"/>
      <c r="C2" s="56"/>
      <c r="D2" s="57"/>
    </row>
    <row r="3" spans="1:18" x14ac:dyDescent="0.25">
      <c r="A3" s="9" t="s">
        <v>6</v>
      </c>
      <c r="B3" s="10" t="s">
        <v>8</v>
      </c>
      <c r="C3" s="12">
        <v>150</v>
      </c>
      <c r="D3" s="11" t="s">
        <v>1</v>
      </c>
    </row>
    <row r="4" spans="1:18" x14ac:dyDescent="0.25">
      <c r="A4" s="4" t="s">
        <v>7</v>
      </c>
      <c r="B4" s="3" t="s">
        <v>9</v>
      </c>
      <c r="C4" s="13">
        <v>50</v>
      </c>
      <c r="D4" s="5" t="s">
        <v>1</v>
      </c>
    </row>
    <row r="5" spans="1:18" ht="18.75" thickBot="1" x14ac:dyDescent="0.3">
      <c r="A5" s="6" t="s">
        <v>27</v>
      </c>
      <c r="B5" s="7" t="s">
        <v>26</v>
      </c>
      <c r="C5" s="14">
        <v>12600</v>
      </c>
      <c r="D5" s="8" t="s">
        <v>31</v>
      </c>
    </row>
    <row r="6" spans="1:18" ht="15.75" thickBot="1" x14ac:dyDescent="0.3">
      <c r="R6"/>
    </row>
    <row r="7" spans="1:18" ht="18" x14ac:dyDescent="0.25">
      <c r="A7" s="9" t="s">
        <v>29</v>
      </c>
      <c r="B7" s="10" t="s">
        <v>30</v>
      </c>
      <c r="C7" s="12">
        <v>11.8</v>
      </c>
      <c r="D7" s="11" t="s">
        <v>31</v>
      </c>
    </row>
    <row r="8" spans="1:18" x14ac:dyDescent="0.25">
      <c r="A8" s="4" t="s">
        <v>44</v>
      </c>
      <c r="B8" s="3" t="s">
        <v>28</v>
      </c>
      <c r="C8" s="13">
        <v>150</v>
      </c>
      <c r="D8" s="5" t="s">
        <v>1</v>
      </c>
      <c r="F8" s="1" t="s">
        <v>9</v>
      </c>
      <c r="G8" s="1">
        <v>800</v>
      </c>
      <c r="H8" s="1" t="s">
        <v>1</v>
      </c>
    </row>
    <row r="9" spans="1:18" x14ac:dyDescent="0.25">
      <c r="A9" s="4" t="s">
        <v>11</v>
      </c>
      <c r="B9" s="3" t="s">
        <v>12</v>
      </c>
      <c r="C9" s="13">
        <f>9*11/9.80665/0.2/0.8*C3/1000*C8/1000*1000</f>
        <v>1419.6361652552096</v>
      </c>
      <c r="D9" s="5" t="s">
        <v>13</v>
      </c>
      <c r="F9" s="1" t="s">
        <v>42</v>
      </c>
      <c r="G9" s="1">
        <v>50</v>
      </c>
      <c r="H9" s="1" t="s">
        <v>1</v>
      </c>
    </row>
    <row r="10" spans="1:18" ht="17.25" x14ac:dyDescent="0.25">
      <c r="A10" s="4" t="s">
        <v>14</v>
      </c>
      <c r="B10" s="3" t="s">
        <v>15</v>
      </c>
      <c r="C10" s="23">
        <f>9*11/0.2/0.8/9.80665*1000</f>
        <v>63094.940678009312</v>
      </c>
      <c r="D10" s="5" t="s">
        <v>16</v>
      </c>
      <c r="F10" s="1" t="s">
        <v>28</v>
      </c>
      <c r="G10" s="1">
        <v>200</v>
      </c>
      <c r="H10" s="1" t="s">
        <v>1</v>
      </c>
    </row>
    <row r="11" spans="1:18" ht="18" x14ac:dyDescent="0.25">
      <c r="A11" s="4" t="s">
        <v>45</v>
      </c>
      <c r="B11" s="19" t="s">
        <v>36</v>
      </c>
      <c r="C11" s="13">
        <v>1.1000000000000001</v>
      </c>
      <c r="D11" s="5"/>
      <c r="F11" s="1" t="s">
        <v>8</v>
      </c>
      <c r="G11" s="1">
        <f>G8+2*G9+0.25*G10</f>
        <v>950</v>
      </c>
    </row>
    <row r="12" spans="1:18" ht="19.5" thickBot="1" x14ac:dyDescent="0.3">
      <c r="A12" s="6" t="s">
        <v>37</v>
      </c>
      <c r="B12" s="20" t="s">
        <v>38</v>
      </c>
      <c r="C12" s="14">
        <v>2.5</v>
      </c>
      <c r="D12" s="8" t="s">
        <v>1</v>
      </c>
    </row>
    <row r="13" spans="1:18" ht="15.75" thickBot="1" x14ac:dyDescent="0.3"/>
    <row r="14" spans="1:18" ht="18.75" x14ac:dyDescent="0.25">
      <c r="A14" s="9" t="s">
        <v>20</v>
      </c>
      <c r="B14" s="10" t="s">
        <v>2</v>
      </c>
      <c r="C14" s="21">
        <f>C3*C4^3/12</f>
        <v>1562500</v>
      </c>
      <c r="D14" s="11" t="s">
        <v>3</v>
      </c>
      <c r="I14"/>
    </row>
    <row r="15" spans="1:18" ht="30.75" thickBot="1" x14ac:dyDescent="0.3">
      <c r="A15" s="6" t="s">
        <v>21</v>
      </c>
      <c r="B15" s="7" t="s">
        <v>4</v>
      </c>
      <c r="C15" s="22">
        <f>C3*C4^2/6</f>
        <v>62500</v>
      </c>
      <c r="D15" s="8" t="s">
        <v>5</v>
      </c>
    </row>
    <row r="16" spans="1:18" ht="15.75" thickBot="1" x14ac:dyDescent="0.3"/>
    <row r="17" spans="1:4" ht="21.75" customHeight="1" thickBot="1" x14ac:dyDescent="0.3">
      <c r="A17" s="51" t="s">
        <v>39</v>
      </c>
      <c r="B17" s="52"/>
      <c r="C17" s="52"/>
      <c r="D17" s="53"/>
    </row>
    <row r="18" spans="1:4" ht="30" x14ac:dyDescent="0.25">
      <c r="A18" s="9" t="s">
        <v>22</v>
      </c>
      <c r="B18" s="10" t="s">
        <v>23</v>
      </c>
      <c r="C18" s="18">
        <f>-C9*C8^3/48/(C5/9.80665)/C14</f>
        <v>-4.9720982142857133E-2</v>
      </c>
      <c r="D18" s="11" t="s">
        <v>1</v>
      </c>
    </row>
    <row r="19" spans="1:4" ht="15.75" thickBot="1" x14ac:dyDescent="0.3">
      <c r="A19" s="6"/>
      <c r="B19" s="49" t="str">
        <f>IF(ABS(C18)&lt;C12,"Проходит","Не проходит")</f>
        <v>Проходит</v>
      </c>
      <c r="C19" s="49"/>
      <c r="D19" s="50"/>
    </row>
    <row r="20" spans="1:4" ht="30" x14ac:dyDescent="0.25">
      <c r="A20" s="9" t="s">
        <v>24</v>
      </c>
      <c r="B20" s="10" t="s">
        <v>25</v>
      </c>
      <c r="C20" s="18">
        <f>-5*C10/1000000*C3*C8^4/384/(C5/9.80665)/C14</f>
        <v>-3.1075613839285712E-2</v>
      </c>
      <c r="D20" s="11" t="s">
        <v>1</v>
      </c>
    </row>
    <row r="21" spans="1:4" ht="15.75" customHeight="1" thickBot="1" x14ac:dyDescent="0.3">
      <c r="A21" s="6"/>
      <c r="B21" s="49" t="str">
        <f>IF(ABS(C20)&lt;C12,"Проходит","Не проходит")</f>
        <v>Проходит</v>
      </c>
      <c r="C21" s="49"/>
      <c r="D21" s="50"/>
    </row>
    <row r="22" spans="1:4" ht="15.75" thickBot="1" x14ac:dyDescent="0.3">
      <c r="C22" s="15"/>
    </row>
    <row r="23" spans="1:4" ht="18.75" x14ac:dyDescent="0.25">
      <c r="A23" s="9" t="s">
        <v>19</v>
      </c>
      <c r="B23" s="10" t="s">
        <v>10</v>
      </c>
      <c r="C23" s="25">
        <f>C9*C8/4</f>
        <v>53236.356197070359</v>
      </c>
      <c r="D23" s="11" t="s">
        <v>33</v>
      </c>
    </row>
    <row r="24" spans="1:4" ht="19.5" thickBot="1" x14ac:dyDescent="0.3">
      <c r="A24" s="6" t="s">
        <v>18</v>
      </c>
      <c r="B24" s="7" t="s">
        <v>17</v>
      </c>
      <c r="C24" s="26">
        <f>C10/1000000*C3*C8^2/8</f>
        <v>26618.17809853518</v>
      </c>
      <c r="D24" s="8" t="s">
        <v>33</v>
      </c>
    </row>
    <row r="25" spans="1:4" ht="15.75" thickBot="1" x14ac:dyDescent="0.3">
      <c r="C25" s="24"/>
    </row>
    <row r="26" spans="1:4" ht="21.75" customHeight="1" thickBot="1" x14ac:dyDescent="0.3">
      <c r="A26" s="51" t="s">
        <v>40</v>
      </c>
      <c r="B26" s="52"/>
      <c r="C26" s="52"/>
      <c r="D26" s="53"/>
    </row>
    <row r="27" spans="1:4" ht="30" x14ac:dyDescent="0.25">
      <c r="A27" s="9" t="s">
        <v>32</v>
      </c>
      <c r="B27" s="17" t="s">
        <v>34</v>
      </c>
      <c r="C27" s="16">
        <f>C23/C15*9.80665*C11</f>
        <v>9.1884375000000009</v>
      </c>
      <c r="D27" s="11" t="s">
        <v>31</v>
      </c>
    </row>
    <row r="28" spans="1:4" ht="15.75" customHeight="1" thickBot="1" x14ac:dyDescent="0.3">
      <c r="A28" s="6"/>
      <c r="B28" s="49" t="str">
        <f>IF(C27&lt;C7,"Проходит","Не проходит")</f>
        <v>Проходит</v>
      </c>
      <c r="C28" s="49"/>
      <c r="D28" s="50"/>
    </row>
    <row r="29" spans="1:4" ht="30" x14ac:dyDescent="0.25">
      <c r="A29" s="9" t="s">
        <v>43</v>
      </c>
      <c r="B29" s="17" t="s">
        <v>35</v>
      </c>
      <c r="C29" s="16">
        <f>C24/C15*9.80665*C11</f>
        <v>4.5942187500000005</v>
      </c>
      <c r="D29" s="11" t="s">
        <v>31</v>
      </c>
    </row>
    <row r="30" spans="1:4" ht="15.75" customHeight="1" thickBot="1" x14ac:dyDescent="0.3">
      <c r="A30" s="6"/>
      <c r="B30" s="49" t="str">
        <f>IF(C29&lt;C7,"Проходит","Не проходит")</f>
        <v>Проходит</v>
      </c>
      <c r="C30" s="49"/>
      <c r="D30" s="50"/>
    </row>
  </sheetData>
  <mergeCells count="8">
    <mergeCell ref="B28:D28"/>
    <mergeCell ref="B30:D30"/>
    <mergeCell ref="F1:H1"/>
    <mergeCell ref="A2:D2"/>
    <mergeCell ref="A17:D17"/>
    <mergeCell ref="B19:D19"/>
    <mergeCell ref="B21:D21"/>
    <mergeCell ref="A26:D26"/>
  </mergeCells>
  <conditionalFormatting sqref="B19:D19">
    <cfRule type="containsText" dxfId="7" priority="7" operator="containsText" text="Не проходит">
      <formula>NOT(ISERROR(SEARCH("Не проходит",B19)))</formula>
    </cfRule>
    <cfRule type="containsText" dxfId="6" priority="8" operator="containsText" text="Проходит">
      <formula>NOT(ISERROR(SEARCH("Проходит",B19)))</formula>
    </cfRule>
  </conditionalFormatting>
  <conditionalFormatting sqref="B21:D21">
    <cfRule type="containsText" dxfId="5" priority="5" operator="containsText" text="Не проходит">
      <formula>NOT(ISERROR(SEARCH("Не проходит",B21)))</formula>
    </cfRule>
    <cfRule type="containsText" dxfId="4" priority="6" operator="containsText" text="Проходит">
      <formula>NOT(ISERROR(SEARCH("Проходит",B21)))</formula>
    </cfRule>
  </conditionalFormatting>
  <conditionalFormatting sqref="B28:D28">
    <cfRule type="containsText" dxfId="3" priority="3" operator="containsText" text="Не проходит">
      <formula>NOT(ISERROR(SEARCH("Не проходит",B28)))</formula>
    </cfRule>
    <cfRule type="containsText" dxfId="2" priority="4" operator="containsText" text="Проходит">
      <formula>NOT(ISERROR(SEARCH("Проходит",B28)))</formula>
    </cfRule>
  </conditionalFormatting>
  <conditionalFormatting sqref="B30:D30">
    <cfRule type="containsText" dxfId="1" priority="1" operator="containsText" text="Не проходит">
      <formula>NOT(ISERROR(SEARCH("Не проходит",B30)))</formula>
    </cfRule>
    <cfRule type="containsText" dxfId="0" priority="2" operator="containsText" text="Проходит">
      <formula>NOT(ISERROR(SEARCH("Проходит",B30)))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Лист1 (2)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</dc:creator>
  <cp:lastModifiedBy>Гурин В.С.</cp:lastModifiedBy>
  <cp:lastPrinted>2022-11-18T06:04:10Z</cp:lastPrinted>
  <dcterms:created xsi:type="dcterms:W3CDTF">2021-06-23T11:01:07Z</dcterms:created>
  <dcterms:modified xsi:type="dcterms:W3CDTF">2022-11-18T06:07:50Z</dcterms:modified>
</cp:coreProperties>
</file>