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Работа_Гурин\Тверская область\Медведица\2021-10-12__Шпунт\Excel\"/>
    </mc:Choice>
  </mc:AlternateContent>
  <xr:revisionPtr revIDLastSave="0" documentId="13_ncr:1_{5D9C8AAD-D8A1-4740-AF8E-D7D4F2018C71}" xr6:coauthVersionLast="47" xr6:coauthVersionMax="47" xr10:uidLastSave="{00000000-0000-0000-0000-000000000000}"/>
  <bookViews>
    <workbookView xWindow="-25320" yWindow="270" windowWidth="25440" windowHeight="15540" activeTab="1" xr2:uid="{5AE1EE68-010F-46C7-8D3C-B27B8BAF164B}"/>
  </bookViews>
  <sheets>
    <sheet name="Лист1" sheetId="1" r:id="rId1"/>
    <sheet name="Лист1 (2)" sheetId="2" r:id="rId2"/>
    <sheet name="Ледовая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4" l="1"/>
  <c r="G5" i="4"/>
  <c r="G4" i="4"/>
  <c r="G3" i="4"/>
  <c r="B12" i="4"/>
  <c r="O62" i="2"/>
  <c r="O79" i="2" s="1"/>
  <c r="O63" i="2"/>
  <c r="O80" i="2" s="1"/>
  <c r="O64" i="2"/>
  <c r="O81" i="2" s="1"/>
  <c r="O65" i="2"/>
  <c r="O82" i="2" s="1"/>
  <c r="O66" i="2"/>
  <c r="O83" i="2" s="1"/>
  <c r="O67" i="2"/>
  <c r="O84" i="2" s="1"/>
  <c r="O68" i="2"/>
  <c r="O85" i="2" s="1"/>
  <c r="E68" i="2"/>
  <c r="E67" i="2"/>
  <c r="E66" i="2"/>
  <c r="E65" i="2"/>
  <c r="E64" i="2"/>
  <c r="E63" i="2"/>
  <c r="E62" i="2"/>
  <c r="E61" i="2"/>
  <c r="E60" i="2"/>
  <c r="D68" i="2"/>
  <c r="D67" i="2"/>
  <c r="D66" i="2"/>
  <c r="D65" i="2"/>
  <c r="D64" i="2"/>
  <c r="D63" i="2"/>
  <c r="D62" i="2"/>
  <c r="D61" i="2"/>
  <c r="D60" i="2"/>
  <c r="C67" i="2"/>
  <c r="C66" i="2"/>
  <c r="C65" i="2"/>
  <c r="C64" i="2"/>
  <c r="C63" i="2"/>
  <c r="C62" i="2"/>
  <c r="C61" i="2"/>
  <c r="C60" i="2"/>
  <c r="C59" i="2"/>
  <c r="J39" i="2"/>
  <c r="K39" i="2"/>
  <c r="L39" i="2"/>
  <c r="M39" i="2" a="1"/>
  <c r="M39" i="2" s="1"/>
  <c r="N39" i="2" a="1"/>
  <c r="N39" i="2" s="1"/>
  <c r="R39" i="2" s="1"/>
  <c r="S39" i="2" s="1"/>
  <c r="O39" i="2"/>
  <c r="P39" i="2" s="1" a="1"/>
  <c r="P39" i="2" s="1"/>
  <c r="X39" i="2" s="1"/>
  <c r="Q39" i="2" a="1"/>
  <c r="Q39" i="2" s="1"/>
  <c r="V39" i="2" s="1"/>
  <c r="W39" i="2" s="1"/>
  <c r="J40" i="2"/>
  <c r="N40" i="2" s="1" a="1"/>
  <c r="N40" i="2" s="1"/>
  <c r="R40" i="2" s="1"/>
  <c r="S40" i="2" s="1"/>
  <c r="K40" i="2"/>
  <c r="L40" i="2"/>
  <c r="M40" i="2" a="1"/>
  <c r="M40" i="2" s="1"/>
  <c r="P59" i="2" s="1"/>
  <c r="O40" i="2"/>
  <c r="P40" i="2" a="1"/>
  <c r="P40" i="2" s="1"/>
  <c r="Q40" i="2" a="1"/>
  <c r="Q40" i="2" s="1"/>
  <c r="V40" i="2" s="1"/>
  <c r="W40" i="2" s="1"/>
  <c r="J41" i="2"/>
  <c r="M41" i="2" s="1" a="1"/>
  <c r="M41" i="2" s="1"/>
  <c r="P61" i="2" s="1"/>
  <c r="K41" i="2"/>
  <c r="P41" i="2" s="1" a="1"/>
  <c r="P41" i="2" s="1"/>
  <c r="Q61" i="2" s="1"/>
  <c r="L41" i="2"/>
  <c r="O41" i="2"/>
  <c r="J42" i="2"/>
  <c r="K42" i="2"/>
  <c r="L42" i="2"/>
  <c r="M42" i="2" a="1"/>
  <c r="M42" i="2" s="1"/>
  <c r="P63" i="2" s="1"/>
  <c r="P80" i="2" s="1"/>
  <c r="N42" i="2" a="1"/>
  <c r="N42" i="2" s="1"/>
  <c r="R42" i="2" s="1"/>
  <c r="S42" i="2" s="1"/>
  <c r="O42" i="2"/>
  <c r="P42" i="2" a="1"/>
  <c r="P42" i="2" s="1"/>
  <c r="Q63" i="2" s="1"/>
  <c r="Q80" i="2" s="1"/>
  <c r="Q42" i="2" a="1"/>
  <c r="Q42" i="2" s="1"/>
  <c r="V42" i="2" s="1"/>
  <c r="W42" i="2" s="1"/>
  <c r="J43" i="2"/>
  <c r="N43" i="2" s="1" a="1"/>
  <c r="N43" i="2" s="1"/>
  <c r="R43" i="2" s="1"/>
  <c r="S43" i="2" s="1"/>
  <c r="K43" i="2"/>
  <c r="L43" i="2"/>
  <c r="M43" i="2" a="1"/>
  <c r="M43" i="2" s="1"/>
  <c r="P65" i="2" s="1"/>
  <c r="P82" i="2" s="1"/>
  <c r="O43" i="2"/>
  <c r="P43" i="2" a="1"/>
  <c r="P43" i="2" s="1"/>
  <c r="Q65" i="2" s="1"/>
  <c r="Q82" i="2" s="1"/>
  <c r="Q43" i="2" a="1"/>
  <c r="Q43" i="2" s="1"/>
  <c r="V43" i="2" s="1"/>
  <c r="W43" i="2" s="1"/>
  <c r="J44" i="2"/>
  <c r="M44" i="2" s="1" a="1"/>
  <c r="M44" i="2" s="1"/>
  <c r="P67" i="2" s="1"/>
  <c r="P84" i="2" s="1"/>
  <c r="K44" i="2"/>
  <c r="P44" i="2" s="1" a="1"/>
  <c r="P44" i="2" s="1"/>
  <c r="Q67" i="2" s="1"/>
  <c r="Q84" i="2" s="1"/>
  <c r="L44" i="2"/>
  <c r="O44" i="2"/>
  <c r="J48" i="2"/>
  <c r="M48" i="2" s="1" a="1"/>
  <c r="M48" i="2" s="1"/>
  <c r="T48" i="2" s="1"/>
  <c r="K48" i="2"/>
  <c r="L48" i="2"/>
  <c r="N48" i="2" a="1"/>
  <c r="N48" i="2" s="1"/>
  <c r="R48" i="2" s="1"/>
  <c r="S48" i="2" s="1"/>
  <c r="U48" i="2" s="1"/>
  <c r="O48" i="2"/>
  <c r="P48" i="2" a="1"/>
  <c r="P48" i="2" s="1"/>
  <c r="X48" i="2" s="1"/>
  <c r="Q48" i="2" a="1"/>
  <c r="Q48" i="2"/>
  <c r="V48" i="2" s="1"/>
  <c r="W48" i="2" s="1"/>
  <c r="Y48" i="2" s="1"/>
  <c r="J49" i="2"/>
  <c r="N49" i="2" s="1" a="1"/>
  <c r="N49" i="2" s="1"/>
  <c r="R49" i="2" s="1"/>
  <c r="S49" i="2" s="1"/>
  <c r="U49" i="2" s="1"/>
  <c r="K49" i="2"/>
  <c r="L49" i="2"/>
  <c r="M49" i="2" a="1"/>
  <c r="M49" i="2" s="1"/>
  <c r="T49" i="2" s="1"/>
  <c r="O49" i="2"/>
  <c r="P49" i="2" s="1" a="1"/>
  <c r="P49" i="2" s="1"/>
  <c r="X49" i="2" s="1"/>
  <c r="Q49" i="2" a="1"/>
  <c r="Q49" i="2" s="1"/>
  <c r="V49" i="2" s="1"/>
  <c r="W49" i="2" s="1"/>
  <c r="J50" i="2"/>
  <c r="M50" i="2" s="1" a="1"/>
  <c r="M50" i="2" s="1"/>
  <c r="K50" i="2"/>
  <c r="Q50" i="2" s="1" a="1"/>
  <c r="Q50" i="2" s="1"/>
  <c r="V50" i="2" s="1"/>
  <c r="W50" i="2" s="1"/>
  <c r="L50" i="2"/>
  <c r="O50" i="2"/>
  <c r="P50" i="2" a="1"/>
  <c r="P50" i="2" s="1"/>
  <c r="J51" i="2"/>
  <c r="M51" i="2" s="1" a="1"/>
  <c r="M51" i="2" s="1"/>
  <c r="K51" i="2"/>
  <c r="L51" i="2"/>
  <c r="O51" i="2"/>
  <c r="P51" i="2" a="1"/>
  <c r="P51" i="2" s="1"/>
  <c r="X51" i="2" s="1"/>
  <c r="Q51" i="2" a="1"/>
  <c r="Q51" i="2" s="1"/>
  <c r="J52" i="2"/>
  <c r="N52" i="2" s="1" a="1"/>
  <c r="N52" i="2" s="1"/>
  <c r="R52" i="2" s="1"/>
  <c r="S52" i="2" s="1"/>
  <c r="K52" i="2"/>
  <c r="L52" i="2"/>
  <c r="M52" i="2" a="1"/>
  <c r="M52" i="2" s="1"/>
  <c r="O52" i="2"/>
  <c r="P52" i="2" s="1" a="1"/>
  <c r="P52" i="2" s="1"/>
  <c r="X52" i="2" s="1"/>
  <c r="Q52" i="2" a="1"/>
  <c r="Q52" i="2" s="1"/>
  <c r="J53" i="2"/>
  <c r="M53" i="2" s="1" a="1"/>
  <c r="M53" i="2" s="1"/>
  <c r="K53" i="2"/>
  <c r="L53" i="2"/>
  <c r="O53" i="2"/>
  <c r="Q53" i="2" s="1" a="1"/>
  <c r="Q53" i="2" s="1"/>
  <c r="V53" i="2" s="1"/>
  <c r="W53" i="2" s="1"/>
  <c r="P53" i="2" a="1"/>
  <c r="P53" i="2" s="1"/>
  <c r="W47" i="2"/>
  <c r="S47" i="2"/>
  <c r="W38" i="2"/>
  <c r="C43" i="2"/>
  <c r="F8" i="4" a="1"/>
  <c r="B8" i="4" a="1"/>
  <c r="B8" i="4" s="1"/>
  <c r="P66" i="2" l="1"/>
  <c r="P83" i="2" s="1"/>
  <c r="Q66" i="2"/>
  <c r="Q83" i="2" s="1"/>
  <c r="Q64" i="2"/>
  <c r="Q81" i="2" s="1"/>
  <c r="P64" i="2"/>
  <c r="P81" i="2" s="1"/>
  <c r="Q60" i="2"/>
  <c r="P60" i="2"/>
  <c r="F8" i="4"/>
  <c r="X43" i="2"/>
  <c r="Y43" i="2" s="1"/>
  <c r="T43" i="2"/>
  <c r="U43" i="2" s="1"/>
  <c r="Y39" i="2"/>
  <c r="X42" i="2"/>
  <c r="Y42" i="2" s="1"/>
  <c r="T39" i="2"/>
  <c r="U39" i="2" s="1"/>
  <c r="X40" i="2"/>
  <c r="Y40" i="2" s="1"/>
  <c r="T42" i="2"/>
  <c r="U42" i="2" s="1"/>
  <c r="T40" i="2"/>
  <c r="U40" i="2" s="1"/>
  <c r="N44" i="2" a="1"/>
  <c r="N44" i="2" s="1"/>
  <c r="N41" i="2" a="1"/>
  <c r="N41" i="2" s="1"/>
  <c r="Q44" i="2" a="1"/>
  <c r="Q44" i="2" s="1"/>
  <c r="Q41" i="2" a="1"/>
  <c r="Q41" i="2" s="1"/>
  <c r="V52" i="2"/>
  <c r="W52" i="2" s="1"/>
  <c r="Y52" i="2" s="1"/>
  <c r="X50" i="2"/>
  <c r="T52" i="2"/>
  <c r="Y50" i="2"/>
  <c r="X53" i="2"/>
  <c r="Y53" i="2" s="1"/>
  <c r="U52" i="2"/>
  <c r="Y49" i="2"/>
  <c r="V51" i="2"/>
  <c r="W51" i="2" s="1"/>
  <c r="Y51" i="2" s="1"/>
  <c r="N53" i="2" a="1"/>
  <c r="N53" i="2" s="1"/>
  <c r="R53" i="2" s="1"/>
  <c r="S53" i="2" s="1"/>
  <c r="N50" i="2" a="1"/>
  <c r="N50" i="2" s="1"/>
  <c r="R50" i="2" s="1"/>
  <c r="S50" i="2" s="1"/>
  <c r="N51" i="2" a="1"/>
  <c r="N51" i="2" s="1"/>
  <c r="R51" i="2" s="1"/>
  <c r="S51" i="2" s="1"/>
  <c r="O60" i="2"/>
  <c r="O77" i="2" s="1"/>
  <c r="O59" i="2"/>
  <c r="O76" i="2" s="1"/>
  <c r="C58" i="2"/>
  <c r="C57" i="2"/>
  <c r="C55" i="2"/>
  <c r="C40" i="2"/>
  <c r="D59" i="2"/>
  <c r="V44" i="2" l="1"/>
  <c r="W44" i="2" s="1"/>
  <c r="Q68" i="2"/>
  <c r="Q85" i="2" s="1"/>
  <c r="R44" i="2"/>
  <c r="S44" i="2" s="1"/>
  <c r="P68" i="2"/>
  <c r="P85" i="2" s="1"/>
  <c r="V41" i="2"/>
  <c r="W41" i="2" s="1"/>
  <c r="Q62" i="2"/>
  <c r="R41" i="2"/>
  <c r="S41" i="2" s="1"/>
  <c r="P62" i="2"/>
  <c r="P79" i="2" s="1"/>
  <c r="T44" i="2"/>
  <c r="X41" i="2"/>
  <c r="Y41" i="2" s="1"/>
  <c r="T41" i="2"/>
  <c r="U41" i="2" s="1"/>
  <c r="X44" i="2"/>
  <c r="Y44" i="2" s="1"/>
  <c r="T50" i="2"/>
  <c r="T51" i="2"/>
  <c r="U51" i="2"/>
  <c r="U50" i="2"/>
  <c r="T53" i="2"/>
  <c r="U53" i="2"/>
  <c r="E59" i="2"/>
  <c r="D6" i="3"/>
  <c r="U44" i="2" l="1"/>
  <c r="O55" i="2"/>
  <c r="O72" i="2" s="1"/>
  <c r="C56" i="2"/>
  <c r="O56" i="2" s="1"/>
  <c r="O73" i="2" s="1"/>
  <c r="O57" i="2"/>
  <c r="O74" i="2" s="1"/>
  <c r="O58" i="2"/>
  <c r="O75" i="2" s="1"/>
  <c r="O61" i="2"/>
  <c r="O78" i="2" s="1"/>
  <c r="P38" i="2" a="1"/>
  <c r="P38" i="2" s="1"/>
  <c r="Q55" i="2" s="1"/>
  <c r="C44" i="2"/>
  <c r="C42" i="2"/>
  <c r="C41" i="2"/>
  <c r="C39" i="2"/>
  <c r="C38" i="2"/>
  <c r="Q59" i="2" l="1"/>
  <c r="Q76" i="2" s="1"/>
  <c r="Q77" i="2"/>
  <c r="P77" i="2"/>
  <c r="P76" i="2"/>
  <c r="K47" i="2"/>
  <c r="O38" i="2"/>
  <c r="L38" i="2"/>
  <c r="K38" i="2"/>
  <c r="J38" i="2"/>
  <c r="P47" i="2" a="1"/>
  <c r="P47" i="2" s="1"/>
  <c r="O47" i="2"/>
  <c r="L47" i="2"/>
  <c r="Q38" i="2" l="1" a="1"/>
  <c r="Q38" i="2" s="1"/>
  <c r="Q56" i="2" s="1"/>
  <c r="N38" i="2" a="1"/>
  <c r="N38" i="2" s="1"/>
  <c r="P56" i="2" s="1"/>
  <c r="M38" i="2" a="1"/>
  <c r="M38" i="2" s="1"/>
  <c r="P55" i="2" s="1"/>
  <c r="J47" i="2"/>
  <c r="M47" i="2" s="1" a="1"/>
  <c r="M47" i="2" s="1"/>
  <c r="Q47" i="2" a="1"/>
  <c r="Q47" i="2" s="1"/>
  <c r="E56" i="2" s="1"/>
  <c r="E55" i="2"/>
  <c r="Q72" i="2" s="1"/>
  <c r="C46" i="1"/>
  <c r="D55" i="2" l="1"/>
  <c r="P72" i="2" s="1"/>
  <c r="P57" i="2"/>
  <c r="P58" i="2"/>
  <c r="V38" i="2"/>
  <c r="E57" i="2"/>
  <c r="E58" i="2"/>
  <c r="D58" i="2"/>
  <c r="D57" i="2"/>
  <c r="Q58" i="2"/>
  <c r="Q57" i="2"/>
  <c r="R38" i="2"/>
  <c r="S38" i="2" s="1"/>
  <c r="Q73" i="2"/>
  <c r="V47" i="2"/>
  <c r="T38" i="2"/>
  <c r="N47" i="2" a="1"/>
  <c r="N47" i="2" s="1"/>
  <c r="D56" i="2" s="1"/>
  <c r="X38" i="2"/>
  <c r="X47" i="2"/>
  <c r="J39" i="1"/>
  <c r="K39" i="1"/>
  <c r="O39" i="1" s="1"/>
  <c r="P39" i="1" s="1" a="1"/>
  <c r="P39" i="1" s="1"/>
  <c r="L39" i="1"/>
  <c r="M39" i="1" s="1" a="1"/>
  <c r="M39" i="1" s="1"/>
  <c r="J40" i="1"/>
  <c r="K40" i="1"/>
  <c r="O40" i="1"/>
  <c r="P40" i="1" s="1" a="1"/>
  <c r="P40" i="1" s="1"/>
  <c r="J41" i="1"/>
  <c r="K41" i="1"/>
  <c r="L41" i="1"/>
  <c r="M41" i="1" s="1" a="1"/>
  <c r="M41" i="1" s="1"/>
  <c r="O41" i="1"/>
  <c r="P41" i="1" s="1" a="1"/>
  <c r="P41" i="1" s="1"/>
  <c r="J42" i="1"/>
  <c r="M42" i="1" s="1" a="1"/>
  <c r="M42" i="1" s="1"/>
  <c r="K42" i="1"/>
  <c r="L42" i="1"/>
  <c r="O42" i="1"/>
  <c r="P42" i="1" a="1"/>
  <c r="P42" i="1" s="1"/>
  <c r="Q42" i="1" a="1"/>
  <c r="Q42" i="1" s="1"/>
  <c r="V42" i="1" s="1"/>
  <c r="T42" i="1"/>
  <c r="X42" i="1"/>
  <c r="P38" i="1" a="1"/>
  <c r="P38" i="1" s="1"/>
  <c r="O38" i="1"/>
  <c r="L38" i="1"/>
  <c r="K38" i="1"/>
  <c r="J38" i="1"/>
  <c r="P78" i="2" l="1"/>
  <c r="Y38" i="2"/>
  <c r="Q78" i="2"/>
  <c r="P75" i="2"/>
  <c r="P74" i="2"/>
  <c r="Q74" i="2"/>
  <c r="R47" i="2"/>
  <c r="P73" i="2"/>
  <c r="Q75" i="2"/>
  <c r="Q79" i="2"/>
  <c r="U38" i="2"/>
  <c r="T47" i="2"/>
  <c r="Y47" i="2"/>
  <c r="N41" i="1" a="1"/>
  <c r="N41" i="1" s="1"/>
  <c r="R41" i="1" s="1"/>
  <c r="S41" i="1" s="1"/>
  <c r="L40" i="1"/>
  <c r="M40" i="1" s="1" a="1"/>
  <c r="M40" i="1" s="1"/>
  <c r="Q39" i="1" a="1"/>
  <c r="Q39" i="1" s="1"/>
  <c r="V39" i="1" s="1"/>
  <c r="W39" i="1" s="1"/>
  <c r="Q40" i="1" a="1"/>
  <c r="Q40" i="1" s="1"/>
  <c r="V40" i="1" s="1"/>
  <c r="W40" i="1" s="1"/>
  <c r="Q38" i="1" a="1"/>
  <c r="Q38" i="1" s="1"/>
  <c r="V38" i="1" s="1"/>
  <c r="W38" i="1" s="1"/>
  <c r="M38" i="1" a="1"/>
  <c r="M38" i="1" s="1"/>
  <c r="W42" i="1"/>
  <c r="Y42" i="1" s="1"/>
  <c r="N42" i="1" a="1"/>
  <c r="N42" i="1" s="1"/>
  <c r="N39" i="1" a="1"/>
  <c r="N39" i="1" s="1"/>
  <c r="Q41" i="1" a="1"/>
  <c r="Q41" i="1" s="1"/>
  <c r="X41" i="1" s="1"/>
  <c r="N38" i="1" a="1"/>
  <c r="N38" i="1" s="1"/>
  <c r="U47" i="2" l="1"/>
  <c r="X38" i="1"/>
  <c r="Y38" i="1" s="1"/>
  <c r="N40" i="1" a="1"/>
  <c r="N40" i="1" s="1"/>
  <c r="R40" i="1" s="1"/>
  <c r="S40" i="1" s="1"/>
  <c r="R38" i="1"/>
  <c r="S38" i="1" s="1"/>
  <c r="T41" i="1"/>
  <c r="U41" i="1" s="1"/>
  <c r="X40" i="1"/>
  <c r="Y40" i="1" s="1"/>
  <c r="T39" i="1"/>
  <c r="R39" i="1"/>
  <c r="S39" i="1" s="1"/>
  <c r="X39" i="1"/>
  <c r="Y39" i="1" s="1"/>
  <c r="R42" i="1"/>
  <c r="S42" i="1" s="1"/>
  <c r="U42" i="1" s="1"/>
  <c r="V41" i="1"/>
  <c r="W41" i="1" s="1"/>
  <c r="Y41" i="1" s="1"/>
  <c r="T38" i="1"/>
  <c r="H35" i="2" l="1"/>
  <c r="C35" i="2"/>
  <c r="T40" i="1"/>
  <c r="U40" i="1" s="1"/>
  <c r="U39" i="1"/>
  <c r="U38" i="1"/>
  <c r="L51" i="1"/>
  <c r="L50" i="1"/>
  <c r="L49" i="1"/>
  <c r="L48" i="1"/>
  <c r="L47" i="1"/>
  <c r="L46" i="1"/>
  <c r="L45" i="1"/>
  <c r="L44" i="1"/>
  <c r="E35" i="2" l="1"/>
  <c r="E34" i="2"/>
  <c r="M44" i="1"/>
  <c r="M46" i="1"/>
  <c r="M48" i="1"/>
  <c r="N48" i="1"/>
  <c r="N45" i="1"/>
  <c r="N44" i="1"/>
  <c r="N46" i="1"/>
  <c r="N49" i="1" l="1"/>
  <c r="M49" i="1"/>
  <c r="M45" i="1"/>
  <c r="M51" i="1"/>
  <c r="M47" i="1"/>
  <c r="N47" i="1"/>
  <c r="M50" i="1"/>
  <c r="N51" i="1"/>
  <c r="N50" i="1"/>
  <c r="H35" i="1" l="1"/>
  <c r="C35" i="1"/>
  <c r="E35" i="1" l="1"/>
  <c r="E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PSC</author>
    <author>Валерий Гурин</author>
  </authors>
  <commentList>
    <comment ref="H37" authorId="0" shapeId="0" xr:uid="{F3B00007-8F8D-41A9-A539-809B770B7DDD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активное давление (грунт давит на стенку)</t>
        </r>
      </text>
    </comment>
    <comment ref="I37" authorId="0" shapeId="0" xr:uid="{1290E956-89E8-4DE6-91BA-CFC9C40B138E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пассивное давление (грунт подпирает стенку)</t>
        </r>
      </text>
    </comment>
    <comment ref="F38" authorId="1" shapeId="0" xr:uid="{967DE135-6F6D-4B23-8F9A-C362E6B00B02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39" authorId="1" shapeId="0" xr:uid="{FE7FAB8E-D068-4C28-98B7-3E03E4D47DFA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PSC</author>
    <author>Валерий Гурин</author>
  </authors>
  <commentList>
    <comment ref="H37" authorId="0" shapeId="0" xr:uid="{0DC4BCF5-B4D6-490E-8B91-16B6D30BE691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активное давление (грунт давит на стенку)</t>
        </r>
      </text>
    </comment>
    <comment ref="I37" authorId="0" shapeId="0" xr:uid="{89F4F4DF-37A3-4271-8262-F23FAED9CC38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пассивное давление (грунт подпирает стенку)</t>
        </r>
      </text>
    </comment>
    <comment ref="F38" authorId="1" shapeId="0" xr:uid="{F29BDB55-E835-450C-8025-25871903F998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39" authorId="1" shapeId="0" xr:uid="{0DED8BF6-3645-4FBB-A924-B6A6D5DB7E5D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0" authorId="1" shapeId="0" xr:uid="{12B92A36-1E5B-4770-BCBA-AE531E67F4A4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1" authorId="1" shapeId="0" xr:uid="{3B12F4D4-FEF3-41C4-B123-5FD3744A9CB2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2" authorId="1" shapeId="0" xr:uid="{27AB39B8-8FF2-45D6-81C2-BA319C3D52DF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3" authorId="1" shapeId="0" xr:uid="{F23BABFC-B582-4C71-8537-B10CAC956FF5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4" authorId="1" shapeId="0" xr:uid="{3DD1418C-CD66-49A9-A70F-3459ABC8006A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H46" authorId="0" shapeId="0" xr:uid="{77CC305D-AC71-43C8-A6BB-C0AC88104EC6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активное давление (грунт давит на стенку)</t>
        </r>
      </text>
    </comment>
    <comment ref="I46" authorId="0" shapeId="0" xr:uid="{B7F6044B-BEFC-477B-8226-C2F910C8DF79}">
      <text>
        <r>
          <rPr>
            <b/>
            <sz val="9"/>
            <color indexed="81"/>
            <rFont val="Tahoma"/>
            <family val="2"/>
            <charset val="204"/>
          </rPr>
          <t>PSC:</t>
        </r>
        <r>
          <rPr>
            <sz val="9"/>
            <color indexed="81"/>
            <rFont val="Tahoma"/>
            <family val="2"/>
            <charset val="204"/>
          </rPr>
          <t xml:space="preserve">
"+" - от грунта передаётся пассивное давление (грунт подпирает стенку)</t>
        </r>
      </text>
    </comment>
    <comment ref="F47" authorId="1" shapeId="0" xr:uid="{13209EB4-6E05-4CDD-8359-5C6180AA7993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8" authorId="1" shapeId="0" xr:uid="{85DF5F78-820A-4972-9F5D-F4CEE443784D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49" authorId="1" shapeId="0" xr:uid="{C8C8A9D9-E95F-4FA3-BBFD-229FE456454A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50" authorId="1" shapeId="0" xr:uid="{2BC532A4-3CEB-4902-9A1F-42170CBEA3A3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51" authorId="1" shapeId="0" xr:uid="{088DAC49-761B-459C-B043-DB3ABDE92AA4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52" authorId="1" shapeId="0" xr:uid="{DA044624-1A94-47CB-9A99-90ED246EFD8F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  <comment ref="F53" authorId="1" shapeId="0" xr:uid="{FE3A9591-A464-47BF-82E4-289D00FBA35A}">
      <text>
        <r>
          <rPr>
            <b/>
            <sz val="9"/>
            <color indexed="81"/>
            <rFont val="Tahoma"/>
            <family val="2"/>
            <charset val="204"/>
          </rPr>
          <t>Валерий Гурин:</t>
        </r>
        <r>
          <rPr>
            <sz val="9"/>
            <color indexed="81"/>
            <rFont val="Tahoma"/>
            <family val="2"/>
            <charset val="204"/>
          </rPr>
          <t xml:space="preserve">
0.02кгс/см2</t>
        </r>
      </text>
    </comment>
  </commentList>
</comments>
</file>

<file path=xl/sharedStrings.xml><?xml version="1.0" encoding="utf-8"?>
<sst xmlns="http://schemas.openxmlformats.org/spreadsheetml/2006/main" count="359" uniqueCount="98">
  <si>
    <r>
      <t>λ</t>
    </r>
    <r>
      <rPr>
        <vertAlign val="subscript"/>
        <sz val="11"/>
        <color theme="1"/>
        <rFont val="Calibri"/>
        <family val="2"/>
        <charset val="204"/>
      </rPr>
      <t>а</t>
    </r>
  </si>
  <si>
    <r>
      <t>λ</t>
    </r>
    <r>
      <rPr>
        <vertAlign val="subscript"/>
        <sz val="11"/>
        <color theme="1"/>
        <rFont val="Calibri"/>
        <family val="2"/>
        <charset val="204"/>
      </rPr>
      <t>п</t>
    </r>
  </si>
  <si>
    <t>°</t>
  </si>
  <si>
    <t>α</t>
  </si>
  <si>
    <t>м</t>
  </si>
  <si>
    <r>
      <t>γ</t>
    </r>
    <r>
      <rPr>
        <vertAlign val="subscript"/>
        <sz val="11"/>
        <color theme="1"/>
        <rFont val="Calibri"/>
        <family val="2"/>
        <charset val="204"/>
      </rPr>
      <t>fa</t>
    </r>
  </si>
  <si>
    <t>Коэффициент надёжности по нагрузке для активного давления</t>
  </si>
  <si>
    <t>Коэффициент надёжности по нагрузке для пассивного давления</t>
  </si>
  <si>
    <r>
      <t>γ</t>
    </r>
    <r>
      <rPr>
        <vertAlign val="subscript"/>
        <sz val="11"/>
        <color theme="1"/>
        <rFont val="Calibri"/>
        <family val="2"/>
        <charset val="204"/>
      </rPr>
      <t>fп</t>
    </r>
  </si>
  <si>
    <t>0.8</t>
  </si>
  <si>
    <r>
      <t>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</si>
  <si>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Величина внешней нагрузки</t>
  </si>
  <si>
    <t>G</t>
  </si>
  <si>
    <t>т</t>
  </si>
  <si>
    <t>Коэффициент условий работы</t>
  </si>
  <si>
    <t>m</t>
  </si>
  <si>
    <t>Насыпной грунт</t>
  </si>
  <si>
    <t>Активный</t>
  </si>
  <si>
    <t>Пассивный</t>
  </si>
  <si>
    <t>Наименование грунта</t>
  </si>
  <si>
    <t>Слой</t>
  </si>
  <si>
    <t>+</t>
  </si>
  <si>
    <t>-</t>
  </si>
  <si>
    <t>Ширина распределения нагрузки (длина плиты)</t>
  </si>
  <si>
    <t>b</t>
  </si>
  <si>
    <t>Давление от внешней нагрузки</t>
  </si>
  <si>
    <t>q</t>
  </si>
  <si>
    <r>
      <t>т/м</t>
    </r>
    <r>
      <rPr>
        <vertAlign val="superscript"/>
        <sz val="11"/>
        <color theme="1"/>
        <rFont val="Calibri"/>
        <family val="2"/>
        <charset val="204"/>
      </rPr>
      <t>2</t>
    </r>
  </si>
  <si>
    <t>Коэффициент активного давления грунта</t>
  </si>
  <si>
    <t>Коэффициент пассивного давления грунта</t>
  </si>
  <si>
    <t>Расчёт выполнен в соответствии с СТО 136-2009 (см. п. 17 и приложение 10)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</si>
  <si>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с,а</t>
    </r>
  </si>
  <si>
    <t>Наименование</t>
  </si>
  <si>
    <t>Обозначение</t>
  </si>
  <si>
    <t>Ед. изм.</t>
  </si>
  <si>
    <t>Знач.</t>
  </si>
  <si>
    <t>см. ниже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</si>
  <si>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а</t>
    </r>
    <r>
      <rPr>
        <vertAlign val="superscript"/>
        <sz val="11"/>
        <color theme="1"/>
        <rFont val="Calibri"/>
        <family val="2"/>
        <charset val="204"/>
        <scheme val="minor"/>
      </rPr>
      <t>кр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</si>
  <si>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а</t>
    </r>
    <r>
      <rPr>
        <vertAlign val="superscript"/>
        <sz val="11"/>
        <color theme="1"/>
        <rFont val="Calibri"/>
        <family val="2"/>
        <charset val="204"/>
        <scheme val="minor"/>
      </rPr>
      <t>под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</si>
  <si>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с,п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</si>
  <si>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vertAlign val="superscript"/>
        <sz val="11"/>
        <color theme="1"/>
        <rFont val="Calibri"/>
        <family val="2"/>
        <charset val="204"/>
        <scheme val="minor"/>
      </rPr>
      <t>кр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</si>
  <si>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vertAlign val="superscript"/>
        <sz val="11"/>
        <color theme="1"/>
        <rFont val="Calibri"/>
        <family val="2"/>
        <charset val="204"/>
        <scheme val="minor"/>
      </rPr>
      <t>под</t>
    </r>
  </si>
  <si>
    <t>Активное давление грунта на уровне его кровли</t>
  </si>
  <si>
    <t>Активное давление грунта на уровне его подошвы</t>
  </si>
  <si>
    <t>Величина уменьшения активного давления глинистых грунтов за счёт сцепления грунта</t>
  </si>
  <si>
    <t>Величина уменьшения пассивного давления глинистых грунтов за счёт сцепления грунта</t>
  </si>
  <si>
    <t>Пассивное давление грунта на уровне его кровли</t>
  </si>
  <si>
    <t>Пассивное давление грунта на уровне его подошвы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</si>
  <si>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цт,a</t>
    </r>
  </si>
  <si>
    <t>γ</t>
  </si>
  <si>
    <t>h</t>
  </si>
  <si>
    <t>ϕ</t>
  </si>
  <si>
    <r>
      <t>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</si>
  <si>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Удельный вес грунта</t>
  </si>
  <si>
    <t>Толщина слоя грунта</t>
  </si>
  <si>
    <t>c</t>
  </si>
  <si>
    <t>Угол внутреннего трения грунта</t>
  </si>
  <si>
    <t>Удельное сцепление грунта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</si>
  <si>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а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</si>
  <si>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цт,a</t>
    </r>
    <r>
      <rPr>
        <vertAlign val="superscript"/>
        <sz val="11"/>
        <color theme="1"/>
        <rFont val="Calibri"/>
        <family val="2"/>
        <charset val="204"/>
        <scheme val="minor"/>
      </rPr>
      <t>O</t>
    </r>
  </si>
  <si>
    <t>Площадь эпюры (трапеции) активного давления слоя грунта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</si>
  <si>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опр.</t>
    </r>
  </si>
  <si>
    <t>Опрокидывающий момент, создаваемый слоем грунта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</si>
  <si>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цт,п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</si>
  <si>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цт,п</t>
    </r>
    <r>
      <rPr>
        <vertAlign val="superscript"/>
        <sz val="11"/>
        <color theme="1"/>
        <rFont val="Calibri"/>
        <family val="2"/>
        <charset val="204"/>
        <scheme val="minor"/>
      </rPr>
      <t>O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</si>
  <si>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п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</si>
  <si>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удерж.</t>
    </r>
  </si>
  <si>
    <t>Координата Y центра тяжести эпюры (трапеции) активного давления слоя грунта относительно подошвы слоя</t>
  </si>
  <si>
    <t>Координата Y центра тяжести эпюры (трапеции)  активного давления слоя грунта относительно точки поворота шпунтины "О"</t>
  </si>
  <si>
    <t>Координата Y центра тяжести эпюры (трапеции) пассивного давления слоя грунта относительно подошвы слоя</t>
  </si>
  <si>
    <t>Координата Y центра тяжести эпюры (трапеции)  пассивного давления слоя грунта относительно точки поворота шпунтины "О"</t>
  </si>
  <si>
    <t>Площадь эпюры (трапеции) пассивного давления слоя грунта</t>
  </si>
  <si>
    <t>Удерживающий момент, создаваемый слоем грунта</t>
  </si>
  <si>
    <r>
      <rPr>
        <b/>
        <sz val="14"/>
        <color theme="1"/>
        <rFont val="Calibri"/>
        <family val="2"/>
        <charset val="204"/>
      </rPr>
      <t>∑</t>
    </r>
    <r>
      <rPr>
        <b/>
        <sz val="14"/>
        <color theme="1"/>
        <rFont val="Calibri"/>
        <family val="2"/>
        <charset val="204"/>
        <scheme val="minor"/>
      </rPr>
      <t>M</t>
    </r>
    <r>
      <rPr>
        <b/>
        <vertAlign val="subscript"/>
        <sz val="14"/>
        <color theme="1"/>
        <rFont val="Calibri"/>
        <family val="2"/>
        <charset val="204"/>
        <scheme val="minor"/>
      </rPr>
      <t>опр.</t>
    </r>
  </si>
  <si>
    <r>
      <t>∑M</t>
    </r>
    <r>
      <rPr>
        <b/>
        <vertAlign val="subscript"/>
        <sz val="14"/>
        <color theme="1"/>
        <rFont val="Calibri"/>
        <family val="2"/>
        <charset val="204"/>
        <scheme val="minor"/>
      </rPr>
      <t>уд.</t>
    </r>
  </si>
  <si>
    <t>т*м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</si>
  <si>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</si>
  <si>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По этим значениям можно построить эпюры давлений в автокаде, вычислить равнодействующие и моменты опрокидывания и удерживания. В этой программе моменты высчитываются автоматически по формулам геометрии. В случае, если значение давления в кровле слоя меньше соответствующего значения p</t>
    </r>
    <r>
      <rPr>
        <vertAlign val="subscript"/>
        <sz val="11"/>
        <color theme="1"/>
        <rFont val="Calibri"/>
        <family val="2"/>
        <charset val="204"/>
        <scheme val="minor"/>
      </rPr>
      <t>с,а</t>
    </r>
    <r>
      <rPr>
        <sz val="11"/>
        <color theme="1"/>
        <rFont val="Calibri"/>
        <family val="2"/>
        <charset val="204"/>
        <scheme val="minor"/>
      </rPr>
      <t>, а в подошве больше, то значение в кровле зануляется, и высота эпюры не уменьшается, а остаётся равной толщине слоя, в запас.</t>
    </r>
  </si>
  <si>
    <t>Угол между плоскостью, ограничивающей поверхность слоя грунта, и горизонтальной поверхностью</t>
  </si>
  <si>
    <t>Коэффициент надёжности по назначению</t>
  </si>
  <si>
    <r>
      <t>γ</t>
    </r>
    <r>
      <rPr>
        <vertAlign val="subscript"/>
        <sz val="11"/>
        <color theme="1"/>
        <rFont val="Calibri"/>
        <family val="2"/>
        <charset val="204"/>
      </rPr>
      <t>n</t>
    </r>
  </si>
  <si>
    <t>кПа</t>
  </si>
  <si>
    <t>Суглинок полутвердый</t>
  </si>
  <si>
    <t>Глина твердая</t>
  </si>
  <si>
    <t>Вода</t>
  </si>
  <si>
    <t>Песок гравелистый</t>
  </si>
  <si>
    <t>Песок средней крупности</t>
  </si>
  <si>
    <t>Песок пылеватый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</si>
  <si>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</si>
  <si>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</si>
  <si>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t>Нормативное сопротивление льда сжатию</t>
  </si>
  <si>
    <t>Ширина сооружения по фронту действия льда</t>
  </si>
  <si>
    <t>Расчетная толщина льда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</si>
  <si>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в.р.</t>
    </r>
  </si>
  <si>
    <t>Ледовая нагрузка</t>
  </si>
  <si>
    <t>Эпюра от грунта</t>
  </si>
  <si>
    <t>Эпюра от воды</t>
  </si>
  <si>
    <t>Суммарная эпюра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</si>
</sst>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vertAlign val="subscript"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165" fontId="0" fillId="5" borderId="3" xfId="0" applyNumberForma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 wrapText="1"/>
    </xf>
    <xf numFmtId="165" fontId="0" fillId="5" borderId="5" xfId="0" applyNumberFormat="1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37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2" fontId="0" fillId="5" borderId="35" xfId="0" applyNumberFormat="1" applyFill="1" applyBorder="1" applyAlignment="1">
      <alignment horizontal="center" vertical="center" wrapText="1"/>
    </xf>
    <xf numFmtId="2" fontId="0" fillId="5" borderId="36" xfId="0" applyNumberFormat="1" applyFill="1" applyBorder="1" applyAlignment="1">
      <alignment horizontal="center" vertical="center" wrapText="1"/>
    </xf>
    <xf numFmtId="2" fontId="0" fillId="5" borderId="37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  <xf numFmtId="2" fontId="0" fillId="5" borderId="2" xfId="0" applyNumberFormat="1" applyFill="1" applyBorder="1" applyAlignment="1">
      <alignment horizontal="center" vertical="center" wrapText="1"/>
    </xf>
    <xf numFmtId="2" fontId="0" fillId="5" borderId="4" xfId="0" applyNumberFormat="1" applyFill="1" applyBorder="1" applyAlignment="1">
      <alignment horizontal="center" vertical="center" wrapText="1"/>
    </xf>
    <xf numFmtId="2" fontId="0" fillId="5" borderId="5" xfId="0" applyNumberFormat="1" applyFill="1" applyBorder="1" applyAlignment="1">
      <alignment horizontal="center" vertical="center" wrapText="1"/>
    </xf>
    <xf numFmtId="2" fontId="0" fillId="5" borderId="6" xfId="0" applyNumberFormat="1" applyFill="1" applyBorder="1" applyAlignment="1">
      <alignment horizontal="center" vertical="center" wrapText="1"/>
    </xf>
    <xf numFmtId="2" fontId="0" fillId="5" borderId="7" xfId="0" applyNumberFormat="1" applyFill="1" applyBorder="1" applyAlignment="1">
      <alignment horizontal="center" vertical="center" wrapText="1"/>
    </xf>
    <xf numFmtId="2" fontId="0" fillId="2" borderId="37" xfId="0" applyNumberFormat="1" applyFill="1" applyBorder="1" applyAlignment="1">
      <alignment horizontal="center" vertical="center" wrapText="1"/>
    </xf>
    <xf numFmtId="2" fontId="0" fillId="2" borderId="4" xfId="0" applyNumberFormat="1" applyFill="1" applyBorder="1" applyAlignment="1">
      <alignment horizontal="center" vertical="center" wrapText="1"/>
    </xf>
    <xf numFmtId="2" fontId="0" fillId="2" borderId="7" xfId="0" applyNumberFormat="1" applyFill="1" applyBorder="1" applyAlignment="1">
      <alignment horizontal="center" vertical="center" wrapText="1"/>
    </xf>
    <xf numFmtId="2" fontId="0" fillId="3" borderId="37" xfId="0" applyNumberFormat="1" applyFill="1" applyBorder="1" applyAlignment="1">
      <alignment horizontal="center" vertical="center" wrapText="1"/>
    </xf>
    <xf numFmtId="2" fontId="0" fillId="3" borderId="4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164" fontId="0" fillId="5" borderId="15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165" fontId="1" fillId="0" borderId="46" xfId="0" applyNumberFormat="1" applyFont="1" applyBorder="1" applyAlignment="1">
      <alignment horizontal="center" vertical="center" wrapText="1"/>
    </xf>
    <xf numFmtId="165" fontId="1" fillId="0" borderId="47" xfId="0" applyNumberFormat="1" applyFont="1" applyBorder="1" applyAlignment="1">
      <alignment horizontal="center" vertical="center" wrapText="1"/>
    </xf>
    <xf numFmtId="165" fontId="0" fillId="5" borderId="35" xfId="0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165" fontId="0" fillId="5" borderId="37" xfId="0" applyNumberForma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6" borderId="35" xfId="0" applyFill="1" applyBorder="1" applyAlignment="1">
      <alignment horizontal="left" vertical="center" wrapText="1"/>
    </xf>
    <xf numFmtId="0" fontId="0" fillId="6" borderId="3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6" borderId="42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center" vertical="center" wrapText="1"/>
    </xf>
    <xf numFmtId="164" fontId="8" fillId="0" borderId="40" xfId="0" applyNumberFormat="1" applyFont="1" applyFill="1" applyBorder="1" applyAlignment="1">
      <alignment horizontal="center" vertical="center" wrapText="1"/>
    </xf>
    <xf numFmtId="164" fontId="8" fillId="0" borderId="41" xfId="0" applyNumberFormat="1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0" fillId="6" borderId="35" xfId="0" applyFont="1" applyFill="1" applyBorder="1" applyAlignment="1">
      <alignment horizontal="left" vertical="center" wrapText="1"/>
    </xf>
    <xf numFmtId="0" fontId="0" fillId="6" borderId="36" xfId="0" applyFont="1" applyFill="1" applyBorder="1" applyAlignment="1">
      <alignment horizontal="left" vertical="center" wrapText="1"/>
    </xf>
    <xf numFmtId="0" fontId="0" fillId="6" borderId="36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49" xfId="0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Эпюры давлений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Лист1!$M$44:$M$51</c:f>
              <c:numCache>
                <c:formatCode>0.00</c:formatCode>
                <c:ptCount val="8"/>
                <c:pt idx="0">
                  <c:v>0</c:v>
                </c:pt>
                <c:pt idx="1">
                  <c:v>-1.6487737190694414</c:v>
                </c:pt>
                <c:pt idx="2">
                  <c:v>-0.95186534810575218</c:v>
                </c:pt>
                <c:pt idx="3">
                  <c:v>-1.3693501499065206</c:v>
                </c:pt>
                <c:pt idx="4">
                  <c:v>-0.49453603630733411</c:v>
                </c:pt>
                <c:pt idx="5">
                  <c:v>-7.0070423188980193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Лист1!$L$44:$L$51</c:f>
              <c:numCache>
                <c:formatCode>General</c:formatCode>
                <c:ptCount val="8"/>
                <c:pt idx="0">
                  <c:v>7.9</c:v>
                </c:pt>
                <c:pt idx="1">
                  <c:v>6.19</c:v>
                </c:pt>
                <c:pt idx="2">
                  <c:v>6.19</c:v>
                </c:pt>
                <c:pt idx="3">
                  <c:v>5.44</c:v>
                </c:pt>
                <c:pt idx="4">
                  <c:v>5.44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2-4609-B941-699FB4E6787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Лист1!$N$44:$N$51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4.9183826360699392</c:v>
                </c:pt>
                <c:pt idx="4">
                  <c:v>7.1037711719677548</c:v>
                </c:pt>
                <c:pt idx="5">
                  <c:v>24.379128133442354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Лист1!$L$44:$L$51</c:f>
              <c:numCache>
                <c:formatCode>General</c:formatCode>
                <c:ptCount val="8"/>
                <c:pt idx="0">
                  <c:v>7.9</c:v>
                </c:pt>
                <c:pt idx="1">
                  <c:v>6.19</c:v>
                </c:pt>
                <c:pt idx="2">
                  <c:v>6.19</c:v>
                </c:pt>
                <c:pt idx="3">
                  <c:v>5.44</c:v>
                </c:pt>
                <c:pt idx="4">
                  <c:v>5.44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2-4609-B941-699FB4E67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5104"/>
        <c:axId val="286421008"/>
      </c:scatterChart>
      <c:valAx>
        <c:axId val="2864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21008"/>
        <c:crosses val="autoZero"/>
        <c:crossBetween val="midCat"/>
      </c:valAx>
      <c:valAx>
        <c:axId val="286421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63500" cap="flat" cmpd="tri" algn="ctr">
            <a:solidFill>
              <a:schemeClr val="accent6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1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Эпюры давлений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(2)'!$D$55:$D$68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-0.20486848091482909</c:v>
                </c:pt>
                <c:pt idx="6">
                  <c:v>-0.20486848091482909</c:v>
                </c:pt>
                <c:pt idx="7">
                  <c:v>-0.47900201966276701</c:v>
                </c:pt>
                <c:pt idx="8">
                  <c:v>-0.47900201966276701</c:v>
                </c:pt>
                <c:pt idx="9">
                  <c:v>-1.5706583536803564</c:v>
                </c:pt>
                <c:pt idx="10">
                  <c:v>-1.85529285657603</c:v>
                </c:pt>
                <c:pt idx="11">
                  <c:v>-2.738765645421759</c:v>
                </c:pt>
                <c:pt idx="12">
                  <c:v>-2.3185909030519545</c:v>
                </c:pt>
                <c:pt idx="13">
                  <c:v>-2.5332150259151089</c:v>
                </c:pt>
              </c:numCache>
            </c:numRef>
          </c:xVal>
          <c:yVal>
            <c:numRef>
              <c:f>'Лист1 (2)'!$C$55:$C$68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C-40D9-91D5-1652012286A6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(2)'!$E$55:$E$68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9.9103268152023318</c:v>
                </c:pt>
                <c:pt idx="10">
                  <c:v>8.3899086577236037</c:v>
                </c:pt>
                <c:pt idx="11">
                  <c:v>14.138133237039746</c:v>
                </c:pt>
                <c:pt idx="12">
                  <c:v>16.700243906344831</c:v>
                </c:pt>
                <c:pt idx="13">
                  <c:v>18.648654897716153</c:v>
                </c:pt>
              </c:numCache>
            </c:numRef>
          </c:xVal>
          <c:yVal>
            <c:numRef>
              <c:f>'Лист1 (2)'!$C$55:$C$68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C-40D9-91D5-165201228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5104"/>
        <c:axId val="286421008"/>
      </c:scatterChart>
      <c:valAx>
        <c:axId val="2864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21008"/>
        <c:crosses val="autoZero"/>
        <c:crossBetween val="midCat"/>
      </c:valAx>
      <c:valAx>
        <c:axId val="286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151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Эпюры давлений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(2)'!$P$55:$P$68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-5.7099999999999991</c:v>
                </c:pt>
                <c:pt idx="4">
                  <c:v>-5.7099999999999991</c:v>
                </c:pt>
                <c:pt idx="5">
                  <c:v>-6.3399999999999981</c:v>
                </c:pt>
                <c:pt idx="6">
                  <c:v>-6.3399999999999981</c:v>
                </c:pt>
                <c:pt idx="7">
                  <c:v>-7.1829999999999981</c:v>
                </c:pt>
                <c:pt idx="8">
                  <c:v>-7.1829999999999981</c:v>
                </c:pt>
                <c:pt idx="9">
                  <c:v>-10.539999999999997</c:v>
                </c:pt>
                <c:pt idx="10">
                  <c:v>-10.539999999999997</c:v>
                </c:pt>
                <c:pt idx="11">
                  <c:v>-12.839999999999996</c:v>
                </c:pt>
                <c:pt idx="12">
                  <c:v>-12.839999999999996</c:v>
                </c:pt>
                <c:pt idx="13">
                  <c:v>-13.499999999999996</c:v>
                </c:pt>
              </c:numCache>
            </c:numRef>
          </c:xVal>
          <c:yVal>
            <c:numRef>
              <c:f>'Лист1 (2)'!$O$55:$O$68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8-457F-91E7-008E3C5AAE0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(2)'!$Q$55:$Q$68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3.3569999999999993</c:v>
                </c:pt>
                <c:pt idx="10">
                  <c:v>3.3569999999999993</c:v>
                </c:pt>
                <c:pt idx="11">
                  <c:v>5.6569999999999991</c:v>
                </c:pt>
                <c:pt idx="12">
                  <c:v>5.6569999999999991</c:v>
                </c:pt>
                <c:pt idx="13">
                  <c:v>6.3169999999999984</c:v>
                </c:pt>
              </c:numCache>
            </c:numRef>
          </c:xVal>
          <c:yVal>
            <c:numRef>
              <c:f>'Лист1 (2)'!$O$55:$O$68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8-457F-91E7-008E3C5AA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5104"/>
        <c:axId val="286421008"/>
      </c:scatterChart>
      <c:valAx>
        <c:axId val="2864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21008"/>
        <c:crosses val="autoZero"/>
        <c:crossBetween val="midCat"/>
      </c:valAx>
      <c:valAx>
        <c:axId val="286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151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Эпюры давлений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(2)'!$P$72:$P$85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-5.7099999999999991</c:v>
                </c:pt>
                <c:pt idx="4">
                  <c:v>-5.7099999999999991</c:v>
                </c:pt>
                <c:pt idx="5">
                  <c:v>-6.5448684809148272</c:v>
                </c:pt>
                <c:pt idx="6">
                  <c:v>-6.5448684809148272</c:v>
                </c:pt>
                <c:pt idx="7">
                  <c:v>-7.662002019662765</c:v>
                </c:pt>
                <c:pt idx="8">
                  <c:v>-7.662002019662765</c:v>
                </c:pt>
                <c:pt idx="9">
                  <c:v>-12.110658353680353</c:v>
                </c:pt>
                <c:pt idx="10">
                  <c:v>-12.395292856576027</c:v>
                </c:pt>
                <c:pt idx="11">
                  <c:v>-15.578765645421756</c:v>
                </c:pt>
                <c:pt idx="12">
                  <c:v>-15.158590903051952</c:v>
                </c:pt>
                <c:pt idx="13">
                  <c:v>-16.033215025915105</c:v>
                </c:pt>
              </c:numCache>
            </c:numRef>
          </c:xVal>
          <c:yVal>
            <c:numRef>
              <c:f>'Лист1 (2)'!$O$72:$O$85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6-4AD4-AF86-F9E38BDED8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'Лист1 (2)'!$Q$72:$Q$85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13.267326815202331</c:v>
                </c:pt>
                <c:pt idx="10">
                  <c:v>11.746908657723603</c:v>
                </c:pt>
                <c:pt idx="11">
                  <c:v>19.795133237039746</c:v>
                </c:pt>
                <c:pt idx="12">
                  <c:v>22.357243906344831</c:v>
                </c:pt>
                <c:pt idx="13">
                  <c:v>24.965654897716149</c:v>
                </c:pt>
              </c:numCache>
            </c:numRef>
          </c:xVal>
          <c:yVal>
            <c:numRef>
              <c:f>'Лист1 (2)'!$O$72:$O$85</c:f>
              <c:numCache>
                <c:formatCode>General</c:formatCode>
                <c:ptCount val="14"/>
                <c:pt idx="0">
                  <c:v>14</c:v>
                </c:pt>
                <c:pt idx="1">
                  <c:v>13.5</c:v>
                </c:pt>
                <c:pt idx="2">
                  <c:v>13.5</c:v>
                </c:pt>
                <c:pt idx="3">
                  <c:v>7.79</c:v>
                </c:pt>
                <c:pt idx="4">
                  <c:v>7.79</c:v>
                </c:pt>
                <c:pt idx="5">
                  <c:v>7.16</c:v>
                </c:pt>
                <c:pt idx="6">
                  <c:v>7.16</c:v>
                </c:pt>
                <c:pt idx="7">
                  <c:v>6.3170000000000002</c:v>
                </c:pt>
                <c:pt idx="8">
                  <c:v>6.3170000000000002</c:v>
                </c:pt>
                <c:pt idx="9">
                  <c:v>2.96</c:v>
                </c:pt>
                <c:pt idx="10">
                  <c:v>2.96</c:v>
                </c:pt>
                <c:pt idx="11">
                  <c:v>0.66</c:v>
                </c:pt>
                <c:pt idx="12">
                  <c:v>0.66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6-4AD4-AF86-F9E38BDED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5104"/>
        <c:axId val="286421008"/>
      </c:scatterChart>
      <c:valAx>
        <c:axId val="2864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21008"/>
        <c:crosses val="autoZero"/>
        <c:crossBetween val="midCat"/>
      </c:valAx>
      <c:valAx>
        <c:axId val="286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4151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246788</xdr:colOff>
      <xdr:row>2</xdr:row>
      <xdr:rowOff>1</xdr:rowOff>
    </xdr:from>
    <xdr:to>
      <xdr:col>22</xdr:col>
      <xdr:colOff>142875</xdr:colOff>
      <xdr:row>13</xdr:row>
      <xdr:rowOff>91360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21F938-8B17-4036-8D7C-AD0FA2471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638" y="381001"/>
          <a:ext cx="2277337" cy="223448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15</xdr:row>
      <xdr:rowOff>123825</xdr:rowOff>
    </xdr:from>
    <xdr:to>
      <xdr:col>14</xdr:col>
      <xdr:colOff>416092</xdr:colOff>
      <xdr:row>17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C7ABE68-330E-4B50-85AE-27FBBAFF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2838450"/>
          <a:ext cx="1301917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16</xdr:row>
      <xdr:rowOff>276225</xdr:rowOff>
    </xdr:from>
    <xdr:to>
      <xdr:col>14</xdr:col>
      <xdr:colOff>9525</xdr:colOff>
      <xdr:row>18</xdr:row>
      <xdr:rowOff>32791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90B651F-645C-4754-BEF0-06EDFB77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2419350"/>
          <a:ext cx="895350" cy="337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142875</xdr:colOff>
      <xdr:row>16</xdr:row>
      <xdr:rowOff>257175</xdr:rowOff>
    </xdr:from>
    <xdr:to>
      <xdr:col>16</xdr:col>
      <xdr:colOff>180975</xdr:colOff>
      <xdr:row>18</xdr:row>
      <xdr:rowOff>23888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BA4FDDD-4DFF-45D7-9174-E12F6FF0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3352800"/>
          <a:ext cx="952500" cy="347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37421</xdr:colOff>
      <xdr:row>1</xdr:row>
      <xdr:rowOff>171452</xdr:rowOff>
    </xdr:from>
    <xdr:to>
      <xdr:col>17</xdr:col>
      <xdr:colOff>84679</xdr:colOff>
      <xdr:row>12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9697ECC-6B6A-4B56-85B6-177F12FDF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4221" y="361952"/>
          <a:ext cx="2352308" cy="211454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24</xdr:row>
      <xdr:rowOff>28575</xdr:rowOff>
    </xdr:from>
    <xdr:to>
      <xdr:col>29</xdr:col>
      <xdr:colOff>514350</xdr:colOff>
      <xdr:row>28</xdr:row>
      <xdr:rowOff>399668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54AC666-AC0E-4692-9045-54B24E52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53475" y="5238750"/>
          <a:ext cx="9134475" cy="1771268"/>
        </a:xfrm>
        <a:prstGeom prst="rect">
          <a:avLst/>
        </a:prstGeom>
      </xdr:spPr>
    </xdr:pic>
    <xdr:clientData/>
  </xdr:twoCellAnchor>
  <xdr:twoCellAnchor>
    <xdr:from>
      <xdr:col>14</xdr:col>
      <xdr:colOff>295275</xdr:colOff>
      <xdr:row>43</xdr:row>
      <xdr:rowOff>0</xdr:rowOff>
    </xdr:from>
    <xdr:to>
      <xdr:col>24</xdr:col>
      <xdr:colOff>142875</xdr:colOff>
      <xdr:row>57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66A5D0D-913D-4DD2-BBE1-A479914A3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246788</xdr:colOff>
      <xdr:row>2</xdr:row>
      <xdr:rowOff>1</xdr:rowOff>
    </xdr:from>
    <xdr:to>
      <xdr:col>22</xdr:col>
      <xdr:colOff>142875</xdr:colOff>
      <xdr:row>13</xdr:row>
      <xdr:rowOff>91360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1C57E9-AAFA-4AB6-8627-0ACCF3F8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638" y="381001"/>
          <a:ext cx="2277337" cy="223448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15</xdr:row>
      <xdr:rowOff>123825</xdr:rowOff>
    </xdr:from>
    <xdr:to>
      <xdr:col>14</xdr:col>
      <xdr:colOff>416092</xdr:colOff>
      <xdr:row>17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5B3A58F-3FBA-4944-BBAC-BB667E77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3028950"/>
          <a:ext cx="1301917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16</xdr:row>
      <xdr:rowOff>276225</xdr:rowOff>
    </xdr:from>
    <xdr:to>
      <xdr:col>14</xdr:col>
      <xdr:colOff>9525</xdr:colOff>
      <xdr:row>18</xdr:row>
      <xdr:rowOff>32791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C18635D-731C-4C1D-A256-49E89A550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3371850"/>
          <a:ext cx="895350" cy="337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142875</xdr:colOff>
      <xdr:row>16</xdr:row>
      <xdr:rowOff>257175</xdr:rowOff>
    </xdr:from>
    <xdr:to>
      <xdr:col>16</xdr:col>
      <xdr:colOff>180975</xdr:colOff>
      <xdr:row>18</xdr:row>
      <xdr:rowOff>23888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48DA96D-700C-4BBC-9F4A-B0E7CBA6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3352800"/>
          <a:ext cx="952500" cy="347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37421</xdr:colOff>
      <xdr:row>1</xdr:row>
      <xdr:rowOff>171452</xdr:rowOff>
    </xdr:from>
    <xdr:to>
      <xdr:col>17</xdr:col>
      <xdr:colOff>84679</xdr:colOff>
      <xdr:row>12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40E6CB1-F647-4CD5-96AA-A016FBCE9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4221" y="361952"/>
          <a:ext cx="2352308" cy="211454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24</xdr:row>
      <xdr:rowOff>28575</xdr:rowOff>
    </xdr:from>
    <xdr:to>
      <xdr:col>29</xdr:col>
      <xdr:colOff>514350</xdr:colOff>
      <xdr:row>28</xdr:row>
      <xdr:rowOff>399668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07E43A9-442D-4F25-9895-CA719CA2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53475" y="5429250"/>
          <a:ext cx="9134475" cy="1771268"/>
        </a:xfrm>
        <a:prstGeom prst="rect">
          <a:avLst/>
        </a:prstGeom>
      </xdr:spPr>
    </xdr:pic>
    <xdr:clientData/>
  </xdr:twoCellAnchor>
  <xdr:twoCellAnchor>
    <xdr:from>
      <xdr:col>4</xdr:col>
      <xdr:colOff>504824</xdr:colOff>
      <xdr:row>54</xdr:row>
      <xdr:rowOff>0</xdr:rowOff>
    </xdr:from>
    <xdr:to>
      <xdr:col>13</xdr:col>
      <xdr:colOff>457199</xdr:colOff>
      <xdr:row>68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FDD2057-082C-4D11-BE4D-652C4B89D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26</xdr:col>
      <xdr:colOff>19050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D875681-F73B-4822-A14C-5BB0E97FB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26</xdr:col>
      <xdr:colOff>19050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E8904F4-B41F-4E6B-9E4A-0420724BB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213A-D734-477E-AE38-456A50551AE0}">
  <dimension ref="A1:Y67"/>
  <sheetViews>
    <sheetView topLeftCell="A22" zoomScaleNormal="100" workbookViewId="0">
      <selection activeCell="C38" sqref="C38"/>
    </sheetView>
  </sheetViews>
  <sheetFormatPr defaultRowHeight="15" x14ac:dyDescent="0.25"/>
  <cols>
    <col min="1" max="1" width="6.5703125" style="1" customWidth="1"/>
    <col min="2" max="2" width="44" style="2" customWidth="1"/>
    <col min="3" max="6" width="7.5703125" style="1" customWidth="1"/>
    <col min="7" max="8" width="10.7109375" style="1" customWidth="1"/>
    <col min="9" max="10" width="7.140625" style="1" customWidth="1"/>
    <col min="11" max="16" width="6.85546875" style="1" customWidth="1"/>
    <col min="17" max="24" width="7.140625" style="1" customWidth="1"/>
    <col min="25" max="16384" width="9.140625" style="1"/>
  </cols>
  <sheetData>
    <row r="1" spans="1:16" ht="15" customHeight="1" x14ac:dyDescent="0.25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6" ht="15" customHeight="1" thickBo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5" customHeight="1" thickBot="1" x14ac:dyDescent="0.3">
      <c r="A3" s="26"/>
      <c r="B3" s="119" t="s">
        <v>32</v>
      </c>
      <c r="C3" s="120"/>
      <c r="D3" s="120"/>
      <c r="E3" s="120"/>
      <c r="F3" s="120"/>
      <c r="G3" s="120"/>
      <c r="H3" s="121"/>
      <c r="I3" s="119" t="s">
        <v>33</v>
      </c>
      <c r="J3" s="121"/>
      <c r="K3" s="47" t="s">
        <v>35</v>
      </c>
      <c r="L3" s="44" t="s">
        <v>34</v>
      </c>
      <c r="M3" s="26"/>
      <c r="N3" s="26"/>
      <c r="O3" s="26"/>
      <c r="P3" s="26"/>
    </row>
    <row r="4" spans="1:16" ht="15" customHeight="1" x14ac:dyDescent="0.25">
      <c r="A4" s="4"/>
      <c r="B4" s="129" t="s">
        <v>23</v>
      </c>
      <c r="C4" s="130"/>
      <c r="D4" s="130"/>
      <c r="E4" s="130"/>
      <c r="F4" s="130"/>
      <c r="G4" s="130"/>
      <c r="H4" s="131"/>
      <c r="I4" s="132" t="s">
        <v>24</v>
      </c>
      <c r="J4" s="133"/>
      <c r="K4" s="48">
        <v>2</v>
      </c>
      <c r="L4" s="45" t="s">
        <v>4</v>
      </c>
    </row>
    <row r="5" spans="1:16" ht="15" customHeight="1" x14ac:dyDescent="0.25">
      <c r="A5" s="4"/>
      <c r="B5" s="105" t="s">
        <v>11</v>
      </c>
      <c r="C5" s="106"/>
      <c r="D5" s="106"/>
      <c r="E5" s="106"/>
      <c r="F5" s="106"/>
      <c r="G5" s="106"/>
      <c r="H5" s="107"/>
      <c r="I5" s="124" t="s">
        <v>12</v>
      </c>
      <c r="J5" s="125"/>
      <c r="K5" s="49">
        <v>49.4</v>
      </c>
      <c r="L5" s="46" t="s">
        <v>13</v>
      </c>
    </row>
    <row r="6" spans="1:16" ht="15" customHeight="1" x14ac:dyDescent="0.25">
      <c r="A6" s="4"/>
      <c r="B6" s="105" t="s">
        <v>25</v>
      </c>
      <c r="C6" s="106"/>
      <c r="D6" s="106"/>
      <c r="E6" s="106"/>
      <c r="F6" s="106"/>
      <c r="G6" s="106"/>
      <c r="H6" s="107"/>
      <c r="I6" s="124" t="s">
        <v>26</v>
      </c>
      <c r="J6" s="125"/>
      <c r="K6" s="72">
        <v>0</v>
      </c>
      <c r="L6" s="46" t="s">
        <v>27</v>
      </c>
    </row>
    <row r="7" spans="1:16" ht="18.75" x14ac:dyDescent="0.25">
      <c r="A7" s="4"/>
      <c r="B7" s="105" t="s">
        <v>6</v>
      </c>
      <c r="C7" s="106"/>
      <c r="D7" s="106"/>
      <c r="E7" s="106"/>
      <c r="F7" s="106"/>
      <c r="G7" s="106"/>
      <c r="H7" s="107"/>
      <c r="I7" s="124" t="s">
        <v>5</v>
      </c>
      <c r="J7" s="125"/>
      <c r="K7" s="49">
        <v>1.2</v>
      </c>
      <c r="L7" s="13">
        <v>7.72</v>
      </c>
    </row>
    <row r="8" spans="1:16" ht="15" customHeight="1" x14ac:dyDescent="0.25">
      <c r="A8" s="4"/>
      <c r="B8" s="105" t="s">
        <v>7</v>
      </c>
      <c r="C8" s="106"/>
      <c r="D8" s="106"/>
      <c r="E8" s="106"/>
      <c r="F8" s="106"/>
      <c r="G8" s="106"/>
      <c r="H8" s="107"/>
      <c r="I8" s="124" t="s">
        <v>8</v>
      </c>
      <c r="J8" s="125"/>
      <c r="K8" s="49" t="s">
        <v>9</v>
      </c>
      <c r="L8" s="13"/>
    </row>
    <row r="9" spans="1:16" ht="15" customHeight="1" x14ac:dyDescent="0.25">
      <c r="A9" s="73"/>
      <c r="B9" s="105" t="s">
        <v>79</v>
      </c>
      <c r="C9" s="106"/>
      <c r="D9" s="106"/>
      <c r="E9" s="106"/>
      <c r="F9" s="106"/>
      <c r="G9" s="106"/>
      <c r="H9" s="107"/>
      <c r="I9" s="124" t="s">
        <v>80</v>
      </c>
      <c r="J9" s="125"/>
      <c r="K9" s="49">
        <v>1.1000000000000001</v>
      </c>
      <c r="L9" s="13"/>
    </row>
    <row r="10" spans="1:16" ht="15" customHeight="1" thickBot="1" x14ac:dyDescent="0.3">
      <c r="A10" s="4"/>
      <c r="B10" s="102" t="s">
        <v>14</v>
      </c>
      <c r="C10" s="103"/>
      <c r="D10" s="103"/>
      <c r="E10" s="103"/>
      <c r="F10" s="103"/>
      <c r="G10" s="103"/>
      <c r="H10" s="104"/>
      <c r="I10" s="122" t="s">
        <v>15</v>
      </c>
      <c r="J10" s="123"/>
      <c r="K10" s="50">
        <v>0.95</v>
      </c>
      <c r="L10" s="14"/>
    </row>
    <row r="11" spans="1:16" ht="15" customHeight="1" thickBot="1" x14ac:dyDescent="0.3">
      <c r="A11" s="4"/>
    </row>
    <row r="12" spans="1:16" ht="15" customHeight="1" x14ac:dyDescent="0.25">
      <c r="A12" s="4"/>
      <c r="B12" s="144" t="s">
        <v>54</v>
      </c>
      <c r="C12" s="145"/>
      <c r="D12" s="145"/>
      <c r="E12" s="145"/>
      <c r="F12" s="145"/>
      <c r="G12" s="145"/>
      <c r="H12" s="145"/>
      <c r="I12" s="146" t="s">
        <v>50</v>
      </c>
      <c r="J12" s="146"/>
      <c r="K12" s="39" t="s">
        <v>36</v>
      </c>
      <c r="L12" s="53" t="s">
        <v>4</v>
      </c>
    </row>
    <row r="13" spans="1:16" ht="15" customHeight="1" x14ac:dyDescent="0.25">
      <c r="A13" s="4"/>
      <c r="B13" s="148" t="s">
        <v>53</v>
      </c>
      <c r="C13" s="149"/>
      <c r="D13" s="149"/>
      <c r="E13" s="149"/>
      <c r="F13" s="149"/>
      <c r="G13" s="149"/>
      <c r="H13" s="149"/>
      <c r="I13" s="147" t="s">
        <v>49</v>
      </c>
      <c r="J13" s="147"/>
      <c r="K13" s="38" t="s">
        <v>36</v>
      </c>
      <c r="L13" s="54" t="s">
        <v>52</v>
      </c>
    </row>
    <row r="14" spans="1:16" ht="15" customHeight="1" x14ac:dyDescent="0.25">
      <c r="A14" s="4"/>
      <c r="B14" s="148" t="s">
        <v>56</v>
      </c>
      <c r="C14" s="149"/>
      <c r="D14" s="149"/>
      <c r="E14" s="149"/>
      <c r="F14" s="149"/>
      <c r="G14" s="149"/>
      <c r="H14" s="149"/>
      <c r="I14" s="147" t="s">
        <v>51</v>
      </c>
      <c r="J14" s="147"/>
      <c r="K14" s="38" t="s">
        <v>36</v>
      </c>
      <c r="L14" s="54" t="s">
        <v>2</v>
      </c>
    </row>
    <row r="15" spans="1:16" ht="15" customHeight="1" x14ac:dyDescent="0.25">
      <c r="A15" s="4"/>
      <c r="B15" s="148" t="s">
        <v>57</v>
      </c>
      <c r="C15" s="149"/>
      <c r="D15" s="149"/>
      <c r="E15" s="149"/>
      <c r="F15" s="149"/>
      <c r="G15" s="149"/>
      <c r="H15" s="149"/>
      <c r="I15" s="147" t="s">
        <v>55</v>
      </c>
      <c r="J15" s="147"/>
      <c r="K15" s="38" t="s">
        <v>36</v>
      </c>
      <c r="L15" s="54" t="s">
        <v>81</v>
      </c>
    </row>
    <row r="16" spans="1:16" ht="15" customHeight="1" thickBot="1" x14ac:dyDescent="0.3">
      <c r="A16" s="4"/>
      <c r="B16" s="97" t="s">
        <v>78</v>
      </c>
      <c r="C16" s="98"/>
      <c r="D16" s="98"/>
      <c r="E16" s="98"/>
      <c r="F16" s="98"/>
      <c r="G16" s="98"/>
      <c r="H16" s="98"/>
      <c r="I16" s="128" t="s">
        <v>3</v>
      </c>
      <c r="J16" s="128"/>
      <c r="K16" s="42" t="s">
        <v>36</v>
      </c>
      <c r="L16" s="88" t="s">
        <v>2</v>
      </c>
    </row>
    <row r="17" spans="1:20" ht="22.5" x14ac:dyDescent="0.25">
      <c r="A17" s="4"/>
      <c r="B17" s="99" t="s">
        <v>28</v>
      </c>
      <c r="C17" s="100"/>
      <c r="D17" s="100"/>
      <c r="E17" s="100"/>
      <c r="F17" s="100"/>
      <c r="G17" s="100"/>
      <c r="H17" s="100"/>
      <c r="I17" s="101" t="s">
        <v>0</v>
      </c>
      <c r="J17" s="101"/>
      <c r="K17" s="51" t="s">
        <v>36</v>
      </c>
      <c r="L17" s="52"/>
    </row>
    <row r="18" spans="1:20" ht="23.25" thickBot="1" x14ac:dyDescent="0.3">
      <c r="A18" s="4"/>
      <c r="B18" s="97" t="s">
        <v>29</v>
      </c>
      <c r="C18" s="98"/>
      <c r="D18" s="98"/>
      <c r="E18" s="98"/>
      <c r="F18" s="98"/>
      <c r="G18" s="98"/>
      <c r="H18" s="98"/>
      <c r="I18" s="128" t="s">
        <v>1</v>
      </c>
      <c r="J18" s="128"/>
      <c r="K18" s="42" t="s">
        <v>36</v>
      </c>
      <c r="L18" s="43"/>
    </row>
    <row r="19" spans="1:20" ht="22.5" customHeight="1" x14ac:dyDescent="0.25">
      <c r="A19" s="4"/>
      <c r="B19" s="95" t="s">
        <v>44</v>
      </c>
      <c r="C19" s="96"/>
      <c r="D19" s="96"/>
      <c r="E19" s="96"/>
      <c r="F19" s="96"/>
      <c r="G19" s="96"/>
      <c r="H19" s="96"/>
      <c r="I19" s="127" t="s">
        <v>31</v>
      </c>
      <c r="J19" s="127"/>
      <c r="K19" s="39" t="s">
        <v>36</v>
      </c>
      <c r="L19" s="40" t="s">
        <v>10</v>
      </c>
      <c r="M19" s="108" t="s">
        <v>77</v>
      </c>
      <c r="N19" s="109"/>
      <c r="O19" s="109"/>
      <c r="P19" s="109"/>
      <c r="Q19" s="109"/>
      <c r="R19" s="109"/>
      <c r="S19" s="109"/>
      <c r="T19" s="110"/>
    </row>
    <row r="20" spans="1:20" ht="22.5" x14ac:dyDescent="0.25">
      <c r="A20" s="4"/>
      <c r="B20" s="117" t="s">
        <v>42</v>
      </c>
      <c r="C20" s="118"/>
      <c r="D20" s="118"/>
      <c r="E20" s="118"/>
      <c r="F20" s="118"/>
      <c r="G20" s="118"/>
      <c r="H20" s="118"/>
      <c r="I20" s="126" t="s">
        <v>37</v>
      </c>
      <c r="J20" s="126"/>
      <c r="K20" s="38" t="s">
        <v>36</v>
      </c>
      <c r="L20" s="41" t="s">
        <v>10</v>
      </c>
      <c r="M20" s="111"/>
      <c r="N20" s="112"/>
      <c r="O20" s="112"/>
      <c r="P20" s="112"/>
      <c r="Q20" s="112"/>
      <c r="R20" s="112"/>
      <c r="S20" s="112"/>
      <c r="T20" s="113"/>
    </row>
    <row r="21" spans="1:20" ht="22.5" x14ac:dyDescent="0.25">
      <c r="A21" s="4"/>
      <c r="B21" s="117" t="s">
        <v>43</v>
      </c>
      <c r="C21" s="118"/>
      <c r="D21" s="118"/>
      <c r="E21" s="118"/>
      <c r="F21" s="118"/>
      <c r="G21" s="118"/>
      <c r="H21" s="118"/>
      <c r="I21" s="126" t="s">
        <v>38</v>
      </c>
      <c r="J21" s="126"/>
      <c r="K21" s="38" t="s">
        <v>36</v>
      </c>
      <c r="L21" s="41" t="s">
        <v>10</v>
      </c>
      <c r="M21" s="111"/>
      <c r="N21" s="112"/>
      <c r="O21" s="112"/>
      <c r="P21" s="112"/>
      <c r="Q21" s="112"/>
      <c r="R21" s="112"/>
      <c r="S21" s="112"/>
      <c r="T21" s="113"/>
    </row>
    <row r="22" spans="1:20" ht="22.5" x14ac:dyDescent="0.25">
      <c r="A22" s="4"/>
      <c r="B22" s="117" t="s">
        <v>45</v>
      </c>
      <c r="C22" s="118"/>
      <c r="D22" s="118"/>
      <c r="E22" s="118"/>
      <c r="F22" s="118"/>
      <c r="G22" s="118"/>
      <c r="H22" s="118"/>
      <c r="I22" s="126" t="s">
        <v>31</v>
      </c>
      <c r="J22" s="126"/>
      <c r="K22" s="38" t="s">
        <v>36</v>
      </c>
      <c r="L22" s="41" t="s">
        <v>10</v>
      </c>
      <c r="M22" s="111"/>
      <c r="N22" s="112"/>
      <c r="O22" s="112"/>
      <c r="P22" s="112"/>
      <c r="Q22" s="112"/>
      <c r="R22" s="112"/>
      <c r="S22" s="112"/>
      <c r="T22" s="113"/>
    </row>
    <row r="23" spans="1:20" ht="22.5" x14ac:dyDescent="0.25">
      <c r="A23" s="4"/>
      <c r="B23" s="117" t="s">
        <v>46</v>
      </c>
      <c r="C23" s="118"/>
      <c r="D23" s="118"/>
      <c r="E23" s="118"/>
      <c r="F23" s="118"/>
      <c r="G23" s="118"/>
      <c r="H23" s="118"/>
      <c r="I23" s="126" t="s">
        <v>37</v>
      </c>
      <c r="J23" s="126"/>
      <c r="K23" s="38" t="s">
        <v>36</v>
      </c>
      <c r="L23" s="41" t="s">
        <v>10</v>
      </c>
      <c r="M23" s="111"/>
      <c r="N23" s="112"/>
      <c r="O23" s="112"/>
      <c r="P23" s="112"/>
      <c r="Q23" s="112"/>
      <c r="R23" s="112"/>
      <c r="S23" s="112"/>
      <c r="T23" s="113"/>
    </row>
    <row r="24" spans="1:20" ht="23.25" thickBot="1" x14ac:dyDescent="0.3">
      <c r="A24" s="4"/>
      <c r="B24" s="134" t="s">
        <v>47</v>
      </c>
      <c r="C24" s="135"/>
      <c r="D24" s="135"/>
      <c r="E24" s="135"/>
      <c r="F24" s="135"/>
      <c r="G24" s="135"/>
      <c r="H24" s="135"/>
      <c r="I24" s="136" t="s">
        <v>38</v>
      </c>
      <c r="J24" s="136"/>
      <c r="K24" s="55" t="s">
        <v>36</v>
      </c>
      <c r="L24" s="56" t="s">
        <v>10</v>
      </c>
      <c r="M24" s="114"/>
      <c r="N24" s="115"/>
      <c r="O24" s="115"/>
      <c r="P24" s="115"/>
      <c r="Q24" s="115"/>
      <c r="R24" s="115"/>
      <c r="S24" s="115"/>
      <c r="T24" s="116"/>
    </row>
    <row r="25" spans="1:20" ht="32.25" customHeight="1" x14ac:dyDescent="0.25">
      <c r="A25" s="4"/>
      <c r="B25" s="95" t="s">
        <v>67</v>
      </c>
      <c r="C25" s="96"/>
      <c r="D25" s="96"/>
      <c r="E25" s="96"/>
      <c r="F25" s="96"/>
      <c r="G25" s="96"/>
      <c r="H25" s="96"/>
      <c r="I25" s="127" t="s">
        <v>48</v>
      </c>
      <c r="J25" s="127"/>
      <c r="K25" s="39" t="s">
        <v>36</v>
      </c>
      <c r="L25" s="40" t="s">
        <v>4</v>
      </c>
    </row>
    <row r="26" spans="1:20" ht="32.25" customHeight="1" x14ac:dyDescent="0.25">
      <c r="A26" s="4"/>
      <c r="B26" s="117" t="s">
        <v>68</v>
      </c>
      <c r="C26" s="118"/>
      <c r="D26" s="118"/>
      <c r="E26" s="118"/>
      <c r="F26" s="118"/>
      <c r="G26" s="118"/>
      <c r="H26" s="118"/>
      <c r="I26" s="126" t="s">
        <v>59</v>
      </c>
      <c r="J26" s="126"/>
      <c r="K26" s="38" t="s">
        <v>36</v>
      </c>
      <c r="L26" s="41" t="s">
        <v>4</v>
      </c>
    </row>
    <row r="27" spans="1:20" ht="22.5" x14ac:dyDescent="0.25">
      <c r="A27" s="4"/>
      <c r="B27" s="117" t="s">
        <v>60</v>
      </c>
      <c r="C27" s="118"/>
      <c r="D27" s="118"/>
      <c r="E27" s="118"/>
      <c r="F27" s="118"/>
      <c r="G27" s="118"/>
      <c r="H27" s="118"/>
      <c r="I27" s="126" t="s">
        <v>58</v>
      </c>
      <c r="J27" s="126"/>
      <c r="K27" s="38" t="s">
        <v>36</v>
      </c>
      <c r="L27" s="41" t="s">
        <v>76</v>
      </c>
    </row>
    <row r="28" spans="1:20" ht="23.25" thickBot="1" x14ac:dyDescent="0.3">
      <c r="A28" s="4"/>
      <c r="B28" s="97" t="s">
        <v>62</v>
      </c>
      <c r="C28" s="98"/>
      <c r="D28" s="98"/>
      <c r="E28" s="98"/>
      <c r="F28" s="98"/>
      <c r="G28" s="98"/>
      <c r="H28" s="98"/>
      <c r="I28" s="150" t="s">
        <v>61</v>
      </c>
      <c r="J28" s="150"/>
      <c r="K28" s="42" t="s">
        <v>36</v>
      </c>
      <c r="L28" s="43" t="s">
        <v>75</v>
      </c>
    </row>
    <row r="29" spans="1:20" ht="32.25" customHeight="1" x14ac:dyDescent="0.25">
      <c r="A29" s="4"/>
      <c r="B29" s="95" t="s">
        <v>69</v>
      </c>
      <c r="C29" s="96"/>
      <c r="D29" s="96"/>
      <c r="E29" s="96"/>
      <c r="F29" s="96"/>
      <c r="G29" s="96"/>
      <c r="H29" s="96"/>
      <c r="I29" s="127" t="s">
        <v>63</v>
      </c>
      <c r="J29" s="127"/>
      <c r="K29" s="39" t="s">
        <v>36</v>
      </c>
      <c r="L29" s="40" t="s">
        <v>4</v>
      </c>
    </row>
    <row r="30" spans="1:20" ht="32.25" customHeight="1" x14ac:dyDescent="0.25">
      <c r="A30" s="4"/>
      <c r="B30" s="117" t="s">
        <v>70</v>
      </c>
      <c r="C30" s="118"/>
      <c r="D30" s="118"/>
      <c r="E30" s="118"/>
      <c r="F30" s="118"/>
      <c r="G30" s="118"/>
      <c r="H30" s="118"/>
      <c r="I30" s="126" t="s">
        <v>64</v>
      </c>
      <c r="J30" s="126"/>
      <c r="K30" s="38" t="s">
        <v>36</v>
      </c>
      <c r="L30" s="41" t="s">
        <v>4</v>
      </c>
    </row>
    <row r="31" spans="1:20" ht="22.5" x14ac:dyDescent="0.25">
      <c r="A31" s="4"/>
      <c r="B31" s="117" t="s">
        <v>71</v>
      </c>
      <c r="C31" s="118"/>
      <c r="D31" s="118"/>
      <c r="E31" s="118"/>
      <c r="F31" s="118"/>
      <c r="G31" s="118"/>
      <c r="H31" s="118"/>
      <c r="I31" s="126" t="s">
        <v>65</v>
      </c>
      <c r="J31" s="126"/>
      <c r="K31" s="38" t="s">
        <v>36</v>
      </c>
      <c r="L31" s="41" t="s">
        <v>76</v>
      </c>
    </row>
    <row r="32" spans="1:20" ht="23.25" thickBot="1" x14ac:dyDescent="0.3">
      <c r="A32" s="4"/>
      <c r="B32" s="97" t="s">
        <v>72</v>
      </c>
      <c r="C32" s="98"/>
      <c r="D32" s="98"/>
      <c r="E32" s="98"/>
      <c r="F32" s="98"/>
      <c r="G32" s="98"/>
      <c r="H32" s="98"/>
      <c r="I32" s="150" t="s">
        <v>66</v>
      </c>
      <c r="J32" s="150"/>
      <c r="K32" s="42" t="s">
        <v>36</v>
      </c>
      <c r="L32" s="43" t="s">
        <v>75</v>
      </c>
    </row>
    <row r="33" spans="1:25" ht="15" customHeight="1" thickBot="1" x14ac:dyDescent="0.3">
      <c r="A33" s="4"/>
      <c r="B33" s="20"/>
      <c r="C33" s="20"/>
      <c r="D33" s="20"/>
      <c r="E33" s="20"/>
      <c r="F33" s="20"/>
      <c r="G33" s="20"/>
      <c r="H33" s="20"/>
    </row>
    <row r="34" spans="1:25" ht="21.75" customHeight="1" thickBot="1" x14ac:dyDescent="0.3">
      <c r="A34" s="4"/>
      <c r="B34" s="1"/>
      <c r="C34" s="139" t="s">
        <v>73</v>
      </c>
      <c r="D34" s="140"/>
      <c r="E34" s="141" t="str">
        <f>IF(C35&gt;=H35,"Не проходит","Проходит")</f>
        <v>Проходит</v>
      </c>
      <c r="F34" s="142"/>
      <c r="G34" s="143"/>
      <c r="H34" s="139" t="s">
        <v>74</v>
      </c>
      <c r="I34" s="140"/>
    </row>
    <row r="35" spans="1:25" ht="15" customHeight="1" thickBot="1" x14ac:dyDescent="0.3">
      <c r="A35" s="4"/>
      <c r="C35" s="137">
        <f>SUM(U38:U42)</f>
        <v>54.010681762857814</v>
      </c>
      <c r="D35" s="138"/>
      <c r="E35" s="141" t="str">
        <f>IF(C35&gt;=H35,"&gt;=","&lt;")</f>
        <v>&lt;</v>
      </c>
      <c r="F35" s="142"/>
      <c r="G35" s="143"/>
      <c r="H35" s="137">
        <f>SUM(Y38:Y42)*K10</f>
        <v>190.77363014678906</v>
      </c>
      <c r="I35" s="138"/>
    </row>
    <row r="36" spans="1:25" ht="15.75" thickBot="1" x14ac:dyDescent="0.3"/>
    <row r="37" spans="1:25" ht="30.75" thickBot="1" x14ac:dyDescent="0.3">
      <c r="A37" s="12" t="s">
        <v>20</v>
      </c>
      <c r="B37" s="27" t="s">
        <v>19</v>
      </c>
      <c r="C37" s="37" t="s">
        <v>50</v>
      </c>
      <c r="D37" s="11" t="s">
        <v>49</v>
      </c>
      <c r="E37" s="11" t="s">
        <v>51</v>
      </c>
      <c r="F37" s="11" t="s">
        <v>55</v>
      </c>
      <c r="G37" s="15" t="s">
        <v>3</v>
      </c>
      <c r="H37" s="74" t="s">
        <v>17</v>
      </c>
      <c r="I37" s="15" t="s">
        <v>18</v>
      </c>
      <c r="J37" s="82" t="s">
        <v>0</v>
      </c>
      <c r="K37" s="83" t="s">
        <v>1</v>
      </c>
      <c r="L37" s="85" t="s">
        <v>31</v>
      </c>
      <c r="M37" s="86" t="s">
        <v>37</v>
      </c>
      <c r="N37" s="87" t="s">
        <v>38</v>
      </c>
      <c r="O37" s="10" t="s">
        <v>39</v>
      </c>
      <c r="P37" s="36" t="s">
        <v>40</v>
      </c>
      <c r="Q37" s="31" t="s">
        <v>41</v>
      </c>
      <c r="R37" s="85" t="s">
        <v>48</v>
      </c>
      <c r="S37" s="86" t="s">
        <v>59</v>
      </c>
      <c r="T37" s="86" t="s">
        <v>58</v>
      </c>
      <c r="U37" s="87" t="s">
        <v>61</v>
      </c>
      <c r="V37" s="85" t="s">
        <v>63</v>
      </c>
      <c r="W37" s="86" t="s">
        <v>64</v>
      </c>
      <c r="X37" s="86" t="s">
        <v>65</v>
      </c>
      <c r="Y37" s="87" t="s">
        <v>66</v>
      </c>
    </row>
    <row r="38" spans="1:25" x14ac:dyDescent="0.25">
      <c r="A38" s="16">
        <v>1</v>
      </c>
      <c r="B38" s="28" t="s">
        <v>84</v>
      </c>
      <c r="C38" s="76">
        <v>1.71</v>
      </c>
      <c r="D38" s="77">
        <v>1.95</v>
      </c>
      <c r="E38" s="77">
        <v>38</v>
      </c>
      <c r="F38" s="77">
        <v>2</v>
      </c>
      <c r="G38" s="78">
        <v>34</v>
      </c>
      <c r="H38" s="75" t="s">
        <v>21</v>
      </c>
      <c r="I38" s="79" t="s">
        <v>22</v>
      </c>
      <c r="J38" s="84">
        <f>IF(C38&gt;0,IF(H38="+",IF($G38&gt;0,COS(E38*PI()/180)^2/(1+SQRT(SIN((E38-$G38)*PI()/180)*SIN(E38*PI()/180)/COS($G38*PI()/180)))^2,IF($G38=0,TAN((45-E38/2)*PI()/180)^2,"Ошибка")),0),0)</f>
        <v>0.41204921254297033</v>
      </c>
      <c r="K38" s="89">
        <f t="shared" ref="K38" si="0">IF(C38&gt;0,IF(I38="+",TAN((45+E38/2)*PI()/180)^2,0),0)</f>
        <v>0</v>
      </c>
      <c r="L38" s="57">
        <f>IF(ISNUMBER(SEARCH("глин",B38,1)),F38/9.80665/TAN(E38*PI()/180)*(1-J38/COS($G38*PI()/180)),0)</f>
        <v>0</v>
      </c>
      <c r="M38" s="58">
        <f t="array" ref="M38">(((IF(ISNUMBER(D37),SUM($D37:$D$38*$C37:$C$38),0)+$K$6)*J38-L38*$K$8)&gt;0)*((IF(ISNUMBER(D37),SUM($D37:$D$38*$C37:$C$38),0)+$K$6)*J38*$K$7-L38*$K$8)</f>
        <v>0</v>
      </c>
      <c r="N38" s="59">
        <f t="array" ref="N38">(((SUM($D$38:$D38*$C$38:$C38)+$K$6)*J38-L38*$K$8)&gt;0)*((SUM($D$38:$D38*$C$38:$C38)+$K$6)*J38*$K$7-L38*$K$8)</f>
        <v>1.6487737190694414</v>
      </c>
      <c r="O38" s="57">
        <f>IF(ISNUMBER(SEARCH("глин",B38,1)),2*F38/9.80665*SQRT(K38),0)</f>
        <v>0</v>
      </c>
      <c r="P38" s="58">
        <f t="array" ref="P38">IF(ISNUMBER(D37),(SUM($D37:$D$38*$C37:$C$38*IF($I37:$I$38="+",1,0))*K38+O38)*$K$8,0)</f>
        <v>0</v>
      </c>
      <c r="Q38" s="59">
        <f t="array" ref="Q38">(SUM($D$38:$D38*$C$38:$C38*IF($I$38:$I38="+",1,0))*K38+O38)*$K$8</f>
        <v>0</v>
      </c>
      <c r="R38" s="57">
        <f>IF(AND(C38&gt;0,N38&gt;0),(2*M38+N38)/(3*(M38+N38))*C38,0)</f>
        <v>0.57000000000000006</v>
      </c>
      <c r="S38" s="58">
        <f>IF(C39&gt;0,SUM($C39:$C$40),0)+R38</f>
        <v>6.7600000000000007</v>
      </c>
      <c r="T38" s="58">
        <f t="shared" ref="T38" si="1">IF($C38&gt;0,(M38+N38)/2*$C38,0)</f>
        <v>1.4097015298043722</v>
      </c>
      <c r="U38" s="69">
        <f>S38*T38</f>
        <v>9.5295823414775569</v>
      </c>
      <c r="V38" s="57">
        <f>IF(AND(C38&gt;0,Q38&gt;0),(2*P38+Q38)/(3*(P38+Q38))*C38,0)</f>
        <v>0</v>
      </c>
      <c r="W38" s="58">
        <f>IF(C39&gt;0,SUM($C39:$C$40),0)+V38</f>
        <v>6.19</v>
      </c>
      <c r="X38" s="58">
        <f t="shared" ref="X38" si="2">IF($C38&gt;0,(P38+Q38)/2*$C38,0)</f>
        <v>0</v>
      </c>
      <c r="Y38" s="66">
        <f>W38*X38</f>
        <v>0</v>
      </c>
    </row>
    <row r="39" spans="1:25" x14ac:dyDescent="0.25">
      <c r="A39" s="17">
        <v>2</v>
      </c>
      <c r="B39" s="28" t="s">
        <v>16</v>
      </c>
      <c r="C39" s="21">
        <v>0.75</v>
      </c>
      <c r="D39" s="8">
        <v>1.95</v>
      </c>
      <c r="E39" s="8">
        <v>38</v>
      </c>
      <c r="F39" s="8">
        <v>2</v>
      </c>
      <c r="G39" s="22">
        <v>0</v>
      </c>
      <c r="H39" s="49" t="s">
        <v>21</v>
      </c>
      <c r="I39" s="80" t="s">
        <v>21</v>
      </c>
      <c r="J39" s="32">
        <f t="shared" ref="J39:J42" si="3">IF(C39&gt;0,IF(H39="+",IF($G39&gt;0,COS(E39*PI()/180)^2/(1+SQRT(SIN((E39-$G39)*PI()/180)*SIN(E39*PI()/180)/COS($G39*PI()/180)))^2,IF($G39=0,TAN((45-E39/2)*PI()/180)^2,"Ошибка")),0),0)</f>
        <v>0.23788307794915586</v>
      </c>
      <c r="K39" s="33">
        <f t="shared" ref="K39:K42" si="4">IF(C39&gt;0,IF(I39="+",TAN((45+E39/2)*PI()/180)^2,0),0)</f>
        <v>4.2037458427948193</v>
      </c>
      <c r="L39" s="60">
        <f t="shared" ref="L39:L42" si="5">IF(ISNUMBER(SEARCH("глин",B39,1)),F39/9.80665/TAN(E39*PI()/180)*(1-J39/COS($G39*PI()/180)),0)</f>
        <v>0</v>
      </c>
      <c r="M39" s="61">
        <f t="array" ref="M39">(((IF(ISNUMBER(D38),SUM($D38:$D$38*$C38:$C$38),0)+$K$6)*J39-L39*$K$8)&gt;0)*((IF(ISNUMBER(D38),SUM($D38:$D$38*$C38:$C$38),0)+$K$6)*J39*$K$7-L39*$K$8)</f>
        <v>0.95186534810575218</v>
      </c>
      <c r="N39" s="62">
        <f t="array" ref="N39">(((SUM($D$38:$D39*$C$38:$C39)+$K$6)*J39-L39*$K$8)&gt;0)*((SUM($D$38:$D39*$C$38:$C39)+$K$6)*J39*$K$7-L39*$K$8)</f>
        <v>1.3693501499065206</v>
      </c>
      <c r="O39" s="60">
        <f t="shared" ref="O39:O42" si="6">IF(ISNUMBER(SEARCH("глин",B39,1)),2*F39/9.80665*SQRT(K39),0)</f>
        <v>0</v>
      </c>
      <c r="P39" s="61">
        <f t="array" ref="P39">IF(ISNUMBER(D38),(SUM($D38:$D$38*$C38:$C$38*IF($I38:$I$38="+",1,0))*K39+O39)*$K$8,0)</f>
        <v>0</v>
      </c>
      <c r="Q39" s="62">
        <f t="array" ref="Q39">(SUM($D$38:$D39*$C$38:$C39*IF($I$38:$I39="+",1,0))*K39+O39)*$K$8</f>
        <v>4.9183826360699392</v>
      </c>
      <c r="R39" s="60">
        <f t="shared" ref="R39:R42" si="7">IF(AND(C39&gt;0,N39&gt;0),(2*M39+N39)/(3*(M39+N39))*C39,0)</f>
        <v>0.35251798561151076</v>
      </c>
      <c r="S39" s="61">
        <f>IF(C40&gt;0,SUM($C40:$C$40),0)+R39</f>
        <v>5.7925179856115108</v>
      </c>
      <c r="T39" s="61">
        <f t="shared" ref="T39:T42" si="8">IF($C39&gt;0,(M39+N39)/2*$C39,0)</f>
        <v>0.87045581175460229</v>
      </c>
      <c r="U39" s="70">
        <f t="shared" ref="U39:U42" si="9">S39*T39</f>
        <v>5.0421309452686014</v>
      </c>
      <c r="V39" s="60">
        <f t="shared" ref="V39:V42" si="10">IF(AND(C39&gt;0,Q39&gt;0),(2*P39+Q39)/(3*(P39+Q39))*C39,0)</f>
        <v>0.25</v>
      </c>
      <c r="W39" s="61">
        <f>IF(C40&gt;0,SUM($C40:$C$40),0)+V39</f>
        <v>5.69</v>
      </c>
      <c r="X39" s="61">
        <f t="shared" ref="X39:X42" si="11">IF($C39&gt;0,(P39+Q39)/2*$C39,0)</f>
        <v>1.8443934885262272</v>
      </c>
      <c r="Y39" s="67">
        <f t="shared" ref="Y39:Y42" si="12">W39*X39</f>
        <v>10.494598949714234</v>
      </c>
    </row>
    <row r="40" spans="1:25" x14ac:dyDescent="0.25">
      <c r="A40" s="17">
        <v>3</v>
      </c>
      <c r="B40" s="29" t="s">
        <v>82</v>
      </c>
      <c r="C40" s="21">
        <v>5.44</v>
      </c>
      <c r="D40" s="8">
        <v>1.99</v>
      </c>
      <c r="E40" s="8">
        <v>19.399999999999999</v>
      </c>
      <c r="F40" s="8">
        <v>20.7</v>
      </c>
      <c r="G40" s="22">
        <v>0</v>
      </c>
      <c r="H40" s="49" t="s">
        <v>21</v>
      </c>
      <c r="I40" s="80" t="s">
        <v>21</v>
      </c>
      <c r="J40" s="32">
        <f t="shared" si="3"/>
        <v>0.50131988701093433</v>
      </c>
      <c r="K40" s="33">
        <f t="shared" si="4"/>
        <v>1.994734352076859</v>
      </c>
      <c r="L40" s="60">
        <f t="shared" si="5"/>
        <v>2.9890772016030098</v>
      </c>
      <c r="M40" s="61">
        <f t="array" ref="M40">(((IF(ISNUMBER(D39),SUM($D$38:$D39*$C$38:$C39),0)+$K$6)*J40-L40*$K$8)&gt;0)*((IF(ISNUMBER(D39),SUM($D$38:$D39*$C$38:$C39),0)+$K$6)*J40*$K$7-L40*$K$8)</f>
        <v>0.49453603630733411</v>
      </c>
      <c r="N40" s="62">
        <f t="array" ref="N40">(((SUM($D$38:$D40*$C$38:$C40)+$K$6)*J40-L40*$K$8)&gt;0)*((SUM($D$38:$D40*$C$38:$C40)+$K$6)*J40*$K$7-L40*$K$8)</f>
        <v>7.0070423188980193</v>
      </c>
      <c r="O40" s="60">
        <f t="shared" si="6"/>
        <v>5.9624149750472872</v>
      </c>
      <c r="P40" s="61">
        <f t="array" ref="P40">IF(ISNUMBER(D39),(SUM($D$38:$D39*$C$38:$C39*IF($I$38:$I39="+",1,0))*K40+O40)*$K$8,0)</f>
        <v>7.1037711719677548</v>
      </c>
      <c r="Q40" s="62">
        <f t="array" ref="Q40">(SUM($D$38:$D40*$C$38:$C40*IF($I$38:$I40="+",1,0))*K40+O40)*$K$8</f>
        <v>24.379128133442354</v>
      </c>
      <c r="R40" s="60">
        <f t="shared" si="7"/>
        <v>1.9328759997841041</v>
      </c>
      <c r="S40" s="61">
        <f>IF(C41&gt;0,SUM($C$40:$C41),0)+R40</f>
        <v>1.9328759997841041</v>
      </c>
      <c r="T40" s="61">
        <f t="shared" si="8"/>
        <v>20.404293126158564</v>
      </c>
      <c r="U40" s="70">
        <f t="shared" si="9"/>
        <v>39.438968476111654</v>
      </c>
      <c r="V40" s="60">
        <f t="shared" si="10"/>
        <v>2.2224921256523098</v>
      </c>
      <c r="W40" s="61">
        <f>IF(C41&gt;0,SUM($C$40:$C41),0)+V40</f>
        <v>2.2224921256523098</v>
      </c>
      <c r="X40" s="61">
        <f t="shared" si="11"/>
        <v>85.633486110715495</v>
      </c>
      <c r="Y40" s="67">
        <f t="shared" si="12"/>
        <v>190.31974857322163</v>
      </c>
    </row>
    <row r="41" spans="1:25" x14ac:dyDescent="0.25">
      <c r="A41" s="17">
        <v>4</v>
      </c>
      <c r="B41" s="29" t="s">
        <v>83</v>
      </c>
      <c r="C41" s="21">
        <v>0</v>
      </c>
      <c r="D41" s="8">
        <v>1.93</v>
      </c>
      <c r="E41" s="8">
        <v>15.8</v>
      </c>
      <c r="F41" s="8">
        <v>36.659999999999997</v>
      </c>
      <c r="G41" s="22">
        <v>0</v>
      </c>
      <c r="H41" s="49" t="s">
        <v>21</v>
      </c>
      <c r="I41" s="80" t="s">
        <v>21</v>
      </c>
      <c r="J41" s="32">
        <f t="shared" si="3"/>
        <v>0</v>
      </c>
      <c r="K41" s="33">
        <f t="shared" si="4"/>
        <v>0</v>
      </c>
      <c r="L41" s="60">
        <f t="shared" si="5"/>
        <v>13.210800160670535</v>
      </c>
      <c r="M41" s="61">
        <f t="array" ref="M41">(((IF(ISNUMBER(D40),SUM($D$38:$D40*$C$38:$C40),0)+$K$6)*J41-L41*$K$8)&gt;0)*((IF(ISNUMBER(D40),SUM($D$38:$D40*$C$38:$C40),0)+$K$6)*J41*$K$7-L41*$K$8)</f>
        <v>0</v>
      </c>
      <c r="N41" s="62">
        <f t="array" ref="N41">(((SUM($D$38:$D41*$C$38:$C41)+$K$6)*J41-L41*$K$8)&gt;0)*((SUM($D$38:$D41*$C$38:$C41)+$K$6)*J41*$K$7-L41*$K$8)</f>
        <v>0</v>
      </c>
      <c r="O41" s="60">
        <f t="shared" si="6"/>
        <v>0</v>
      </c>
      <c r="P41" s="61">
        <f t="array" ref="P41">IF(ISNUMBER(D40),(SUM($D$38:$D40*$C$38:$C40*IF($I$38:$I40="+",1,0))*K41+O41)*$K$8,0)</f>
        <v>0</v>
      </c>
      <c r="Q41" s="62">
        <f t="array" ref="Q41">(SUM($D$38:$D41*$C$38:$C41*IF($I$38:$I41="+",1,0))*K41+O41)*$K$8</f>
        <v>0</v>
      </c>
      <c r="R41" s="60">
        <f t="shared" si="7"/>
        <v>0</v>
      </c>
      <c r="S41" s="61">
        <f>IF(C42&gt;0,SUM($C$40:$C42),0)+R41</f>
        <v>0</v>
      </c>
      <c r="T41" s="61">
        <f t="shared" si="8"/>
        <v>0</v>
      </c>
      <c r="U41" s="70">
        <f t="shared" si="9"/>
        <v>0</v>
      </c>
      <c r="V41" s="60">
        <f t="shared" si="10"/>
        <v>0</v>
      </c>
      <c r="W41" s="61">
        <f>IF(C42&gt;0,SUM($C$40:$C42),0)+V41</f>
        <v>0</v>
      </c>
      <c r="X41" s="61">
        <f t="shared" si="11"/>
        <v>0</v>
      </c>
      <c r="Y41" s="67">
        <f t="shared" si="12"/>
        <v>0</v>
      </c>
    </row>
    <row r="42" spans="1:25" ht="15.75" thickBot="1" x14ac:dyDescent="0.3">
      <c r="A42" s="18">
        <v>5</v>
      </c>
      <c r="B42" s="30"/>
      <c r="C42" s="23">
        <v>0</v>
      </c>
      <c r="D42" s="9">
        <v>2.0299999999999998</v>
      </c>
      <c r="E42" s="9">
        <v>14</v>
      </c>
      <c r="F42" s="9">
        <v>10</v>
      </c>
      <c r="G42" s="24">
        <v>0</v>
      </c>
      <c r="H42" s="50" t="s">
        <v>21</v>
      </c>
      <c r="I42" s="81" t="s">
        <v>21</v>
      </c>
      <c r="J42" s="34">
        <f t="shared" si="3"/>
        <v>0</v>
      </c>
      <c r="K42" s="35">
        <f t="shared" si="4"/>
        <v>0</v>
      </c>
      <c r="L42" s="63">
        <f t="shared" si="5"/>
        <v>0</v>
      </c>
      <c r="M42" s="64">
        <f t="array" ref="M42">(((IF(ISNUMBER(D41),SUM($D$38:$D41*$C$38:$C41),0)+$K$6)*J42-L42*$K$8)&gt;0)*((IF(ISNUMBER(D41),SUM($D$38:$D41*$C$38:$C41),0)+$K$6)*J42*$K$7-L42*$K$8)</f>
        <v>0</v>
      </c>
      <c r="N42" s="65">
        <f t="array" ref="N42">(((SUM($D$38:$D42*$C$38:$C42)+$K$6)*J42-L42*$K$8)&gt;0)*((SUM($D$38:$D42*$C$38:$C42)+$K$6)*J42*$K$7-L42*$K$8)</f>
        <v>0</v>
      </c>
      <c r="O42" s="63">
        <f t="shared" si="6"/>
        <v>0</v>
      </c>
      <c r="P42" s="64">
        <f t="array" ref="P42">IF(ISNUMBER(D41),(SUM($D$38:$D41*$C$38:$C41*IF($I$38:$I41="+",1,0))*K42+O42)*$K$8,0)</f>
        <v>0</v>
      </c>
      <c r="Q42" s="65">
        <f t="array" ref="Q42">(SUM($D$38:$D42*$C$38:$C42*IF($I$38:$I42="+",1,0))*K42+O42)*$K$8</f>
        <v>0</v>
      </c>
      <c r="R42" s="63">
        <f t="shared" si="7"/>
        <v>0</v>
      </c>
      <c r="S42" s="64">
        <f>IF(C43&gt;0,SUM($C$40:$C43),0)+R42</f>
        <v>0</v>
      </c>
      <c r="T42" s="64">
        <f t="shared" si="8"/>
        <v>0</v>
      </c>
      <c r="U42" s="71">
        <f t="shared" si="9"/>
        <v>0</v>
      </c>
      <c r="V42" s="63">
        <f t="shared" si="10"/>
        <v>0</v>
      </c>
      <c r="W42" s="64">
        <f>IF(C43&gt;0,SUM($C$40:$C43),0)+V42</f>
        <v>0</v>
      </c>
      <c r="X42" s="64">
        <f t="shared" si="11"/>
        <v>0</v>
      </c>
      <c r="Y42" s="68">
        <f t="shared" si="12"/>
        <v>0</v>
      </c>
    </row>
    <row r="43" spans="1:25" x14ac:dyDescent="0.25">
      <c r="A43" s="7"/>
      <c r="B43" s="6"/>
      <c r="C43" s="5"/>
      <c r="D43" s="7"/>
      <c r="E43" s="5"/>
    </row>
    <row r="44" spans="1:25" x14ac:dyDescent="0.25">
      <c r="A44" s="7"/>
      <c r="B44" s="6"/>
      <c r="E44" s="5"/>
      <c r="L44" s="1">
        <f>SUM(C38:$C$42)</f>
        <v>7.9</v>
      </c>
      <c r="M44" s="19">
        <f>-M38</f>
        <v>0</v>
      </c>
      <c r="N44" s="19">
        <f>P38</f>
        <v>0</v>
      </c>
    </row>
    <row r="45" spans="1:25" x14ac:dyDescent="0.25">
      <c r="B45" s="1"/>
      <c r="L45" s="1">
        <f>SUM(C39:$C$42)</f>
        <v>6.19</v>
      </c>
      <c r="M45" s="19">
        <f>-N38</f>
        <v>-1.6487737190694414</v>
      </c>
      <c r="N45" s="19">
        <f>Q38</f>
        <v>0</v>
      </c>
    </row>
    <row r="46" spans="1:25" x14ac:dyDescent="0.25">
      <c r="B46" s="1"/>
      <c r="C46" s="1">
        <f>SUM(C38:C45)</f>
        <v>7.9</v>
      </c>
      <c r="L46" s="1">
        <f>SUM(C39:$C$42)</f>
        <v>6.19</v>
      </c>
      <c r="M46" s="19">
        <f>-M39</f>
        <v>-0.95186534810575218</v>
      </c>
      <c r="N46" s="19">
        <f>P39</f>
        <v>0</v>
      </c>
    </row>
    <row r="47" spans="1:25" x14ac:dyDescent="0.25">
      <c r="B47" s="1"/>
      <c r="L47" s="1">
        <f>SUM(C40:$C$42)</f>
        <v>5.44</v>
      </c>
      <c r="M47" s="19">
        <f>-N39</f>
        <v>-1.3693501499065206</v>
      </c>
      <c r="N47" s="19">
        <f>Q39</f>
        <v>4.9183826360699392</v>
      </c>
    </row>
    <row r="48" spans="1:25" x14ac:dyDescent="0.25">
      <c r="B48" s="1"/>
      <c r="L48" s="1">
        <f>SUM(C40:$C$42)</f>
        <v>5.44</v>
      </c>
      <c r="M48" s="19">
        <f>-M40</f>
        <v>-0.49453603630733411</v>
      </c>
      <c r="N48" s="19">
        <f>P40</f>
        <v>7.1037711719677548</v>
      </c>
    </row>
    <row r="49" spans="2:14" x14ac:dyDescent="0.25">
      <c r="B49" s="1"/>
      <c r="H49"/>
      <c r="L49" s="1">
        <f>SUM(C41:$C$42)</f>
        <v>0</v>
      </c>
      <c r="M49" s="19">
        <f>-N40</f>
        <v>-7.0070423188980193</v>
      </c>
      <c r="N49" s="19">
        <f>Q40</f>
        <v>24.379128133442354</v>
      </c>
    </row>
    <row r="50" spans="2:14" x14ac:dyDescent="0.25">
      <c r="B50" s="1"/>
      <c r="L50" s="1">
        <f>SUM(C41:$C$42)</f>
        <v>0</v>
      </c>
      <c r="M50" s="19">
        <f>-M41</f>
        <v>0</v>
      </c>
      <c r="N50" s="19">
        <f>P41</f>
        <v>0</v>
      </c>
    </row>
    <row r="51" spans="2:14" x14ac:dyDescent="0.25">
      <c r="B51" s="1"/>
      <c r="L51" s="1">
        <f>SUM(C42:$C$42)</f>
        <v>0</v>
      </c>
      <c r="M51" s="19">
        <f>-N41</f>
        <v>0</v>
      </c>
      <c r="N51" s="19">
        <f>Q41</f>
        <v>0</v>
      </c>
    </row>
    <row r="53" spans="2:14" x14ac:dyDescent="0.25">
      <c r="B53" s="1"/>
    </row>
    <row r="54" spans="2:14" x14ac:dyDescent="0.25">
      <c r="B54" s="1"/>
    </row>
    <row r="55" spans="2:14" x14ac:dyDescent="0.25">
      <c r="B55" s="1"/>
    </row>
    <row r="56" spans="2:14" x14ac:dyDescent="0.25">
      <c r="F56" s="3"/>
    </row>
    <row r="57" spans="2:14" x14ac:dyDescent="0.25">
      <c r="D57" s="25"/>
    </row>
    <row r="58" spans="2:14" x14ac:dyDescent="0.25">
      <c r="D58" s="25"/>
    </row>
    <row r="59" spans="2:14" x14ac:dyDescent="0.25">
      <c r="D59" s="25"/>
      <c r="F59" s="3"/>
    </row>
    <row r="60" spans="2:14" x14ac:dyDescent="0.25">
      <c r="D60" s="25"/>
    </row>
    <row r="61" spans="2:14" x14ac:dyDescent="0.25">
      <c r="D61" s="25"/>
    </row>
    <row r="62" spans="2:14" x14ac:dyDescent="0.25">
      <c r="D62" s="25"/>
    </row>
    <row r="67" ht="15" customHeight="1" x14ac:dyDescent="0.25"/>
  </sheetData>
  <mergeCells count="66">
    <mergeCell ref="B32:H32"/>
    <mergeCell ref="I28:J28"/>
    <mergeCell ref="B28:H28"/>
    <mergeCell ref="B31:H31"/>
    <mergeCell ref="B30:H30"/>
    <mergeCell ref="B29:H29"/>
    <mergeCell ref="I31:J31"/>
    <mergeCell ref="I30:J30"/>
    <mergeCell ref="I29:J29"/>
    <mergeCell ref="I32:J32"/>
    <mergeCell ref="B27:H27"/>
    <mergeCell ref="B26:H26"/>
    <mergeCell ref="B12:H12"/>
    <mergeCell ref="I12:J12"/>
    <mergeCell ref="I13:J13"/>
    <mergeCell ref="B13:H13"/>
    <mergeCell ref="I15:J15"/>
    <mergeCell ref="I14:J14"/>
    <mergeCell ref="B15:H15"/>
    <mergeCell ref="B14:H14"/>
    <mergeCell ref="I27:J27"/>
    <mergeCell ref="I26:J26"/>
    <mergeCell ref="I25:J25"/>
    <mergeCell ref="B22:H22"/>
    <mergeCell ref="I22:J22"/>
    <mergeCell ref="B23:H23"/>
    <mergeCell ref="C35:D35"/>
    <mergeCell ref="C34:D34"/>
    <mergeCell ref="H35:I35"/>
    <mergeCell ref="H34:I34"/>
    <mergeCell ref="E34:G34"/>
    <mergeCell ref="E35:G35"/>
    <mergeCell ref="I23:J23"/>
    <mergeCell ref="B24:H24"/>
    <mergeCell ref="I24:J24"/>
    <mergeCell ref="B25:H25"/>
    <mergeCell ref="B21:H21"/>
    <mergeCell ref="I21:J21"/>
    <mergeCell ref="I20:J20"/>
    <mergeCell ref="I19:J19"/>
    <mergeCell ref="I18:J18"/>
    <mergeCell ref="B5:H5"/>
    <mergeCell ref="B4:H4"/>
    <mergeCell ref="I7:J7"/>
    <mergeCell ref="I16:J16"/>
    <mergeCell ref="I6:J6"/>
    <mergeCell ref="I5:J5"/>
    <mergeCell ref="I4:J4"/>
    <mergeCell ref="B9:H9"/>
    <mergeCell ref="I9:J9"/>
    <mergeCell ref="A1:M1"/>
    <mergeCell ref="B19:H19"/>
    <mergeCell ref="B18:H18"/>
    <mergeCell ref="B17:H17"/>
    <mergeCell ref="I17:J17"/>
    <mergeCell ref="B10:H10"/>
    <mergeCell ref="B8:H8"/>
    <mergeCell ref="B7:H7"/>
    <mergeCell ref="B16:H16"/>
    <mergeCell ref="B6:H6"/>
    <mergeCell ref="M19:T24"/>
    <mergeCell ref="B20:H20"/>
    <mergeCell ref="B3:H3"/>
    <mergeCell ref="I3:J3"/>
    <mergeCell ref="I10:J10"/>
    <mergeCell ref="I8:J8"/>
  </mergeCells>
  <phoneticPr fontId="4" type="noConversion"/>
  <conditionalFormatting sqref="E34 C34:D35 H34:I35">
    <cfRule type="expression" dxfId="5" priority="3">
      <formula>$C$35&lt;$H$35</formula>
    </cfRule>
    <cfRule type="expression" dxfId="4" priority="4">
      <formula>$C$35&gt;=$H$35</formula>
    </cfRule>
  </conditionalFormatting>
  <conditionalFormatting sqref="E35">
    <cfRule type="expression" dxfId="3" priority="1">
      <formula>$C$35&lt;$H$35</formula>
    </cfRule>
    <cfRule type="expression" dxfId="2" priority="2">
      <formula>$C$35&gt;=$H$35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B6F0-8037-4588-8B56-8447DA5AD8A4}">
  <dimension ref="A1:Z85"/>
  <sheetViews>
    <sheetView tabSelected="1" zoomScaleNormal="100" workbookViewId="0">
      <selection activeCell="S16" sqref="S16"/>
    </sheetView>
  </sheetViews>
  <sheetFormatPr defaultRowHeight="15" x14ac:dyDescent="0.25"/>
  <cols>
    <col min="1" max="1" width="6.5703125" style="1" customWidth="1"/>
    <col min="2" max="2" width="44" style="2" customWidth="1"/>
    <col min="3" max="6" width="7.5703125" style="1" customWidth="1"/>
    <col min="7" max="8" width="10.7109375" style="1" customWidth="1"/>
    <col min="9" max="10" width="7.140625" style="1" customWidth="1"/>
    <col min="11" max="16" width="6.85546875" style="1" customWidth="1"/>
    <col min="17" max="24" width="7.140625" style="1" customWidth="1"/>
    <col min="25" max="16384" width="9.140625" style="1"/>
  </cols>
  <sheetData>
    <row r="1" spans="1:16" ht="15" customHeight="1" x14ac:dyDescent="0.25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6" ht="15" customHeight="1" thickBo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5" customHeight="1" thickBot="1" x14ac:dyDescent="0.3">
      <c r="A3" s="26"/>
      <c r="B3" s="119" t="s">
        <v>32</v>
      </c>
      <c r="C3" s="120"/>
      <c r="D3" s="120"/>
      <c r="E3" s="120"/>
      <c r="F3" s="120"/>
      <c r="G3" s="120"/>
      <c r="H3" s="121"/>
      <c r="I3" s="119" t="s">
        <v>33</v>
      </c>
      <c r="J3" s="121"/>
      <c r="K3" s="47" t="s">
        <v>35</v>
      </c>
      <c r="L3" s="93" t="s">
        <v>34</v>
      </c>
      <c r="M3" s="26"/>
      <c r="N3" s="26"/>
      <c r="O3" s="26"/>
      <c r="P3" s="26"/>
    </row>
    <row r="4" spans="1:16" ht="15" customHeight="1" x14ac:dyDescent="0.25">
      <c r="A4" s="92"/>
      <c r="B4" s="129" t="s">
        <v>23</v>
      </c>
      <c r="C4" s="130"/>
      <c r="D4" s="130"/>
      <c r="E4" s="130"/>
      <c r="F4" s="130"/>
      <c r="G4" s="130"/>
      <c r="H4" s="131"/>
      <c r="I4" s="132" t="s">
        <v>24</v>
      </c>
      <c r="J4" s="133"/>
      <c r="K4" s="48">
        <v>0</v>
      </c>
      <c r="L4" s="91" t="s">
        <v>4</v>
      </c>
    </row>
    <row r="5" spans="1:16" ht="15" customHeight="1" x14ac:dyDescent="0.25">
      <c r="A5" s="92"/>
      <c r="B5" s="105" t="s">
        <v>11</v>
      </c>
      <c r="C5" s="106"/>
      <c r="D5" s="106"/>
      <c r="E5" s="106"/>
      <c r="F5" s="106"/>
      <c r="G5" s="106"/>
      <c r="H5" s="107"/>
      <c r="I5" s="124" t="s">
        <v>12</v>
      </c>
      <c r="J5" s="125"/>
      <c r="K5" s="49">
        <v>0</v>
      </c>
      <c r="L5" s="90" t="s">
        <v>13</v>
      </c>
    </row>
    <row r="6" spans="1:16" ht="15" customHeight="1" x14ac:dyDescent="0.25">
      <c r="A6" s="92"/>
      <c r="B6" s="105" t="s">
        <v>25</v>
      </c>
      <c r="C6" s="106"/>
      <c r="D6" s="106"/>
      <c r="E6" s="106"/>
      <c r="F6" s="106"/>
      <c r="G6" s="106"/>
      <c r="H6" s="107"/>
      <c r="I6" s="124" t="s">
        <v>26</v>
      </c>
      <c r="J6" s="125"/>
      <c r="K6" s="72">
        <v>0</v>
      </c>
      <c r="L6" s="90" t="s">
        <v>27</v>
      </c>
    </row>
    <row r="7" spans="1:16" ht="18.75" x14ac:dyDescent="0.25">
      <c r="A7" s="92"/>
      <c r="B7" s="105" t="s">
        <v>6</v>
      </c>
      <c r="C7" s="106"/>
      <c r="D7" s="106"/>
      <c r="E7" s="106"/>
      <c r="F7" s="106"/>
      <c r="G7" s="106"/>
      <c r="H7" s="107"/>
      <c r="I7" s="124" t="s">
        <v>5</v>
      </c>
      <c r="J7" s="125"/>
      <c r="K7" s="49">
        <v>1.2</v>
      </c>
      <c r="L7" s="13"/>
    </row>
    <row r="8" spans="1:16" ht="15" customHeight="1" x14ac:dyDescent="0.25">
      <c r="A8" s="92"/>
      <c r="B8" s="105" t="s">
        <v>7</v>
      </c>
      <c r="C8" s="106"/>
      <c r="D8" s="106"/>
      <c r="E8" s="106"/>
      <c r="F8" s="106"/>
      <c r="G8" s="106"/>
      <c r="H8" s="107"/>
      <c r="I8" s="124" t="s">
        <v>8</v>
      </c>
      <c r="J8" s="125"/>
      <c r="K8" s="49" t="s">
        <v>9</v>
      </c>
      <c r="L8" s="13"/>
    </row>
    <row r="9" spans="1:16" ht="15" customHeight="1" x14ac:dyDescent="0.25">
      <c r="A9" s="92"/>
      <c r="B9" s="105" t="s">
        <v>79</v>
      </c>
      <c r="C9" s="106"/>
      <c r="D9" s="106"/>
      <c r="E9" s="106"/>
      <c r="F9" s="106"/>
      <c r="G9" s="106"/>
      <c r="H9" s="107"/>
      <c r="I9" s="124" t="s">
        <v>80</v>
      </c>
      <c r="J9" s="125"/>
      <c r="K9" s="49">
        <v>1.1000000000000001</v>
      </c>
      <c r="L9" s="13"/>
    </row>
    <row r="10" spans="1:16" ht="15" customHeight="1" thickBot="1" x14ac:dyDescent="0.3">
      <c r="A10" s="92"/>
      <c r="B10" s="102" t="s">
        <v>14</v>
      </c>
      <c r="C10" s="103"/>
      <c r="D10" s="103"/>
      <c r="E10" s="103"/>
      <c r="F10" s="103"/>
      <c r="G10" s="103"/>
      <c r="H10" s="104"/>
      <c r="I10" s="122" t="s">
        <v>15</v>
      </c>
      <c r="J10" s="123"/>
      <c r="K10" s="50">
        <v>0.95</v>
      </c>
      <c r="L10" s="14"/>
    </row>
    <row r="11" spans="1:16" ht="15" customHeight="1" thickBot="1" x14ac:dyDescent="0.3">
      <c r="A11" s="92"/>
    </row>
    <row r="12" spans="1:16" ht="15" customHeight="1" x14ac:dyDescent="0.25">
      <c r="A12" s="92"/>
      <c r="B12" s="144" t="s">
        <v>54</v>
      </c>
      <c r="C12" s="145"/>
      <c r="D12" s="145"/>
      <c r="E12" s="145"/>
      <c r="F12" s="145"/>
      <c r="G12" s="145"/>
      <c r="H12" s="145"/>
      <c r="I12" s="146" t="s">
        <v>50</v>
      </c>
      <c r="J12" s="146"/>
      <c r="K12" s="39" t="s">
        <v>36</v>
      </c>
      <c r="L12" s="53" t="s">
        <v>4</v>
      </c>
    </row>
    <row r="13" spans="1:16" ht="15" customHeight="1" x14ac:dyDescent="0.25">
      <c r="A13" s="92"/>
      <c r="B13" s="148" t="s">
        <v>53</v>
      </c>
      <c r="C13" s="149"/>
      <c r="D13" s="149"/>
      <c r="E13" s="149"/>
      <c r="F13" s="149"/>
      <c r="G13" s="149"/>
      <c r="H13" s="149"/>
      <c r="I13" s="147" t="s">
        <v>49</v>
      </c>
      <c r="J13" s="147"/>
      <c r="K13" s="38" t="s">
        <v>36</v>
      </c>
      <c r="L13" s="54" t="s">
        <v>52</v>
      </c>
    </row>
    <row r="14" spans="1:16" ht="15" customHeight="1" x14ac:dyDescent="0.25">
      <c r="A14" s="92"/>
      <c r="B14" s="148" t="s">
        <v>56</v>
      </c>
      <c r="C14" s="149"/>
      <c r="D14" s="149"/>
      <c r="E14" s="149"/>
      <c r="F14" s="149"/>
      <c r="G14" s="149"/>
      <c r="H14" s="149"/>
      <c r="I14" s="147" t="s">
        <v>51</v>
      </c>
      <c r="J14" s="147"/>
      <c r="K14" s="38" t="s">
        <v>36</v>
      </c>
      <c r="L14" s="54" t="s">
        <v>2</v>
      </c>
    </row>
    <row r="15" spans="1:16" ht="15" customHeight="1" x14ac:dyDescent="0.25">
      <c r="A15" s="92"/>
      <c r="B15" s="148" t="s">
        <v>57</v>
      </c>
      <c r="C15" s="149"/>
      <c r="D15" s="149"/>
      <c r="E15" s="149"/>
      <c r="F15" s="149"/>
      <c r="G15" s="149"/>
      <c r="H15" s="149"/>
      <c r="I15" s="147" t="s">
        <v>55</v>
      </c>
      <c r="J15" s="147"/>
      <c r="K15" s="38" t="s">
        <v>36</v>
      </c>
      <c r="L15" s="54" t="s">
        <v>81</v>
      </c>
    </row>
    <row r="16" spans="1:16" ht="15" customHeight="1" thickBot="1" x14ac:dyDescent="0.3">
      <c r="A16" s="92"/>
      <c r="B16" s="97" t="s">
        <v>78</v>
      </c>
      <c r="C16" s="98"/>
      <c r="D16" s="98"/>
      <c r="E16" s="98"/>
      <c r="F16" s="98"/>
      <c r="G16" s="98"/>
      <c r="H16" s="98"/>
      <c r="I16" s="128" t="s">
        <v>3</v>
      </c>
      <c r="J16" s="128"/>
      <c r="K16" s="42" t="s">
        <v>36</v>
      </c>
      <c r="L16" s="88" t="s">
        <v>2</v>
      </c>
    </row>
    <row r="17" spans="1:20" ht="22.5" x14ac:dyDescent="0.25">
      <c r="A17" s="92"/>
      <c r="B17" s="99" t="s">
        <v>28</v>
      </c>
      <c r="C17" s="100"/>
      <c r="D17" s="100"/>
      <c r="E17" s="100"/>
      <c r="F17" s="100"/>
      <c r="G17" s="100"/>
      <c r="H17" s="100"/>
      <c r="I17" s="101" t="s">
        <v>0</v>
      </c>
      <c r="J17" s="101"/>
      <c r="K17" s="51" t="s">
        <v>36</v>
      </c>
      <c r="L17" s="52"/>
    </row>
    <row r="18" spans="1:20" ht="23.25" thickBot="1" x14ac:dyDescent="0.3">
      <c r="A18" s="92"/>
      <c r="B18" s="97" t="s">
        <v>29</v>
      </c>
      <c r="C18" s="98"/>
      <c r="D18" s="98"/>
      <c r="E18" s="98"/>
      <c r="F18" s="98"/>
      <c r="G18" s="98"/>
      <c r="H18" s="98"/>
      <c r="I18" s="128" t="s">
        <v>1</v>
      </c>
      <c r="J18" s="128"/>
      <c r="K18" s="42" t="s">
        <v>36</v>
      </c>
      <c r="L18" s="43"/>
    </row>
    <row r="19" spans="1:20" ht="22.5" customHeight="1" x14ac:dyDescent="0.25">
      <c r="A19" s="92"/>
      <c r="B19" s="95" t="s">
        <v>44</v>
      </c>
      <c r="C19" s="96"/>
      <c r="D19" s="96"/>
      <c r="E19" s="96"/>
      <c r="F19" s="96"/>
      <c r="G19" s="96"/>
      <c r="H19" s="96"/>
      <c r="I19" s="127" t="s">
        <v>31</v>
      </c>
      <c r="J19" s="127"/>
      <c r="K19" s="39" t="s">
        <v>36</v>
      </c>
      <c r="L19" s="40" t="s">
        <v>10</v>
      </c>
      <c r="M19" s="108" t="s">
        <v>77</v>
      </c>
      <c r="N19" s="109"/>
      <c r="O19" s="109"/>
      <c r="P19" s="109"/>
      <c r="Q19" s="109"/>
      <c r="R19" s="109"/>
      <c r="S19" s="109"/>
      <c r="T19" s="110"/>
    </row>
    <row r="20" spans="1:20" ht="22.5" x14ac:dyDescent="0.25">
      <c r="A20" s="92"/>
      <c r="B20" s="117" t="s">
        <v>42</v>
      </c>
      <c r="C20" s="118"/>
      <c r="D20" s="118"/>
      <c r="E20" s="118"/>
      <c r="F20" s="118"/>
      <c r="G20" s="118"/>
      <c r="H20" s="118"/>
      <c r="I20" s="126" t="s">
        <v>37</v>
      </c>
      <c r="J20" s="126"/>
      <c r="K20" s="38" t="s">
        <v>36</v>
      </c>
      <c r="L20" s="41" t="s">
        <v>10</v>
      </c>
      <c r="M20" s="111"/>
      <c r="N20" s="112"/>
      <c r="O20" s="112"/>
      <c r="P20" s="112"/>
      <c r="Q20" s="112"/>
      <c r="R20" s="112"/>
      <c r="S20" s="112"/>
      <c r="T20" s="113"/>
    </row>
    <row r="21" spans="1:20" ht="22.5" x14ac:dyDescent="0.25">
      <c r="A21" s="92"/>
      <c r="B21" s="117" t="s">
        <v>43</v>
      </c>
      <c r="C21" s="118"/>
      <c r="D21" s="118"/>
      <c r="E21" s="118"/>
      <c r="F21" s="118"/>
      <c r="G21" s="118"/>
      <c r="H21" s="118"/>
      <c r="I21" s="126" t="s">
        <v>38</v>
      </c>
      <c r="J21" s="126"/>
      <c r="K21" s="38" t="s">
        <v>36</v>
      </c>
      <c r="L21" s="41" t="s">
        <v>10</v>
      </c>
      <c r="M21" s="111"/>
      <c r="N21" s="112"/>
      <c r="O21" s="112"/>
      <c r="P21" s="112"/>
      <c r="Q21" s="112"/>
      <c r="R21" s="112"/>
      <c r="S21" s="112"/>
      <c r="T21" s="113"/>
    </row>
    <row r="22" spans="1:20" ht="22.5" x14ac:dyDescent="0.25">
      <c r="A22" s="92"/>
      <c r="B22" s="117" t="s">
        <v>45</v>
      </c>
      <c r="C22" s="118"/>
      <c r="D22" s="118"/>
      <c r="E22" s="118"/>
      <c r="F22" s="118"/>
      <c r="G22" s="118"/>
      <c r="H22" s="118"/>
      <c r="I22" s="126" t="s">
        <v>39</v>
      </c>
      <c r="J22" s="126"/>
      <c r="K22" s="38" t="s">
        <v>36</v>
      </c>
      <c r="L22" s="41" t="s">
        <v>10</v>
      </c>
      <c r="M22" s="111"/>
      <c r="N22" s="112"/>
      <c r="O22" s="112"/>
      <c r="P22" s="112"/>
      <c r="Q22" s="112"/>
      <c r="R22" s="112"/>
      <c r="S22" s="112"/>
      <c r="T22" s="113"/>
    </row>
    <row r="23" spans="1:20" ht="22.5" x14ac:dyDescent="0.25">
      <c r="A23" s="92"/>
      <c r="B23" s="117" t="s">
        <v>46</v>
      </c>
      <c r="C23" s="118"/>
      <c r="D23" s="118"/>
      <c r="E23" s="118"/>
      <c r="F23" s="118"/>
      <c r="G23" s="118"/>
      <c r="H23" s="118"/>
      <c r="I23" s="126" t="s">
        <v>40</v>
      </c>
      <c r="J23" s="126"/>
      <c r="K23" s="38" t="s">
        <v>36</v>
      </c>
      <c r="L23" s="41" t="s">
        <v>10</v>
      </c>
      <c r="M23" s="111"/>
      <c r="N23" s="112"/>
      <c r="O23" s="112"/>
      <c r="P23" s="112"/>
      <c r="Q23" s="112"/>
      <c r="R23" s="112"/>
      <c r="S23" s="112"/>
      <c r="T23" s="113"/>
    </row>
    <row r="24" spans="1:20" ht="23.25" thickBot="1" x14ac:dyDescent="0.3">
      <c r="A24" s="92"/>
      <c r="B24" s="134" t="s">
        <v>47</v>
      </c>
      <c r="C24" s="135"/>
      <c r="D24" s="135"/>
      <c r="E24" s="135"/>
      <c r="F24" s="135"/>
      <c r="G24" s="135"/>
      <c r="H24" s="135"/>
      <c r="I24" s="136" t="s">
        <v>41</v>
      </c>
      <c r="J24" s="136"/>
      <c r="K24" s="55" t="s">
        <v>36</v>
      </c>
      <c r="L24" s="56" t="s">
        <v>10</v>
      </c>
      <c r="M24" s="114"/>
      <c r="N24" s="115"/>
      <c r="O24" s="115"/>
      <c r="P24" s="115"/>
      <c r="Q24" s="115"/>
      <c r="R24" s="115"/>
      <c r="S24" s="115"/>
      <c r="T24" s="116"/>
    </row>
    <row r="25" spans="1:20" ht="32.25" customHeight="1" x14ac:dyDescent="0.25">
      <c r="A25" s="92"/>
      <c r="B25" s="95" t="s">
        <v>67</v>
      </c>
      <c r="C25" s="96"/>
      <c r="D25" s="96"/>
      <c r="E25" s="96"/>
      <c r="F25" s="96"/>
      <c r="G25" s="96"/>
      <c r="H25" s="96"/>
      <c r="I25" s="127" t="s">
        <v>48</v>
      </c>
      <c r="J25" s="127"/>
      <c r="K25" s="39" t="s">
        <v>36</v>
      </c>
      <c r="L25" s="40" t="s">
        <v>4</v>
      </c>
    </row>
    <row r="26" spans="1:20" ht="32.25" customHeight="1" x14ac:dyDescent="0.25">
      <c r="A26" s="92"/>
      <c r="B26" s="117" t="s">
        <v>68</v>
      </c>
      <c r="C26" s="118"/>
      <c r="D26" s="118"/>
      <c r="E26" s="118"/>
      <c r="F26" s="118"/>
      <c r="G26" s="118"/>
      <c r="H26" s="118"/>
      <c r="I26" s="126" t="s">
        <v>59</v>
      </c>
      <c r="J26" s="126"/>
      <c r="K26" s="38" t="s">
        <v>36</v>
      </c>
      <c r="L26" s="41" t="s">
        <v>4</v>
      </c>
    </row>
    <row r="27" spans="1:20" ht="22.5" x14ac:dyDescent="0.25">
      <c r="A27" s="92"/>
      <c r="B27" s="117" t="s">
        <v>60</v>
      </c>
      <c r="C27" s="118"/>
      <c r="D27" s="118"/>
      <c r="E27" s="118"/>
      <c r="F27" s="118"/>
      <c r="G27" s="118"/>
      <c r="H27" s="118"/>
      <c r="I27" s="126" t="s">
        <v>58</v>
      </c>
      <c r="J27" s="126"/>
      <c r="K27" s="38" t="s">
        <v>36</v>
      </c>
      <c r="L27" s="41" t="s">
        <v>76</v>
      </c>
    </row>
    <row r="28" spans="1:20" ht="23.25" thickBot="1" x14ac:dyDescent="0.3">
      <c r="A28" s="92"/>
      <c r="B28" s="97" t="s">
        <v>62</v>
      </c>
      <c r="C28" s="98"/>
      <c r="D28" s="98"/>
      <c r="E28" s="98"/>
      <c r="F28" s="98"/>
      <c r="G28" s="98"/>
      <c r="H28" s="98"/>
      <c r="I28" s="150" t="s">
        <v>61</v>
      </c>
      <c r="J28" s="150"/>
      <c r="K28" s="42" t="s">
        <v>36</v>
      </c>
      <c r="L28" s="43" t="s">
        <v>75</v>
      </c>
    </row>
    <row r="29" spans="1:20" ht="32.25" customHeight="1" x14ac:dyDescent="0.25">
      <c r="A29" s="92"/>
      <c r="B29" s="95" t="s">
        <v>69</v>
      </c>
      <c r="C29" s="96"/>
      <c r="D29" s="96"/>
      <c r="E29" s="96"/>
      <c r="F29" s="96"/>
      <c r="G29" s="96"/>
      <c r="H29" s="96"/>
      <c r="I29" s="127" t="s">
        <v>63</v>
      </c>
      <c r="J29" s="127"/>
      <c r="K29" s="39" t="s">
        <v>36</v>
      </c>
      <c r="L29" s="40" t="s">
        <v>4</v>
      </c>
    </row>
    <row r="30" spans="1:20" ht="32.25" customHeight="1" x14ac:dyDescent="0.25">
      <c r="A30" s="92"/>
      <c r="B30" s="117" t="s">
        <v>70</v>
      </c>
      <c r="C30" s="118"/>
      <c r="D30" s="118"/>
      <c r="E30" s="118"/>
      <c r="F30" s="118"/>
      <c r="G30" s="118"/>
      <c r="H30" s="118"/>
      <c r="I30" s="126" t="s">
        <v>64</v>
      </c>
      <c r="J30" s="126"/>
      <c r="K30" s="38" t="s">
        <v>36</v>
      </c>
      <c r="L30" s="41" t="s">
        <v>4</v>
      </c>
    </row>
    <row r="31" spans="1:20" ht="22.5" x14ac:dyDescent="0.25">
      <c r="A31" s="92"/>
      <c r="B31" s="117" t="s">
        <v>71</v>
      </c>
      <c r="C31" s="118"/>
      <c r="D31" s="118"/>
      <c r="E31" s="118"/>
      <c r="F31" s="118"/>
      <c r="G31" s="118"/>
      <c r="H31" s="118"/>
      <c r="I31" s="126" t="s">
        <v>65</v>
      </c>
      <c r="J31" s="126"/>
      <c r="K31" s="38" t="s">
        <v>36</v>
      </c>
      <c r="L31" s="41" t="s">
        <v>76</v>
      </c>
    </row>
    <row r="32" spans="1:20" ht="23.25" thickBot="1" x14ac:dyDescent="0.3">
      <c r="A32" s="92"/>
      <c r="B32" s="97" t="s">
        <v>72</v>
      </c>
      <c r="C32" s="98"/>
      <c r="D32" s="98"/>
      <c r="E32" s="98"/>
      <c r="F32" s="98"/>
      <c r="G32" s="98"/>
      <c r="H32" s="98"/>
      <c r="I32" s="150" t="s">
        <v>66</v>
      </c>
      <c r="J32" s="150"/>
      <c r="K32" s="42" t="s">
        <v>36</v>
      </c>
      <c r="L32" s="43" t="s">
        <v>75</v>
      </c>
    </row>
    <row r="33" spans="1:25" ht="15" customHeight="1" thickBot="1" x14ac:dyDescent="0.3">
      <c r="A33" s="92"/>
      <c r="B33" s="20"/>
      <c r="C33" s="20"/>
      <c r="D33" s="20"/>
      <c r="E33" s="20"/>
      <c r="F33" s="20"/>
      <c r="G33" s="20"/>
      <c r="H33" s="20"/>
    </row>
    <row r="34" spans="1:25" ht="21.75" customHeight="1" thickBot="1" x14ac:dyDescent="0.3">
      <c r="A34" s="92"/>
      <c r="B34" s="1"/>
      <c r="C34" s="139" t="s">
        <v>73</v>
      </c>
      <c r="D34" s="140"/>
      <c r="E34" s="141" t="str">
        <f>IF(C35&gt;=H35,"Не проходит","Проходит")</f>
        <v>Не проходит</v>
      </c>
      <c r="F34" s="142"/>
      <c r="G34" s="143"/>
      <c r="H34" s="139" t="s">
        <v>74</v>
      </c>
      <c r="I34" s="140"/>
    </row>
    <row r="35" spans="1:25" ht="15" customHeight="1" thickBot="1" x14ac:dyDescent="0.3">
      <c r="A35" s="92"/>
      <c r="C35" s="137">
        <f>SUM(U47:U53)+SUM(U38:U44)</f>
        <v>438.14751211213672</v>
      </c>
      <c r="D35" s="138"/>
      <c r="E35" s="141" t="str">
        <f>IF(C35&gt;=H35,"&gt;=","&lt;")</f>
        <v>&gt;=</v>
      </c>
      <c r="F35" s="142"/>
      <c r="G35" s="143"/>
      <c r="H35" s="137">
        <f>SUM(Y47:Y53)*K10+SUM(Y38:Y44)*K10</f>
        <v>157.41566759301469</v>
      </c>
      <c r="I35" s="138"/>
    </row>
    <row r="36" spans="1:25" ht="15" customHeight="1" thickBot="1" x14ac:dyDescent="0.3">
      <c r="A36" s="92"/>
      <c r="C36" s="154"/>
      <c r="D36" s="154"/>
      <c r="E36" s="155"/>
      <c r="F36" s="155"/>
      <c r="G36" s="155"/>
      <c r="H36" s="154"/>
      <c r="I36" s="154"/>
    </row>
    <row r="37" spans="1:25" ht="30.75" thickBot="1" x14ac:dyDescent="0.3">
      <c r="A37" s="12" t="s">
        <v>20</v>
      </c>
      <c r="B37" s="27" t="s">
        <v>19</v>
      </c>
      <c r="C37" s="37" t="s">
        <v>50</v>
      </c>
      <c r="D37" s="11" t="s">
        <v>49</v>
      </c>
      <c r="E37" s="11" t="s">
        <v>51</v>
      </c>
      <c r="F37" s="11" t="s">
        <v>55</v>
      </c>
      <c r="G37" s="15" t="s">
        <v>3</v>
      </c>
      <c r="H37" s="74" t="s">
        <v>17</v>
      </c>
      <c r="I37" s="15" t="s">
        <v>18</v>
      </c>
      <c r="J37" s="82" t="s">
        <v>0</v>
      </c>
      <c r="K37" s="83" t="s">
        <v>1</v>
      </c>
      <c r="L37" s="85" t="s">
        <v>31</v>
      </c>
      <c r="M37" s="86" t="s">
        <v>37</v>
      </c>
      <c r="N37" s="87" t="s">
        <v>38</v>
      </c>
      <c r="O37" s="10" t="s">
        <v>39</v>
      </c>
      <c r="P37" s="36" t="s">
        <v>40</v>
      </c>
      <c r="Q37" s="31" t="s">
        <v>41</v>
      </c>
      <c r="R37" s="85" t="s">
        <v>48</v>
      </c>
      <c r="S37" s="86" t="s">
        <v>59</v>
      </c>
      <c r="T37" s="86" t="s">
        <v>58</v>
      </c>
      <c r="U37" s="87" t="s">
        <v>61</v>
      </c>
      <c r="V37" s="85" t="s">
        <v>63</v>
      </c>
      <c r="W37" s="86" t="s">
        <v>64</v>
      </c>
      <c r="X37" s="86" t="s">
        <v>65</v>
      </c>
      <c r="Y37" s="87" t="s">
        <v>66</v>
      </c>
    </row>
    <row r="38" spans="1:25" x14ac:dyDescent="0.25">
      <c r="A38" s="16">
        <v>1</v>
      </c>
      <c r="B38" s="153"/>
      <c r="C38" s="76">
        <f>C47</f>
        <v>0.5</v>
      </c>
      <c r="D38" s="77">
        <v>1</v>
      </c>
      <c r="E38" s="77">
        <v>0</v>
      </c>
      <c r="F38" s="77">
        <v>0</v>
      </c>
      <c r="G38" s="78">
        <v>0</v>
      </c>
      <c r="H38" s="75" t="s">
        <v>22</v>
      </c>
      <c r="I38" s="79" t="s">
        <v>22</v>
      </c>
      <c r="J38" s="84">
        <f>IF(C38&gt;0,IF(H38="+",IF($G38&gt;0,COS(E38*PI()/180)^2/(1+SQRT(SIN((E38-$G38)*PI()/180)*SIN(E38*PI()/180)/COS($G38*PI()/180)))^2,IF($G38=0,TAN((45-E38/2)*PI()/180)^2,"Ошибка")),0),0)</f>
        <v>0</v>
      </c>
      <c r="K38" s="89">
        <f t="shared" ref="K38:K44" si="0">IF(C38&gt;0,IF(I38="+",TAN((45+E38/2)*PI()/180)^2,0),0)</f>
        <v>0</v>
      </c>
      <c r="L38" s="57">
        <f>IF(ISNUMBER(SEARCH("глин",B38,1)),F38/9.80665/TAN(E38*PI()/180)*(1-J38/COS($G38*PI()/180)),0)</f>
        <v>0</v>
      </c>
      <c r="M38" s="58">
        <f t="array" ref="M38">(((IF(ISNUMBER(D37),SUM($D37:$D$38*$C37:$C$38*IF($H37:$H$38="+",1,0)),0))*J38-L38)&gt;0)*((IF(ISNUMBER(D37),SUM($D37:$D$38*$C37:$C$38*IF($H37:$H$38="+",1,0)),0))*J38-L38)</f>
        <v>0</v>
      </c>
      <c r="N38" s="59">
        <f t="array" ref="N38">((SUM($D38:$D$38*$C38:$C$38*IF($H38:$H$38="+",1,0))*J38-L38)&gt;0)*(SUM($D38:$D$38*$C38:$C$38*IF($H38:$H$38="+",1,0))*J38-L38)</f>
        <v>0</v>
      </c>
      <c r="O38" s="57">
        <f>IF(ISNUMBER(SEARCH("глин",B38,1)),2*F38/9.80665*SQRT(K38),0)</f>
        <v>0</v>
      </c>
      <c r="P38" s="58">
        <f t="array" ref="P38">IF(ISNUMBER(D37),(SUM($D37:$D$38*$C37:$C$38*IF($I37:$I$38="+",1,0))*K38+O38),0)</f>
        <v>0</v>
      </c>
      <c r="Q38" s="59">
        <f t="array" ref="Q38">(SUM($D38:$D$38*$C38:$C$38*IF($I38:$I$38="+",1,0))*K38+O38)</f>
        <v>0</v>
      </c>
      <c r="R38" s="57">
        <f>IF(AND(C38&gt;0,N38&gt;0),(2*M38+N38)/(3*(M38+N38))*C38,C38/2)</f>
        <v>0.25</v>
      </c>
      <c r="S38" s="58">
        <f>IF($C39&gt;0,SUM($C39:$C$44),0)+R38</f>
        <v>13.75</v>
      </c>
      <c r="T38" s="58">
        <f>IF($C38&gt;0,(M38+N38)/2*$C38,0)</f>
        <v>0</v>
      </c>
      <c r="U38" s="69">
        <f>S38*T38</f>
        <v>0</v>
      </c>
      <c r="V38" s="57">
        <f>IF(AND(C38&gt;0,Q38&gt;0),(2*P38+Q38)/(3*(P38+Q38))*C38,C38/2)</f>
        <v>0.25</v>
      </c>
      <c r="W38" s="58">
        <f>IF($C39&gt;0,SUM($C39:$C$44),0)+V38</f>
        <v>13.75</v>
      </c>
      <c r="X38" s="58">
        <f>IF($C38&gt;0,(P38+Q38)/2*$C38,0)</f>
        <v>0</v>
      </c>
      <c r="Y38" s="66">
        <f>W38*X38</f>
        <v>0</v>
      </c>
    </row>
    <row r="39" spans="1:25" x14ac:dyDescent="0.25">
      <c r="A39" s="17">
        <v>2</v>
      </c>
      <c r="B39" s="28" t="s">
        <v>84</v>
      </c>
      <c r="C39" s="21">
        <f>C48</f>
        <v>5.71</v>
      </c>
      <c r="D39" s="8">
        <v>1</v>
      </c>
      <c r="E39" s="8">
        <v>0</v>
      </c>
      <c r="F39" s="8">
        <v>0</v>
      </c>
      <c r="G39" s="152">
        <v>0</v>
      </c>
      <c r="H39" s="49" t="s">
        <v>21</v>
      </c>
      <c r="I39" s="80" t="s">
        <v>22</v>
      </c>
      <c r="J39" s="32">
        <f t="shared" ref="J39:J44" si="1">IF(C39&gt;0,IF(H39="+",IF($G39&gt;0,COS(E39*PI()/180)^2/(1+SQRT(SIN((E39-$G39)*PI()/180)*SIN(E39*PI()/180)/COS($G39*PI()/180)))^2,IF($G39=0,TAN((45-E39/2)*PI()/180)^2,"Ошибка")),0),0)</f>
        <v>0.99999999999999978</v>
      </c>
      <c r="K39" s="33">
        <f t="shared" ref="K39:K44" si="2">IF(C39&gt;0,IF(I39="+",TAN((45+E39/2)*PI()/180)^2,0),0)</f>
        <v>0</v>
      </c>
      <c r="L39" s="60">
        <f t="shared" ref="L39:L44" si="3">IF(ISNUMBER(SEARCH("глин",B39,1)),F39/9.80665/TAN(E39*PI()/180)*(1-J39/COS($G39*PI()/180)),0)</f>
        <v>0</v>
      </c>
      <c r="M39" s="61">
        <f t="array" ref="M39">(((IF(ISNUMBER(D38),SUM($D38:$D$38*$C38:$C$38*IF($H38:$H$38="+",1,0)),0))*J39-L39)&gt;0)*((IF(ISNUMBER(D38),SUM($D38:$D$38*$C38:$C$38*IF($H38:$H$38="+",1,0)),0))*J39-L39)</f>
        <v>0</v>
      </c>
      <c r="N39" s="62">
        <f t="array" ref="N39">((SUM($D$38:$D39*$C$38:$C39*IF($H$38:$H39="+",1,0))*J39-L39)&gt;0)*(SUM($D$38:$D39*$C$38:$C39*IF($H$38:$H39="+",1,0))*J39-L39)</f>
        <v>5.7099999999999991</v>
      </c>
      <c r="O39" s="60">
        <f t="shared" ref="O39:O44" si="4">IF(ISNUMBER(SEARCH("глин",B39,1)),2*F39/9.80665*SQRT(K39),0)</f>
        <v>0</v>
      </c>
      <c r="P39" s="61">
        <f t="array" ref="P39">IF(ISNUMBER(D38),(SUM($D38:$D$38*$C38:$C$38*IF($I38:$I$38="+",1,0))*K39+O39),0)</f>
        <v>0</v>
      </c>
      <c r="Q39" s="62">
        <f t="array" ref="Q39">(SUM($D$38:$D39*$C$38:$C39*IF($I$38:$I39="+",1,0))*K39+O39)</f>
        <v>0</v>
      </c>
      <c r="R39" s="60">
        <f t="shared" ref="R39:R44" si="5">IF(AND(C39&gt;0,N39&gt;0),(2*M39+N39)/(3*(M39+N39))*C39,C39/2)</f>
        <v>1.9033333333333335</v>
      </c>
      <c r="S39" s="61">
        <f>IF($C40&gt;0,SUM($C40:$C$44),0)+R39</f>
        <v>9.6933333333333334</v>
      </c>
      <c r="T39" s="61">
        <f t="shared" ref="T39:T44" si="6">IF($C39&gt;0,(M39+N39)/2*$C39,0)</f>
        <v>16.302049999999998</v>
      </c>
      <c r="U39" s="70">
        <f t="shared" ref="U39:U44" si="7">S39*T39</f>
        <v>158.02120466666665</v>
      </c>
      <c r="V39" s="60">
        <f t="shared" ref="V39:V44" si="8">IF(AND(C39&gt;0,Q39&gt;0),(2*P39+Q39)/(3*(P39+Q39))*C39,C39/2)</f>
        <v>2.855</v>
      </c>
      <c r="W39" s="61">
        <f>IF($C40&gt;0,SUM($C40:$C$44),0)+V39</f>
        <v>10.645</v>
      </c>
      <c r="X39" s="61">
        <f t="shared" ref="X39:X44" si="9">IF($C39&gt;0,(P39+Q39)/2*$C39,0)</f>
        <v>0</v>
      </c>
      <c r="Y39" s="67">
        <f t="shared" ref="Y39:Y44" si="10">W39*X39</f>
        <v>0</v>
      </c>
    </row>
    <row r="40" spans="1:25" x14ac:dyDescent="0.25">
      <c r="A40" s="17">
        <v>3</v>
      </c>
      <c r="B40" s="28" t="s">
        <v>84</v>
      </c>
      <c r="C40" s="21">
        <f>C49</f>
        <v>0.63</v>
      </c>
      <c r="D40" s="8">
        <v>1</v>
      </c>
      <c r="E40" s="8">
        <v>0</v>
      </c>
      <c r="F40" s="8">
        <v>0</v>
      </c>
      <c r="G40" s="22">
        <v>0</v>
      </c>
      <c r="H40" s="49" t="s">
        <v>21</v>
      </c>
      <c r="I40" s="80" t="s">
        <v>22</v>
      </c>
      <c r="J40" s="32">
        <f t="shared" si="1"/>
        <v>0.99999999999999978</v>
      </c>
      <c r="K40" s="33">
        <f t="shared" si="2"/>
        <v>0</v>
      </c>
      <c r="L40" s="60">
        <f t="shared" si="3"/>
        <v>0</v>
      </c>
      <c r="M40" s="61">
        <f t="array" ref="M40">(((IF(ISNUMBER(D39),SUM($D$38:$D39*$C$38:$C39*IF($H$38:$H39="+",1,0)),0))*J40-L40)&gt;0)*((IF(ISNUMBER(D39),SUM($D$38:$D39*$C$38:$C39*IF($H$38:$H39="+",1,0)),0))*J40-L40)</f>
        <v>5.7099999999999991</v>
      </c>
      <c r="N40" s="62">
        <f t="array" ref="N40">((SUM($D$38:$D40*$C$38:$C40*IF($H$38:$H40="+",1,0))*J40-L40)&gt;0)*(SUM($D$38:$D40*$C$38:$C40*IF($H$38:$H40="+",1,0))*J40-L40)</f>
        <v>6.3399999999999981</v>
      </c>
      <c r="O40" s="60">
        <f t="shared" si="4"/>
        <v>0</v>
      </c>
      <c r="P40" s="61">
        <f t="array" ref="P40">IF(ISNUMBER(D39),(SUM($D$38:$D39*$C$38:$C39*IF($I$38:$I39="+",1,0))*K40+O40),0)</f>
        <v>0</v>
      </c>
      <c r="Q40" s="62">
        <f t="array" ref="Q40">(SUM($D$38:$D40*$C$38:$C40*IF($I$38:$I40="+",1,0))*K40+O40)</f>
        <v>0</v>
      </c>
      <c r="R40" s="60">
        <f t="shared" si="5"/>
        <v>0.30951037344398347</v>
      </c>
      <c r="S40" s="61">
        <f>IF($C41&gt;0,SUM($C41:$C$44),0)+R40</f>
        <v>7.4695103734439838</v>
      </c>
      <c r="T40" s="61">
        <f t="shared" si="6"/>
        <v>3.7957499999999991</v>
      </c>
      <c r="U40" s="70">
        <f t="shared" si="7"/>
        <v>28.352393999999993</v>
      </c>
      <c r="V40" s="60">
        <f t="shared" si="8"/>
        <v>0.315</v>
      </c>
      <c r="W40" s="61">
        <f>IF($C41&gt;0,SUM($C41:$C$44),0)+V40</f>
        <v>7.4750000000000005</v>
      </c>
      <c r="X40" s="61">
        <f t="shared" si="9"/>
        <v>0</v>
      </c>
      <c r="Y40" s="67">
        <f t="shared" si="10"/>
        <v>0</v>
      </c>
    </row>
    <row r="41" spans="1:25" x14ac:dyDescent="0.25">
      <c r="A41" s="17">
        <v>4</v>
      </c>
      <c r="B41" s="28" t="s">
        <v>84</v>
      </c>
      <c r="C41" s="21">
        <f>C50</f>
        <v>0.84299999999999997</v>
      </c>
      <c r="D41" s="8">
        <v>1</v>
      </c>
      <c r="E41" s="8">
        <v>0</v>
      </c>
      <c r="F41" s="8">
        <v>0</v>
      </c>
      <c r="G41" s="22">
        <v>0</v>
      </c>
      <c r="H41" s="49" t="s">
        <v>21</v>
      </c>
      <c r="I41" s="80" t="s">
        <v>22</v>
      </c>
      <c r="J41" s="32">
        <f t="shared" si="1"/>
        <v>0.99999999999999978</v>
      </c>
      <c r="K41" s="33">
        <f t="shared" si="2"/>
        <v>0</v>
      </c>
      <c r="L41" s="60">
        <f t="shared" si="3"/>
        <v>0</v>
      </c>
      <c r="M41" s="61">
        <f t="array" ref="M41">(((IF(ISNUMBER(D40),SUM($D$38:$D40*$C$38:$C40*IF($H$38:$H40="+",1,0)),0))*J41-L41)&gt;0)*((IF(ISNUMBER(D40),SUM($D$38:$D40*$C$38:$C40*IF($H$38:$H40="+",1,0)),0))*J41-L41)</f>
        <v>6.3399999999999981</v>
      </c>
      <c r="N41" s="62">
        <f t="array" ref="N41">((SUM($D$38:$D41*$C$38:$C41*IF($H$38:$H41="+",1,0))*J41-L41)&gt;0)*(SUM($D$38:$D41*$C$38:$C41*IF($H$38:$H41="+",1,0))*J41-L41)</f>
        <v>7.1829999999999981</v>
      </c>
      <c r="O41" s="60">
        <f t="shared" si="4"/>
        <v>0</v>
      </c>
      <c r="P41" s="61">
        <f t="array" ref="P41">IF(ISNUMBER(D40),(SUM($D$38:$D40*$C$38:$C40*IF($I$38:$I40="+",1,0))*K41+O41),0)</f>
        <v>0</v>
      </c>
      <c r="Q41" s="62">
        <f t="array" ref="Q41">(SUM($D$38:$D41*$C$38:$C41*IF($I$38:$I41="+",1,0))*K41+O41)</f>
        <v>0</v>
      </c>
      <c r="R41" s="60">
        <f t="shared" si="5"/>
        <v>0.41274147748280698</v>
      </c>
      <c r="S41" s="61">
        <f>IF($C42&gt;0,SUM($C42:$C$44),0)+R41</f>
        <v>6.7297414774828068</v>
      </c>
      <c r="T41" s="61">
        <f t="shared" si="6"/>
        <v>5.6999444999999982</v>
      </c>
      <c r="U41" s="70">
        <f t="shared" si="7"/>
        <v>38.359152920999989</v>
      </c>
      <c r="V41" s="60">
        <f t="shared" si="8"/>
        <v>0.42149999999999999</v>
      </c>
      <c r="W41" s="61">
        <f>IF($C42&gt;0,SUM($C42:$C$44),0)+V41</f>
        <v>6.7385000000000002</v>
      </c>
      <c r="X41" s="61">
        <f t="shared" si="9"/>
        <v>0</v>
      </c>
      <c r="Y41" s="67">
        <f t="shared" si="10"/>
        <v>0</v>
      </c>
    </row>
    <row r="42" spans="1:25" x14ac:dyDescent="0.25">
      <c r="A42" s="17">
        <v>5</v>
      </c>
      <c r="B42" s="28" t="s">
        <v>84</v>
      </c>
      <c r="C42" s="21">
        <f>C51</f>
        <v>3.3570000000000002</v>
      </c>
      <c r="D42" s="151">
        <v>1</v>
      </c>
      <c r="E42" s="151">
        <v>0</v>
      </c>
      <c r="F42" s="151">
        <v>0</v>
      </c>
      <c r="G42" s="22">
        <v>0</v>
      </c>
      <c r="H42" s="49" t="s">
        <v>21</v>
      </c>
      <c r="I42" s="80" t="s">
        <v>21</v>
      </c>
      <c r="J42" s="32">
        <f t="shared" si="1"/>
        <v>0.99999999999999978</v>
      </c>
      <c r="K42" s="33">
        <f t="shared" si="2"/>
        <v>0.99999999999999978</v>
      </c>
      <c r="L42" s="60">
        <f t="shared" si="3"/>
        <v>0</v>
      </c>
      <c r="M42" s="61">
        <f t="array" ref="M42">(((IF(ISNUMBER(D41),SUM($D$38:$D41*$C$38:$C41*IF($H$38:$H41="+",1,0)),0))*J42-L42)&gt;0)*((IF(ISNUMBER(D41),SUM($D$38:$D41*$C$38:$C41*IF($H$38:$H41="+",1,0)),0))*J42-L42)</f>
        <v>7.1829999999999981</v>
      </c>
      <c r="N42" s="62">
        <f t="array" ref="N42">((SUM($D$38:$D42*$C$38:$C42*IF($H$38:$H42="+",1,0))*J42-L42)&gt;0)*(SUM($D$38:$D42*$C$38:$C42*IF($H$38:$H42="+",1,0))*J42-L42)</f>
        <v>10.539999999999997</v>
      </c>
      <c r="O42" s="60">
        <f t="shared" si="4"/>
        <v>0</v>
      </c>
      <c r="P42" s="61">
        <f t="array" ref="P42">IF(ISNUMBER(D41),(SUM($D$38:$D41*$C$38:$C41*IF($I$38:$I41="+",1,0))*K42+O42),0)</f>
        <v>0</v>
      </c>
      <c r="Q42" s="62">
        <f t="array" ref="Q42">(SUM($D$38:$D42*$C$38:$C42*IF($I$38:$I42="+",1,0))*K42+O42)</f>
        <v>3.3569999999999993</v>
      </c>
      <c r="R42" s="60">
        <f t="shared" si="5"/>
        <v>1.5725223720589065</v>
      </c>
      <c r="S42" s="61">
        <f>IF($C43&gt;0,SUM($C43:$C$44),0)+R42</f>
        <v>4.5325223720589065</v>
      </c>
      <c r="T42" s="61">
        <f t="shared" si="6"/>
        <v>29.748055499999992</v>
      </c>
      <c r="U42" s="70">
        <f t="shared" si="7"/>
        <v>134.83372707899997</v>
      </c>
      <c r="V42" s="60">
        <f t="shared" si="8"/>
        <v>1.119</v>
      </c>
      <c r="W42" s="61">
        <f>IF($C43&gt;0,SUM($C43:$C$44),0)+V42</f>
        <v>4.0789999999999997</v>
      </c>
      <c r="X42" s="61">
        <f t="shared" si="9"/>
        <v>5.634724499999999</v>
      </c>
      <c r="Y42" s="67">
        <f t="shared" si="10"/>
        <v>22.984041235499994</v>
      </c>
    </row>
    <row r="43" spans="1:25" x14ac:dyDescent="0.25">
      <c r="A43" s="17">
        <v>6</v>
      </c>
      <c r="B43" s="28" t="s">
        <v>84</v>
      </c>
      <c r="C43" s="21">
        <f>C52</f>
        <v>2.2999999999999998</v>
      </c>
      <c r="D43" s="151">
        <v>1</v>
      </c>
      <c r="E43" s="151">
        <v>0</v>
      </c>
      <c r="F43" s="151">
        <v>0</v>
      </c>
      <c r="G43" s="22">
        <v>0</v>
      </c>
      <c r="H43" s="49" t="s">
        <v>21</v>
      </c>
      <c r="I43" s="80" t="s">
        <v>21</v>
      </c>
      <c r="J43" s="32">
        <f t="shared" si="1"/>
        <v>0.99999999999999978</v>
      </c>
      <c r="K43" s="33">
        <f t="shared" si="2"/>
        <v>0.99999999999999978</v>
      </c>
      <c r="L43" s="60">
        <f t="shared" si="3"/>
        <v>0</v>
      </c>
      <c r="M43" s="61">
        <f t="array" ref="M43">(((IF(ISNUMBER(D42),SUM($D$38:$D42*$C$38:$C42*IF($H$38:$H42="+",1,0)),0))*J43-L43)&gt;0)*((IF(ISNUMBER(D42),SUM($D$38:$D42*$C$38:$C42*IF($H$38:$H42="+",1,0)),0))*J43-L43)</f>
        <v>10.539999999999997</v>
      </c>
      <c r="N43" s="62">
        <f t="array" ref="N43">((SUM($D$38:$D43*$C$38:$C43*IF($H$38:$H43="+",1,0))*J43-L43)&gt;0)*(SUM($D$38:$D43*$C$38:$C43*IF($H$38:$H43="+",1,0))*J43-L43)</f>
        <v>12.839999999999996</v>
      </c>
      <c r="O43" s="60">
        <f t="shared" si="4"/>
        <v>0</v>
      </c>
      <c r="P43" s="61">
        <f t="array" ref="P43">IF(ISNUMBER(D42),(SUM($D$38:$D42*$C$38:$C42*IF($I$38:$I42="+",1,0))*K43+O43),0)</f>
        <v>3.3569999999999993</v>
      </c>
      <c r="Q43" s="62">
        <f t="array" ref="Q43">(SUM($D$38:$D43*$C$38:$C43*IF($I$38:$I43="+",1,0))*K43+O43)</f>
        <v>5.6569999999999991</v>
      </c>
      <c r="R43" s="60">
        <f t="shared" si="5"/>
        <v>1.1122897063016821</v>
      </c>
      <c r="S43" s="61">
        <f>IF($C44&gt;0,SUM($C44:$C$44),0)+R43</f>
        <v>1.7722897063016823</v>
      </c>
      <c r="T43" s="61">
        <f t="shared" si="6"/>
        <v>26.886999999999993</v>
      </c>
      <c r="U43" s="70">
        <f t="shared" si="7"/>
        <v>47.651553333333318</v>
      </c>
      <c r="V43" s="60">
        <f t="shared" si="8"/>
        <v>1.0521891871902964</v>
      </c>
      <c r="W43" s="61">
        <f>IF($C44&gt;0,SUM($C44:$C$44),0)+V43</f>
        <v>1.7121891871902966</v>
      </c>
      <c r="X43" s="61">
        <f t="shared" si="9"/>
        <v>10.366099999999998</v>
      </c>
      <c r="Y43" s="67">
        <f t="shared" si="10"/>
        <v>17.748724333333328</v>
      </c>
    </row>
    <row r="44" spans="1:25" ht="15.75" thickBot="1" x14ac:dyDescent="0.3">
      <c r="A44" s="18">
        <v>7</v>
      </c>
      <c r="B44" s="160" t="s">
        <v>84</v>
      </c>
      <c r="C44" s="23">
        <f>C53</f>
        <v>0.66</v>
      </c>
      <c r="D44" s="9">
        <v>1</v>
      </c>
      <c r="E44" s="9">
        <v>0</v>
      </c>
      <c r="F44" s="9">
        <v>0</v>
      </c>
      <c r="G44" s="24">
        <v>0</v>
      </c>
      <c r="H44" s="50" t="s">
        <v>21</v>
      </c>
      <c r="I44" s="81" t="s">
        <v>21</v>
      </c>
      <c r="J44" s="34">
        <f t="shared" si="1"/>
        <v>0.99999999999999978</v>
      </c>
      <c r="K44" s="35">
        <f t="shared" si="2"/>
        <v>0.99999999999999978</v>
      </c>
      <c r="L44" s="63">
        <f t="shared" si="3"/>
        <v>0</v>
      </c>
      <c r="M44" s="64">
        <f t="array" ref="M44">(((IF(ISNUMBER(D43),SUM($D$38:$D43*$C$38:$C43*IF($H$38:$H43="+",1,0)),0))*J44-L44)&gt;0)*((IF(ISNUMBER(D43),SUM($D$38:$D43*$C$38:$C43*IF($H$38:$H43="+",1,0)),0))*J44-L44)</f>
        <v>12.839999999999996</v>
      </c>
      <c r="N44" s="65">
        <f t="array" ref="N44">((SUM($D$38:$D44*$C$38:$C44*IF($H$38:$H44="+",1,0))*J44-L44)&gt;0)*(SUM($D$38:$D44*$C$38:$C44*IF($H$38:$H44="+",1,0))*J44-L44)</f>
        <v>13.499999999999996</v>
      </c>
      <c r="O44" s="63">
        <f t="shared" si="4"/>
        <v>0</v>
      </c>
      <c r="P44" s="64">
        <f t="array" ref="P44">IF(ISNUMBER(D43),(SUM($D$38:$D43*$C$38:$C43*IF($I$38:$I43="+",1,0))*K44+O44),0)</f>
        <v>5.6569999999999991</v>
      </c>
      <c r="Q44" s="65">
        <f t="array" ref="Q44">(SUM($D$38:$D44*$C$38:$C44*IF($I$38:$I44="+",1,0))*K44+O44)</f>
        <v>6.3169999999999984</v>
      </c>
      <c r="R44" s="63">
        <f t="shared" si="5"/>
        <v>0.32724373576309795</v>
      </c>
      <c r="S44" s="64">
        <f>IF($C45&gt;0,SUM($C$44:$C45),0)+R44</f>
        <v>0.32724373576309795</v>
      </c>
      <c r="T44" s="64">
        <f t="shared" si="6"/>
        <v>8.6921999999999979</v>
      </c>
      <c r="U44" s="71">
        <f t="shared" si="7"/>
        <v>2.8444679999999996</v>
      </c>
      <c r="V44" s="63">
        <f t="shared" si="8"/>
        <v>0.32393686320360787</v>
      </c>
      <c r="W44" s="64">
        <f>IF($C45&gt;0,SUM($C$44:$C45),0)+V44</f>
        <v>0.32393686320360787</v>
      </c>
      <c r="X44" s="64">
        <f t="shared" si="9"/>
        <v>3.9514199999999993</v>
      </c>
      <c r="Y44" s="68">
        <f t="shared" si="10"/>
        <v>1.2800106</v>
      </c>
    </row>
    <row r="45" spans="1:25" ht="15" customHeight="1" thickBot="1" x14ac:dyDescent="0.3">
      <c r="A45" s="92"/>
      <c r="C45" s="154"/>
      <c r="D45" s="154"/>
      <c r="E45" s="155"/>
      <c r="F45" s="155"/>
      <c r="G45" s="155"/>
      <c r="H45" s="154"/>
      <c r="I45" s="154"/>
    </row>
    <row r="46" spans="1:25" ht="30.75" thickBot="1" x14ac:dyDescent="0.3">
      <c r="A46" s="12" t="s">
        <v>20</v>
      </c>
      <c r="B46" s="27" t="s">
        <v>19</v>
      </c>
      <c r="C46" s="37" t="s">
        <v>50</v>
      </c>
      <c r="D46" s="11" t="s">
        <v>49</v>
      </c>
      <c r="E46" s="11" t="s">
        <v>51</v>
      </c>
      <c r="F46" s="11" t="s">
        <v>55</v>
      </c>
      <c r="G46" s="15" t="s">
        <v>3</v>
      </c>
      <c r="H46" s="74" t="s">
        <v>17</v>
      </c>
      <c r="I46" s="15" t="s">
        <v>18</v>
      </c>
      <c r="J46" s="82" t="s">
        <v>0</v>
      </c>
      <c r="K46" s="83" t="s">
        <v>1</v>
      </c>
      <c r="L46" s="85" t="s">
        <v>31</v>
      </c>
      <c r="M46" s="86" t="s">
        <v>37</v>
      </c>
      <c r="N46" s="87" t="s">
        <v>38</v>
      </c>
      <c r="O46" s="10" t="s">
        <v>39</v>
      </c>
      <c r="P46" s="36" t="s">
        <v>40</v>
      </c>
      <c r="Q46" s="31" t="s">
        <v>41</v>
      </c>
      <c r="R46" s="85" t="s">
        <v>48</v>
      </c>
      <c r="S46" s="86" t="s">
        <v>59</v>
      </c>
      <c r="T46" s="86" t="s">
        <v>58</v>
      </c>
      <c r="U46" s="87" t="s">
        <v>61</v>
      </c>
      <c r="V46" s="85" t="s">
        <v>63</v>
      </c>
      <c r="W46" s="86" t="s">
        <v>64</v>
      </c>
      <c r="X46" s="86" t="s">
        <v>65</v>
      </c>
      <c r="Y46" s="87" t="s">
        <v>66</v>
      </c>
    </row>
    <row r="47" spans="1:25" x14ac:dyDescent="0.25">
      <c r="A47" s="16">
        <v>1</v>
      </c>
      <c r="B47" s="153"/>
      <c r="C47" s="76">
        <v>0.5</v>
      </c>
      <c r="D47" s="77">
        <v>0</v>
      </c>
      <c r="E47" s="77">
        <v>0</v>
      </c>
      <c r="F47" s="77">
        <v>0</v>
      </c>
      <c r="G47" s="78">
        <v>0</v>
      </c>
      <c r="H47" s="75" t="s">
        <v>22</v>
      </c>
      <c r="I47" s="79" t="s">
        <v>22</v>
      </c>
      <c r="J47" s="84">
        <f>IF(C47&gt;0,IF(H47="+",IF($G47&gt;0,COS(E47*PI()/180)^2/(1+SQRT(SIN((E47-$G47)*PI()/180)*SIN(E47*PI()/180)/COS($G47*PI()/180)))^2,IF($G47=0,TAN((45-E47/2)*PI()/180)^2,"Ошибка")),0),0)</f>
        <v>0</v>
      </c>
      <c r="K47" s="89">
        <f t="shared" ref="K47:K53" si="11">IF(C47&gt;0,IF(I47="+",TAN((45+E47/2)*PI()/180)^2,0),0)</f>
        <v>0</v>
      </c>
      <c r="L47" s="57">
        <f>IF(ISNUMBER(SEARCH("глин",B47,1)),F47/9.80665/TAN(E47*PI()/180)*(1-J47/COS($G47*PI()/180)),0)</f>
        <v>0</v>
      </c>
      <c r="M47" s="58">
        <f t="array" ref="M47">(((IF(ISNUMBER(D46),SUM($D46:$D$47*$C46:$C$47),0)+$K$6)*J47-L47*$K$8)&gt;0)*((IF(ISNUMBER(D46),SUM($D46:$D$47*$C46:$C$47),0)+$K$6)*J47*$K$7-L47*$K$8)</f>
        <v>0</v>
      </c>
      <c r="N47" s="59">
        <f t="array" ref="N47">(((SUM($D$47:$D47*$C$47:$C47)+$K$6)*J47-L47*$K$8)&gt;0)*((SUM($D$47:$D47*$C$47:$C47)+$K$6)*J47*$K$7-L47*$K$8)</f>
        <v>0</v>
      </c>
      <c r="O47" s="57">
        <f>IF(ISNUMBER(SEARCH("глин",B47,1)),2*F47/9.80665*SQRT(K47),0)</f>
        <v>0</v>
      </c>
      <c r="P47" s="58">
        <f t="array" ref="P47">IF(ISNUMBER(D46),(SUM($D46:$D$47*$C46:$C$47*IF($I46:$I$47="+",1,0))*K47+O47)*$K$8,0)</f>
        <v>0</v>
      </c>
      <c r="Q47" s="59">
        <f t="array" ref="Q47">(SUM($D$47:$D47*$C$47:$C47*IF($I$47:$I47="+",1,0))*K47+O47)*$K$8</f>
        <v>0</v>
      </c>
      <c r="R47" s="57">
        <f>IF(AND(C47&gt;0,N47&gt;0),(2*M47+N47)/(3*(M47+N47))*C47,C47/2)</f>
        <v>0.25</v>
      </c>
      <c r="S47" s="58">
        <f>IF($C48&gt;0,SUM($C48:$C$53),0)+R47</f>
        <v>13.75</v>
      </c>
      <c r="T47" s="58">
        <f t="shared" ref="T47:T53" si="12">IF($C47&gt;0,(M47+N47)/2*$C47,0)</f>
        <v>0</v>
      </c>
      <c r="U47" s="69">
        <f>S47*T47</f>
        <v>0</v>
      </c>
      <c r="V47" s="57">
        <f>IF(AND(C47&gt;0,Q47&gt;0),(2*P47+Q47)/(3*(P47+Q47))*C47,C47/2)</f>
        <v>0.25</v>
      </c>
      <c r="W47" s="58">
        <f>IF(C48&gt;0,SUM($C48:$C$53),0)+V47</f>
        <v>13.75</v>
      </c>
      <c r="X47" s="58">
        <f t="shared" ref="X47:X53" si="13">IF($C47&gt;0,(P47+Q47)/2*$C47,0)</f>
        <v>0</v>
      </c>
      <c r="Y47" s="66">
        <f>W47*X47</f>
        <v>0</v>
      </c>
    </row>
    <row r="48" spans="1:25" x14ac:dyDescent="0.25">
      <c r="A48" s="17">
        <v>2</v>
      </c>
      <c r="B48" s="156"/>
      <c r="C48" s="21">
        <v>5.71</v>
      </c>
      <c r="D48" s="8">
        <v>0</v>
      </c>
      <c r="E48" s="8">
        <v>0</v>
      </c>
      <c r="F48" s="8">
        <v>0</v>
      </c>
      <c r="G48" s="152">
        <v>0</v>
      </c>
      <c r="H48" s="49" t="s">
        <v>22</v>
      </c>
      <c r="I48" s="80" t="s">
        <v>22</v>
      </c>
      <c r="J48" s="32">
        <f t="shared" ref="J48:J53" si="14">IF(C48&gt;0,IF(H48="+",IF($G48&gt;0,COS(E48*PI()/180)^2/(1+SQRT(SIN((E48-$G48)*PI()/180)*SIN(E48*PI()/180)/COS($G48*PI()/180)))^2,IF($G48=0,TAN((45-E48/2)*PI()/180)^2,"Ошибка")),0),0)</f>
        <v>0</v>
      </c>
      <c r="K48" s="33">
        <f t="shared" ref="K48:K53" si="15">IF(C48&gt;0,IF(I48="+",TAN((45+E48/2)*PI()/180)^2,0),0)</f>
        <v>0</v>
      </c>
      <c r="L48" s="60">
        <f t="shared" ref="L48:L53" si="16">IF(ISNUMBER(SEARCH("глин",B48,1)),F48/9.80665/TAN(E48*PI()/180)*(1-J48/COS($G48*PI()/180)),0)</f>
        <v>0</v>
      </c>
      <c r="M48" s="61">
        <f t="array" ref="M48">(((IF(ISNUMBER(D47),SUM($D47:$D$47*$C47:$C$47),0)+$K$6)*J48-L48*$K$8)&gt;0)*((IF(ISNUMBER(D47),SUM($D47:$D$47*$C47:$C$47),0)+$K$6)*J48*$K$7-L48*$K$8)</f>
        <v>0</v>
      </c>
      <c r="N48" s="62">
        <f t="array" ref="N48">(((SUM($D$47:$D48*$C$47:$C48)+$K$6)*J48-L48*$K$8)&gt;0)*((SUM($D$47:$D48*$C$47:$C48)+$K$6)*J48*$K$7-L48*$K$8)</f>
        <v>0</v>
      </c>
      <c r="O48" s="60">
        <f t="shared" ref="O48:O53" si="17">IF(ISNUMBER(SEARCH("глин",B48,1)),2*F48/9.80665*SQRT(K48),0)</f>
        <v>0</v>
      </c>
      <c r="P48" s="61">
        <f t="array" ref="P48">IF(ISNUMBER(D47),(SUM($D47:$D$47*$C47:$C$47*IF($I47:$I$47="+",1,0))*K48+O48)*$K$8,0)</f>
        <v>0</v>
      </c>
      <c r="Q48" s="62">
        <f t="array" ref="Q48">(SUM($D$47:$D48*$C$47:$C48*IF($I$47:$I48="+",1,0))*K48+O48)*$K$8</f>
        <v>0</v>
      </c>
      <c r="R48" s="60">
        <f t="shared" ref="R48:R53" si="18">IF(AND(C48&gt;0,N48&gt;0),(2*M48+N48)/(3*(M48+N48))*C48,C48/2)</f>
        <v>2.855</v>
      </c>
      <c r="S48" s="61">
        <f>IF($C49&gt;0,SUM($C49:$C$53),0)+R48</f>
        <v>10.645</v>
      </c>
      <c r="T48" s="61">
        <f t="shared" ref="T48:T53" si="19">IF($C48&gt;0,(M48+N48)/2*$C48,0)</f>
        <v>0</v>
      </c>
      <c r="U48" s="70">
        <f t="shared" ref="U48:U53" si="20">S48*T48</f>
        <v>0</v>
      </c>
      <c r="V48" s="60">
        <f t="shared" ref="V48:V53" si="21">IF(AND(C48&gt;0,Q48&gt;0),(2*P48+Q48)/(3*(P48+Q48))*C48,C48/2)</f>
        <v>2.855</v>
      </c>
      <c r="W48" s="61">
        <f>IF(C49&gt;0,SUM($C49:$C$53),0)+V48</f>
        <v>10.645</v>
      </c>
      <c r="X48" s="61">
        <f t="shared" ref="X48:X53" si="22">IF($C48&gt;0,(P48+Q48)/2*$C48,0)</f>
        <v>0</v>
      </c>
      <c r="Y48" s="67">
        <f t="shared" ref="Y48:Y53" si="23">W48*X48</f>
        <v>0</v>
      </c>
    </row>
    <row r="49" spans="1:26" x14ac:dyDescent="0.25">
      <c r="A49" s="17">
        <v>3</v>
      </c>
      <c r="B49" s="156" t="s">
        <v>85</v>
      </c>
      <c r="C49" s="21">
        <v>0.63</v>
      </c>
      <c r="D49" s="8">
        <v>1</v>
      </c>
      <c r="E49" s="8">
        <v>35</v>
      </c>
      <c r="F49" s="8">
        <v>2</v>
      </c>
      <c r="G49" s="22">
        <v>0</v>
      </c>
      <c r="H49" s="49" t="s">
        <v>21</v>
      </c>
      <c r="I49" s="80" t="s">
        <v>22</v>
      </c>
      <c r="J49" s="32">
        <f t="shared" si="14"/>
        <v>0.27099005412014432</v>
      </c>
      <c r="K49" s="33">
        <f t="shared" si="15"/>
        <v>0</v>
      </c>
      <c r="L49" s="60">
        <f t="shared" si="16"/>
        <v>0</v>
      </c>
      <c r="M49" s="61">
        <f t="array" ref="M49">(((IF(ISNUMBER(D48),SUM($D$47:$D48*$C$47:$C48),0)+$K$6)*J49-L49*$K$8)&gt;0)*((IF(ISNUMBER(D48),SUM($D$47:$D48*$C$47:$C48),0)+$K$6)*J49*$K$7-L49*$K$8)</f>
        <v>0</v>
      </c>
      <c r="N49" s="62">
        <f t="array" ref="N49">(((SUM($D$47:$D49*$C$47:$C49)+$K$6)*J49-L49*$K$8)&gt;0)*((SUM($D$47:$D49*$C$47:$C49)+$K$6)*J49*$K$7-L49*$K$8)</f>
        <v>0.20486848091482909</v>
      </c>
      <c r="O49" s="60">
        <f t="shared" si="17"/>
        <v>0</v>
      </c>
      <c r="P49" s="61">
        <f t="array" ref="P49">IF(ISNUMBER(D48),(SUM($D$47:$D48*$C$47:$C48*IF($I$47:$I48="+",1,0))*K49+O49)*$K$8,0)</f>
        <v>0</v>
      </c>
      <c r="Q49" s="62">
        <f t="array" ref="Q49">(SUM($D$47:$D49*$C$47:$C49*IF($I$47:$I49="+",1,0))*K49+O49)*$K$8</f>
        <v>0</v>
      </c>
      <c r="R49" s="60">
        <f t="shared" si="18"/>
        <v>0.21000000000000002</v>
      </c>
      <c r="S49" s="61">
        <f>IF($C50&gt;0,SUM($C50:$C$53),0)+R49</f>
        <v>7.37</v>
      </c>
      <c r="T49" s="61">
        <f t="shared" si="19"/>
        <v>6.4533571488171168E-2</v>
      </c>
      <c r="U49" s="70">
        <f t="shared" si="20"/>
        <v>0.47561242186782149</v>
      </c>
      <c r="V49" s="60">
        <f t="shared" si="21"/>
        <v>0.315</v>
      </c>
      <c r="W49" s="61">
        <f>IF(C50&gt;0,SUM($C50:$C$53),0)+V49</f>
        <v>7.4750000000000005</v>
      </c>
      <c r="X49" s="61">
        <f t="shared" si="22"/>
        <v>0</v>
      </c>
      <c r="Y49" s="67">
        <f t="shared" si="23"/>
        <v>0</v>
      </c>
    </row>
    <row r="50" spans="1:26" x14ac:dyDescent="0.25">
      <c r="A50" s="17">
        <v>4</v>
      </c>
      <c r="B50" s="156" t="s">
        <v>86</v>
      </c>
      <c r="C50" s="21">
        <v>0.84299999999999997</v>
      </c>
      <c r="D50" s="8">
        <v>1</v>
      </c>
      <c r="E50" s="8">
        <v>35</v>
      </c>
      <c r="F50" s="8">
        <v>2</v>
      </c>
      <c r="G50" s="22">
        <v>0</v>
      </c>
      <c r="H50" s="49" t="s">
        <v>21</v>
      </c>
      <c r="I50" s="80" t="s">
        <v>22</v>
      </c>
      <c r="J50" s="32">
        <f t="shared" si="14"/>
        <v>0.27099005412014432</v>
      </c>
      <c r="K50" s="33">
        <f t="shared" si="15"/>
        <v>0</v>
      </c>
      <c r="L50" s="60">
        <f t="shared" si="16"/>
        <v>0</v>
      </c>
      <c r="M50" s="61">
        <f t="array" ref="M50">(((IF(ISNUMBER(D49),SUM($D$47:$D49*$C$47:$C49),0)+$K$6)*J50-L50*$K$8)&gt;0)*((IF(ISNUMBER(D49),SUM($D$47:$D49*$C$47:$C49),0)+$K$6)*J50*$K$7-L50*$K$8)</f>
        <v>0.20486848091482909</v>
      </c>
      <c r="N50" s="62">
        <f t="array" ref="N50">(((SUM($D$47:$D50*$C$47:$C50)+$K$6)*J50-L50*$K$8)&gt;0)*((SUM($D$47:$D50*$C$47:$C50)+$K$6)*J50*$K$7-L50*$K$8)</f>
        <v>0.47900201966276701</v>
      </c>
      <c r="O50" s="60">
        <f t="shared" si="17"/>
        <v>0</v>
      </c>
      <c r="P50" s="61">
        <f t="array" ref="P50">IF(ISNUMBER(D49),(SUM($D$47:$D49*$C$47:$C49*IF($I$47:$I49="+",1,0))*K50+O50)*$K$8,0)</f>
        <v>0</v>
      </c>
      <c r="Q50" s="62">
        <f t="array" ref="Q50">(SUM($D$47:$D50*$C$47:$C50*IF($I$47:$I50="+",1,0))*K50+O50)*$K$8</f>
        <v>0</v>
      </c>
      <c r="R50" s="60">
        <f t="shared" si="18"/>
        <v>0.36517974322396568</v>
      </c>
      <c r="S50" s="61">
        <f>IF($C51&gt;0,SUM($C51:$C$53),0)+R50</f>
        <v>6.6821797432239656</v>
      </c>
      <c r="T50" s="61">
        <f t="shared" si="19"/>
        <v>0.28825141599345677</v>
      </c>
      <c r="U50" s="70">
        <f t="shared" si="20"/>
        <v>1.9261477729071015</v>
      </c>
      <c r="V50" s="60">
        <f t="shared" si="21"/>
        <v>0.42149999999999999</v>
      </c>
      <c r="W50" s="61">
        <f>IF(C51&gt;0,SUM($C51:$C$53),0)+V50</f>
        <v>6.7385000000000002</v>
      </c>
      <c r="X50" s="61">
        <f t="shared" si="22"/>
        <v>0</v>
      </c>
      <c r="Y50" s="67">
        <f t="shared" si="23"/>
        <v>0</v>
      </c>
    </row>
    <row r="51" spans="1:26" x14ac:dyDescent="0.25">
      <c r="A51" s="17">
        <v>5</v>
      </c>
      <c r="B51" s="28" t="s">
        <v>86</v>
      </c>
      <c r="C51" s="21">
        <v>3.3570000000000002</v>
      </c>
      <c r="D51" s="151">
        <v>1</v>
      </c>
      <c r="E51" s="151">
        <v>35</v>
      </c>
      <c r="F51" s="151">
        <v>2</v>
      </c>
      <c r="G51" s="22">
        <v>0</v>
      </c>
      <c r="H51" s="49" t="s">
        <v>21</v>
      </c>
      <c r="I51" s="80" t="s">
        <v>21</v>
      </c>
      <c r="J51" s="32">
        <f t="shared" si="14"/>
        <v>0.27099005412014432</v>
      </c>
      <c r="K51" s="33">
        <f t="shared" si="15"/>
        <v>3.6901723321426614</v>
      </c>
      <c r="L51" s="60">
        <f t="shared" si="16"/>
        <v>0</v>
      </c>
      <c r="M51" s="61">
        <f t="array" ref="M51">(((IF(ISNUMBER(D50),SUM($D$47:$D50*$C$47:$C50),0)+$K$6)*J51-L51*$K$8)&gt;0)*((IF(ISNUMBER(D50),SUM($D$47:$D50*$C$47:$C50),0)+$K$6)*J51*$K$7-L51*$K$8)</f>
        <v>0.47900201966276701</v>
      </c>
      <c r="N51" s="62">
        <f t="array" ref="N51">(((SUM($D$47:$D51*$C$47:$C51)+$K$6)*J51-L51*$K$8)&gt;0)*((SUM($D$47:$D51*$C$47:$C51)+$K$6)*J51*$K$7-L51*$K$8)</f>
        <v>1.5706583536803564</v>
      </c>
      <c r="O51" s="60">
        <f t="shared" si="17"/>
        <v>0</v>
      </c>
      <c r="P51" s="61">
        <f t="array" ref="P51">IF(ISNUMBER(D50),(SUM($D$47:$D50*$C$47:$C50*IF($I$47:$I50="+",1,0))*K51+O51)*$K$8,0)</f>
        <v>0</v>
      </c>
      <c r="Q51" s="62">
        <f t="array" ref="Q51">(SUM($D$47:$D51*$C$47:$C51*IF($I$47:$I51="+",1,0))*K51+O51)*$K$8</f>
        <v>9.9103268152023318</v>
      </c>
      <c r="R51" s="60">
        <f t="shared" si="18"/>
        <v>1.3805083293669682</v>
      </c>
      <c r="S51" s="61">
        <f>IF($C52&gt;0,SUM($C52:$C$53),0)+R51</f>
        <v>4.3405083293669682</v>
      </c>
      <c r="T51" s="61">
        <f t="shared" si="19"/>
        <v>3.4403549366564325</v>
      </c>
      <c r="U51" s="70">
        <f t="shared" si="20"/>
        <v>14.932889258536013</v>
      </c>
      <c r="V51" s="60">
        <f t="shared" si="21"/>
        <v>1.119</v>
      </c>
      <c r="W51" s="61">
        <f>IF(C52&gt;0,SUM($C52:$C$53),0)+V51</f>
        <v>4.0789999999999997</v>
      </c>
      <c r="X51" s="61">
        <f t="shared" si="22"/>
        <v>16.634483559317115</v>
      </c>
      <c r="Y51" s="67">
        <f t="shared" si="23"/>
        <v>67.852058438454506</v>
      </c>
    </row>
    <row r="52" spans="1:26" x14ac:dyDescent="0.25">
      <c r="A52" s="17">
        <v>5</v>
      </c>
      <c r="B52" s="28" t="s">
        <v>87</v>
      </c>
      <c r="C52" s="21">
        <v>2.2999999999999998</v>
      </c>
      <c r="D52" s="151">
        <v>1</v>
      </c>
      <c r="E52" s="151">
        <v>31</v>
      </c>
      <c r="F52" s="151">
        <v>7</v>
      </c>
      <c r="G52" s="22">
        <v>0</v>
      </c>
      <c r="H52" s="49" t="s">
        <v>21</v>
      </c>
      <c r="I52" s="80" t="s">
        <v>21</v>
      </c>
      <c r="J52" s="32">
        <f t="shared" si="14"/>
        <v>0.32009883653830751</v>
      </c>
      <c r="K52" s="33">
        <f t="shared" si="15"/>
        <v>3.1240350974544246</v>
      </c>
      <c r="L52" s="60">
        <f t="shared" si="16"/>
        <v>0</v>
      </c>
      <c r="M52" s="61">
        <f t="array" ref="M52">(((IF(ISNUMBER(D51),SUM($D$47:$D51*$C$47:$C51),0)+$K$6)*J52-L52*$K$8)&gt;0)*((IF(ISNUMBER(D51),SUM($D$47:$D51*$C$47:$C51),0)+$K$6)*J52*$K$7-L52*$K$8)</f>
        <v>1.85529285657603</v>
      </c>
      <c r="N52" s="62">
        <f t="array" ref="N52">(((SUM($D$47:$D52*$C$47:$C52)+$K$6)*J52-L52*$K$8)&gt;0)*((SUM($D$47:$D52*$C$47:$C52)+$K$6)*J52*$K$7-L52*$K$8)</f>
        <v>2.738765645421759</v>
      </c>
      <c r="O52" s="60">
        <f t="shared" si="17"/>
        <v>0</v>
      </c>
      <c r="P52" s="61">
        <f t="array" ref="P52">IF(ISNUMBER(D51),(SUM($D$47:$D51*$C$47:$C51*IF($I$47:$I51="+",1,0))*K52+O52)*$K$8,0)</f>
        <v>8.3899086577236037</v>
      </c>
      <c r="Q52" s="62">
        <f t="array" ref="Q52">(SUM($D$47:$D52*$C$47:$C52*IF($I$47:$I52="+",1,0))*K52+O52)*$K$8</f>
        <v>14.138133237039746</v>
      </c>
      <c r="R52" s="60">
        <f t="shared" si="18"/>
        <v>1.0762820512820512</v>
      </c>
      <c r="S52" s="61">
        <f>IF($C53&gt;0,SUM($C53:$C$53),0)+R52</f>
        <v>1.7362820512820512</v>
      </c>
      <c r="T52" s="61">
        <f t="shared" si="19"/>
        <v>5.2831672772974576</v>
      </c>
      <c r="U52" s="70">
        <f t="shared" si="20"/>
        <v>9.1730685174922382</v>
      </c>
      <c r="V52" s="60">
        <f t="shared" si="21"/>
        <v>1.0521891871902966</v>
      </c>
      <c r="W52" s="61">
        <f>IF(C53&gt;0,SUM($C53:$C$53),0)+V52</f>
        <v>1.7121891871902966</v>
      </c>
      <c r="X52" s="61">
        <f t="shared" si="22"/>
        <v>25.907248178977849</v>
      </c>
      <c r="Y52" s="67">
        <f t="shared" si="23"/>
        <v>44.358110201901376</v>
      </c>
    </row>
    <row r="53" spans="1:26" ht="15.75" thickBot="1" x14ac:dyDescent="0.3">
      <c r="A53" s="18">
        <v>6</v>
      </c>
      <c r="B53" s="157" t="s">
        <v>86</v>
      </c>
      <c r="C53" s="23">
        <v>0.66</v>
      </c>
      <c r="D53" s="9">
        <v>1</v>
      </c>
      <c r="E53" s="9">
        <v>35</v>
      </c>
      <c r="F53" s="9">
        <v>2</v>
      </c>
      <c r="G53" s="24">
        <v>0</v>
      </c>
      <c r="H53" s="50" t="s">
        <v>21</v>
      </c>
      <c r="I53" s="81" t="s">
        <v>21</v>
      </c>
      <c r="J53" s="34">
        <f t="shared" si="14"/>
        <v>0.27099005412014432</v>
      </c>
      <c r="K53" s="35">
        <f t="shared" si="15"/>
        <v>3.6901723321426614</v>
      </c>
      <c r="L53" s="63">
        <f t="shared" si="16"/>
        <v>0</v>
      </c>
      <c r="M53" s="64">
        <f t="array" ref="M53">(((IF(ISNUMBER(D52),SUM($D$47:$D52*$C$47:$C52),0)+$K$6)*J53-L53*$K$8)&gt;0)*((IF(ISNUMBER(D52),SUM($D$47:$D52*$C$47:$C52),0)+$K$6)*J53*$K$7-L53*$K$8)</f>
        <v>2.3185909030519545</v>
      </c>
      <c r="N53" s="65">
        <f t="array" ref="N53">(((SUM($D$47:$D53*$C$47:$C53)+$K$6)*J53-L53*$K$8)&gt;0)*((SUM($D$47:$D53*$C$47:$C53)+$K$6)*J53*$K$7-L53*$K$8)</f>
        <v>2.5332150259151089</v>
      </c>
      <c r="O53" s="63">
        <f t="shared" si="17"/>
        <v>0</v>
      </c>
      <c r="P53" s="64">
        <f t="array" ref="P53">IF(ISNUMBER(D52),(SUM($D$47:$D52*$C$47:$C52*IF($I$47:$I52="+",1,0))*K53+O53)*$K$8,0)</f>
        <v>16.700243906344831</v>
      </c>
      <c r="Q53" s="65">
        <f t="array" ref="Q53">(SUM($D$47:$D53*$C$47:$C53*IF($I$47:$I53="+",1,0))*K53+O53)*$K$8</f>
        <v>18.648654897716153</v>
      </c>
      <c r="R53" s="63">
        <f t="shared" si="18"/>
        <v>0.32513404825737263</v>
      </c>
      <c r="S53" s="64">
        <f>IF($C54&gt;0,SUM($C$53:$C54),0)+R53</f>
        <v>0.98513404825737272</v>
      </c>
      <c r="T53" s="64">
        <f t="shared" si="19"/>
        <v>1.6010959565591312</v>
      </c>
      <c r="U53" s="71">
        <f t="shared" si="20"/>
        <v>1.5772941413336075</v>
      </c>
      <c r="V53" s="63">
        <f t="shared" si="21"/>
        <v>0.32393686320360793</v>
      </c>
      <c r="W53" s="64">
        <f>IF(C54&gt;0,SUM($C$53:$C54),0)+V53</f>
        <v>0.98393686320360796</v>
      </c>
      <c r="X53" s="64">
        <f t="shared" si="22"/>
        <v>11.665136605340123</v>
      </c>
      <c r="Y53" s="68">
        <f t="shared" si="23"/>
        <v>11.477757920299945</v>
      </c>
    </row>
    <row r="54" spans="1:26" x14ac:dyDescent="0.25">
      <c r="A54" s="7"/>
      <c r="B54" s="6"/>
      <c r="C54" s="158" t="s">
        <v>95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9" t="s">
        <v>96</v>
      </c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</row>
    <row r="55" spans="1:26" x14ac:dyDescent="0.25">
      <c r="A55" s="7"/>
      <c r="B55" s="6"/>
      <c r="C55" s="1">
        <f>SUM(C47:$C$53)</f>
        <v>14</v>
      </c>
      <c r="D55" s="19">
        <f>-M47</f>
        <v>0</v>
      </c>
      <c r="E55" s="19">
        <f>P47</f>
        <v>0</v>
      </c>
      <c r="O55" s="1">
        <f>C55</f>
        <v>14</v>
      </c>
      <c r="P55" s="19">
        <f>-M38</f>
        <v>0</v>
      </c>
      <c r="Q55" s="19">
        <f>P38</f>
        <v>0</v>
      </c>
    </row>
    <row r="56" spans="1:26" x14ac:dyDescent="0.25">
      <c r="B56" s="1"/>
      <c r="C56" s="1">
        <f>SUM(C48:$C$53)</f>
        <v>13.5</v>
      </c>
      <c r="D56" s="19">
        <f>-N47</f>
        <v>0</v>
      </c>
      <c r="E56" s="19">
        <f>Q47</f>
        <v>0</v>
      </c>
      <c r="O56" s="1">
        <f>C56</f>
        <v>13.5</v>
      </c>
      <c r="P56" s="19">
        <f>-N38</f>
        <v>0</v>
      </c>
      <c r="Q56" s="19">
        <f>Q38</f>
        <v>0</v>
      </c>
    </row>
    <row r="57" spans="1:26" x14ac:dyDescent="0.25">
      <c r="B57" s="1"/>
      <c r="C57" s="1">
        <f>SUM(C48:$C$53)</f>
        <v>13.5</v>
      </c>
      <c r="D57" s="19">
        <f>-M48</f>
        <v>0</v>
      </c>
      <c r="E57" s="19">
        <f>P48</f>
        <v>0</v>
      </c>
      <c r="O57" s="1">
        <f>C57</f>
        <v>13.5</v>
      </c>
      <c r="P57" s="19">
        <f>-M39</f>
        <v>0</v>
      </c>
      <c r="Q57" s="19">
        <f>P39</f>
        <v>0</v>
      </c>
    </row>
    <row r="58" spans="1:26" x14ac:dyDescent="0.25">
      <c r="B58" s="1"/>
      <c r="C58" s="1">
        <f>SUM(C49:$C$53)</f>
        <v>7.79</v>
      </c>
      <c r="D58" s="19">
        <f>-N48</f>
        <v>0</v>
      </c>
      <c r="E58" s="19">
        <f>Q48</f>
        <v>0</v>
      </c>
      <c r="O58" s="1">
        <f>C58</f>
        <v>7.79</v>
      </c>
      <c r="P58" s="19">
        <f>-N39</f>
        <v>-5.7099999999999991</v>
      </c>
      <c r="Q58" s="19">
        <f>Q39</f>
        <v>0</v>
      </c>
    </row>
    <row r="59" spans="1:26" x14ac:dyDescent="0.25">
      <c r="B59" s="1"/>
      <c r="C59" s="1">
        <f>SUM(C49:$C$53)</f>
        <v>7.79</v>
      </c>
      <c r="D59" s="19">
        <f>-M49</f>
        <v>0</v>
      </c>
      <c r="E59" s="19">
        <f>P49</f>
        <v>0</v>
      </c>
      <c r="O59" s="1">
        <f>C59</f>
        <v>7.79</v>
      </c>
      <c r="P59" s="19">
        <f>-M40</f>
        <v>-5.7099999999999991</v>
      </c>
      <c r="Q59" s="19">
        <f>P40</f>
        <v>0</v>
      </c>
    </row>
    <row r="60" spans="1:26" x14ac:dyDescent="0.25">
      <c r="B60" s="1"/>
      <c r="C60" s="1">
        <f>SUM(C50:$C$53)</f>
        <v>7.16</v>
      </c>
      <c r="D60" s="19">
        <f>-N49</f>
        <v>-0.20486848091482909</v>
      </c>
      <c r="E60" s="19">
        <f>Q49</f>
        <v>0</v>
      </c>
      <c r="H60"/>
      <c r="O60" s="1">
        <f>C60</f>
        <v>7.16</v>
      </c>
      <c r="P60" s="19">
        <f>-N40</f>
        <v>-6.3399999999999981</v>
      </c>
      <c r="Q60" s="19">
        <f>Q40</f>
        <v>0</v>
      </c>
    </row>
    <row r="61" spans="1:26" x14ac:dyDescent="0.25">
      <c r="B61" s="1"/>
      <c r="C61" s="1">
        <f>SUM(C50:$C$53)</f>
        <v>7.16</v>
      </c>
      <c r="D61" s="19">
        <f>-M50</f>
        <v>-0.20486848091482909</v>
      </c>
      <c r="E61" s="19">
        <f>P50</f>
        <v>0</v>
      </c>
      <c r="O61" s="1">
        <f>C61</f>
        <v>7.16</v>
      </c>
      <c r="P61" s="19">
        <f>-M41</f>
        <v>-6.3399999999999981</v>
      </c>
      <c r="Q61" s="19">
        <f>P41</f>
        <v>0</v>
      </c>
    </row>
    <row r="62" spans="1:26" x14ac:dyDescent="0.25">
      <c r="B62" s="1"/>
      <c r="C62" s="1">
        <f>SUM(C51:$C$53)</f>
        <v>6.3170000000000002</v>
      </c>
      <c r="D62" s="19">
        <f>-N50</f>
        <v>-0.47900201966276701</v>
      </c>
      <c r="E62" s="19">
        <f>Q50</f>
        <v>0</v>
      </c>
      <c r="O62" s="1">
        <f>C62</f>
        <v>6.3170000000000002</v>
      </c>
      <c r="P62" s="19">
        <f>-N41</f>
        <v>-7.1829999999999981</v>
      </c>
      <c r="Q62" s="19">
        <f>Q41</f>
        <v>0</v>
      </c>
    </row>
    <row r="63" spans="1:26" x14ac:dyDescent="0.25">
      <c r="C63" s="1">
        <f>SUM(C51:$C$53)</f>
        <v>6.3170000000000002</v>
      </c>
      <c r="D63" s="19">
        <f>-M51</f>
        <v>-0.47900201966276701</v>
      </c>
      <c r="E63" s="19">
        <f>P51</f>
        <v>0</v>
      </c>
      <c r="O63" s="1">
        <f>C63</f>
        <v>6.3170000000000002</v>
      </c>
      <c r="P63" s="19">
        <f>-M42</f>
        <v>-7.1829999999999981</v>
      </c>
      <c r="Q63" s="19">
        <f>P42</f>
        <v>0</v>
      </c>
    </row>
    <row r="64" spans="1:26" x14ac:dyDescent="0.25">
      <c r="B64" s="1"/>
      <c r="C64" s="1">
        <f>SUM(C52:$C$53)</f>
        <v>2.96</v>
      </c>
      <c r="D64" s="19">
        <f>-N51</f>
        <v>-1.5706583536803564</v>
      </c>
      <c r="E64" s="19">
        <f>Q51</f>
        <v>9.9103268152023318</v>
      </c>
      <c r="O64" s="1">
        <f>C64</f>
        <v>2.96</v>
      </c>
      <c r="P64" s="19">
        <f>-N42</f>
        <v>-10.539999999999997</v>
      </c>
      <c r="Q64" s="19">
        <f>Q42</f>
        <v>3.3569999999999993</v>
      </c>
    </row>
    <row r="65" spans="2:26" x14ac:dyDescent="0.25">
      <c r="B65" s="1"/>
      <c r="C65" s="1">
        <f>SUM(C52:$C$53)</f>
        <v>2.96</v>
      </c>
      <c r="D65" s="19">
        <f>-M52</f>
        <v>-1.85529285657603</v>
      </c>
      <c r="E65" s="19">
        <f>P52</f>
        <v>8.3899086577236037</v>
      </c>
      <c r="O65" s="1">
        <f>C65</f>
        <v>2.96</v>
      </c>
      <c r="P65" s="19">
        <f>-M43</f>
        <v>-10.539999999999997</v>
      </c>
      <c r="Q65" s="19">
        <f>P43</f>
        <v>3.3569999999999993</v>
      </c>
    </row>
    <row r="66" spans="2:26" x14ac:dyDescent="0.25">
      <c r="B66" s="1"/>
      <c r="C66" s="1">
        <f>SUM(C53:$C$53)</f>
        <v>0.66</v>
      </c>
      <c r="D66" s="19">
        <f>-N52</f>
        <v>-2.738765645421759</v>
      </c>
      <c r="E66" s="19">
        <f>Q52</f>
        <v>14.138133237039746</v>
      </c>
      <c r="O66" s="1">
        <f>C66</f>
        <v>0.66</v>
      </c>
      <c r="P66" s="19">
        <f>-N43</f>
        <v>-12.839999999999996</v>
      </c>
      <c r="Q66" s="19">
        <f>Q43</f>
        <v>5.6569999999999991</v>
      </c>
    </row>
    <row r="67" spans="2:26" x14ac:dyDescent="0.25">
      <c r="C67" s="1">
        <f>SUM(C53:$C$53)</f>
        <v>0.66</v>
      </c>
      <c r="D67" s="19">
        <f>-M53</f>
        <v>-2.3185909030519545</v>
      </c>
      <c r="E67" s="19">
        <f>P53</f>
        <v>16.700243906344831</v>
      </c>
      <c r="F67" s="3"/>
      <c r="O67" s="1">
        <f>C67</f>
        <v>0.66</v>
      </c>
      <c r="P67" s="19">
        <f>-M44</f>
        <v>-12.839999999999996</v>
      </c>
      <c r="Q67" s="19">
        <f>P44</f>
        <v>5.6569999999999991</v>
      </c>
    </row>
    <row r="68" spans="2:26" x14ac:dyDescent="0.25">
      <c r="C68" s="1">
        <v>0</v>
      </c>
      <c r="D68" s="19">
        <f>-N53</f>
        <v>-2.5332150259151089</v>
      </c>
      <c r="E68" s="19">
        <f>Q53</f>
        <v>18.648654897716153</v>
      </c>
      <c r="O68" s="1">
        <f>C68</f>
        <v>0</v>
      </c>
      <c r="P68" s="19">
        <f>-N44</f>
        <v>-13.499999999999996</v>
      </c>
      <c r="Q68" s="19">
        <f>Q44</f>
        <v>6.3169999999999984</v>
      </c>
    </row>
    <row r="69" spans="2:26" x14ac:dyDescent="0.25">
      <c r="D69" s="25"/>
    </row>
    <row r="70" spans="2:26" x14ac:dyDescent="0.25">
      <c r="D70" s="25"/>
      <c r="F70" s="3"/>
    </row>
    <row r="71" spans="2:26" x14ac:dyDescent="0.25">
      <c r="D71" s="25"/>
      <c r="O71" s="159" t="s">
        <v>97</v>
      </c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</row>
    <row r="72" spans="2:26" x14ac:dyDescent="0.25">
      <c r="D72" s="25"/>
      <c r="O72" s="1">
        <f>O55</f>
        <v>14</v>
      </c>
      <c r="P72" s="19">
        <f>D55+P55</f>
        <v>0</v>
      </c>
      <c r="Q72" s="19">
        <f>E55+Q55</f>
        <v>0</v>
      </c>
    </row>
    <row r="73" spans="2:26" x14ac:dyDescent="0.25">
      <c r="D73" s="25"/>
      <c r="O73" s="1">
        <f>O56</f>
        <v>13.5</v>
      </c>
      <c r="P73" s="19">
        <f>D56+P56</f>
        <v>0</v>
      </c>
      <c r="Q73" s="19">
        <f>E56+Q56</f>
        <v>0</v>
      </c>
    </row>
    <row r="74" spans="2:26" x14ac:dyDescent="0.25">
      <c r="O74" s="1">
        <f>O57</f>
        <v>13.5</v>
      </c>
      <c r="P74" s="19">
        <f>D57+P57</f>
        <v>0</v>
      </c>
      <c r="Q74" s="19">
        <f>E57+Q57</f>
        <v>0</v>
      </c>
    </row>
    <row r="75" spans="2:26" x14ac:dyDescent="0.25">
      <c r="O75" s="1">
        <f>O58</f>
        <v>7.79</v>
      </c>
      <c r="P75" s="19">
        <f>D58+P58</f>
        <v>-5.7099999999999991</v>
      </c>
      <c r="Q75" s="19">
        <f>E58+Q58</f>
        <v>0</v>
      </c>
    </row>
    <row r="76" spans="2:26" x14ac:dyDescent="0.25">
      <c r="O76" s="1">
        <f>O59</f>
        <v>7.79</v>
      </c>
      <c r="P76" s="19">
        <f>D59+P59</f>
        <v>-5.7099999999999991</v>
      </c>
      <c r="Q76" s="19">
        <f>E59+Q59</f>
        <v>0</v>
      </c>
    </row>
    <row r="77" spans="2:26" x14ac:dyDescent="0.25">
      <c r="O77" s="1">
        <f>O60</f>
        <v>7.16</v>
      </c>
      <c r="P77" s="19">
        <f>D60+P60</f>
        <v>-6.5448684809148272</v>
      </c>
      <c r="Q77" s="19">
        <f>E60+Q60</f>
        <v>0</v>
      </c>
    </row>
    <row r="78" spans="2:26" ht="15" customHeight="1" x14ac:dyDescent="0.25">
      <c r="O78" s="1">
        <f>O61</f>
        <v>7.16</v>
      </c>
      <c r="P78" s="19">
        <f>D61+P61</f>
        <v>-6.5448684809148272</v>
      </c>
      <c r="Q78" s="19">
        <f>E61+Q61</f>
        <v>0</v>
      </c>
    </row>
    <row r="79" spans="2:26" x14ac:dyDescent="0.25">
      <c r="O79" s="1">
        <f>O62</f>
        <v>6.3170000000000002</v>
      </c>
      <c r="P79" s="19">
        <f>D62+P62</f>
        <v>-7.662002019662765</v>
      </c>
      <c r="Q79" s="19">
        <f>E62+Q62</f>
        <v>0</v>
      </c>
    </row>
    <row r="80" spans="2:26" x14ac:dyDescent="0.25">
      <c r="O80" s="1">
        <f>O63</f>
        <v>6.3170000000000002</v>
      </c>
      <c r="P80" s="19">
        <f>D63+P63</f>
        <v>-7.662002019662765</v>
      </c>
      <c r="Q80" s="19">
        <f>E63+Q63</f>
        <v>0</v>
      </c>
    </row>
    <row r="81" spans="15:17" x14ac:dyDescent="0.25">
      <c r="O81" s="1">
        <f>O64</f>
        <v>2.96</v>
      </c>
      <c r="P81" s="19">
        <f>D64+P64</f>
        <v>-12.110658353680353</v>
      </c>
      <c r="Q81" s="19">
        <f>E64+Q64</f>
        <v>13.267326815202331</v>
      </c>
    </row>
    <row r="82" spans="15:17" x14ac:dyDescent="0.25">
      <c r="O82" s="1">
        <f>O65</f>
        <v>2.96</v>
      </c>
      <c r="P82" s="19">
        <f>D65+P65</f>
        <v>-12.395292856576027</v>
      </c>
      <c r="Q82" s="19">
        <f>E65+Q65</f>
        <v>11.746908657723603</v>
      </c>
    </row>
    <row r="83" spans="15:17" x14ac:dyDescent="0.25">
      <c r="O83" s="1">
        <f>O66</f>
        <v>0.66</v>
      </c>
      <c r="P83" s="19">
        <f>D66+P66</f>
        <v>-15.578765645421756</v>
      </c>
      <c r="Q83" s="19">
        <f>E66+Q66</f>
        <v>19.795133237039746</v>
      </c>
    </row>
    <row r="84" spans="15:17" x14ac:dyDescent="0.25">
      <c r="O84" s="1">
        <f>O67</f>
        <v>0.66</v>
      </c>
      <c r="P84" s="19">
        <f>D67+P67</f>
        <v>-15.158590903051952</v>
      </c>
      <c r="Q84" s="19">
        <f>E67+Q67</f>
        <v>22.357243906344831</v>
      </c>
    </row>
    <row r="85" spans="15:17" x14ac:dyDescent="0.25">
      <c r="O85" s="1">
        <f>O68</f>
        <v>0</v>
      </c>
      <c r="P85" s="19">
        <f>D68+P68</f>
        <v>-16.033215025915105</v>
      </c>
      <c r="Q85" s="19">
        <f>E68+Q68</f>
        <v>24.965654897716149</v>
      </c>
    </row>
  </sheetData>
  <mergeCells count="69">
    <mergeCell ref="C54:N54"/>
    <mergeCell ref="O54:Z54"/>
    <mergeCell ref="O71:Z71"/>
    <mergeCell ref="C34:D34"/>
    <mergeCell ref="E34:G34"/>
    <mergeCell ref="H34:I34"/>
    <mergeCell ref="C35:D35"/>
    <mergeCell ref="E35:G35"/>
    <mergeCell ref="H35:I35"/>
    <mergeCell ref="B30:H30"/>
    <mergeCell ref="I30:J30"/>
    <mergeCell ref="B31:H31"/>
    <mergeCell ref="I31:J31"/>
    <mergeCell ref="B32:H32"/>
    <mergeCell ref="I32:J32"/>
    <mergeCell ref="B27:H27"/>
    <mergeCell ref="I27:J27"/>
    <mergeCell ref="B28:H28"/>
    <mergeCell ref="I28:J28"/>
    <mergeCell ref="B29:H29"/>
    <mergeCell ref="I29:J29"/>
    <mergeCell ref="I23:J23"/>
    <mergeCell ref="B24:H24"/>
    <mergeCell ref="I24:J24"/>
    <mergeCell ref="B25:H25"/>
    <mergeCell ref="I25:J25"/>
    <mergeCell ref="B26:H26"/>
    <mergeCell ref="I26:J26"/>
    <mergeCell ref="B19:H19"/>
    <mergeCell ref="I19:J19"/>
    <mergeCell ref="M19:T24"/>
    <mergeCell ref="B20:H20"/>
    <mergeCell ref="I20:J20"/>
    <mergeCell ref="B21:H21"/>
    <mergeCell ref="I21:J21"/>
    <mergeCell ref="B22:H22"/>
    <mergeCell ref="I22:J22"/>
    <mergeCell ref="B23:H23"/>
    <mergeCell ref="B16:H16"/>
    <mergeCell ref="I16:J16"/>
    <mergeCell ref="B17:H17"/>
    <mergeCell ref="I17:J17"/>
    <mergeCell ref="B18:H18"/>
    <mergeCell ref="I18:J18"/>
    <mergeCell ref="B13:H13"/>
    <mergeCell ref="I13:J13"/>
    <mergeCell ref="B14:H14"/>
    <mergeCell ref="I14:J14"/>
    <mergeCell ref="B15:H15"/>
    <mergeCell ref="I15:J15"/>
    <mergeCell ref="B9:H9"/>
    <mergeCell ref="I9:J9"/>
    <mergeCell ref="B10:H10"/>
    <mergeCell ref="I10:J10"/>
    <mergeCell ref="B12:H12"/>
    <mergeCell ref="I12:J12"/>
    <mergeCell ref="B6:H6"/>
    <mergeCell ref="I6:J6"/>
    <mergeCell ref="B7:H7"/>
    <mergeCell ref="I7:J7"/>
    <mergeCell ref="B8:H8"/>
    <mergeCell ref="I8:J8"/>
    <mergeCell ref="A1:M1"/>
    <mergeCell ref="B3:H3"/>
    <mergeCell ref="I3:J3"/>
    <mergeCell ref="B4:H4"/>
    <mergeCell ref="I4:J4"/>
    <mergeCell ref="B5:H5"/>
    <mergeCell ref="I5:J5"/>
  </mergeCells>
  <conditionalFormatting sqref="C34:I35">
    <cfRule type="expression" dxfId="1" priority="3">
      <formula>$C$35&lt;$H$35</formula>
    </cfRule>
    <cfRule type="expression" dxfId="0" priority="4">
      <formula>$C$35&gt;=$H$35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79D1-5F50-4E6F-8059-CA5C43BB83E9}">
  <dimension ref="B2:E6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46" style="2" customWidth="1"/>
    <col min="3" max="16384" width="9.140625" style="1"/>
  </cols>
  <sheetData>
    <row r="2" spans="2:5" ht="18" x14ac:dyDescent="0.25">
      <c r="B2" s="2" t="s">
        <v>90</v>
      </c>
      <c r="C2" s="1" t="s">
        <v>88</v>
      </c>
      <c r="D2" s="1">
        <v>50</v>
      </c>
      <c r="E2" s="1" t="s">
        <v>10</v>
      </c>
    </row>
    <row r="3" spans="2:5" x14ac:dyDescent="0.25">
      <c r="B3" s="2" t="s">
        <v>91</v>
      </c>
      <c r="C3" s="1" t="s">
        <v>24</v>
      </c>
      <c r="D3" s="1">
        <v>11</v>
      </c>
      <c r="E3" s="1" t="s">
        <v>4</v>
      </c>
    </row>
    <row r="4" spans="2:5" ht="18" x14ac:dyDescent="0.25">
      <c r="B4" s="2" t="s">
        <v>92</v>
      </c>
      <c r="C4" s="1" t="s">
        <v>89</v>
      </c>
      <c r="D4" s="1">
        <v>0.13</v>
      </c>
      <c r="E4" s="1" t="s">
        <v>4</v>
      </c>
    </row>
    <row r="6" spans="2:5" ht="18" x14ac:dyDescent="0.25">
      <c r="B6" s="2" t="s">
        <v>94</v>
      </c>
      <c r="C6" s="1" t="s">
        <v>93</v>
      </c>
      <c r="D6" s="1">
        <f>D2*D3*D4</f>
        <v>71.5</v>
      </c>
      <c r="E6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264A-CBB5-4BBA-9DD2-3A27EEC128D6}">
  <dimension ref="B2:G12"/>
  <sheetViews>
    <sheetView workbookViewId="0">
      <selection activeCell="F14" sqref="F14"/>
    </sheetView>
  </sheetViews>
  <sheetFormatPr defaultRowHeight="15" x14ac:dyDescent="0.25"/>
  <sheetData>
    <row r="2" spans="2:7" x14ac:dyDescent="0.25">
      <c r="B2">
        <v>157</v>
      </c>
      <c r="C2">
        <v>4.1870000000000003</v>
      </c>
      <c r="F2">
        <v>157</v>
      </c>
      <c r="G2">
        <v>0.187</v>
      </c>
    </row>
    <row r="3" spans="2:7" x14ac:dyDescent="0.25">
      <c r="B3">
        <v>-7997</v>
      </c>
      <c r="C3">
        <v>4</v>
      </c>
      <c r="F3">
        <v>-10241</v>
      </c>
      <c r="G3">
        <f>C3-C4</f>
        <v>2.5209999999999999</v>
      </c>
    </row>
    <row r="4" spans="2:7" x14ac:dyDescent="0.25">
      <c r="B4">
        <v>10241</v>
      </c>
      <c r="C4">
        <v>1.4790000000000001</v>
      </c>
      <c r="F4">
        <v>7997</v>
      </c>
      <c r="G4">
        <f>C3</f>
        <v>4</v>
      </c>
    </row>
    <row r="5" spans="2:7" x14ac:dyDescent="0.25">
      <c r="B5">
        <v>-91414</v>
      </c>
      <c r="C5">
        <v>5.3479999999999999</v>
      </c>
      <c r="F5">
        <v>-91414</v>
      </c>
      <c r="G5">
        <f>C3+C5</f>
        <v>9.347999999999999</v>
      </c>
    </row>
    <row r="6" spans="2:7" x14ac:dyDescent="0.25">
      <c r="B6">
        <v>74176</v>
      </c>
      <c r="C6">
        <v>6.8090000000000002</v>
      </c>
      <c r="F6">
        <v>74176</v>
      </c>
      <c r="G6">
        <f>C3+C6</f>
        <v>10.809000000000001</v>
      </c>
    </row>
    <row r="8" spans="2:7" x14ac:dyDescent="0.25">
      <c r="B8">
        <f t="array" ref="B8">SUM(B2:B6*C2:C6)</f>
        <v>-1.8899999999557622</v>
      </c>
      <c r="F8">
        <f t="array" ref="F8">SUM(F2:F6*G2:G6)</f>
        <v>-46569.889999999898</v>
      </c>
    </row>
    <row r="12" spans="2:7" x14ac:dyDescent="0.25">
      <c r="B12">
        <f>157+10241+91414-7997-74176</f>
        <v>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Ледовая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Гурин В.С.</cp:lastModifiedBy>
  <dcterms:created xsi:type="dcterms:W3CDTF">2021-06-21T09:55:48Z</dcterms:created>
  <dcterms:modified xsi:type="dcterms:W3CDTF">2021-10-20T11:42:05Z</dcterms:modified>
</cp:coreProperties>
</file>