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!!Работа_Гурин\Псковская область\Вскувица км 3+990\2022-04-25__Правка по замечаниям\"/>
    </mc:Choice>
  </mc:AlternateContent>
  <xr:revisionPtr revIDLastSave="0" documentId="13_ncr:1_{B7E1BFDD-39D3-4F53-8BE7-BF73F7FCB28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МИК-С" sheetId="1" r:id="rId1"/>
    <sheet name="Обстройка МИК-С" sheetId="2" r:id="rId2"/>
    <sheet name="МИК-П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F11" i="1" s="1"/>
  <c r="F9" i="1"/>
  <c r="F10" i="1"/>
  <c r="F12" i="1"/>
  <c r="G8" i="5"/>
  <c r="G6" i="5"/>
  <c r="G5" i="5"/>
  <c r="G7" i="5" l="1"/>
  <c r="G9" i="5" l="1"/>
  <c r="G13" i="5"/>
  <c r="G19" i="5"/>
  <c r="F19" i="5"/>
  <c r="F6" i="5"/>
  <c r="F7" i="5"/>
  <c r="F5" i="5"/>
  <c r="F13" i="5" s="1"/>
  <c r="F9" i="5" l="1"/>
  <c r="F20" i="5" s="1"/>
  <c r="G20" i="5"/>
  <c r="D60" i="2" l="1"/>
  <c r="E5" i="5" l="1"/>
  <c r="F15" i="1"/>
  <c r="F14" i="1"/>
  <c r="F13" i="1"/>
  <c r="F8" i="1"/>
  <c r="F7" i="1"/>
  <c r="F6" i="1"/>
  <c r="F5" i="1"/>
  <c r="G22" i="5" l="1"/>
  <c r="G23" i="5" s="1"/>
  <c r="E65" i="2"/>
  <c r="D65" i="2"/>
  <c r="E64" i="2"/>
  <c r="D64" i="2"/>
  <c r="F64" i="2" s="1"/>
  <c r="E63" i="2"/>
  <c r="D63" i="2"/>
  <c r="C63" i="2"/>
  <c r="E62" i="2"/>
  <c r="D62" i="2"/>
  <c r="C62" i="2"/>
  <c r="F62" i="2" s="1"/>
  <c r="F61" i="2"/>
  <c r="F60" i="2"/>
  <c r="F59" i="2"/>
  <c r="E58" i="2"/>
  <c r="D58" i="2"/>
  <c r="F58" i="2" s="1"/>
  <c r="E57" i="2"/>
  <c r="D57" i="2"/>
  <c r="F57" i="2" s="1"/>
  <c r="E56" i="2"/>
  <c r="D56" i="2"/>
  <c r="C56" i="2"/>
  <c r="F56" i="2" s="1"/>
  <c r="E55" i="2"/>
  <c r="D55" i="2"/>
  <c r="C55" i="2"/>
  <c r="F55" i="2" s="1"/>
  <c r="F54" i="2"/>
  <c r="F53" i="2"/>
  <c r="F52" i="2"/>
  <c r="D75" i="2"/>
  <c r="F75" i="2" s="1"/>
  <c r="D73" i="2"/>
  <c r="F72" i="2"/>
  <c r="F71" i="2"/>
  <c r="F70" i="2"/>
  <c r="F74" i="2"/>
  <c r="F73" i="2"/>
  <c r="C69" i="2"/>
  <c r="F69" i="2" s="1"/>
  <c r="D76" i="2"/>
  <c r="F76" i="2" s="1"/>
  <c r="D74" i="2"/>
  <c r="C74" i="2"/>
  <c r="C73" i="2"/>
  <c r="F68" i="2"/>
  <c r="F67" i="2"/>
  <c r="F66" i="2"/>
  <c r="F65" i="2" l="1"/>
  <c r="G76" i="2"/>
  <c r="F63" i="2"/>
  <c r="F22" i="5"/>
  <c r="F23" i="5" s="1"/>
  <c r="G65" i="2"/>
  <c r="G58" i="2"/>
  <c r="E48" i="2"/>
  <c r="D47" i="2"/>
  <c r="D46" i="2"/>
  <c r="F46" i="2" s="1"/>
  <c r="E45" i="2"/>
  <c r="E44" i="2"/>
  <c r="E43" i="2"/>
  <c r="D44" i="2"/>
  <c r="D43" i="2"/>
  <c r="E42" i="2"/>
  <c r="E41" i="2"/>
  <c r="D42" i="2"/>
  <c r="D41" i="2"/>
  <c r="F40" i="2"/>
  <c r="F37" i="2"/>
  <c r="E6" i="5"/>
  <c r="E7" i="5"/>
  <c r="F34" i="2"/>
  <c r="E29" i="2"/>
  <c r="E23" i="2"/>
  <c r="E18" i="2"/>
  <c r="E17" i="2"/>
  <c r="D50" i="2" l="1"/>
  <c r="E19" i="5"/>
  <c r="E22" i="5" s="1"/>
  <c r="E23" i="5" s="1"/>
  <c r="E13" i="5"/>
  <c r="E9" i="5"/>
  <c r="E20" i="5" s="1"/>
  <c r="F16" i="1"/>
  <c r="E18" i="1" s="1"/>
  <c r="D48" i="2"/>
  <c r="C13" i="2"/>
  <c r="C12" i="2"/>
  <c r="F12" i="2" s="1"/>
  <c r="C11" i="2"/>
  <c r="F11" i="2" s="1"/>
  <c r="F10" i="2"/>
  <c r="C9" i="2"/>
  <c r="F9" i="2" s="1"/>
  <c r="C8" i="2"/>
  <c r="F8" i="2" s="1"/>
  <c r="C7" i="2"/>
  <c r="F7" i="2" s="1"/>
  <c r="E9" i="2"/>
  <c r="E13" i="2" s="1"/>
  <c r="C6" i="2"/>
  <c r="F6" i="2" s="1"/>
  <c r="F13" i="2" l="1"/>
  <c r="F25" i="5" l="1" a="1"/>
  <c r="F25" i="5" s="1"/>
  <c r="G25" i="5" a="1"/>
  <c r="E25" i="5" a="1"/>
  <c r="E25" i="5" s="1"/>
  <c r="G25" i="5" l="1"/>
  <c r="D51" i="2" l="1"/>
  <c r="E49" i="2" l="1"/>
  <c r="D49" i="2"/>
  <c r="C49" i="2"/>
  <c r="C48" i="2"/>
  <c r="C42" i="2"/>
  <c r="C41" i="2"/>
  <c r="G13" i="2" l="1"/>
  <c r="F49" i="2"/>
  <c r="F42" i="2"/>
  <c r="F41" i="2"/>
  <c r="F48" i="2"/>
  <c r="F51" i="2" l="1"/>
  <c r="F50" i="2"/>
  <c r="F47" i="2"/>
  <c r="F45" i="2"/>
  <c r="F39" i="2"/>
  <c r="F38" i="2"/>
  <c r="F44" i="2"/>
  <c r="F43" i="2"/>
  <c r="F33" i="2"/>
  <c r="F36" i="2"/>
  <c r="F35" i="2"/>
  <c r="F32" i="2"/>
  <c r="F18" i="2"/>
  <c r="D19" i="2"/>
  <c r="F19" i="2" s="1"/>
  <c r="F26" i="2"/>
  <c r="F20" i="2"/>
  <c r="D29" i="2"/>
  <c r="D28" i="2"/>
  <c r="F28" i="2" s="1"/>
  <c r="D27" i="2"/>
  <c r="F27" i="2" s="1"/>
  <c r="D23" i="2"/>
  <c r="D22" i="2"/>
  <c r="F22" i="2" s="1"/>
  <c r="D21" i="2"/>
  <c r="F21" i="2" s="1"/>
  <c r="F14" i="2"/>
  <c r="D16" i="2"/>
  <c r="F16" i="2" s="1"/>
  <c r="D15" i="2"/>
  <c r="F15" i="2" s="1"/>
  <c r="F5" i="2"/>
  <c r="D17" i="2"/>
  <c r="F4" i="2"/>
  <c r="G34" i="2" l="1"/>
  <c r="G51" i="2"/>
  <c r="G37" i="2"/>
  <c r="G9" i="2"/>
  <c r="E24" i="2"/>
  <c r="F24" i="2" s="1"/>
  <c r="D25" i="2"/>
  <c r="F25" i="2" s="1"/>
  <c r="E30" i="2"/>
  <c r="F30" i="2" s="1"/>
  <c r="D31" i="2"/>
  <c r="F31" i="2" s="1"/>
  <c r="G44" i="2"/>
  <c r="F17" i="2"/>
  <c r="G19" i="2" s="1"/>
  <c r="F29" i="2" l="1"/>
  <c r="G31" i="2" s="1"/>
  <c r="F23" i="2"/>
  <c r="G25" i="2" s="1"/>
</calcChain>
</file>

<file path=xl/sharedStrings.xml><?xml version="1.0" encoding="utf-8"?>
<sst xmlns="http://schemas.openxmlformats.org/spreadsheetml/2006/main" count="205" uniqueCount="106">
  <si>
    <t>Л1</t>
  </si>
  <si>
    <t>МИК-С</t>
  </si>
  <si>
    <t>Стойка</t>
  </si>
  <si>
    <t>Л2</t>
  </si>
  <si>
    <t>Л5</t>
  </si>
  <si>
    <t>Раскос</t>
  </si>
  <si>
    <t>Л6</t>
  </si>
  <si>
    <t>Распорка</t>
  </si>
  <si>
    <t>Л12</t>
  </si>
  <si>
    <t>Болтовое соединение</t>
  </si>
  <si>
    <t>Консоль К1</t>
  </si>
  <si>
    <t>Прокат</t>
  </si>
  <si>
    <t>Масса ед.</t>
  </si>
  <si>
    <t>Длина</t>
  </si>
  <si>
    <t>Масса</t>
  </si>
  <si>
    <t>Уголок 100х7</t>
  </si>
  <si>
    <t>Полоса 50х5</t>
  </si>
  <si>
    <t>Арматура 20</t>
  </si>
  <si>
    <t>Кол-во</t>
  </si>
  <si>
    <t>Арматура 8</t>
  </si>
  <si>
    <t>Швеллер 12П</t>
  </si>
  <si>
    <t>Уголок 50х5</t>
  </si>
  <si>
    <t>Марка</t>
  </si>
  <si>
    <t>Наименование</t>
  </si>
  <si>
    <t>Масса, кг</t>
  </si>
  <si>
    <t>Примечание</t>
  </si>
  <si>
    <t>Итого масса инвентарного металла опоры, кг:</t>
  </si>
  <si>
    <t>Количество, шт.</t>
  </si>
  <si>
    <t>Консоль К2</t>
  </si>
  <si>
    <t>Лист t=2мм</t>
  </si>
  <si>
    <t>П3</t>
  </si>
  <si>
    <t>П3а</t>
  </si>
  <si>
    <t>П4</t>
  </si>
  <si>
    <t>П4а</t>
  </si>
  <si>
    <t>МИК-П</t>
  </si>
  <si>
    <t>П11</t>
  </si>
  <si>
    <t>П12</t>
  </si>
  <si>
    <t>П14</t>
  </si>
  <si>
    <t>П16</t>
  </si>
  <si>
    <t>П18</t>
  </si>
  <si>
    <t>П19</t>
  </si>
  <si>
    <t>П20</t>
  </si>
  <si>
    <t>П21</t>
  </si>
  <si>
    <t>П22</t>
  </si>
  <si>
    <t>П23</t>
  </si>
  <si>
    <t>П30</t>
  </si>
  <si>
    <t>П31</t>
  </si>
  <si>
    <t>П32</t>
  </si>
  <si>
    <t>Балка 1040х11920</t>
  </si>
  <si>
    <t>Балка 1040х8000</t>
  </si>
  <si>
    <t>Диафрагма 1040х1050</t>
  </si>
  <si>
    <t>Диафрагма 1040х500</t>
  </si>
  <si>
    <t>Накладка 1090х360</t>
  </si>
  <si>
    <t>Ребро жесткости 1000х100</t>
  </si>
  <si>
    <t>Диафрагма 1040х1350</t>
  </si>
  <si>
    <t>Диафрагма 1040х1950</t>
  </si>
  <si>
    <t>Раскос 3205</t>
  </si>
  <si>
    <t>Раскос 2770</t>
  </si>
  <si>
    <t>Раскос 3146</t>
  </si>
  <si>
    <t>Раскос 3559</t>
  </si>
  <si>
    <t>Раскос 3054</t>
  </si>
  <si>
    <t>Раскос 2223</t>
  </si>
  <si>
    <t>Накладка 810х560</t>
  </si>
  <si>
    <t>П34</t>
  </si>
  <si>
    <t>П35</t>
  </si>
  <si>
    <t>Накладка 1090х160</t>
  </si>
  <si>
    <t>МИК-П по СТО 136-2009</t>
  </si>
  <si>
    <t>Швеллер 20П</t>
  </si>
  <si>
    <t>Лист t=8мм</t>
  </si>
  <si>
    <t>Лист t=12мм</t>
  </si>
  <si>
    <t>Лестница Л-1</t>
  </si>
  <si>
    <t>Лестница Л-2</t>
  </si>
  <si>
    <t>Лестница Л-3</t>
  </si>
  <si>
    <t>Настил МН-1</t>
  </si>
  <si>
    <t>Настил МН-2</t>
  </si>
  <si>
    <t xml:space="preserve">Лист  ПВ 406х7980х780 ГОСТ 8706-78 </t>
  </si>
  <si>
    <t xml:space="preserve">Лист  ПВ 406х7980х1180 ГОСТ 8706-78 </t>
  </si>
  <si>
    <t>Ограждение Ог-1</t>
  </si>
  <si>
    <t>Ограждение Ог-2</t>
  </si>
  <si>
    <t>18-21</t>
  </si>
  <si>
    <t>5-7</t>
  </si>
  <si>
    <t>Переходная</t>
  </si>
  <si>
    <t>площадка Пп-1</t>
  </si>
  <si>
    <t>Уголок 100х10</t>
  </si>
  <si>
    <t>Ограждение Ог-3</t>
  </si>
  <si>
    <t>30-32</t>
  </si>
  <si>
    <t>Ограждение Ог-4</t>
  </si>
  <si>
    <t>Итого масса инвентарного металла МИК-С, кг:</t>
  </si>
  <si>
    <t>ПО СТО 136-2016</t>
  </si>
  <si>
    <t>Л26</t>
  </si>
  <si>
    <t>Л27</t>
  </si>
  <si>
    <t>Л10</t>
  </si>
  <si>
    <t>Соединительная планка</t>
  </si>
  <si>
    <t>Л11</t>
  </si>
  <si>
    <t>Ростверк</t>
  </si>
  <si>
    <t>Л24</t>
  </si>
  <si>
    <t>Накладка для ростверков</t>
  </si>
  <si>
    <t>Л28</t>
  </si>
  <si>
    <t>Л29</t>
  </si>
  <si>
    <t>Ребро ростверка</t>
  </si>
  <si>
    <t>кг</t>
  </si>
  <si>
    <t>Масса единицы</t>
  </si>
  <si>
    <t>Масса ИТОГО</t>
  </si>
  <si>
    <t>шт.</t>
  </si>
  <si>
    <t>Балка ростверка</t>
  </si>
  <si>
    <t>Распорка ростверка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</si>
</sst>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28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6" xfId="0" applyNumberFormat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8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1" fontId="0" fillId="2" borderId="3" xfId="0" applyNumberFormat="1" applyFill="1" applyBorder="1"/>
    <xf numFmtId="0" fontId="0" fillId="2" borderId="0" xfId="0" applyFill="1" applyBorder="1"/>
    <xf numFmtId="1" fontId="0" fillId="2" borderId="0" xfId="0" applyNumberFormat="1" applyFill="1" applyBorder="1"/>
    <xf numFmtId="0" fontId="0" fillId="2" borderId="8" xfId="0" applyFill="1" applyBorder="1"/>
    <xf numFmtId="1" fontId="0" fillId="2" borderId="8" xfId="0" applyNumberFormat="1" applyFill="1" applyBorder="1"/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" fontId="0" fillId="0" borderId="19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left" vertical="center" wrapText="1"/>
    </xf>
    <xf numFmtId="2" fontId="0" fillId="0" borderId="30" xfId="0" applyNumberForma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left" vertical="center" wrapText="1"/>
    </xf>
    <xf numFmtId="2" fontId="0" fillId="0" borderId="26" xfId="0" applyNumberForma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 wrapText="1"/>
    </xf>
    <xf numFmtId="2" fontId="0" fillId="0" borderId="27" xfId="0" applyNumberForma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5" zoomScaleNormal="85" workbookViewId="0">
      <pane ySplit="4" topLeftCell="A5" activePane="bottomLeft" state="frozen"/>
      <selection pane="bottomLeft" activeCell="E21" sqref="E21"/>
    </sheetView>
  </sheetViews>
  <sheetFormatPr defaultRowHeight="15" x14ac:dyDescent="0.25"/>
  <cols>
    <col min="1" max="1" width="7" style="22" customWidth="1"/>
    <col min="2" max="2" width="13.5703125" style="22" customWidth="1"/>
    <col min="3" max="3" width="25.140625" style="22" customWidth="1"/>
    <col min="4" max="4" width="9.140625" style="22"/>
    <col min="5" max="6" width="8.28515625" style="22" customWidth="1"/>
    <col min="7" max="11" width="9.140625" style="22" customWidth="1"/>
    <col min="12" max="16384" width="9.140625" style="22"/>
  </cols>
  <sheetData>
    <row r="1" spans="1:13" ht="15.75" thickBot="1" x14ac:dyDescent="0.3">
      <c r="A1" s="82" t="s">
        <v>22</v>
      </c>
      <c r="B1" s="82" t="s">
        <v>25</v>
      </c>
      <c r="C1" s="82" t="s">
        <v>23</v>
      </c>
      <c r="D1" s="64" t="s">
        <v>101</v>
      </c>
      <c r="E1" s="57" t="s">
        <v>18</v>
      </c>
      <c r="F1" s="64" t="s">
        <v>102</v>
      </c>
      <c r="G1" s="30"/>
      <c r="H1" s="62" t="s">
        <v>88</v>
      </c>
      <c r="I1" s="62"/>
      <c r="J1" s="62"/>
      <c r="K1" s="62"/>
      <c r="L1" s="62"/>
      <c r="M1" s="62"/>
    </row>
    <row r="2" spans="1:13" ht="15.75" customHeight="1" thickBot="1" x14ac:dyDescent="0.3">
      <c r="A2" s="82"/>
      <c r="B2" s="82"/>
      <c r="C2" s="82"/>
      <c r="D2" s="65"/>
      <c r="E2" s="58"/>
      <c r="F2" s="65"/>
      <c r="G2" s="30"/>
      <c r="H2" s="62"/>
      <c r="I2" s="62"/>
      <c r="J2" s="62"/>
      <c r="K2" s="62"/>
      <c r="L2" s="62"/>
      <c r="M2" s="62"/>
    </row>
    <row r="3" spans="1:13" ht="15.75" customHeight="1" thickBot="1" x14ac:dyDescent="0.3">
      <c r="A3" s="82"/>
      <c r="B3" s="82"/>
      <c r="C3" s="82"/>
      <c r="D3" s="65"/>
      <c r="E3" s="58"/>
      <c r="F3" s="65"/>
      <c r="G3" s="30"/>
      <c r="H3" s="62"/>
      <c r="I3" s="62"/>
      <c r="J3" s="62"/>
      <c r="K3" s="62"/>
      <c r="L3" s="62"/>
      <c r="M3" s="62"/>
    </row>
    <row r="4" spans="1:13" ht="15.75" thickBot="1" x14ac:dyDescent="0.3">
      <c r="A4" s="82"/>
      <c r="B4" s="82"/>
      <c r="C4" s="82"/>
      <c r="D4" s="53" t="s">
        <v>100</v>
      </c>
      <c r="E4" s="53" t="s">
        <v>103</v>
      </c>
      <c r="F4" s="83" t="s">
        <v>100</v>
      </c>
      <c r="G4" s="30"/>
      <c r="H4" s="21"/>
      <c r="I4" s="21"/>
      <c r="J4" s="21"/>
      <c r="K4" s="21"/>
    </row>
    <row r="5" spans="1:13" x14ac:dyDescent="0.25">
      <c r="A5" s="70" t="s">
        <v>0</v>
      </c>
      <c r="B5" s="70" t="s">
        <v>1</v>
      </c>
      <c r="C5" s="71" t="s">
        <v>2</v>
      </c>
      <c r="D5" s="72">
        <v>251</v>
      </c>
      <c r="E5" s="73"/>
      <c r="F5" s="73">
        <f>D5*E5</f>
        <v>0</v>
      </c>
      <c r="G5" s="30"/>
      <c r="H5" s="21"/>
      <c r="I5" s="21"/>
      <c r="J5" s="21"/>
      <c r="K5" s="21"/>
    </row>
    <row r="6" spans="1:13" x14ac:dyDescent="0.25">
      <c r="A6" s="74" t="s">
        <v>3</v>
      </c>
      <c r="B6" s="74" t="s">
        <v>1</v>
      </c>
      <c r="C6" s="75" t="s">
        <v>2</v>
      </c>
      <c r="D6" s="76">
        <v>140</v>
      </c>
      <c r="E6" s="77">
        <v>12</v>
      </c>
      <c r="F6" s="77">
        <f t="shared" ref="F6:F16" si="0">D6*E6</f>
        <v>1680</v>
      </c>
      <c r="G6" s="30"/>
      <c r="H6" s="21"/>
      <c r="I6" s="21"/>
      <c r="J6" s="21"/>
      <c r="K6" s="21"/>
    </row>
    <row r="7" spans="1:13" x14ac:dyDescent="0.25">
      <c r="A7" s="74" t="s">
        <v>4</v>
      </c>
      <c r="B7" s="74" t="s">
        <v>1</v>
      </c>
      <c r="C7" s="75" t="s">
        <v>5</v>
      </c>
      <c r="D7" s="76">
        <v>30</v>
      </c>
      <c r="E7" s="77">
        <v>16</v>
      </c>
      <c r="F7" s="77">
        <f t="shared" si="0"/>
        <v>480</v>
      </c>
      <c r="G7" s="30"/>
      <c r="H7" s="21"/>
      <c r="I7" s="21"/>
      <c r="J7" s="21"/>
      <c r="K7" s="21"/>
    </row>
    <row r="8" spans="1:13" x14ac:dyDescent="0.25">
      <c r="A8" s="74" t="s">
        <v>6</v>
      </c>
      <c r="B8" s="74" t="s">
        <v>1</v>
      </c>
      <c r="C8" s="75" t="s">
        <v>7</v>
      </c>
      <c r="D8" s="76">
        <v>22</v>
      </c>
      <c r="E8" s="77"/>
      <c r="F8" s="77">
        <f t="shared" si="0"/>
        <v>0</v>
      </c>
      <c r="G8" s="30"/>
      <c r="H8" s="21"/>
      <c r="I8" s="21"/>
      <c r="J8" s="21"/>
      <c r="K8" s="21"/>
    </row>
    <row r="9" spans="1:13" x14ac:dyDescent="0.25">
      <c r="A9" s="74" t="s">
        <v>91</v>
      </c>
      <c r="B9" s="74" t="s">
        <v>1</v>
      </c>
      <c r="C9" s="75" t="s">
        <v>92</v>
      </c>
      <c r="D9" s="76">
        <v>3.8</v>
      </c>
      <c r="E9" s="77"/>
      <c r="F9" s="77">
        <f t="shared" si="0"/>
        <v>0</v>
      </c>
      <c r="G9" s="30"/>
      <c r="H9" s="21"/>
      <c r="I9" s="21"/>
      <c r="J9" s="21"/>
      <c r="K9" s="21"/>
    </row>
    <row r="10" spans="1:13" x14ac:dyDescent="0.25">
      <c r="A10" s="74" t="s">
        <v>93</v>
      </c>
      <c r="B10" s="74" t="s">
        <v>1</v>
      </c>
      <c r="C10" s="75" t="s">
        <v>94</v>
      </c>
      <c r="D10" s="76">
        <v>1975</v>
      </c>
      <c r="E10" s="77"/>
      <c r="F10" s="77">
        <f t="shared" si="0"/>
        <v>0</v>
      </c>
      <c r="G10" s="30"/>
      <c r="H10" s="21"/>
      <c r="I10" s="21"/>
      <c r="J10" s="21"/>
      <c r="K10" s="21"/>
    </row>
    <row r="11" spans="1:13" x14ac:dyDescent="0.25">
      <c r="A11" s="74" t="s">
        <v>8</v>
      </c>
      <c r="B11" s="74" t="s">
        <v>1</v>
      </c>
      <c r="C11" s="75" t="s">
        <v>9</v>
      </c>
      <c r="D11" s="76">
        <v>0.76</v>
      </c>
      <c r="E11" s="77">
        <f>(E5+E6)*8+(E7+E8+E9)*2+E12*12+(E14*24-8*24)+E16*6</f>
        <v>416</v>
      </c>
      <c r="F11" s="77">
        <f t="shared" si="0"/>
        <v>316.16000000000003</v>
      </c>
      <c r="G11" s="30"/>
      <c r="H11" s="21"/>
      <c r="I11" s="21"/>
      <c r="J11" s="21"/>
      <c r="K11" s="21"/>
    </row>
    <row r="12" spans="1:13" x14ac:dyDescent="0.25">
      <c r="A12" s="74" t="s">
        <v>95</v>
      </c>
      <c r="B12" s="74" t="s">
        <v>1</v>
      </c>
      <c r="C12" s="75" t="s">
        <v>96</v>
      </c>
      <c r="D12" s="76">
        <v>28</v>
      </c>
      <c r="E12" s="77"/>
      <c r="F12" s="77">
        <f t="shared" si="0"/>
        <v>0</v>
      </c>
      <c r="G12" s="30"/>
      <c r="H12" s="21"/>
      <c r="I12" s="21"/>
      <c r="J12" s="21"/>
      <c r="K12" s="21"/>
    </row>
    <row r="13" spans="1:13" x14ac:dyDescent="0.25">
      <c r="A13" s="74" t="s">
        <v>89</v>
      </c>
      <c r="B13" s="74" t="s">
        <v>1</v>
      </c>
      <c r="C13" s="75" t="s">
        <v>104</v>
      </c>
      <c r="D13" s="76">
        <v>593</v>
      </c>
      <c r="E13" s="77">
        <v>12</v>
      </c>
      <c r="F13" s="77">
        <f t="shared" si="0"/>
        <v>7116</v>
      </c>
      <c r="G13" s="30"/>
      <c r="H13" s="21"/>
      <c r="I13" s="21"/>
      <c r="J13" s="21"/>
      <c r="K13" s="21"/>
    </row>
    <row r="14" spans="1:13" x14ac:dyDescent="0.25">
      <c r="A14" s="74" t="s">
        <v>90</v>
      </c>
      <c r="B14" s="74" t="s">
        <v>1</v>
      </c>
      <c r="C14" s="75" t="s">
        <v>105</v>
      </c>
      <c r="D14" s="76">
        <v>365</v>
      </c>
      <c r="E14" s="77">
        <v>20</v>
      </c>
      <c r="F14" s="77">
        <f t="shared" si="0"/>
        <v>7300</v>
      </c>
      <c r="G14" s="30"/>
      <c r="H14" s="21"/>
      <c r="I14" s="21"/>
      <c r="J14" s="21"/>
      <c r="K14" s="21"/>
    </row>
    <row r="15" spans="1:13" x14ac:dyDescent="0.25">
      <c r="A15" s="74" t="s">
        <v>97</v>
      </c>
      <c r="B15" s="74" t="s">
        <v>1</v>
      </c>
      <c r="C15" s="75" t="s">
        <v>99</v>
      </c>
      <c r="D15" s="76">
        <v>11</v>
      </c>
      <c r="E15" s="77">
        <v>8</v>
      </c>
      <c r="F15" s="77">
        <f t="shared" si="0"/>
        <v>88</v>
      </c>
      <c r="G15" s="30"/>
      <c r="H15" s="21"/>
      <c r="I15" s="21"/>
      <c r="J15" s="21"/>
      <c r="K15" s="21"/>
    </row>
    <row r="16" spans="1:13" ht="15.75" thickBot="1" x14ac:dyDescent="0.3">
      <c r="A16" s="78" t="s">
        <v>98</v>
      </c>
      <c r="B16" s="78" t="s">
        <v>1</v>
      </c>
      <c r="C16" s="79" t="s">
        <v>96</v>
      </c>
      <c r="D16" s="80">
        <v>6.3</v>
      </c>
      <c r="E16" s="81"/>
      <c r="F16" s="81">
        <f t="shared" si="0"/>
        <v>0</v>
      </c>
      <c r="G16" s="30"/>
      <c r="H16" s="21"/>
      <c r="I16" s="21"/>
      <c r="J16" s="21"/>
      <c r="K16" s="21"/>
    </row>
    <row r="17" spans="1:11" ht="15.75" thickBot="1" x14ac:dyDescent="0.3">
      <c r="A17" s="66"/>
      <c r="B17" s="66"/>
      <c r="C17" s="67"/>
      <c r="D17" s="63"/>
      <c r="E17" s="28"/>
      <c r="F17" s="21"/>
      <c r="G17" s="30"/>
      <c r="H17" s="21"/>
      <c r="I17" s="21"/>
      <c r="J17" s="21"/>
      <c r="K17" s="21"/>
    </row>
    <row r="18" spans="1:11" ht="15.75" thickBot="1" x14ac:dyDescent="0.3">
      <c r="A18" s="54" t="s">
        <v>87</v>
      </c>
      <c r="B18" s="55"/>
      <c r="C18" s="55"/>
      <c r="D18" s="56"/>
      <c r="E18" s="68">
        <f>SUM(F5:F16)</f>
        <v>16980.16</v>
      </c>
      <c r="F18" s="69"/>
      <c r="G18" s="31"/>
      <c r="H18" s="27"/>
      <c r="I18" s="27"/>
      <c r="J18" s="27"/>
      <c r="K18" s="27"/>
    </row>
  </sheetData>
  <mergeCells count="9">
    <mergeCell ref="E18:F18"/>
    <mergeCell ref="H1:M3"/>
    <mergeCell ref="D1:D3"/>
    <mergeCell ref="E1:E3"/>
    <mergeCell ref="F1:F3"/>
    <mergeCell ref="B1:B4"/>
    <mergeCell ref="A1:A4"/>
    <mergeCell ref="C1:C4"/>
    <mergeCell ref="A1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76"/>
  <sheetViews>
    <sheetView topLeftCell="A28" workbookViewId="0">
      <selection activeCell="B66" sqref="B66"/>
    </sheetView>
  </sheetViews>
  <sheetFormatPr defaultRowHeight="15" x14ac:dyDescent="0.25"/>
  <cols>
    <col min="1" max="1" width="17.7109375" customWidth="1"/>
    <col min="2" max="2" width="34.28515625" customWidth="1"/>
  </cols>
  <sheetData>
    <row r="3" spans="1:7" ht="15.75" thickBot="1" x14ac:dyDescent="0.3">
      <c r="B3" t="s">
        <v>11</v>
      </c>
      <c r="C3" t="s">
        <v>12</v>
      </c>
      <c r="D3" t="s">
        <v>13</v>
      </c>
      <c r="E3" t="s">
        <v>18</v>
      </c>
      <c r="F3" t="s">
        <v>14</v>
      </c>
    </row>
    <row r="4" spans="1:7" x14ac:dyDescent="0.25">
      <c r="A4" s="1" t="s">
        <v>10</v>
      </c>
      <c r="B4" s="38" t="s">
        <v>67</v>
      </c>
      <c r="C4" s="38">
        <v>18.399999999999999</v>
      </c>
      <c r="D4" s="38">
        <v>3488</v>
      </c>
      <c r="E4" s="39">
        <v>1</v>
      </c>
      <c r="F4" s="2">
        <f>C4*D4/1000*E4</f>
        <v>64.179199999999994</v>
      </c>
      <c r="G4" s="3"/>
    </row>
    <row r="5" spans="1:7" x14ac:dyDescent="0.25">
      <c r="A5" s="4"/>
      <c r="B5" s="40" t="s">
        <v>67</v>
      </c>
      <c r="C5" s="40">
        <v>18.399999999999999</v>
      </c>
      <c r="D5" s="40">
        <v>1841</v>
      </c>
      <c r="E5" s="41">
        <v>1</v>
      </c>
      <c r="F5" s="5">
        <f t="shared" ref="F5:F19" si="0">C5*D5/1000*E5</f>
        <v>33.874399999999994</v>
      </c>
      <c r="G5" s="6"/>
    </row>
    <row r="6" spans="1:7" x14ac:dyDescent="0.25">
      <c r="A6" s="4"/>
      <c r="B6" s="40" t="s">
        <v>68</v>
      </c>
      <c r="C6" s="40">
        <f>0.065*0.008*1*7850</f>
        <v>4.0820000000000007</v>
      </c>
      <c r="D6" s="40">
        <v>180</v>
      </c>
      <c r="E6" s="41">
        <v>8</v>
      </c>
      <c r="F6" s="5">
        <f t="shared" si="0"/>
        <v>5.8780800000000006</v>
      </c>
      <c r="G6" s="10"/>
    </row>
    <row r="7" spans="1:7" x14ac:dyDescent="0.25">
      <c r="A7" s="4"/>
      <c r="B7" s="40" t="s">
        <v>69</v>
      </c>
      <c r="C7" s="40">
        <f>0.2*0.012*1*7850</f>
        <v>18.840000000000003</v>
      </c>
      <c r="D7" s="40">
        <v>400</v>
      </c>
      <c r="E7" s="41">
        <v>1</v>
      </c>
      <c r="F7" s="5">
        <f t="shared" ref="F7" si="1">C7*D7/1000*E7</f>
        <v>7.5360000000000023</v>
      </c>
      <c r="G7" s="10"/>
    </row>
    <row r="8" spans="1:7" x14ac:dyDescent="0.25">
      <c r="A8" s="4"/>
      <c r="B8" s="40" t="s">
        <v>69</v>
      </c>
      <c r="C8" s="40">
        <f>0.2*0.012*1*7850</f>
        <v>18.840000000000003</v>
      </c>
      <c r="D8" s="40">
        <v>322</v>
      </c>
      <c r="E8" s="41">
        <v>1</v>
      </c>
      <c r="F8" s="5">
        <f t="shared" ref="F8" si="2">C8*D8/1000*E8</f>
        <v>6.0664800000000012</v>
      </c>
      <c r="G8" s="10"/>
    </row>
    <row r="9" spans="1:7" ht="15.75" thickBot="1" x14ac:dyDescent="0.3">
      <c r="A9" s="7"/>
      <c r="B9" s="42" t="s">
        <v>69</v>
      </c>
      <c r="C9" s="42">
        <f>0.1*0.012*1*7850</f>
        <v>9.4200000000000017</v>
      </c>
      <c r="D9" s="42">
        <v>150</v>
      </c>
      <c r="E9" s="43">
        <f>E5</f>
        <v>1</v>
      </c>
      <c r="F9" s="8">
        <f t="shared" ref="F9" si="3">C9*D9/1000*E9</f>
        <v>1.4130000000000003</v>
      </c>
      <c r="G9" s="9">
        <f>SUM(F4:F9)*1.01</f>
        <v>120.13663159999999</v>
      </c>
    </row>
    <row r="10" spans="1:7" x14ac:dyDescent="0.25">
      <c r="A10" s="1" t="s">
        <v>28</v>
      </c>
      <c r="B10" s="38" t="s">
        <v>67</v>
      </c>
      <c r="C10" s="38">
        <v>18.399999999999999</v>
      </c>
      <c r="D10" s="38">
        <v>3488</v>
      </c>
      <c r="E10" s="39">
        <v>1</v>
      </c>
      <c r="F10" s="2">
        <f>C10*D10/1000*E10</f>
        <v>64.179199999999994</v>
      </c>
      <c r="G10" s="3"/>
    </row>
    <row r="11" spans="1:7" x14ac:dyDescent="0.25">
      <c r="A11" s="4"/>
      <c r="B11" s="40" t="s">
        <v>68</v>
      </c>
      <c r="C11" s="40">
        <f>0.065*0.008*1*7850</f>
        <v>4.0820000000000007</v>
      </c>
      <c r="D11" s="40">
        <v>180</v>
      </c>
      <c r="E11" s="41">
        <v>2</v>
      </c>
      <c r="F11" s="5">
        <f t="shared" ref="F11:F13" si="4">C11*D11/1000*E11</f>
        <v>1.4695200000000002</v>
      </c>
      <c r="G11" s="6"/>
    </row>
    <row r="12" spans="1:7" x14ac:dyDescent="0.25">
      <c r="A12" s="4"/>
      <c r="B12" s="40" t="s">
        <v>69</v>
      </c>
      <c r="C12" s="40">
        <f>0.2*0.012*1*7850</f>
        <v>18.840000000000003</v>
      </c>
      <c r="D12" s="40">
        <v>400</v>
      </c>
      <c r="E12" s="41">
        <v>1</v>
      </c>
      <c r="F12" s="5">
        <f t="shared" si="4"/>
        <v>7.5360000000000023</v>
      </c>
      <c r="G12" s="6"/>
    </row>
    <row r="13" spans="1:7" ht="15.75" thickBot="1" x14ac:dyDescent="0.3">
      <c r="A13" s="7"/>
      <c r="B13" s="42" t="s">
        <v>69</v>
      </c>
      <c r="C13" s="42">
        <f>0.1*0.012*1*7850</f>
        <v>9.4200000000000017</v>
      </c>
      <c r="D13" s="42">
        <v>150</v>
      </c>
      <c r="E13" s="43">
        <f>E9</f>
        <v>1</v>
      </c>
      <c r="F13" s="8">
        <f t="shared" si="4"/>
        <v>1.4130000000000003</v>
      </c>
      <c r="G13" s="9">
        <f>SUM(F10:F13)*1.01</f>
        <v>75.343697199999994</v>
      </c>
    </row>
    <row r="14" spans="1:7" x14ac:dyDescent="0.25">
      <c r="A14" s="1" t="s">
        <v>70</v>
      </c>
      <c r="B14" s="38" t="s">
        <v>15</v>
      </c>
      <c r="C14" s="38">
        <v>10.79</v>
      </c>
      <c r="D14" s="38">
        <v>7450</v>
      </c>
      <c r="E14" s="39">
        <v>2</v>
      </c>
      <c r="F14" s="2">
        <f t="shared" si="0"/>
        <v>160.77099999999999</v>
      </c>
      <c r="G14" s="3"/>
    </row>
    <row r="15" spans="1:7" x14ac:dyDescent="0.25">
      <c r="A15" s="4"/>
      <c r="B15" s="40" t="s">
        <v>15</v>
      </c>
      <c r="C15" s="40">
        <v>10.79</v>
      </c>
      <c r="D15" s="40">
        <f>250</f>
        <v>250</v>
      </c>
      <c r="E15" s="41">
        <v>2</v>
      </c>
      <c r="F15" s="5">
        <f t="shared" si="0"/>
        <v>5.3949999999999996</v>
      </c>
      <c r="G15" s="6"/>
    </row>
    <row r="16" spans="1:7" x14ac:dyDescent="0.25">
      <c r="A16" s="4"/>
      <c r="B16" s="40" t="s">
        <v>15</v>
      </c>
      <c r="C16" s="40">
        <v>10.79</v>
      </c>
      <c r="D16" s="40">
        <f>200</f>
        <v>200</v>
      </c>
      <c r="E16" s="41">
        <v>2</v>
      </c>
      <c r="F16" s="5">
        <f t="shared" si="0"/>
        <v>4.3159999999999998</v>
      </c>
      <c r="G16" s="6"/>
    </row>
    <row r="17" spans="1:7" x14ac:dyDescent="0.25">
      <c r="A17" s="4"/>
      <c r="B17" s="40" t="s">
        <v>16</v>
      </c>
      <c r="C17" s="40">
        <v>1.9624999999999999</v>
      </c>
      <c r="D17" s="40">
        <f>2072</f>
        <v>2072</v>
      </c>
      <c r="E17" s="41">
        <f>IF(ROUNDUP((D14-2000)/700,0)=1,0,ROUNDUP((D14-2000)/700,0))</f>
        <v>8</v>
      </c>
      <c r="F17" s="5">
        <f t="shared" si="0"/>
        <v>32.5304</v>
      </c>
      <c r="G17" s="6"/>
    </row>
    <row r="18" spans="1:7" x14ac:dyDescent="0.25">
      <c r="A18" s="4"/>
      <c r="B18" s="40" t="s">
        <v>17</v>
      </c>
      <c r="C18" s="40">
        <v>2.4700000000000002</v>
      </c>
      <c r="D18" s="40">
        <v>750</v>
      </c>
      <c r="E18" s="41">
        <f>IF(ROUNDUP((D14-1600)/300,0)=1,0,ROUNDUP((D14-1600)/300,0))</f>
        <v>20</v>
      </c>
      <c r="F18" s="5">
        <f t="shared" si="0"/>
        <v>37.050000000000004</v>
      </c>
      <c r="G18" s="6"/>
    </row>
    <row r="19" spans="1:7" ht="15.75" thickBot="1" x14ac:dyDescent="0.3">
      <c r="A19" s="7"/>
      <c r="B19" s="42" t="s">
        <v>19</v>
      </c>
      <c r="C19" s="42">
        <v>0.39500000000000002</v>
      </c>
      <c r="D19" s="42">
        <f>(E17-1)*700</f>
        <v>4900</v>
      </c>
      <c r="E19" s="43">
        <v>3</v>
      </c>
      <c r="F19" s="8">
        <f t="shared" si="0"/>
        <v>5.8064999999999998</v>
      </c>
      <c r="G19" s="9">
        <f>SUM(F14:F19)*1.01</f>
        <v>248.32758900000002</v>
      </c>
    </row>
    <row r="20" spans="1:7" x14ac:dyDescent="0.25">
      <c r="A20" s="1" t="s">
        <v>71</v>
      </c>
      <c r="B20" s="38" t="s">
        <v>15</v>
      </c>
      <c r="C20" s="38">
        <v>10.79</v>
      </c>
      <c r="D20" s="38">
        <v>4300</v>
      </c>
      <c r="E20" s="39">
        <v>2</v>
      </c>
      <c r="F20" s="2">
        <f t="shared" ref="F20:F31" si="5">C20*D20/1000*E20</f>
        <v>92.793999999999983</v>
      </c>
      <c r="G20" s="3"/>
    </row>
    <row r="21" spans="1:7" x14ac:dyDescent="0.25">
      <c r="A21" s="4"/>
      <c r="B21" s="40" t="s">
        <v>15</v>
      </c>
      <c r="C21" s="40">
        <v>10.79</v>
      </c>
      <c r="D21" s="40">
        <f>250</f>
        <v>250</v>
      </c>
      <c r="E21" s="41">
        <v>2</v>
      </c>
      <c r="F21" s="5">
        <f t="shared" si="5"/>
        <v>5.3949999999999996</v>
      </c>
      <c r="G21" s="6"/>
    </row>
    <row r="22" spans="1:7" x14ac:dyDescent="0.25">
      <c r="A22" s="4"/>
      <c r="B22" s="40" t="s">
        <v>15</v>
      </c>
      <c r="C22" s="40">
        <v>10.79</v>
      </c>
      <c r="D22" s="40">
        <f>200</f>
        <v>200</v>
      </c>
      <c r="E22" s="41">
        <v>2</v>
      </c>
      <c r="F22" s="5">
        <f t="shared" si="5"/>
        <v>4.3159999999999998</v>
      </c>
      <c r="G22" s="6"/>
    </row>
    <row r="23" spans="1:7" x14ac:dyDescent="0.25">
      <c r="A23" s="4"/>
      <c r="B23" s="40" t="s">
        <v>16</v>
      </c>
      <c r="C23" s="40">
        <v>1.9624999999999999</v>
      </c>
      <c r="D23" s="40">
        <f>2072</f>
        <v>2072</v>
      </c>
      <c r="E23" s="41">
        <f>IF(ROUNDUP((D20-2000)/700,0)=1,0,ROUNDUP((D20-2000)/700,0))</f>
        <v>4</v>
      </c>
      <c r="F23" s="5">
        <f t="shared" si="5"/>
        <v>16.2652</v>
      </c>
      <c r="G23" s="6"/>
    </row>
    <row r="24" spans="1:7" x14ac:dyDescent="0.25">
      <c r="A24" s="4"/>
      <c r="B24" s="40" t="s">
        <v>17</v>
      </c>
      <c r="C24" s="40">
        <v>2.4700000000000002</v>
      </c>
      <c r="D24" s="40">
        <v>750</v>
      </c>
      <c r="E24" s="41">
        <f>IF(ROUNDUP(D20/300,0)=1,0,ROUNDUP(D20/300,0))</f>
        <v>15</v>
      </c>
      <c r="F24" s="5">
        <f t="shared" si="5"/>
        <v>27.787500000000005</v>
      </c>
      <c r="G24" s="6"/>
    </row>
    <row r="25" spans="1:7" ht="15.75" thickBot="1" x14ac:dyDescent="0.3">
      <c r="A25" s="7"/>
      <c r="B25" s="42" t="s">
        <v>19</v>
      </c>
      <c r="C25" s="42">
        <v>0.39500000000000002</v>
      </c>
      <c r="D25" s="42">
        <f>(E23-1)*700</f>
        <v>2100</v>
      </c>
      <c r="E25" s="43">
        <v>3</v>
      </c>
      <c r="F25" s="8">
        <f t="shared" si="5"/>
        <v>2.4885000000000002</v>
      </c>
      <c r="G25" s="9">
        <f>SUM(F20:F25)*1.01</f>
        <v>150.53666199999998</v>
      </c>
    </row>
    <row r="26" spans="1:7" x14ac:dyDescent="0.25">
      <c r="A26" s="1" t="s">
        <v>72</v>
      </c>
      <c r="B26" s="38" t="s">
        <v>15</v>
      </c>
      <c r="C26" s="38">
        <v>10.79</v>
      </c>
      <c r="D26" s="38">
        <v>5100</v>
      </c>
      <c r="E26" s="39">
        <v>2</v>
      </c>
      <c r="F26" s="2">
        <f t="shared" si="5"/>
        <v>110.05799999999998</v>
      </c>
      <c r="G26" s="3"/>
    </row>
    <row r="27" spans="1:7" x14ac:dyDescent="0.25">
      <c r="A27" s="4"/>
      <c r="B27" s="40" t="s">
        <v>15</v>
      </c>
      <c r="C27" s="40">
        <v>10.79</v>
      </c>
      <c r="D27" s="40">
        <f>250</f>
        <v>250</v>
      </c>
      <c r="E27" s="41">
        <v>2</v>
      </c>
      <c r="F27" s="5">
        <f t="shared" si="5"/>
        <v>5.3949999999999996</v>
      </c>
      <c r="G27" s="6"/>
    </row>
    <row r="28" spans="1:7" x14ac:dyDescent="0.25">
      <c r="A28" s="4"/>
      <c r="B28" s="40" t="s">
        <v>15</v>
      </c>
      <c r="C28" s="40">
        <v>10.79</v>
      </c>
      <c r="D28" s="40">
        <f>200</f>
        <v>200</v>
      </c>
      <c r="E28" s="41">
        <v>2</v>
      </c>
      <c r="F28" s="5">
        <f t="shared" si="5"/>
        <v>4.3159999999999998</v>
      </c>
      <c r="G28" s="6"/>
    </row>
    <row r="29" spans="1:7" x14ac:dyDescent="0.25">
      <c r="A29" s="4"/>
      <c r="B29" s="40" t="s">
        <v>16</v>
      </c>
      <c r="C29" s="40">
        <v>1.9624999999999999</v>
      </c>
      <c r="D29" s="40">
        <f>2072</f>
        <v>2072</v>
      </c>
      <c r="E29" s="41">
        <f>IF(ROUNDUP((D26-2000)/700,0)=1,0,ROUNDUP((D26-2000)/700,0))</f>
        <v>5</v>
      </c>
      <c r="F29" s="5">
        <f t="shared" si="5"/>
        <v>20.331499999999998</v>
      </c>
      <c r="G29" s="6"/>
    </row>
    <row r="30" spans="1:7" x14ac:dyDescent="0.25">
      <c r="A30" s="4"/>
      <c r="B30" s="40" t="s">
        <v>17</v>
      </c>
      <c r="C30" s="40">
        <v>2.4700000000000002</v>
      </c>
      <c r="D30" s="40">
        <v>750</v>
      </c>
      <c r="E30" s="41">
        <f>IF(ROUNDUP(D26/300,0)=1,0,ROUNDUP(D26/300,0))</f>
        <v>17</v>
      </c>
      <c r="F30" s="5">
        <f t="shared" si="5"/>
        <v>31.492500000000003</v>
      </c>
      <c r="G30" s="6"/>
    </row>
    <row r="31" spans="1:7" ht="15.75" thickBot="1" x14ac:dyDescent="0.3">
      <c r="A31" s="7"/>
      <c r="B31" s="42" t="s">
        <v>19</v>
      </c>
      <c r="C31" s="42">
        <v>0.39500000000000002</v>
      </c>
      <c r="D31" s="42">
        <f>(E29-1)*700</f>
        <v>2800</v>
      </c>
      <c r="E31" s="43">
        <v>3</v>
      </c>
      <c r="F31" s="8">
        <f t="shared" si="5"/>
        <v>3.3180000000000005</v>
      </c>
      <c r="G31" s="9">
        <f>SUM(F26:F31)*1.01</f>
        <v>176.66011</v>
      </c>
    </row>
    <row r="32" spans="1:7" x14ac:dyDescent="0.25">
      <c r="A32" s="1" t="s">
        <v>73</v>
      </c>
      <c r="B32" s="38" t="s">
        <v>20</v>
      </c>
      <c r="C32" s="38">
        <v>10.4</v>
      </c>
      <c r="D32" s="38">
        <v>8000</v>
      </c>
      <c r="E32" s="39">
        <v>2</v>
      </c>
      <c r="F32" s="2">
        <f>C32*D32/1000*E32</f>
        <v>166.4</v>
      </c>
      <c r="G32" s="3"/>
    </row>
    <row r="33" spans="1:7" x14ac:dyDescent="0.25">
      <c r="A33" s="4"/>
      <c r="B33" s="40" t="s">
        <v>20</v>
      </c>
      <c r="C33" s="40">
        <v>10.4</v>
      </c>
      <c r="D33" s="40">
        <v>800</v>
      </c>
      <c r="E33" s="41">
        <v>4</v>
      </c>
      <c r="F33" s="5">
        <f>C33*D33/1000*E33</f>
        <v>33.28</v>
      </c>
      <c r="G33" s="6"/>
    </row>
    <row r="34" spans="1:7" ht="15.75" thickBot="1" x14ac:dyDescent="0.3">
      <c r="A34" s="7"/>
      <c r="B34" s="42" t="s">
        <v>75</v>
      </c>
      <c r="C34" s="42">
        <v>15.7</v>
      </c>
      <c r="D34" s="42">
        <v>7980</v>
      </c>
      <c r="E34" s="43">
        <v>1</v>
      </c>
      <c r="F34" s="8">
        <f>C34*D34*780/1000000*E34</f>
        <v>97.723079999999996</v>
      </c>
      <c r="G34" s="9">
        <f>SUM(F32:F34)*1.01</f>
        <v>300.37711079999997</v>
      </c>
    </row>
    <row r="35" spans="1:7" x14ac:dyDescent="0.25">
      <c r="A35" s="1" t="s">
        <v>74</v>
      </c>
      <c r="B35" s="38" t="s">
        <v>20</v>
      </c>
      <c r="C35" s="38">
        <v>10.4</v>
      </c>
      <c r="D35" s="38">
        <v>8000</v>
      </c>
      <c r="E35" s="39">
        <v>2</v>
      </c>
      <c r="F35" s="2">
        <f>C35*D35/1000*E35</f>
        <v>166.4</v>
      </c>
      <c r="G35" s="3"/>
    </row>
    <row r="36" spans="1:7" x14ac:dyDescent="0.25">
      <c r="A36" s="4"/>
      <c r="B36" s="40" t="s">
        <v>20</v>
      </c>
      <c r="C36" s="40">
        <v>10.4</v>
      </c>
      <c r="D36" s="40">
        <v>1200</v>
      </c>
      <c r="E36" s="41">
        <v>4</v>
      </c>
      <c r="F36" s="5">
        <f>C36*D36/1000*E36</f>
        <v>49.92</v>
      </c>
      <c r="G36" s="10"/>
    </row>
    <row r="37" spans="1:7" ht="15.75" thickBot="1" x14ac:dyDescent="0.3">
      <c r="A37" s="7"/>
      <c r="B37" s="42" t="s">
        <v>76</v>
      </c>
      <c r="C37" s="42">
        <v>15.7</v>
      </c>
      <c r="D37" s="42">
        <v>7980</v>
      </c>
      <c r="E37" s="43">
        <v>1</v>
      </c>
      <c r="F37" s="8">
        <f>C37*D37*1180/1000000*E37</f>
        <v>147.83748</v>
      </c>
      <c r="G37" s="9">
        <f>SUM(F35:F37)*1.01</f>
        <v>367.79905479999996</v>
      </c>
    </row>
    <row r="38" spans="1:7" x14ac:dyDescent="0.25">
      <c r="A38" s="1" t="s">
        <v>77</v>
      </c>
      <c r="B38" s="38" t="s">
        <v>21</v>
      </c>
      <c r="C38" s="38">
        <v>3.77</v>
      </c>
      <c r="D38" s="38">
        <v>1400</v>
      </c>
      <c r="E38" s="39">
        <v>96</v>
      </c>
      <c r="F38" s="2">
        <f t="shared" ref="F38:F42" si="6">C38*D38/1000*E38</f>
        <v>506.68799999999999</v>
      </c>
      <c r="G38" s="3"/>
    </row>
    <row r="39" spans="1:7" x14ac:dyDescent="0.25">
      <c r="A39" s="4"/>
      <c r="B39" s="40" t="s">
        <v>21</v>
      </c>
      <c r="C39" s="40">
        <v>3.77</v>
      </c>
      <c r="D39" s="40">
        <v>152710</v>
      </c>
      <c r="E39" s="41">
        <v>2</v>
      </c>
      <c r="F39" s="5">
        <f t="shared" si="6"/>
        <v>1151.4333999999999</v>
      </c>
      <c r="G39" s="6"/>
    </row>
    <row r="40" spans="1:7" x14ac:dyDescent="0.25">
      <c r="A40" s="4"/>
      <c r="B40" s="40" t="s">
        <v>21</v>
      </c>
      <c r="C40" s="40">
        <v>3.77</v>
      </c>
      <c r="D40" s="40">
        <v>27176</v>
      </c>
      <c r="E40" s="41">
        <v>2</v>
      </c>
      <c r="F40" s="5">
        <f t="shared" ref="F40" si="7">C40*D40/1000*E40</f>
        <v>204.90703999999999</v>
      </c>
      <c r="G40" s="6"/>
    </row>
    <row r="41" spans="1:7" x14ac:dyDescent="0.25">
      <c r="A41" s="4"/>
      <c r="B41" s="40" t="s">
        <v>29</v>
      </c>
      <c r="C41" s="40">
        <f>0.15*0.002*1*7850</f>
        <v>2.355</v>
      </c>
      <c r="D41" s="40">
        <f>D39</f>
        <v>152710</v>
      </c>
      <c r="E41" s="41">
        <f>E39</f>
        <v>2</v>
      </c>
      <c r="F41" s="5">
        <f t="shared" si="6"/>
        <v>719.26409999999998</v>
      </c>
      <c r="G41" s="6"/>
    </row>
    <row r="42" spans="1:7" x14ac:dyDescent="0.25">
      <c r="A42" s="4"/>
      <c r="B42" s="40" t="s">
        <v>29</v>
      </c>
      <c r="C42" s="40">
        <f>0.15*0.002*1*7850</f>
        <v>2.355</v>
      </c>
      <c r="D42" s="40">
        <f>D40</f>
        <v>27176</v>
      </c>
      <c r="E42" s="41">
        <f>E40</f>
        <v>2</v>
      </c>
      <c r="F42" s="5">
        <f t="shared" si="6"/>
        <v>127.99896</v>
      </c>
      <c r="G42" s="6"/>
    </row>
    <row r="43" spans="1:7" x14ac:dyDescent="0.25">
      <c r="A43" s="4"/>
      <c r="B43" s="40" t="s">
        <v>19</v>
      </c>
      <c r="C43" s="40">
        <v>0.39500000000000002</v>
      </c>
      <c r="D43" s="40">
        <f>D39</f>
        <v>152710</v>
      </c>
      <c r="E43" s="41">
        <f>E39*2</f>
        <v>4</v>
      </c>
      <c r="F43" s="5">
        <f t="shared" ref="F43" si="8">C43*D43/1000*E43</f>
        <v>241.2818</v>
      </c>
      <c r="G43" s="10"/>
    </row>
    <row r="44" spans="1:7" ht="15.75" thickBot="1" x14ac:dyDescent="0.3">
      <c r="A44" s="7"/>
      <c r="B44" s="42" t="s">
        <v>19</v>
      </c>
      <c r="C44" s="42">
        <v>0.39500000000000002</v>
      </c>
      <c r="D44" s="42">
        <f>D40</f>
        <v>27176</v>
      </c>
      <c r="E44" s="43">
        <f>E40*2</f>
        <v>4</v>
      </c>
      <c r="F44" s="8">
        <f t="shared" ref="F44:F50" si="9">C44*D44/1000*E44</f>
        <v>42.938079999999999</v>
      </c>
      <c r="G44" s="9">
        <f>SUM(F38:F44)*1.01</f>
        <v>3024.4564937999999</v>
      </c>
    </row>
    <row r="45" spans="1:7" x14ac:dyDescent="0.25">
      <c r="A45" s="1" t="s">
        <v>78</v>
      </c>
      <c r="B45" s="38" t="s">
        <v>21</v>
      </c>
      <c r="C45" s="38">
        <v>3.77</v>
      </c>
      <c r="D45" s="38">
        <v>1500</v>
      </c>
      <c r="E45" s="39">
        <f>(9+11+14)*2+2</f>
        <v>70</v>
      </c>
      <c r="F45" s="2">
        <f t="shared" si="9"/>
        <v>395.85</v>
      </c>
      <c r="G45" s="3"/>
    </row>
    <row r="46" spans="1:7" x14ac:dyDescent="0.25">
      <c r="A46" s="4"/>
      <c r="B46" s="40" t="s">
        <v>21</v>
      </c>
      <c r="C46" s="40">
        <v>3.77</v>
      </c>
      <c r="D46" s="40">
        <f>D39</f>
        <v>152710</v>
      </c>
      <c r="E46" s="41">
        <v>1</v>
      </c>
      <c r="F46" s="5">
        <f t="shared" ref="F46" si="10">C46*D46/1000*E46</f>
        <v>575.71669999999995</v>
      </c>
      <c r="G46" s="6"/>
    </row>
    <row r="47" spans="1:7" x14ac:dyDescent="0.25">
      <c r="A47" s="4"/>
      <c r="B47" s="40" t="s">
        <v>21</v>
      </c>
      <c r="C47" s="40">
        <v>3.77</v>
      </c>
      <c r="D47" s="40">
        <f>3600</f>
        <v>3600</v>
      </c>
      <c r="E47" s="41">
        <v>2</v>
      </c>
      <c r="F47" s="5">
        <f t="shared" si="9"/>
        <v>27.143999999999998</v>
      </c>
      <c r="G47" s="6"/>
    </row>
    <row r="48" spans="1:7" x14ac:dyDescent="0.25">
      <c r="A48" s="4"/>
      <c r="B48" s="40" t="s">
        <v>29</v>
      </c>
      <c r="C48" s="40">
        <f>0.15*0.002*1*7850</f>
        <v>2.355</v>
      </c>
      <c r="D48" s="40">
        <f>D46</f>
        <v>152710</v>
      </c>
      <c r="E48" s="41">
        <f>E46</f>
        <v>1</v>
      </c>
      <c r="F48" s="5">
        <f t="shared" si="9"/>
        <v>359.63204999999999</v>
      </c>
      <c r="G48" s="6"/>
    </row>
    <row r="49" spans="1:7" x14ac:dyDescent="0.25">
      <c r="A49" s="4"/>
      <c r="B49" s="40" t="s">
        <v>29</v>
      </c>
      <c r="C49" s="40">
        <f>0.15*0.002*1*7850</f>
        <v>2.355</v>
      </c>
      <c r="D49" s="40">
        <f>D47</f>
        <v>3600</v>
      </c>
      <c r="E49" s="41">
        <f>E47</f>
        <v>2</v>
      </c>
      <c r="F49" s="5">
        <f t="shared" si="9"/>
        <v>16.956</v>
      </c>
      <c r="G49" s="6"/>
    </row>
    <row r="50" spans="1:7" x14ac:dyDescent="0.25">
      <c r="A50" s="4"/>
      <c r="B50" s="40" t="s">
        <v>19</v>
      </c>
      <c r="C50" s="40">
        <v>0.39500000000000002</v>
      </c>
      <c r="D50" s="40">
        <f>D46</f>
        <v>152710</v>
      </c>
      <c r="E50" s="41">
        <v>4</v>
      </c>
      <c r="F50" s="5">
        <f t="shared" si="9"/>
        <v>241.2818</v>
      </c>
      <c r="G50" s="10"/>
    </row>
    <row r="51" spans="1:7" ht="15.75" thickBot="1" x14ac:dyDescent="0.3">
      <c r="A51" s="7"/>
      <c r="B51" s="42" t="s">
        <v>19</v>
      </c>
      <c r="C51" s="42">
        <v>0.39500000000000002</v>
      </c>
      <c r="D51" s="42">
        <f>D47</f>
        <v>3600</v>
      </c>
      <c r="E51" s="43">
        <v>4</v>
      </c>
      <c r="F51" s="8">
        <f t="shared" ref="F51:F69" si="11">C51*D51/1000*E51</f>
        <v>5.6879999999999997</v>
      </c>
      <c r="G51" s="9">
        <f>SUM(F45:F51)*1.01</f>
        <v>1638.4912355000001</v>
      </c>
    </row>
    <row r="52" spans="1:7" x14ac:dyDescent="0.25">
      <c r="A52" s="1" t="s">
        <v>84</v>
      </c>
      <c r="B52" s="38" t="s">
        <v>21</v>
      </c>
      <c r="C52" s="38">
        <v>3.77</v>
      </c>
      <c r="D52" s="38">
        <v>1400</v>
      </c>
      <c r="E52" s="39">
        <v>96</v>
      </c>
      <c r="F52" s="2">
        <f t="shared" si="11"/>
        <v>506.68799999999999</v>
      </c>
      <c r="G52" s="3"/>
    </row>
    <row r="53" spans="1:7" x14ac:dyDescent="0.25">
      <c r="A53" s="4"/>
      <c r="B53" s="40" t="s">
        <v>21</v>
      </c>
      <c r="C53" s="40">
        <v>3.77</v>
      </c>
      <c r="D53" s="40">
        <v>98000</v>
      </c>
      <c r="E53" s="41">
        <v>2</v>
      </c>
      <c r="F53" s="5">
        <f t="shared" si="11"/>
        <v>738.92</v>
      </c>
      <c r="G53" s="6"/>
    </row>
    <row r="54" spans="1:7" x14ac:dyDescent="0.25">
      <c r="A54" s="4"/>
      <c r="B54" s="40" t="s">
        <v>21</v>
      </c>
      <c r="C54" s="40">
        <v>3.77</v>
      </c>
      <c r="D54" s="40">
        <v>27176</v>
      </c>
      <c r="E54" s="41">
        <v>2</v>
      </c>
      <c r="F54" s="5">
        <f t="shared" si="11"/>
        <v>204.90703999999999</v>
      </c>
      <c r="G54" s="6"/>
    </row>
    <row r="55" spans="1:7" x14ac:dyDescent="0.25">
      <c r="A55" s="4"/>
      <c r="B55" s="40" t="s">
        <v>29</v>
      </c>
      <c r="C55" s="40">
        <f>0.15*0.002*1*7850</f>
        <v>2.355</v>
      </c>
      <c r="D55" s="40">
        <f>D53</f>
        <v>98000</v>
      </c>
      <c r="E55" s="41">
        <f>E53</f>
        <v>2</v>
      </c>
      <c r="F55" s="5">
        <f t="shared" si="11"/>
        <v>461.58</v>
      </c>
      <c r="G55" s="6"/>
    </row>
    <row r="56" spans="1:7" x14ac:dyDescent="0.25">
      <c r="A56" s="4"/>
      <c r="B56" s="40" t="s">
        <v>29</v>
      </c>
      <c r="C56" s="40">
        <f>0.15*0.002*1*7850</f>
        <v>2.355</v>
      </c>
      <c r="D56" s="40">
        <f>D54</f>
        <v>27176</v>
      </c>
      <c r="E56" s="41">
        <f>E54</f>
        <v>2</v>
      </c>
      <c r="F56" s="5">
        <f t="shared" si="11"/>
        <v>127.99896</v>
      </c>
      <c r="G56" s="6"/>
    </row>
    <row r="57" spans="1:7" x14ac:dyDescent="0.25">
      <c r="A57" s="4"/>
      <c r="B57" s="40" t="s">
        <v>19</v>
      </c>
      <c r="C57" s="40">
        <v>0.39500000000000002</v>
      </c>
      <c r="D57" s="40">
        <f>D53</f>
        <v>98000</v>
      </c>
      <c r="E57" s="41">
        <f>E53*2</f>
        <v>4</v>
      </c>
      <c r="F57" s="5">
        <f t="shared" si="11"/>
        <v>154.84</v>
      </c>
      <c r="G57" s="10"/>
    </row>
    <row r="58" spans="1:7" ht="15.75" thickBot="1" x14ac:dyDescent="0.3">
      <c r="A58" s="7"/>
      <c r="B58" s="42" t="s">
        <v>19</v>
      </c>
      <c r="C58" s="42">
        <v>0.39500000000000002</v>
      </c>
      <c r="D58" s="42">
        <f>D54</f>
        <v>27176</v>
      </c>
      <c r="E58" s="43">
        <f>E54*2</f>
        <v>4</v>
      </c>
      <c r="F58" s="8">
        <f t="shared" si="11"/>
        <v>42.938079999999999</v>
      </c>
      <c r="G58" s="9">
        <f>SUM(F52:F58)*1.01</f>
        <v>2260.2508007999995</v>
      </c>
    </row>
    <row r="59" spans="1:7" x14ac:dyDescent="0.25">
      <c r="A59" s="1" t="s">
        <v>86</v>
      </c>
      <c r="B59" s="38" t="s">
        <v>21</v>
      </c>
      <c r="C59" s="38">
        <v>3.77</v>
      </c>
      <c r="D59" s="38">
        <v>1400</v>
      </c>
      <c r="E59" s="39">
        <v>96</v>
      </c>
      <c r="F59" s="2">
        <f t="shared" ref="F59:F65" si="12">C59*D59/1000*E59</f>
        <v>506.68799999999999</v>
      </c>
      <c r="G59" s="3"/>
    </row>
    <row r="60" spans="1:7" x14ac:dyDescent="0.25">
      <c r="A60" s="4"/>
      <c r="B60" s="40" t="s">
        <v>21</v>
      </c>
      <c r="C60" s="40">
        <v>3.77</v>
      </c>
      <c r="D60" s="40">
        <f>9*12000+3*8000</f>
        <v>132000</v>
      </c>
      <c r="E60" s="41">
        <v>2</v>
      </c>
      <c r="F60" s="5">
        <f t="shared" si="12"/>
        <v>995.28</v>
      </c>
      <c r="G60" s="6"/>
    </row>
    <row r="61" spans="1:7" x14ac:dyDescent="0.25">
      <c r="A61" s="4"/>
      <c r="B61" s="40" t="s">
        <v>21</v>
      </c>
      <c r="C61" s="40">
        <v>3.77</v>
      </c>
      <c r="D61" s="40">
        <v>27176</v>
      </c>
      <c r="E61" s="41">
        <v>2</v>
      </c>
      <c r="F61" s="5">
        <f t="shared" si="12"/>
        <v>204.90703999999999</v>
      </c>
      <c r="G61" s="6"/>
    </row>
    <row r="62" spans="1:7" x14ac:dyDescent="0.25">
      <c r="A62" s="4"/>
      <c r="B62" s="40" t="s">
        <v>29</v>
      </c>
      <c r="C62" s="40">
        <f>0.15*0.002*1*7850</f>
        <v>2.355</v>
      </c>
      <c r="D62" s="40">
        <f>D60</f>
        <v>132000</v>
      </c>
      <c r="E62" s="41">
        <f>E60</f>
        <v>2</v>
      </c>
      <c r="F62" s="5">
        <f t="shared" si="12"/>
        <v>621.72</v>
      </c>
      <c r="G62" s="6"/>
    </row>
    <row r="63" spans="1:7" x14ac:dyDescent="0.25">
      <c r="A63" s="4"/>
      <c r="B63" s="40" t="s">
        <v>29</v>
      </c>
      <c r="C63" s="40">
        <f>0.15*0.002*1*7850</f>
        <v>2.355</v>
      </c>
      <c r="D63" s="40">
        <f>D61</f>
        <v>27176</v>
      </c>
      <c r="E63" s="41">
        <f>E61</f>
        <v>2</v>
      </c>
      <c r="F63" s="5">
        <f t="shared" si="12"/>
        <v>127.99896</v>
      </c>
      <c r="G63" s="6"/>
    </row>
    <row r="64" spans="1:7" x14ac:dyDescent="0.25">
      <c r="A64" s="4"/>
      <c r="B64" s="40" t="s">
        <v>19</v>
      </c>
      <c r="C64" s="40">
        <v>0.39500000000000002</v>
      </c>
      <c r="D64" s="40">
        <f>D60</f>
        <v>132000</v>
      </c>
      <c r="E64" s="41">
        <f>E60*2</f>
        <v>4</v>
      </c>
      <c r="F64" s="5">
        <f t="shared" si="12"/>
        <v>208.56</v>
      </c>
      <c r="G64" s="10"/>
    </row>
    <row r="65" spans="1:7" ht="15.75" thickBot="1" x14ac:dyDescent="0.3">
      <c r="A65" s="7"/>
      <c r="B65" s="42" t="s">
        <v>19</v>
      </c>
      <c r="C65" s="42">
        <v>0.39500000000000002</v>
      </c>
      <c r="D65" s="42">
        <f>D61</f>
        <v>27176</v>
      </c>
      <c r="E65" s="43">
        <f>E61*2</f>
        <v>4</v>
      </c>
      <c r="F65" s="8">
        <f t="shared" si="12"/>
        <v>42.938079999999999</v>
      </c>
      <c r="G65" s="9">
        <f>SUM(F59:F65)*1.01</f>
        <v>2735.1730008</v>
      </c>
    </row>
    <row r="66" spans="1:7" x14ac:dyDescent="0.25">
      <c r="A66" s="1" t="s">
        <v>81</v>
      </c>
      <c r="B66" s="38" t="s">
        <v>83</v>
      </c>
      <c r="C66" s="38">
        <v>15.1</v>
      </c>
      <c r="D66" s="38">
        <v>2350</v>
      </c>
      <c r="E66" s="39">
        <v>2</v>
      </c>
      <c r="F66" s="2">
        <f t="shared" si="11"/>
        <v>70.97</v>
      </c>
      <c r="G66" s="3"/>
    </row>
    <row r="67" spans="1:7" x14ac:dyDescent="0.25">
      <c r="A67" s="4" t="s">
        <v>82</v>
      </c>
      <c r="B67" s="40" t="s">
        <v>83</v>
      </c>
      <c r="C67" s="40">
        <v>15.1</v>
      </c>
      <c r="D67" s="40">
        <v>2900</v>
      </c>
      <c r="E67" s="41">
        <v>2</v>
      </c>
      <c r="F67" s="5">
        <f t="shared" si="11"/>
        <v>87.58</v>
      </c>
      <c r="G67" s="6"/>
    </row>
    <row r="68" spans="1:7" x14ac:dyDescent="0.25">
      <c r="A68" s="4"/>
      <c r="B68" s="40" t="s">
        <v>83</v>
      </c>
      <c r="C68" s="40">
        <v>15.1</v>
      </c>
      <c r="D68" s="40">
        <v>2000</v>
      </c>
      <c r="E68" s="41">
        <v>2</v>
      </c>
      <c r="F68" s="5">
        <f t="shared" si="11"/>
        <v>60.4</v>
      </c>
      <c r="G68" s="6"/>
    </row>
    <row r="69" spans="1:7" x14ac:dyDescent="0.25">
      <c r="A69" s="4"/>
      <c r="B69" s="40" t="s">
        <v>69</v>
      </c>
      <c r="C69" s="40">
        <f>0.22*0.012*1*7850</f>
        <v>20.724</v>
      </c>
      <c r="D69" s="40">
        <v>280</v>
      </c>
      <c r="E69" s="41">
        <v>2</v>
      </c>
      <c r="F69" s="5">
        <f t="shared" si="11"/>
        <v>11.60544</v>
      </c>
      <c r="G69" s="6"/>
    </row>
    <row r="70" spans="1:7" x14ac:dyDescent="0.25">
      <c r="A70" s="4"/>
      <c r="B70" s="40" t="s">
        <v>21</v>
      </c>
      <c r="C70" s="40">
        <v>3.77</v>
      </c>
      <c r="D70" s="40">
        <v>1220</v>
      </c>
      <c r="E70" s="41">
        <v>6</v>
      </c>
      <c r="F70" s="5">
        <f t="shared" ref="F70:F72" si="13">C70*D70/1000*E70</f>
        <v>27.596399999999996</v>
      </c>
      <c r="G70" s="6"/>
    </row>
    <row r="71" spans="1:7" x14ac:dyDescent="0.25">
      <c r="A71" s="4"/>
      <c r="B71" s="40" t="s">
        <v>21</v>
      </c>
      <c r="C71" s="40">
        <v>3.77</v>
      </c>
      <c r="D71" s="40">
        <v>2350</v>
      </c>
      <c r="E71" s="41">
        <v>2</v>
      </c>
      <c r="F71" s="5">
        <f t="shared" si="13"/>
        <v>17.719000000000001</v>
      </c>
      <c r="G71" s="6"/>
    </row>
    <row r="72" spans="1:7" x14ac:dyDescent="0.25">
      <c r="A72" s="4"/>
      <c r="B72" s="40" t="s">
        <v>21</v>
      </c>
      <c r="C72" s="40">
        <v>3.77</v>
      </c>
      <c r="D72" s="40">
        <v>2000</v>
      </c>
      <c r="E72" s="41">
        <v>2</v>
      </c>
      <c r="F72" s="5">
        <f t="shared" si="13"/>
        <v>15.08</v>
      </c>
      <c r="G72" s="6"/>
    </row>
    <row r="73" spans="1:7" x14ac:dyDescent="0.25">
      <c r="A73" s="4"/>
      <c r="B73" s="40" t="s">
        <v>29</v>
      </c>
      <c r="C73" s="40">
        <f>0.15*0.002*1*7850</f>
        <v>2.355</v>
      </c>
      <c r="D73" s="40">
        <f>D71</f>
        <v>2350</v>
      </c>
      <c r="E73" s="41">
        <v>2</v>
      </c>
      <c r="F73" s="5">
        <f t="shared" ref="F73:F76" si="14">C73*D73/1000*E73</f>
        <v>11.0685</v>
      </c>
      <c r="G73" s="6"/>
    </row>
    <row r="74" spans="1:7" x14ac:dyDescent="0.25">
      <c r="A74" s="4"/>
      <c r="B74" s="40" t="s">
        <v>29</v>
      </c>
      <c r="C74" s="40">
        <f>0.15*0.002*1*7850</f>
        <v>2.355</v>
      </c>
      <c r="D74" s="40">
        <f>D72</f>
        <v>2000</v>
      </c>
      <c r="E74" s="41">
        <v>2</v>
      </c>
      <c r="F74" s="5">
        <f t="shared" si="14"/>
        <v>9.42</v>
      </c>
      <c r="G74" s="6"/>
    </row>
    <row r="75" spans="1:7" x14ac:dyDescent="0.25">
      <c r="A75" s="4"/>
      <c r="B75" s="40" t="s">
        <v>19</v>
      </c>
      <c r="C75" s="40">
        <v>0.39500000000000002</v>
      </c>
      <c r="D75" s="40">
        <f>D71</f>
        <v>2350</v>
      </c>
      <c r="E75" s="41">
        <v>4</v>
      </c>
      <c r="F75" s="5">
        <f t="shared" si="14"/>
        <v>3.7130000000000001</v>
      </c>
      <c r="G75" s="6"/>
    </row>
    <row r="76" spans="1:7" ht="15.75" thickBot="1" x14ac:dyDescent="0.3">
      <c r="A76" s="7"/>
      <c r="B76" s="42" t="s">
        <v>19</v>
      </c>
      <c r="C76" s="42">
        <v>0.39500000000000002</v>
      </c>
      <c r="D76" s="42">
        <f>D72</f>
        <v>2000</v>
      </c>
      <c r="E76" s="43">
        <v>4</v>
      </c>
      <c r="F76" s="8">
        <f t="shared" si="14"/>
        <v>3.16</v>
      </c>
      <c r="G76" s="9">
        <f>SUM(F66:F76)*1.01</f>
        <v>321.49546340000001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I10" sqref="I10"/>
    </sheetView>
  </sheetViews>
  <sheetFormatPr defaultRowHeight="15" x14ac:dyDescent="0.25"/>
  <cols>
    <col min="1" max="1" width="7" style="18" customWidth="1"/>
    <col min="2" max="2" width="13.5703125" style="18" customWidth="1"/>
    <col min="3" max="3" width="20.140625" style="18" customWidth="1"/>
    <col min="4" max="4" width="9.140625" style="22"/>
    <col min="5" max="5" width="8.28515625" style="22" customWidth="1"/>
    <col min="6" max="6" width="8.85546875" style="22" bestFit="1" customWidth="1"/>
    <col min="7" max="7" width="9.85546875" style="22" bestFit="1" customWidth="1"/>
    <col min="8" max="12" width="9.140625" style="22" customWidth="1"/>
    <col min="13" max="16384" width="9.140625" style="18"/>
  </cols>
  <sheetData>
    <row r="1" spans="1:12" ht="15.75" thickBot="1" x14ac:dyDescent="0.3">
      <c r="A1" s="57" t="s">
        <v>22</v>
      </c>
      <c r="B1" s="57" t="s">
        <v>25</v>
      </c>
      <c r="C1" s="57" t="s">
        <v>23</v>
      </c>
      <c r="D1" s="57" t="s">
        <v>24</v>
      </c>
      <c r="E1" s="61" t="s">
        <v>66</v>
      </c>
      <c r="F1" s="60"/>
      <c r="G1" s="60"/>
      <c r="H1" s="29"/>
      <c r="I1" s="26"/>
      <c r="J1" s="26"/>
      <c r="K1" s="26"/>
      <c r="L1" s="26"/>
    </row>
    <row r="2" spans="1:12" ht="15.75" thickBot="1" x14ac:dyDescent="0.3">
      <c r="A2" s="58"/>
      <c r="B2" s="58"/>
      <c r="C2" s="58"/>
      <c r="D2" s="58"/>
      <c r="E2" s="61" t="s">
        <v>27</v>
      </c>
      <c r="F2" s="60"/>
      <c r="G2" s="60"/>
      <c r="H2" s="29"/>
      <c r="I2" s="26"/>
      <c r="J2" s="26"/>
      <c r="K2" s="26"/>
      <c r="L2" s="26"/>
    </row>
    <row r="3" spans="1:12" ht="15.75" thickBot="1" x14ac:dyDescent="0.3">
      <c r="A3" s="58"/>
      <c r="B3" s="58"/>
      <c r="C3" s="58"/>
      <c r="D3" s="58"/>
      <c r="E3" s="45" t="s">
        <v>79</v>
      </c>
      <c r="F3" s="44" t="s">
        <v>80</v>
      </c>
      <c r="G3" s="32" t="s">
        <v>85</v>
      </c>
      <c r="H3" s="29"/>
      <c r="I3" s="26"/>
      <c r="J3" s="26"/>
      <c r="K3" s="26"/>
      <c r="L3" s="26"/>
    </row>
    <row r="4" spans="1:12" ht="15.75" thickBot="1" x14ac:dyDescent="0.3">
      <c r="A4" s="59"/>
      <c r="B4" s="59"/>
      <c r="C4" s="59"/>
      <c r="D4" s="59"/>
      <c r="E4" s="36"/>
      <c r="F4" s="33"/>
      <c r="G4" s="33"/>
      <c r="H4" s="30"/>
      <c r="I4" s="21"/>
      <c r="J4" s="21"/>
      <c r="K4" s="21"/>
      <c r="L4" s="21"/>
    </row>
    <row r="5" spans="1:12" x14ac:dyDescent="0.25">
      <c r="A5" s="14" t="s">
        <v>30</v>
      </c>
      <c r="B5" s="11" t="s">
        <v>34</v>
      </c>
      <c r="C5" s="13" t="s">
        <v>48</v>
      </c>
      <c r="D5" s="24">
        <v>2950</v>
      </c>
      <c r="E5" s="46">
        <f>2*(4+5+6)</f>
        <v>30</v>
      </c>
      <c r="F5" s="48">
        <f>2*2*(4+2)+2*4</f>
        <v>32</v>
      </c>
      <c r="G5" s="48">
        <f>2*2*11+2*3</f>
        <v>50</v>
      </c>
      <c r="H5" s="30"/>
      <c r="I5" s="21"/>
      <c r="J5" s="21"/>
      <c r="K5" s="21"/>
      <c r="L5" s="21"/>
    </row>
    <row r="6" spans="1:12" x14ac:dyDescent="0.25">
      <c r="A6" s="14" t="s">
        <v>31</v>
      </c>
      <c r="B6" s="11" t="s">
        <v>34</v>
      </c>
      <c r="C6" s="13" t="s">
        <v>48</v>
      </c>
      <c r="D6" s="24">
        <v>3270</v>
      </c>
      <c r="E6" s="47">
        <f>12*8</f>
        <v>96</v>
      </c>
      <c r="F6" s="48">
        <f>(3+5)*2*4+2*4</f>
        <v>72</v>
      </c>
      <c r="G6" s="48">
        <f>11*2*4</f>
        <v>88</v>
      </c>
      <c r="H6" s="30"/>
      <c r="I6" s="21"/>
      <c r="J6" s="21"/>
      <c r="K6" s="21"/>
      <c r="L6" s="21"/>
    </row>
    <row r="7" spans="1:12" x14ac:dyDescent="0.25">
      <c r="A7" s="14" t="s">
        <v>32</v>
      </c>
      <c r="B7" s="11" t="s">
        <v>34</v>
      </c>
      <c r="C7" s="13" t="s">
        <v>49</v>
      </c>
      <c r="D7" s="24">
        <v>1970</v>
      </c>
      <c r="E7" s="46">
        <f>E5*2</f>
        <v>60</v>
      </c>
      <c r="F7" s="48">
        <f>2*2*4</f>
        <v>16</v>
      </c>
      <c r="G7" s="48">
        <f>2*2*3</f>
        <v>12</v>
      </c>
      <c r="H7" s="30"/>
      <c r="I7" s="21"/>
      <c r="J7" s="21"/>
      <c r="K7" s="21"/>
      <c r="L7" s="21"/>
    </row>
    <row r="8" spans="1:12" x14ac:dyDescent="0.25">
      <c r="A8" s="14" t="s">
        <v>33</v>
      </c>
      <c r="B8" s="11" t="s">
        <v>34</v>
      </c>
      <c r="C8" s="13" t="s">
        <v>49</v>
      </c>
      <c r="D8" s="24">
        <v>2210</v>
      </c>
      <c r="E8" s="47"/>
      <c r="F8" s="20"/>
      <c r="G8" s="48">
        <f>1*2*4</f>
        <v>8</v>
      </c>
      <c r="H8" s="30"/>
      <c r="I8" s="21"/>
      <c r="J8" s="21"/>
      <c r="K8" s="21"/>
      <c r="L8" s="21"/>
    </row>
    <row r="9" spans="1:12" ht="30" x14ac:dyDescent="0.25">
      <c r="A9" s="14" t="s">
        <v>35</v>
      </c>
      <c r="B9" s="11" t="s">
        <v>34</v>
      </c>
      <c r="C9" s="12" t="s">
        <v>54</v>
      </c>
      <c r="D9" s="24">
        <v>267</v>
      </c>
      <c r="E9" s="37">
        <f>(E5+E6)/2*4+(E7+E8)/2*3</f>
        <v>342</v>
      </c>
      <c r="F9" s="48">
        <f>(F5+F6)/2*4+(F7+F8)/2*3</f>
        <v>232</v>
      </c>
      <c r="G9" s="48">
        <f>(G5+G6)/2*4+(G7+G8)/2*3</f>
        <v>306</v>
      </c>
      <c r="H9" s="30"/>
      <c r="I9" s="21"/>
      <c r="J9" s="21"/>
      <c r="K9" s="21"/>
      <c r="L9" s="21"/>
    </row>
    <row r="10" spans="1:12" ht="30" x14ac:dyDescent="0.25">
      <c r="A10" s="14" t="s">
        <v>36</v>
      </c>
      <c r="B10" s="11" t="s">
        <v>34</v>
      </c>
      <c r="C10" s="12" t="s">
        <v>50</v>
      </c>
      <c r="D10" s="24">
        <v>216</v>
      </c>
      <c r="E10" s="46"/>
      <c r="F10" s="20"/>
      <c r="G10" s="20"/>
      <c r="H10" s="30"/>
      <c r="I10" s="21"/>
      <c r="J10" s="21"/>
      <c r="K10" s="21"/>
      <c r="L10" s="21"/>
    </row>
    <row r="11" spans="1:12" ht="30" x14ac:dyDescent="0.25">
      <c r="A11" s="14" t="s">
        <v>37</v>
      </c>
      <c r="B11" s="11" t="s">
        <v>34</v>
      </c>
      <c r="C11" s="12" t="s">
        <v>55</v>
      </c>
      <c r="D11" s="24">
        <v>372</v>
      </c>
      <c r="E11" s="46"/>
      <c r="F11" s="20"/>
      <c r="G11" s="20"/>
      <c r="H11" s="30"/>
      <c r="I11" s="21"/>
      <c r="J11" s="21"/>
      <c r="K11" s="21"/>
      <c r="L11" s="21"/>
    </row>
    <row r="12" spans="1:12" x14ac:dyDescent="0.25">
      <c r="A12" s="14" t="s">
        <v>38</v>
      </c>
      <c r="B12" s="11" t="s">
        <v>34</v>
      </c>
      <c r="C12" s="12" t="s">
        <v>51</v>
      </c>
      <c r="D12" s="24">
        <v>148</v>
      </c>
      <c r="E12" s="46"/>
      <c r="F12" s="20"/>
      <c r="G12" s="20"/>
      <c r="H12" s="30"/>
      <c r="I12" s="21"/>
      <c r="J12" s="21"/>
      <c r="K12" s="21"/>
      <c r="L12" s="21"/>
    </row>
    <row r="13" spans="1:12" x14ac:dyDescent="0.25">
      <c r="A13" s="14" t="s">
        <v>39</v>
      </c>
      <c r="B13" s="11" t="s">
        <v>34</v>
      </c>
      <c r="C13" s="12" t="s">
        <v>56</v>
      </c>
      <c r="D13" s="24">
        <v>47</v>
      </c>
      <c r="E13" s="48">
        <f>(E5+E6)/2*3*2+(E7+E8)/2*2*2</f>
        <v>498</v>
      </c>
      <c r="F13" s="48">
        <f>(F5+F6)/2*3*2+(F7+F8)/2*2*2</f>
        <v>344</v>
      </c>
      <c r="G13" s="48">
        <f>(G5+G6)/2*3*2+(G7+G8)/2*2*2</f>
        <v>454</v>
      </c>
      <c r="H13" s="30"/>
      <c r="I13" s="21"/>
      <c r="J13" s="21"/>
      <c r="K13" s="21"/>
      <c r="L13" s="21"/>
    </row>
    <row r="14" spans="1:12" x14ac:dyDescent="0.25">
      <c r="A14" s="14" t="s">
        <v>40</v>
      </c>
      <c r="B14" s="11" t="s">
        <v>34</v>
      </c>
      <c r="C14" s="12" t="s">
        <v>57</v>
      </c>
      <c r="D14" s="24">
        <v>41</v>
      </c>
      <c r="E14" s="46"/>
      <c r="F14" s="20"/>
      <c r="G14" s="20"/>
      <c r="H14" s="30"/>
      <c r="I14" s="21"/>
      <c r="J14" s="21"/>
      <c r="K14" s="21"/>
      <c r="L14" s="21"/>
    </row>
    <row r="15" spans="1:12" x14ac:dyDescent="0.25">
      <c r="A15" s="14" t="s">
        <v>41</v>
      </c>
      <c r="B15" s="11" t="s">
        <v>34</v>
      </c>
      <c r="C15" s="12" t="s">
        <v>58</v>
      </c>
      <c r="D15" s="24">
        <v>46</v>
      </c>
      <c r="E15" s="46"/>
      <c r="F15" s="20"/>
      <c r="G15" s="20"/>
      <c r="H15" s="30"/>
      <c r="I15" s="21"/>
      <c r="J15" s="21"/>
      <c r="K15" s="21"/>
      <c r="L15" s="21"/>
    </row>
    <row r="16" spans="1:12" x14ac:dyDescent="0.25">
      <c r="A16" s="14" t="s">
        <v>42</v>
      </c>
      <c r="B16" s="11" t="s">
        <v>34</v>
      </c>
      <c r="C16" s="12" t="s">
        <v>59</v>
      </c>
      <c r="D16" s="24">
        <v>53</v>
      </c>
      <c r="E16" s="46"/>
      <c r="F16" s="20"/>
      <c r="G16" s="20"/>
      <c r="H16" s="30"/>
      <c r="I16" s="21"/>
      <c r="J16" s="21"/>
      <c r="K16" s="21"/>
      <c r="L16" s="21"/>
    </row>
    <row r="17" spans="1:12" x14ac:dyDescent="0.25">
      <c r="A17" s="14" t="s">
        <v>43</v>
      </c>
      <c r="B17" s="11" t="s">
        <v>34</v>
      </c>
      <c r="C17" s="12" t="s">
        <v>60</v>
      </c>
      <c r="D17" s="24">
        <v>45</v>
      </c>
      <c r="E17" s="46"/>
      <c r="F17" s="20"/>
      <c r="G17" s="20"/>
      <c r="H17" s="30"/>
      <c r="I17" s="21"/>
      <c r="J17" s="21"/>
      <c r="K17" s="21"/>
      <c r="L17" s="21"/>
    </row>
    <row r="18" spans="1:12" x14ac:dyDescent="0.25">
      <c r="A18" s="14" t="s">
        <v>44</v>
      </c>
      <c r="B18" s="11" t="s">
        <v>34</v>
      </c>
      <c r="C18" s="12" t="s">
        <v>61</v>
      </c>
      <c r="D18" s="24">
        <v>33</v>
      </c>
      <c r="E18" s="46"/>
      <c r="F18" s="20"/>
      <c r="G18" s="20"/>
      <c r="H18" s="30"/>
      <c r="I18" s="21"/>
      <c r="J18" s="21"/>
      <c r="K18" s="21"/>
      <c r="L18" s="21"/>
    </row>
    <row r="19" spans="1:12" x14ac:dyDescent="0.25">
      <c r="A19" s="14" t="s">
        <v>45</v>
      </c>
      <c r="B19" s="11" t="s">
        <v>34</v>
      </c>
      <c r="C19" s="12" t="s">
        <v>62</v>
      </c>
      <c r="D19" s="24">
        <v>40</v>
      </c>
      <c r="E19" s="50">
        <f>(E5+E6+E7+E8)*2</f>
        <v>372</v>
      </c>
      <c r="F19" s="48">
        <f>(F5+F6+F7+F8)*2</f>
        <v>240</v>
      </c>
      <c r="G19" s="52">
        <f>(G5+G6+G7+G8)*2</f>
        <v>316</v>
      </c>
      <c r="H19" s="30"/>
      <c r="I19" s="21"/>
      <c r="J19" s="21"/>
      <c r="K19" s="21"/>
      <c r="L19" s="21"/>
    </row>
    <row r="20" spans="1:12" ht="30" x14ac:dyDescent="0.25">
      <c r="A20" s="14" t="s">
        <v>46</v>
      </c>
      <c r="B20" s="11" t="s">
        <v>34</v>
      </c>
      <c r="C20" s="12" t="s">
        <v>9</v>
      </c>
      <c r="D20" s="24">
        <v>0.86</v>
      </c>
      <c r="E20" s="48">
        <f>E9*16+E19/2*(9*4+6*8)+E13*4</f>
        <v>23088</v>
      </c>
      <c r="F20" s="48">
        <f>F9*16+F19/2*(9*4+6*8)+F13*4</f>
        <v>15168</v>
      </c>
      <c r="G20" s="48">
        <f>G9*16+G19/2*(9*4+6*8)+G13*4</f>
        <v>19984</v>
      </c>
      <c r="H20" s="30"/>
      <c r="I20" s="21"/>
      <c r="J20" s="21"/>
      <c r="K20" s="21"/>
      <c r="L20" s="21"/>
    </row>
    <row r="21" spans="1:12" ht="30" x14ac:dyDescent="0.25">
      <c r="A21" s="14" t="s">
        <v>47</v>
      </c>
      <c r="B21" s="11" t="s">
        <v>34</v>
      </c>
      <c r="C21" s="13" t="s">
        <v>53</v>
      </c>
      <c r="D21" s="24">
        <v>15</v>
      </c>
      <c r="E21" s="46"/>
      <c r="F21" s="20"/>
      <c r="G21" s="20"/>
      <c r="H21" s="30"/>
      <c r="I21" s="21"/>
      <c r="J21" s="21"/>
      <c r="K21" s="21"/>
      <c r="L21" s="21"/>
    </row>
    <row r="22" spans="1:12" x14ac:dyDescent="0.25">
      <c r="A22" s="14" t="s">
        <v>63</v>
      </c>
      <c r="B22" s="11" t="s">
        <v>34</v>
      </c>
      <c r="C22" s="12" t="s">
        <v>52</v>
      </c>
      <c r="D22" s="24">
        <v>48</v>
      </c>
      <c r="E22" s="50">
        <f>E19</f>
        <v>372</v>
      </c>
      <c r="F22" s="48">
        <f>F19</f>
        <v>240</v>
      </c>
      <c r="G22" s="48">
        <f>G19</f>
        <v>316</v>
      </c>
      <c r="H22" s="30"/>
      <c r="I22" s="21"/>
      <c r="J22" s="21"/>
      <c r="K22" s="21"/>
      <c r="L22" s="21"/>
    </row>
    <row r="23" spans="1:12" ht="15.75" thickBot="1" x14ac:dyDescent="0.3">
      <c r="A23" s="15" t="s">
        <v>64</v>
      </c>
      <c r="B23" s="16" t="s">
        <v>34</v>
      </c>
      <c r="C23" s="17" t="s">
        <v>65</v>
      </c>
      <c r="D23" s="25">
        <v>21</v>
      </c>
      <c r="E23" s="51">
        <f>E22*2</f>
        <v>744</v>
      </c>
      <c r="F23" s="49">
        <f>F22*2</f>
        <v>480</v>
      </c>
      <c r="G23" s="49">
        <f>G22*2</f>
        <v>632</v>
      </c>
      <c r="H23" s="30"/>
      <c r="I23" s="21"/>
      <c r="J23" s="21"/>
      <c r="K23" s="21"/>
      <c r="L23" s="21"/>
    </row>
    <row r="24" spans="1:12" ht="15.75" thickBot="1" x14ac:dyDescent="0.3">
      <c r="A24" s="19"/>
      <c r="B24" s="19"/>
      <c r="C24" s="19"/>
      <c r="D24" s="23"/>
      <c r="E24" s="28"/>
      <c r="F24" s="28"/>
      <c r="G24" s="21"/>
      <c r="H24" s="30"/>
      <c r="I24" s="21"/>
      <c r="J24" s="21"/>
      <c r="K24" s="21"/>
      <c r="L24" s="21"/>
    </row>
    <row r="25" spans="1:12" ht="15.75" thickBot="1" x14ac:dyDescent="0.3">
      <c r="A25" s="54" t="s">
        <v>26</v>
      </c>
      <c r="B25" s="55"/>
      <c r="C25" s="55"/>
      <c r="D25" s="56"/>
      <c r="E25" s="34">
        <f t="array" ref="E25">SUM($D5:$D23*E5:E23)</f>
        <v>703555.68</v>
      </c>
      <c r="F25" s="35">
        <f t="array" ref="F25">SUM($D5:$D23*F5:F23)</f>
        <v>483716.48</v>
      </c>
      <c r="G25" s="35">
        <f t="array" ref="G25">SUM($D5:$D23*G5:G23)</f>
        <v>637886.24</v>
      </c>
      <c r="H25" s="31"/>
      <c r="I25" s="27"/>
      <c r="J25" s="27"/>
      <c r="K25" s="27"/>
      <c r="L25" s="27"/>
    </row>
  </sheetData>
  <mergeCells count="7">
    <mergeCell ref="A25:D25"/>
    <mergeCell ref="E1:G1"/>
    <mergeCell ref="E2:G2"/>
    <mergeCell ref="A1:A4"/>
    <mergeCell ref="B1:B4"/>
    <mergeCell ref="C1:C4"/>
    <mergeCell ref="D1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МИК-С</vt:lpstr>
      <vt:lpstr>Обстройка МИК-С</vt:lpstr>
      <vt:lpstr>МИК-П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Гурин В.С.</cp:lastModifiedBy>
  <dcterms:created xsi:type="dcterms:W3CDTF">2018-12-13T02:32:23Z</dcterms:created>
  <dcterms:modified xsi:type="dcterms:W3CDTF">2022-05-04T11:32:11Z</dcterms:modified>
</cp:coreProperties>
</file>