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defaultThemeVersion="124226"/>
  <bookViews>
    <workbookView xWindow="-15" yWindow="5505" windowWidth="15375" windowHeight="1740" tabRatio="839" firstSheet="4" activeTab="11"/>
  </bookViews>
  <sheets>
    <sheet name="Complejidad" sheetId="8" r:id="rId1"/>
    <sheet name="FactoresTecnicosMovil" sheetId="2" r:id="rId2"/>
    <sheet name="FactoresAmbientalesMovil" sheetId="7" r:id="rId3"/>
    <sheet name="FactoresTecnicosWeb" sheetId="21" r:id="rId4"/>
    <sheet name="FactoresAmbientalesWeb" sheetId="22" r:id="rId5"/>
    <sheet name="Casos de uso Ajustados" sheetId="1" r:id="rId6"/>
    <sheet name="Historias Usuario Estimadas" sheetId="16" r:id="rId7"/>
    <sheet name="Cronograma (2)" sheetId="24" r:id="rId8"/>
    <sheet name="costos" sheetId="19" r:id="rId9"/>
    <sheet name="Hoja1" sheetId="25" state="hidden" r:id="rId10"/>
    <sheet name="Adquisiciones" sheetId="26" r:id="rId11"/>
    <sheet name="Costos por entregable" sheetId="20" r:id="rId12"/>
  </sheets>
  <definedNames>
    <definedName name="_xlnm._FilterDatabase" localSheetId="6" hidden="1">'Historias Usuario Estimadas'!$A$1:$G$59</definedName>
    <definedName name="_Toc326835245" localSheetId="6">'Historias Usuario Estimadas'!#REF!</definedName>
    <definedName name="_Toc328148952" localSheetId="6">'Historias Usuario Estimadas'!#REF!</definedName>
    <definedName name="_Toc335060049" localSheetId="6">'Historias Usuario Estimadas'!#REF!</definedName>
    <definedName name="_xlnm.Print_Area" localSheetId="5">'Casos de uso Ajustados'!$B$3:$M$50</definedName>
    <definedName name="_xlnm.Print_Area" localSheetId="0">Complejidad!$C$1:$H$46</definedName>
    <definedName name="_xlnm.Print_Area" localSheetId="8">costos!$A$1:$F$54</definedName>
    <definedName name="_xlnm.Print_Area" localSheetId="11">'Costos por entregable'!$A$1:$S$71</definedName>
    <definedName name="_xlnm.Print_Area" localSheetId="7">'Cronograma (2)'!$A$2:$Z$88</definedName>
    <definedName name="_xlnm.Print_Area" localSheetId="2">FactoresAmbientalesMovil!$B$1:$H$14</definedName>
    <definedName name="_xlnm.Print_Area" localSheetId="4">FactoresAmbientalesWeb!$B$1:$H$14</definedName>
    <definedName name="_xlnm.Print_Area" localSheetId="1">FactoresTecnicosMovil!$B$1:$H$17</definedName>
    <definedName name="_xlnm.Print_Area" localSheetId="3">FactoresTecnicosWeb!$B$1:$H$18</definedName>
    <definedName name="_xlnm.Print_Area" localSheetId="6">'Historias Usuario Estimadas'!$A$1:$F$59</definedName>
    <definedName name="_xlnm.Print_Titles" localSheetId="5">'Casos de uso Ajustados'!$3:$3</definedName>
    <definedName name="_xlnm.Print_Titles" localSheetId="2">FactoresAmbientalesMovil!$4:$4</definedName>
    <definedName name="_xlnm.Print_Titles" localSheetId="4">FactoresAmbientalesWeb!$4:$4</definedName>
    <definedName name="_xlnm.Print_Titles" localSheetId="1">FactoresTecnicosMovil!$3:$3</definedName>
    <definedName name="_xlnm.Print_Titles" localSheetId="3">FactoresTecnicosWeb!$4:$4</definedName>
    <definedName name="_xlnm.Print_Titles" localSheetId="6">'Historias Usuario Estimadas'!$1:$1</definedName>
  </definedNames>
  <calcPr calcId="145621"/>
  <pivotCaches>
    <pivotCache cacheId="0" r:id="rId13"/>
  </pivotCaches>
</workbook>
</file>

<file path=xl/calcChain.xml><?xml version="1.0" encoding="utf-8"?>
<calcChain xmlns="http://schemas.openxmlformats.org/spreadsheetml/2006/main">
  <c r="R63" i="24" l="1"/>
  <c r="Q63" i="24" s="1"/>
  <c r="R64" i="24"/>
  <c r="Q64" i="24" s="1"/>
  <c r="R65" i="24"/>
  <c r="Q65" i="24" s="1"/>
  <c r="S68" i="20" l="1"/>
  <c r="I68" i="20"/>
  <c r="M74" i="20" l="1"/>
  <c r="N68" i="20"/>
  <c r="D12" i="20" l="1"/>
  <c r="D11" i="20"/>
  <c r="C27" i="24" l="1"/>
  <c r="B27" i="24"/>
  <c r="D10" i="19" l="1"/>
  <c r="D20" i="19" s="1"/>
  <c r="C10" i="19"/>
  <c r="C20" i="19" s="1"/>
  <c r="B10" i="19"/>
  <c r="B8" i="19"/>
  <c r="B7" i="19"/>
  <c r="B6" i="19"/>
  <c r="B5" i="19"/>
  <c r="B49" i="19" l="1"/>
  <c r="B50" i="19"/>
  <c r="B54" i="19" s="1"/>
  <c r="B51" i="19"/>
  <c r="B52" i="19"/>
  <c r="N60" i="20" l="1"/>
  <c r="B88" i="24" l="1"/>
  <c r="J42" i="24"/>
  <c r="B73" i="24"/>
  <c r="K13" i="24" l="1"/>
  <c r="L13" i="24" s="1"/>
  <c r="M13" i="24" s="1"/>
  <c r="N13" i="24" s="1"/>
  <c r="O13" i="24" s="1"/>
  <c r="P13" i="24" s="1"/>
  <c r="Q13" i="24" s="1"/>
  <c r="R13" i="24" s="1"/>
  <c r="R29" i="24" s="1"/>
  <c r="S29" i="24" s="1"/>
  <c r="T29" i="24" s="1"/>
  <c r="U29" i="24" s="1"/>
  <c r="V29" i="24" s="1"/>
  <c r="W29" i="24" s="1"/>
  <c r="C47" i="24" l="1"/>
  <c r="D47" i="24"/>
  <c r="E47" i="24"/>
  <c r="F47" i="24"/>
  <c r="G47" i="24"/>
  <c r="H47" i="24"/>
  <c r="I47" i="24"/>
  <c r="J47" i="24"/>
  <c r="K47" i="24"/>
  <c r="L47" i="24"/>
  <c r="M47" i="24"/>
  <c r="N47" i="24"/>
  <c r="O47" i="24"/>
  <c r="P47" i="24"/>
  <c r="Q47" i="24"/>
  <c r="R47" i="24"/>
  <c r="S47" i="24"/>
  <c r="T47" i="24"/>
  <c r="U47" i="24"/>
  <c r="V47" i="24"/>
  <c r="W47" i="24"/>
  <c r="C48" i="24"/>
  <c r="D48" i="24"/>
  <c r="E48" i="24"/>
  <c r="F48" i="24"/>
  <c r="G48" i="24"/>
  <c r="H48" i="24"/>
  <c r="I48" i="24"/>
  <c r="J48" i="24"/>
  <c r="K48" i="24"/>
  <c r="L48" i="24"/>
  <c r="M48" i="24"/>
  <c r="N48" i="24"/>
  <c r="O48" i="24"/>
  <c r="P48" i="24"/>
  <c r="Q48" i="24"/>
  <c r="R48" i="24"/>
  <c r="S48" i="24"/>
  <c r="T48" i="24"/>
  <c r="U48" i="24"/>
  <c r="V48" i="24"/>
  <c r="W48" i="24"/>
  <c r="C49" i="24"/>
  <c r="D49" i="24"/>
  <c r="E49" i="24"/>
  <c r="F49" i="24"/>
  <c r="G49" i="24"/>
  <c r="H49" i="24"/>
  <c r="I49" i="24"/>
  <c r="J49" i="24"/>
  <c r="K49" i="24"/>
  <c r="L49" i="24"/>
  <c r="M49" i="24"/>
  <c r="N49" i="24"/>
  <c r="O49" i="24"/>
  <c r="P49" i="24"/>
  <c r="Q49" i="24"/>
  <c r="R49" i="24"/>
  <c r="S49" i="24"/>
  <c r="T49" i="24"/>
  <c r="U49" i="24"/>
  <c r="V49" i="24"/>
  <c r="W49" i="24"/>
  <c r="C50" i="24"/>
  <c r="D50" i="24"/>
  <c r="E50" i="24"/>
  <c r="F50" i="24"/>
  <c r="G50" i="24"/>
  <c r="H50" i="24"/>
  <c r="I50" i="24"/>
  <c r="J50" i="24"/>
  <c r="K50" i="24"/>
  <c r="L50" i="24"/>
  <c r="M50" i="24"/>
  <c r="N50" i="24"/>
  <c r="O50" i="24"/>
  <c r="P50" i="24"/>
  <c r="Q50" i="24"/>
  <c r="R50" i="24"/>
  <c r="S50" i="24"/>
  <c r="T50" i="24"/>
  <c r="U50" i="24"/>
  <c r="V50" i="24"/>
  <c r="W50" i="24"/>
  <c r="C51" i="24"/>
  <c r="D51" i="24"/>
  <c r="E51" i="24"/>
  <c r="F51" i="24"/>
  <c r="G51" i="24"/>
  <c r="H51" i="24"/>
  <c r="I51" i="24"/>
  <c r="J51" i="24"/>
  <c r="K51" i="24"/>
  <c r="L51" i="24"/>
  <c r="M51" i="24"/>
  <c r="N51" i="24"/>
  <c r="O51" i="24"/>
  <c r="P51" i="24"/>
  <c r="Q51" i="24"/>
  <c r="R51" i="24"/>
  <c r="S51" i="24"/>
  <c r="T51" i="24"/>
  <c r="U51" i="24"/>
  <c r="V51" i="24"/>
  <c r="W51" i="24"/>
  <c r="C52" i="24"/>
  <c r="D52" i="24"/>
  <c r="E52" i="24"/>
  <c r="F52" i="24"/>
  <c r="G52" i="24"/>
  <c r="H52" i="24"/>
  <c r="I52" i="24"/>
  <c r="J52" i="24"/>
  <c r="K52" i="24"/>
  <c r="L52" i="24"/>
  <c r="M52" i="24"/>
  <c r="N52" i="24"/>
  <c r="O52" i="24"/>
  <c r="P52" i="24"/>
  <c r="Q52" i="24"/>
  <c r="R52" i="24"/>
  <c r="S52" i="24"/>
  <c r="T52" i="24"/>
  <c r="U52" i="24"/>
  <c r="V52" i="24"/>
  <c r="W52" i="24"/>
  <c r="C53" i="24"/>
  <c r="D53" i="24"/>
  <c r="E53" i="24"/>
  <c r="F53" i="24"/>
  <c r="G53" i="24"/>
  <c r="H53" i="24"/>
  <c r="I53" i="24"/>
  <c r="J53" i="24"/>
  <c r="K53" i="24"/>
  <c r="L53" i="24"/>
  <c r="M53" i="24"/>
  <c r="N53" i="24"/>
  <c r="O53" i="24"/>
  <c r="P53" i="24"/>
  <c r="Q53" i="24"/>
  <c r="R53" i="24"/>
  <c r="S53" i="24"/>
  <c r="T53" i="24"/>
  <c r="U53" i="24"/>
  <c r="V53" i="24"/>
  <c r="W53" i="24"/>
  <c r="C54" i="24"/>
  <c r="D54" i="24"/>
  <c r="E54" i="24"/>
  <c r="F54" i="24"/>
  <c r="G54" i="24"/>
  <c r="H54" i="24"/>
  <c r="I54" i="24"/>
  <c r="J54" i="24"/>
  <c r="K54" i="24"/>
  <c r="L54" i="24"/>
  <c r="M54" i="24"/>
  <c r="N54" i="24"/>
  <c r="O54" i="24"/>
  <c r="P54" i="24"/>
  <c r="Q54" i="24"/>
  <c r="R54" i="24"/>
  <c r="S54" i="24"/>
  <c r="T54" i="24"/>
  <c r="U54" i="24"/>
  <c r="V54" i="24"/>
  <c r="W54" i="24"/>
  <c r="C55" i="24"/>
  <c r="D55" i="24"/>
  <c r="E55" i="24"/>
  <c r="F55" i="24"/>
  <c r="G55" i="24"/>
  <c r="H55" i="24"/>
  <c r="I55" i="24"/>
  <c r="J55" i="24"/>
  <c r="K55" i="24"/>
  <c r="L55" i="24"/>
  <c r="M55" i="24"/>
  <c r="N55" i="24"/>
  <c r="O55" i="24"/>
  <c r="P55" i="24"/>
  <c r="Q55" i="24"/>
  <c r="R55" i="24"/>
  <c r="S55" i="24"/>
  <c r="T55" i="24"/>
  <c r="U55" i="24"/>
  <c r="V55" i="24"/>
  <c r="W55" i="24"/>
  <c r="C56" i="24"/>
  <c r="D56" i="24"/>
  <c r="E56" i="24"/>
  <c r="F56" i="24"/>
  <c r="G56" i="24"/>
  <c r="H56" i="24"/>
  <c r="I56" i="24"/>
  <c r="J56" i="24"/>
  <c r="K56" i="24"/>
  <c r="L56" i="24"/>
  <c r="M56" i="24"/>
  <c r="N56" i="24"/>
  <c r="O56" i="24"/>
  <c r="P56" i="24"/>
  <c r="Q56" i="24"/>
  <c r="R56" i="24"/>
  <c r="S56" i="24"/>
  <c r="T56" i="24"/>
  <c r="U56" i="24"/>
  <c r="V56" i="24"/>
  <c r="W56" i="24"/>
  <c r="C57" i="24"/>
  <c r="D57" i="24"/>
  <c r="E57" i="24"/>
  <c r="F57" i="24"/>
  <c r="G57" i="24"/>
  <c r="H57" i="24"/>
  <c r="I57" i="24"/>
  <c r="J57" i="24"/>
  <c r="K57" i="24"/>
  <c r="L57" i="24"/>
  <c r="M57" i="24"/>
  <c r="N57" i="24"/>
  <c r="O57" i="24"/>
  <c r="P57" i="24"/>
  <c r="Q57" i="24"/>
  <c r="R57" i="24"/>
  <c r="S57" i="24"/>
  <c r="T57" i="24"/>
  <c r="U57" i="24"/>
  <c r="V57" i="24"/>
  <c r="W57" i="24"/>
  <c r="C58" i="24"/>
  <c r="D58" i="24"/>
  <c r="E58" i="24"/>
  <c r="F58" i="24"/>
  <c r="G58" i="24"/>
  <c r="H58" i="24"/>
  <c r="I58" i="24"/>
  <c r="J58" i="24"/>
  <c r="K58" i="24"/>
  <c r="L58" i="24"/>
  <c r="M58" i="24"/>
  <c r="N58" i="24"/>
  <c r="O58" i="24"/>
  <c r="P58" i="24"/>
  <c r="Q58" i="24"/>
  <c r="R58" i="24"/>
  <c r="S58" i="24"/>
  <c r="T58" i="24"/>
  <c r="U58" i="24"/>
  <c r="V58" i="24"/>
  <c r="W58" i="24"/>
  <c r="C59" i="24"/>
  <c r="D59" i="24"/>
  <c r="E59" i="24"/>
  <c r="F59" i="24"/>
  <c r="G59" i="24"/>
  <c r="H59" i="24"/>
  <c r="I59" i="24"/>
  <c r="J59" i="24"/>
  <c r="K59" i="24"/>
  <c r="L59" i="24"/>
  <c r="M59" i="24"/>
  <c r="N59" i="24"/>
  <c r="O59" i="24"/>
  <c r="P59" i="24"/>
  <c r="Q59" i="24"/>
  <c r="R59" i="24"/>
  <c r="S59" i="24"/>
  <c r="T59" i="24"/>
  <c r="U59" i="24"/>
  <c r="V59" i="24"/>
  <c r="W59" i="24"/>
  <c r="B59" i="24"/>
  <c r="B58" i="24"/>
  <c r="B57" i="24"/>
  <c r="B56" i="24"/>
  <c r="B55" i="24"/>
  <c r="B54" i="24"/>
  <c r="B53" i="24"/>
  <c r="B52" i="24"/>
  <c r="B51" i="24"/>
  <c r="B50" i="24"/>
  <c r="B49" i="24"/>
  <c r="B48" i="24"/>
  <c r="B47" i="24"/>
  <c r="D64" i="25" l="1"/>
  <c r="H73" i="20" l="1"/>
  <c r="D14" i="20" l="1"/>
  <c r="W4" i="20" l="1"/>
  <c r="R4" i="20"/>
  <c r="S70" i="20" s="1"/>
  <c r="H4" i="20"/>
  <c r="I4" i="20" s="1"/>
  <c r="I70" i="20" l="1"/>
  <c r="M4" i="20"/>
  <c r="N70" i="20" s="1"/>
  <c r="X57" i="24"/>
  <c r="Z57" i="24" s="1"/>
  <c r="X37" i="24"/>
  <c r="Z37" i="24" s="1"/>
  <c r="D27" i="24"/>
  <c r="L42" i="24"/>
  <c r="N4" i="20" l="1"/>
  <c r="X4" i="20"/>
  <c r="E10" i="19"/>
  <c r="B20" i="19"/>
  <c r="E20" i="19" s="1"/>
  <c r="M18" i="1"/>
  <c r="E18" i="1"/>
  <c r="F36" i="8"/>
  <c r="F35" i="8"/>
  <c r="F34" i="8"/>
  <c r="F14" i="8"/>
  <c r="F13" i="8"/>
  <c r="F15" i="8" s="1"/>
  <c r="E34" i="1" s="1"/>
  <c r="F12" i="8"/>
  <c r="F37" i="8" l="1"/>
  <c r="E33" i="1" s="1"/>
  <c r="E35" i="1" s="1"/>
  <c r="X5" i="24"/>
  <c r="X6" i="24"/>
  <c r="X7" i="24"/>
  <c r="X8" i="24"/>
  <c r="X9" i="24"/>
  <c r="X10" i="24"/>
  <c r="X11" i="24"/>
  <c r="X4" i="24"/>
  <c r="X41" i="24"/>
  <c r="Z41" i="24" s="1"/>
  <c r="X40" i="24"/>
  <c r="Z40" i="24" s="1"/>
  <c r="X39" i="24"/>
  <c r="Z39" i="24" s="1"/>
  <c r="X38" i="24"/>
  <c r="Z38" i="24" s="1"/>
  <c r="X36" i="24"/>
  <c r="Z36" i="24" s="1"/>
  <c r="X35" i="24"/>
  <c r="Z35" i="24" s="1"/>
  <c r="X34" i="24"/>
  <c r="Z34" i="24" s="1"/>
  <c r="X33" i="24"/>
  <c r="Z33" i="24" s="1"/>
  <c r="X32" i="24"/>
  <c r="Z32" i="24" s="1"/>
  <c r="B12" i="24"/>
  <c r="E42" i="1" s="1"/>
  <c r="C12" i="24"/>
  <c r="X21" i="24"/>
  <c r="Z21" i="24" s="1"/>
  <c r="X20" i="24"/>
  <c r="X56" i="24" l="1"/>
  <c r="Z56" i="24" s="1"/>
  <c r="X51" i="24"/>
  <c r="Z51" i="24" s="1"/>
  <c r="X53" i="24"/>
  <c r="Z53" i="24" s="1"/>
  <c r="X52" i="24"/>
  <c r="Z52" i="24" s="1"/>
  <c r="X58" i="24"/>
  <c r="Z58" i="24" s="1"/>
  <c r="X59" i="24"/>
  <c r="Z59" i="24" s="1"/>
  <c r="X50" i="24"/>
  <c r="Z50" i="24" s="1"/>
  <c r="X54" i="24"/>
  <c r="Z54" i="24" s="1"/>
  <c r="X47" i="24"/>
  <c r="Z47" i="24" s="1"/>
  <c r="X48" i="24"/>
  <c r="Z48" i="24" s="1"/>
  <c r="X55" i="24"/>
  <c r="Z55" i="24" s="1"/>
  <c r="Z42" i="24"/>
  <c r="X42" i="24"/>
  <c r="X26" i="24"/>
  <c r="X25" i="24"/>
  <c r="X24" i="24"/>
  <c r="X23" i="24"/>
  <c r="X22" i="24"/>
  <c r="X19" i="24"/>
  <c r="X18" i="24"/>
  <c r="Z18" i="24" s="1"/>
  <c r="X17" i="24"/>
  <c r="Z8" i="24"/>
  <c r="B2" i="19" l="1"/>
  <c r="Z6" i="24"/>
  <c r="Z17" i="24"/>
  <c r="Z9" i="24"/>
  <c r="Z11" i="24"/>
  <c r="X12" i="24"/>
  <c r="X27" i="24"/>
  <c r="Z20" i="24"/>
  <c r="Z25" i="24"/>
  <c r="Z22" i="24"/>
  <c r="Z26" i="24"/>
  <c r="Z10" i="24"/>
  <c r="Z7" i="24"/>
  <c r="X49" i="24" s="1"/>
  <c r="Z49" i="24" s="1"/>
  <c r="Z60" i="24" s="1"/>
  <c r="Z19" i="24"/>
  <c r="Z23" i="24"/>
  <c r="Z24" i="24"/>
  <c r="Z4" i="24"/>
  <c r="Z5" i="24"/>
  <c r="R1" i="20" l="1"/>
  <c r="B16" i="19"/>
  <c r="X60" i="24"/>
  <c r="Z27" i="24"/>
  <c r="Z12" i="24"/>
  <c r="F13" i="22"/>
  <c r="F12" i="22"/>
  <c r="F11" i="22"/>
  <c r="F10" i="22"/>
  <c r="F9" i="22"/>
  <c r="F8" i="22"/>
  <c r="F7" i="22"/>
  <c r="F6" i="22"/>
  <c r="F5" i="22"/>
  <c r="F17" i="21"/>
  <c r="F16" i="21"/>
  <c r="F15" i="21"/>
  <c r="F14" i="21"/>
  <c r="F13" i="21"/>
  <c r="F12" i="21"/>
  <c r="F11" i="21"/>
  <c r="F10" i="21"/>
  <c r="F9" i="21"/>
  <c r="F8" i="21"/>
  <c r="F7" i="21"/>
  <c r="F6" i="21"/>
  <c r="F5" i="21"/>
  <c r="R2" i="20" l="1"/>
  <c r="S69" i="20" s="1"/>
  <c r="Q4" i="20"/>
  <c r="Q3" i="20" s="1"/>
  <c r="R3" i="20" s="1"/>
  <c r="S23" i="20" s="1"/>
  <c r="C2" i="19"/>
  <c r="D2" i="19"/>
  <c r="F14" i="22"/>
  <c r="D16" i="22" s="1"/>
  <c r="M8" i="1" s="1"/>
  <c r="F18" i="21"/>
  <c r="E20" i="21" s="1"/>
  <c r="M7" i="1" s="1"/>
  <c r="H1" i="20" l="1"/>
  <c r="G4" i="20" s="1"/>
  <c r="G3" i="20" s="1"/>
  <c r="H3" i="20" s="1"/>
  <c r="M1" i="20"/>
  <c r="L4" i="20" s="1"/>
  <c r="S71" i="20"/>
  <c r="S72" i="20" s="1"/>
  <c r="S73" i="20"/>
  <c r="S75" i="20" s="1"/>
  <c r="M5" i="20"/>
  <c r="L5" i="20"/>
  <c r="C16" i="19"/>
  <c r="M2" i="20"/>
  <c r="N69" i="20" s="1"/>
  <c r="L3" i="20"/>
  <c r="M3" i="20" s="1"/>
  <c r="N23" i="20" s="1"/>
  <c r="C18" i="19"/>
  <c r="C19" i="19"/>
  <c r="C17" i="19"/>
  <c r="D16" i="19"/>
  <c r="D17" i="19"/>
  <c r="D19" i="19"/>
  <c r="D18" i="19"/>
  <c r="E2" i="19"/>
  <c r="W1" i="20" s="1"/>
  <c r="F44" i="8"/>
  <c r="F43" i="8"/>
  <c r="F42" i="8"/>
  <c r="F21" i="8"/>
  <c r="F20" i="8"/>
  <c r="F19" i="8"/>
  <c r="V4" i="20" l="1"/>
  <c r="V3" i="20" s="1"/>
  <c r="W2" i="20"/>
  <c r="X1" i="20"/>
  <c r="Y4" i="20"/>
  <c r="I23" i="20"/>
  <c r="N73" i="20"/>
  <c r="N75" i="20" s="1"/>
  <c r="N71" i="20"/>
  <c r="N72" i="20" s="1"/>
  <c r="C21" i="19"/>
  <c r="D21" i="19"/>
  <c r="D22" i="19" s="1"/>
  <c r="E16" i="19"/>
  <c r="F45" i="8"/>
  <c r="F22" i="8"/>
  <c r="M10" i="1" s="1"/>
  <c r="C22" i="19" l="1"/>
  <c r="D23" i="19"/>
  <c r="C41" i="19"/>
  <c r="C40" i="19"/>
  <c r="C42" i="19" s="1"/>
  <c r="W3" i="20"/>
  <c r="X3" i="20" s="1"/>
  <c r="Y3" i="20"/>
  <c r="D41" i="19"/>
  <c r="E41" i="19" s="1"/>
  <c r="H2" i="20"/>
  <c r="X2" i="20" s="1"/>
  <c r="M9" i="1"/>
  <c r="M11" i="1" s="1"/>
  <c r="M13" i="1" s="1"/>
  <c r="K23" i="1" s="1"/>
  <c r="F5" i="7"/>
  <c r="F6" i="7"/>
  <c r="F7" i="7"/>
  <c r="F8" i="7"/>
  <c r="F9" i="7"/>
  <c r="F10" i="7"/>
  <c r="F11" i="7"/>
  <c r="F12" i="7"/>
  <c r="F13" i="7"/>
  <c r="F5" i="2"/>
  <c r="F6" i="2"/>
  <c r="F7" i="2"/>
  <c r="F8" i="2"/>
  <c r="F9" i="2"/>
  <c r="F10" i="2"/>
  <c r="F11" i="2"/>
  <c r="F12" i="2"/>
  <c r="F13" i="2"/>
  <c r="F14" i="2"/>
  <c r="F15" i="2"/>
  <c r="F16" i="2"/>
  <c r="F29" i="8"/>
  <c r="F28" i="8"/>
  <c r="F27" i="8"/>
  <c r="F4" i="2"/>
  <c r="F5" i="8"/>
  <c r="F6" i="8"/>
  <c r="F7" i="8"/>
  <c r="C23" i="19" l="1"/>
  <c r="C35" i="19"/>
  <c r="D35" i="19" s="1"/>
  <c r="E35" i="19" s="1"/>
  <c r="C34" i="19"/>
  <c r="M23" i="1"/>
  <c r="M26" i="1"/>
  <c r="M25" i="1"/>
  <c r="M24" i="1"/>
  <c r="I73" i="20"/>
  <c r="I69" i="20"/>
  <c r="I71" i="20" s="1"/>
  <c r="I1" i="20"/>
  <c r="C24" i="19"/>
  <c r="D40" i="19"/>
  <c r="E40" i="19" s="1"/>
  <c r="D24" i="19"/>
  <c r="M16" i="1"/>
  <c r="M19" i="1" s="1"/>
  <c r="M20" i="1" s="1"/>
  <c r="F17" i="2"/>
  <c r="E19" i="2" s="1"/>
  <c r="F30" i="8"/>
  <c r="E9" i="1" s="1"/>
  <c r="F14" i="7"/>
  <c r="D16" i="7" s="1"/>
  <c r="E32" i="1" s="1"/>
  <c r="F8" i="8"/>
  <c r="E10" i="1" s="1"/>
  <c r="C36" i="19" l="1"/>
  <c r="C37" i="19" s="1"/>
  <c r="D34" i="19"/>
  <c r="E34" i="19" s="1"/>
  <c r="E7" i="1"/>
  <c r="E31" i="1"/>
  <c r="E37" i="1" s="1"/>
  <c r="I72" i="20"/>
  <c r="I75" i="20"/>
  <c r="D42" i="19"/>
  <c r="E8" i="1"/>
  <c r="E11" i="1"/>
  <c r="D36" i="19" l="1"/>
  <c r="D37" i="19" s="1"/>
  <c r="C47" i="1"/>
  <c r="E40" i="1"/>
  <c r="E43" i="1" s="1"/>
  <c r="E48" i="1"/>
  <c r="E47" i="1"/>
  <c r="E13" i="1"/>
  <c r="B17" i="19"/>
  <c r="B18" i="19"/>
  <c r="E18" i="19" s="1"/>
  <c r="B19" i="19"/>
  <c r="E19" i="19" s="1"/>
  <c r="E36" i="19" l="1"/>
  <c r="E37" i="19" s="1"/>
  <c r="E17" i="19"/>
  <c r="B21" i="19"/>
  <c r="B22" i="19" s="1"/>
  <c r="E50" i="1"/>
  <c r="C23" i="1"/>
  <c r="E16" i="1"/>
  <c r="E22" i="19" l="1"/>
  <c r="B23" i="19"/>
  <c r="E23" i="19" s="1"/>
  <c r="C29" i="19"/>
  <c r="C28" i="19"/>
  <c r="D28" i="19"/>
  <c r="E21" i="19"/>
  <c r="E23" i="1"/>
  <c r="E24" i="1"/>
  <c r="E26" i="1"/>
  <c r="E19" i="1"/>
  <c r="E20" i="1" s="1"/>
  <c r="E44" i="1"/>
  <c r="D43" i="19"/>
  <c r="F28" i="19"/>
  <c r="C30" i="19" l="1"/>
  <c r="D29" i="19"/>
  <c r="E29" i="19" s="1"/>
  <c r="G28" i="19"/>
  <c r="C31" i="19"/>
  <c r="E42" i="19"/>
  <c r="E43" i="19" s="1"/>
  <c r="F44" i="19" s="1"/>
  <c r="C43" i="19"/>
  <c r="E28" i="19"/>
  <c r="D30" i="19" l="1"/>
  <c r="E30" i="19" s="1"/>
  <c r="B24" i="19"/>
  <c r="E24" i="19" s="1"/>
  <c r="E31" i="19" l="1"/>
  <c r="D31" i="19"/>
</calcChain>
</file>

<file path=xl/sharedStrings.xml><?xml version="1.0" encoding="utf-8"?>
<sst xmlns="http://schemas.openxmlformats.org/spreadsheetml/2006/main" count="1183" uniqueCount="501">
  <si>
    <t>TCF</t>
  </si>
  <si>
    <t>UUCP</t>
  </si>
  <si>
    <t>Ratio</t>
  </si>
  <si>
    <t>Calculated EF</t>
  </si>
  <si>
    <t>Familiaridad con el proyecto</t>
  </si>
  <si>
    <t>Experiencia en la aplicación</t>
  </si>
  <si>
    <t>Experiencia en POO</t>
  </si>
  <si>
    <t>Motivación</t>
  </si>
  <si>
    <t>Requerimientos estables</t>
  </si>
  <si>
    <t>Recursos de tiempo parcial</t>
  </si>
  <si>
    <t>Dificultad del lenguaje de programación</t>
  </si>
  <si>
    <t>Factor ambiental</t>
  </si>
  <si>
    <t>Descripción</t>
  </si>
  <si>
    <t>Capacidad de análisis</t>
  </si>
  <si>
    <t>Factor de complejidad técnica</t>
  </si>
  <si>
    <t>Sistemas distribuidos</t>
  </si>
  <si>
    <t>Tiempo de respuesta</t>
  </si>
  <si>
    <t>Reutilización de código</t>
  </si>
  <si>
    <t>Facilidad de instalación</t>
  </si>
  <si>
    <t>Usabilidad</t>
  </si>
  <si>
    <t>Soporte multiplataforma</t>
  </si>
  <si>
    <t>Facilidad de cambio</t>
  </si>
  <si>
    <t>Alta concurrencia</t>
  </si>
  <si>
    <t>Dependencia de códigos de terceros</t>
  </si>
  <si>
    <t>Factor Técnico</t>
  </si>
  <si>
    <t>Procesamiento interno complejo</t>
  </si>
  <si>
    <t>TCF Calculado</t>
  </si>
  <si>
    <t>Eficiencia del usuario final</t>
  </si>
  <si>
    <t>Necesidad de entrenamiento de usuarios</t>
  </si>
  <si>
    <t>Caso de uso simple - hasta 3 transacciones</t>
  </si>
  <si>
    <t>Casos de uso promedio - 4 a 7 transacciones.</t>
  </si>
  <si>
    <t>Cálculo del esfuerzo estimado</t>
  </si>
  <si>
    <t xml:space="preserve">Cálculos de variables </t>
  </si>
  <si>
    <t>Factor</t>
  </si>
  <si>
    <t>Puntos de caso de uso no ajustados</t>
  </si>
  <si>
    <t>Alta</t>
  </si>
  <si>
    <t>Media</t>
  </si>
  <si>
    <t>Baja</t>
  </si>
  <si>
    <t>Trabajo en equipo</t>
  </si>
  <si>
    <t>Otro sistema que interactúa con el sistema a desarrollar por medio de un protocolo o una interfaz basada en texto.</t>
  </si>
  <si>
    <t>Complejidad</t>
  </si>
  <si>
    <t>No. Complejidad por actores</t>
  </si>
  <si>
    <t>UAW</t>
  </si>
  <si>
    <t>Peso por Complejidad</t>
  </si>
  <si>
    <t>Peso por Complejidad
(a*b)</t>
  </si>
  <si>
    <t>Factor
(a)</t>
  </si>
  <si>
    <t>Casos de Uso
(b)</t>
  </si>
  <si>
    <t>Se tendrá que hacer consideraciones especiales durante el diseño, codificación y mantenimiento para que en el sistema sea fácil de introducir cambios y fácil de adaptar al usuario.  (Consultas flexibles del usuario, sistemas de administración y mecanismos de parametrización)</t>
  </si>
  <si>
    <t>La arquitectura de la solución puede ser centralizada o  puede ser distribuida.  Para aplicaciones Web suelen utilizarse arquitecturas con diferentes grados de distribución en N-capas.</t>
  </si>
  <si>
    <t xml:space="preserve"> La velocidad de respuesta para los usuarios es un importante y existen requerimientos no funcionales al respecto.</t>
  </si>
  <si>
    <t>Se demanda eficiencia para el usuario en su trabajo, es decir se tiene que diseñar e implementar la aplicación con interfaces fáciles de usar y con ayudas integradas.</t>
  </si>
  <si>
    <t>La complejidad de los procesos es una característica de la aplicación.  (procesos matemáticos complejos, manejos de múltiples excepciones, múltiples dispositivos de entrada/salida, seguridad y control, procesos con lógica compleja)</t>
  </si>
  <si>
    <t>Se tendrá que hacer consideraciones especiales durante el diseño, codificación y mantenimiento para que el código se reutilice en otras aplicaciones o incluso en la misma solución.</t>
  </si>
  <si>
    <t>Es la facilidad de instalación para los usuarios finales un factor clave? El sistema deberá instalarse en diversos sitios? Cuanto más alto sea el nivel de competencia de los usuarios, menor es el número.</t>
  </si>
  <si>
    <t>Es la facilidad de uso uno de los principales criterios para la aceptación? Cuanto mayor es la importancia de la facilidad de uso, mayor es el factor.</t>
  </si>
  <si>
    <t>¿Se requiere soportar multi-plataforma? Múltiples tipos de plataformas tienen que ser soportadas (esto podría ser versiones de navegadores, dispositivos móviles, sistemas operativos), tiene un valor más alto.</t>
  </si>
  <si>
    <t>El sistema estará expuesto a altos niveles de concurrencia?  Se deberá valorar la cantidad de usuarios del sistema, su crecimiento y el esperado de usuarios o procesos ejecutándose en un instante de tiempo.</t>
  </si>
  <si>
    <t>El sistema requiere de componentes o requiere de mecanismos especiales de seguridad? (autenticación, encriptación, certificados digitales, …).</t>
  </si>
  <si>
    <t>¿La aplicación requiere el uso de controles o bibliotecas de terceros? Al igual que códigos re-utilizables, el código de terceros puede reducir el esfuerzo necesario para implementar una solución sin embargo le agrega complejidad al sistema y puede ocasionar problemas de mantenimiento de la solución.</t>
  </si>
  <si>
    <t>¿Que tanto nivel de entrenamiento al usuario es requerido?  Si la aplicación es compleja o maneja procesos complejos la capacitación puede ser mayor.</t>
  </si>
  <si>
    <t>PESO
(a)</t>
  </si>
  <si>
    <t>Impacto Productividad
(0-5) - (b)</t>
  </si>
  <si>
    <t>Peso Complejidad
(a*b)</t>
  </si>
  <si>
    <t>Personalizado de Seguridad</t>
  </si>
  <si>
    <t>Factores de complejidad ambiental</t>
  </si>
  <si>
    <t>Cálculo de los puntos de casos de uso Ajustados</t>
  </si>
  <si>
    <t>UUCW</t>
  </si>
  <si>
    <t>ECF</t>
  </si>
  <si>
    <t>¿Qué experiencia tiene su equipo de trabajo en este ámbito? Niveles más altos de experiencia y conocimiento de negocio generan un mayor número.</t>
  </si>
  <si>
    <t>Cuando se desean hacer modificaciones o el rediseño de una aplicación existente, la experiencia particular del equipo de trabajo con esa aplicación es valorada.</t>
  </si>
  <si>
    <t xml:space="preserve">¿Qué experiencia tiene su equipo en programación orientada a objetos? Números más altos representan más experiencia POO. </t>
  </si>
  <si>
    <t xml:space="preserve">Valora los conocimientos, capacidades y habilidades de análisis en favor de requerimientos más claros y estables. </t>
  </si>
  <si>
    <t>¿Cuál es el grado de motivación de su equipo de trabajo? Números más altos representan más motivación.</t>
  </si>
  <si>
    <t>El multiplicador de este número es negativo. Un mayor número refleja una mayor cantidad de personas de trabajo en tiempo parcial.  El cambio de contexto y otros factores hacen que un equipo conformado así sea menos eficiente.</t>
  </si>
  <si>
    <t>Este multiplicador es también negativo. Idiomas más difíciles o de bajo nivel representan un mayor número de este factor</t>
  </si>
  <si>
    <t>Valora la eficiencia de un equipo de trabajo con alta cohesión y capacidad de trabajo en equipo.</t>
  </si>
  <si>
    <t xml:space="preserve">17.1 COMPLEJIDAD POR ACTORES- UAW: </t>
  </si>
  <si>
    <t>17.2 COMPLEJIDAD DE CASO DE USO POR TRANSACCIONES - UUCW</t>
  </si>
  <si>
    <t xml:space="preserve">17.4.1 FACTORES TÉCNICOS </t>
  </si>
  <si>
    <t>17.4.2 FACTORES AMBIENTALES</t>
  </si>
  <si>
    <t>17.5 CASOS DE USO AJUSTADOS.</t>
  </si>
  <si>
    <t>AUCP</t>
  </si>
  <si>
    <t>Implementación, paso a producción, entrega de la operación y estabilización</t>
  </si>
  <si>
    <t>Total horas estimadas</t>
  </si>
  <si>
    <t>Críticos</t>
  </si>
  <si>
    <t>Mayores</t>
  </si>
  <si>
    <t>Menores</t>
  </si>
  <si>
    <t>Cosméticos</t>
  </si>
  <si>
    <t>Errores permitidos</t>
  </si>
  <si>
    <t>Clasificación</t>
  </si>
  <si>
    <t>Cantidad</t>
  </si>
  <si>
    <t>Otro sistema que interactúa con el sistema a desarrollar por medio de una interfaz de programación</t>
  </si>
  <si>
    <t>Persona que interactúa con el sistema mediante una interfaz gráfica.</t>
  </si>
  <si>
    <t>Cambios en los requerimientos pueden causar retrabajos, por lo tanto es importante contar con una metodología de gestión de cambios.  Un mayor número de este factor implica una mayor certidumbre en cuanto a estabilidad en los requerimientos.</t>
  </si>
  <si>
    <t>Observaciones</t>
  </si>
  <si>
    <t>SEMANA</t>
  </si>
  <si>
    <t>CONCEPTO</t>
  </si>
  <si>
    <t>IVA</t>
  </si>
  <si>
    <t>Diseñador gráfico</t>
  </si>
  <si>
    <t xml:space="preserve">Experto Programador de soluciones móviles </t>
  </si>
  <si>
    <t>Analista Junior de pruebas</t>
  </si>
  <si>
    <t>La aplicaciones no contemplan procesos matemáticos complejos sin embargo si se contempla manejo de múltiples excepciones y dispositivos de entrada/salida dada la variedad de dispositivos y versiones con las cuales se desea probar.   Dada esa situación se califica en 2 este factor</t>
  </si>
  <si>
    <t>La guia de desarrolladores enfatiza en la mantenibilidad del sistema como un requisito transversal.  Un requerimiento no funcional para esa solucuón es la mantenibilidad entendida como la posibilidad de que un equipo de desarrollo pueda mantener actualizado el sistema y hacerlo evolucionar con el negocio, así como la capacidad del sistema para realizar cambios rápidamente y a costos efectivos. 
La anterior consideración hace dar una calificación media.
Nota: El factor califica los elementos de diseño y codificación requeridos para facilitar la mantenibilidad futura de la solución</t>
  </si>
  <si>
    <t>El nivel de motivación de los empleados de la UTSW se establece en 5 para este proyecto. Lo que representa un equipo de trabajo altamente motivado</t>
  </si>
  <si>
    <t>Se manejara la expectativa con el usuario DANE para restringir el alcance a lo plasmado en la etapa de diséño</t>
  </si>
  <si>
    <t>DETALLE TRANSACCIONES</t>
  </si>
  <si>
    <t>Valor Recurso Humano</t>
  </si>
  <si>
    <t>Gastos Administrativos (15%)</t>
  </si>
  <si>
    <t>Riesgos e imprevistos (12%)</t>
  </si>
  <si>
    <t>Utilidad (13,6%)</t>
  </si>
  <si>
    <t>Otros costos asociados a la ejecución (3%)</t>
  </si>
  <si>
    <t>TOTAL OTROS COSTOS</t>
  </si>
  <si>
    <t>TOTAL</t>
  </si>
  <si>
    <t>DESCRIPCIÓN</t>
  </si>
  <si>
    <t>VALOR SIN IVA</t>
  </si>
  <si>
    <t>VALOR CON IVA</t>
  </si>
  <si>
    <t>Pago Inicial</t>
  </si>
  <si>
    <t>Al momento de la aprobación del plan de trabajo.</t>
  </si>
  <si>
    <t>2do Hito de Pago</t>
  </si>
  <si>
    <t>3er Hito de Pago</t>
  </si>
  <si>
    <t>Total</t>
  </si>
  <si>
    <t>En móviles la usabilidad es un Factor Clave de Exito.  Las aplicaciones deben implicar un bajo esfuerzo para su uso, debe facilitar el aprendizaje, la comprensión, la operatividad, brindando conformidad de uso al usuario de acuerdo con las prácticas de móviles. Este aspecto esta sustentado claramente en los lineamientos definidos para cada tienda iOS y Android.
Nota: Este factor se mide de acuerdo a la importancia que tiene para el usuario la facilidad de uso</t>
  </si>
  <si>
    <t>La calificación de la experiencia del equipo de desarrollo en POO de acuerdo a los perfiles asignados se califica en 5/5.  Para esta solución se valora el conocimiento en programación orientado a objetos debido a que estan involucrados lenguajes de programación para moviles como JAVA (Android) y Objective C (iOS).</t>
  </si>
  <si>
    <t>Se cuenta con una alta capacidad de analisis por parte de los ingenieros participantes del proyecto, requisito exigido por la complejidad exigida de las soluciones.</t>
  </si>
  <si>
    <t>APLICACION</t>
  </si>
  <si>
    <t>FUNCIONALIDAD</t>
  </si>
  <si>
    <t>COMPLEJIDAD</t>
  </si>
  <si>
    <t>Horas de esfuerzo por punto de casos de uso</t>
  </si>
  <si>
    <t xml:space="preserve">- Smartphone iOS
- Smartphone Android
</t>
  </si>
  <si>
    <t>Elefantes blancos movil</t>
  </si>
  <si>
    <t>baja</t>
  </si>
  <si>
    <t>alta</t>
  </si>
  <si>
    <t>media</t>
  </si>
  <si>
    <t>No existe una versión actual de las Apps. Por lo tanto no es posible valorar su experiencia o sería nula.  Se valora en este caso su participación en el diseño.</t>
  </si>
  <si>
    <t>Complejidad por actores (móvil)</t>
  </si>
  <si>
    <t>Complejidad por actores (web)</t>
  </si>
  <si>
    <t>Complejidad de casos de uso por transacciones (móvil)</t>
  </si>
  <si>
    <t>Complejidad de casos de uso por transacciones (web)</t>
  </si>
  <si>
    <t>Horas Hombres de la Implementación (móvil)</t>
  </si>
  <si>
    <t>Horas Hombres de la Implementación (web)</t>
  </si>
  <si>
    <t>Puntos de Caso de Uso no ajustados Movil (UUCW+UAW)</t>
  </si>
  <si>
    <t>Puntos de Caso de Uso no ajustados Web (UUCW+UAW)</t>
  </si>
  <si>
    <t>Puntos de casos de uso Ajustados Movil (UUCP*TCF*ECF)</t>
  </si>
  <si>
    <t>Puntos de casos de uso Ajustados Web (UUCP*TCF*ECF)</t>
  </si>
  <si>
    <t>Elefantes blancos backend</t>
  </si>
  <si>
    <t>Arquitecto de software</t>
  </si>
  <si>
    <t>Líder técnico</t>
  </si>
  <si>
    <t>Analista Sénior</t>
  </si>
  <si>
    <t>Administración de parámetros</t>
  </si>
  <si>
    <t>sprint 0</t>
  </si>
  <si>
    <t>revisión final de calidad</t>
  </si>
  <si>
    <t>Preproducción</t>
  </si>
  <si>
    <t>Paso producción</t>
  </si>
  <si>
    <t>Estabilización</t>
  </si>
  <si>
    <t>Total horas</t>
  </si>
  <si>
    <t>Experto en seguridad</t>
  </si>
  <si>
    <t>Líder de infraestructura</t>
  </si>
  <si>
    <t>Subtotal Elefantes Móvil</t>
  </si>
  <si>
    <t>Subtotal PEC Móvil</t>
  </si>
  <si>
    <t>Subtotal Elefantes Backend</t>
  </si>
  <si>
    <t>Elefantes Movil</t>
  </si>
  <si>
    <t>Pec Movil</t>
  </si>
  <si>
    <t>Elefantes Backend</t>
  </si>
  <si>
    <t>Versión para smartphone iOS</t>
  </si>
  <si>
    <t>1. Ver home
2. Consultar elefantes en Colombia
3. Consultar top 5
4. Consultar mis elefantes
5. Ver detalle elefantes
6. Reportar elefante
7. Asociar nueva imagen
8. Apoyar elefante blanco
9. Modificar elefante
10. Ver ayuda</t>
  </si>
  <si>
    <t>PEC Móvil</t>
  </si>
  <si>
    <t>Buscar entidades</t>
  </si>
  <si>
    <t>Ver información detalle de la entidad</t>
  </si>
  <si>
    <t>Buscar los trámites y/o servicios</t>
  </si>
  <si>
    <t>Ver información detalle del trámite y/o del servicio</t>
  </si>
  <si>
    <t>Ver menú de opciones</t>
  </si>
  <si>
    <t>Realizar búsqueda avanzada</t>
  </si>
  <si>
    <t>Ver mis entidades y servicios favoritos</t>
  </si>
  <si>
    <t>Mostrar puntos de interés</t>
  </si>
  <si>
    <t>Ver mi historial de búsqueda</t>
  </si>
  <si>
    <t>Compartir el aplicativo</t>
  </si>
  <si>
    <t>Página de inicio cómo &amp; dónde</t>
  </si>
  <si>
    <t>Marcar como favorita la entidad</t>
  </si>
  <si>
    <t>Llamada</t>
  </si>
  <si>
    <t>Foto</t>
  </si>
  <si>
    <t>1. Mostrar información detallada de la entidad:
o Foto de la entidad (Si se encuentra disponible)
o Nombre de la entidad
o Descripción de la entidad
o Horarios
o Ubicación: Dirección de la entidad
o Contacto: Teléfono de la entidad</t>
  </si>
  <si>
    <t>1. Desplegar la pantalla de home con las secciones definidas en el diseño (encabezado, botones de acceso, y pie de pagina)
2. Validar disponibilidad de acceso a internet y a los servicios web
3. Validar acceso al GPS</t>
  </si>
  <si>
    <t>Ver Tutorial de Cómo y Dónde y acerca de</t>
  </si>
  <si>
    <t>Se pretenten construir aplicaciones nativas con lenguajes de programación propios para cada sistema operativo y con interacción con el hardware del dispositivo.</t>
  </si>
  <si>
    <t>API Mapas, Librería georeferenciación</t>
  </si>
  <si>
    <t>Servicio asociar imagen a elefante blanco</t>
  </si>
  <si>
    <t>Servicio registrar voto</t>
  </si>
  <si>
    <t>Servicio consultar elefantes por region</t>
  </si>
  <si>
    <t>Servicio de consultar elefantes por departamento</t>
  </si>
  <si>
    <t>Servicio de consultar elefantes por municipio</t>
  </si>
  <si>
    <t>Servicio de consultar elefantes</t>
  </si>
  <si>
    <t>Servicio de consultar detalle de elefantes</t>
  </si>
  <si>
    <t>Servicio de consultar elefantes por token</t>
  </si>
  <si>
    <t>Servicio de consultar elefantes mas votados</t>
  </si>
  <si>
    <t>Servicio de consultar en mi zona</t>
  </si>
  <si>
    <t>Analista Junior</t>
  </si>
  <si>
    <t>Analista junior</t>
  </si>
  <si>
    <t>Experto Documentador junior</t>
  </si>
  <si>
    <t>Adquisiciones</t>
  </si>
  <si>
    <t>valor hora</t>
  </si>
  <si>
    <t>valor total</t>
  </si>
  <si>
    <t>Con Funciones de gerente de proyecto</t>
  </si>
  <si>
    <t>APP ELEFANTES</t>
  </si>
  <si>
    <t>APP PEC</t>
  </si>
  <si>
    <t>CONSOLIDADO</t>
  </si>
  <si>
    <t>Costos no asociados a entregables</t>
  </si>
  <si>
    <t>Entregables (distribuido)</t>
  </si>
  <si>
    <t>FASE SEGÚN PLIEGOS</t>
  </si>
  <si>
    <t>ENTREGABLE</t>
  </si>
  <si>
    <t>COSTO ENTREGABLE</t>
  </si>
  <si>
    <t>Recepción y validación de Requerimientos</t>
  </si>
  <si>
    <t>Formatos de asistencia.</t>
  </si>
  <si>
    <t>Soportes de evaluación a los asistentes en la metodología.</t>
  </si>
  <si>
    <t>Planeación</t>
  </si>
  <si>
    <t>Criterios de aceptación para cada uno de los entregables.</t>
  </si>
  <si>
    <t>Formato diligenciado de solicitud de infraestructura.</t>
  </si>
  <si>
    <t>Documento que contenga la parametrización.</t>
  </si>
  <si>
    <t>Paso a Producción</t>
  </si>
  <si>
    <t>Solución final instalada.</t>
  </si>
  <si>
    <t>Manual de instalación, configuración y solución de problemas ajustado, si aplica.</t>
  </si>
  <si>
    <t>Documento que contenga la parametrización aplicada.</t>
  </si>
  <si>
    <t>Carta de garantía y soporte.</t>
  </si>
  <si>
    <t>Documento de evaluación de comportamiento del sistema.</t>
  </si>
  <si>
    <t>Registro y solución de incidencias.</t>
  </si>
  <si>
    <t>Registro y gestión de solicitudes de soporte.</t>
  </si>
  <si>
    <t>Modelo de operación ajustado.</t>
  </si>
  <si>
    <t>Manuales de usuario (administrador, operador y usuario final) actualizados.</t>
  </si>
  <si>
    <t>Código fuente, instaladores, informes de pruebas actualizados.</t>
  </si>
  <si>
    <t xml:space="preserve">El diseño está enfocado para que sea facil de usar y se contempla el desarrollo de ayudas.  Los diseños gráficos y la experiencia del usuario en general, se basan en los lineamientos de interfaz humana de iOS , y los principios de diseño de Android . </t>
  </si>
  <si>
    <t>Las apps deben contar con personalización en seguridad  para que se oculten aquellos aspectos de conexión a los servicios web de manera que no queden en texto claro.
Los servicios web a construir deben implementar el esquema de seguridad definido en el diseño para garantizar los principios de confidencialidad e integridad de la información.
Nota: Este factor se califica teniendo en cuenta los riesgos y requerimientos de seguridad para el sistema.</t>
  </si>
  <si>
    <t>Se trabaja con librerías como jquery mobile, phonegap,  API de mapas.  Esta dependencia con librerías o plataformas de terceros agrega una complejidad extra al sistema.
Nota: El factor se califica teniendo en cuenta si el sistema requiere el uso de componentes, librerías, módulos, APIs de terceros.</t>
  </si>
  <si>
    <t>Es un equipo que viene conformado desde la etapa de diseño lo que favorece su eficiencia en la etapa de implementación.  Este supuesto aplica tambien para el equipo de trabajo por parte de GEL y Entidades</t>
  </si>
  <si>
    <t>La arquitectura del sistema es de 3 capas: aplicacion, logica de negocio y datos.  Adicionalmente se incluye una capa de servicios para exponer y consumir información de otras aplicaciones. 
Los servicios externos se consumen de servicios alojados en diferentes nodos.  A su vez los servicios web que se construyen, consultan información de base de datos que se encuentran distribuidas en componentes independientes.  Este grado de distribución se califica en escala media..
Nota: Este factor se mide de acuerdo con la arquitectura del sistema</t>
  </si>
  <si>
    <t>El diseño está influenciado para que sea facil de usar y se contempla el desarrollo de ayudas básicas .  Los diseños gráficos y la experiencia del usuario en general, se basan en los lineamientos de interfaz humana y principios de usabilidad básicos.  Al ser un sistema backend la eficiencia del usuario final es nivel medio.</t>
  </si>
  <si>
    <t xml:space="preserve">El diseño propone distribución por capas y dentro de ellas componentes que pueden ser reutilizados por la misma aplicación y con poco esfuerzo podrán ser adaptados para su uso en aplicaciones posteriores. </t>
  </si>
  <si>
    <t xml:space="preserve">Aunque la aplicación web en sí solo será utilizada por los usuarioa administradores, en este caso particular los servicios estarán expuestos a alta concurrencia por parte de las apps, dado que se prevee una alta difusión de las aplicaciones.
La calificación es media
</t>
  </si>
  <si>
    <t xml:space="preserve">Se parte del supuesto que no se utilizará ningún código de terceros para esta solución mas allá de los frameworks propios del lenguaje de programación.
</t>
  </si>
  <si>
    <t>1. Visualizar formulario con los campos básicos para el registro de un usuario
2. Validar campos a nivel de formato y obligatoriedad
3. Registrar al usuario e informar el resultado de la operación</t>
  </si>
  <si>
    <t>Servicio registrar/modificar elefante blanco</t>
  </si>
  <si>
    <t>Todas las funcionalidades pero en versión iOS (1 caso de uso de complejidad alta por cada 12 funcionalidades)</t>
  </si>
  <si>
    <t>Experto Especificador Junior</t>
  </si>
  <si>
    <t>Analista junior de pruebas</t>
  </si>
  <si>
    <t>Analista Junior de pruebas (movil)</t>
  </si>
  <si>
    <t>Analista Junior de pruebas (web/servicios)</t>
  </si>
  <si>
    <t>Experto Programador de soluciones móviles (iOS)</t>
  </si>
  <si>
    <t>Experto Programador de soluciones móviles (android)</t>
  </si>
  <si>
    <t>total hora</t>
  </si>
  <si>
    <t>Solucion móvil PEC</t>
  </si>
  <si>
    <t>Servicio de informacion de trámites y entidades</t>
  </si>
  <si>
    <t xml:space="preserve">Consume servicios web del portal de administración (VUD) </t>
  </si>
  <si>
    <t>Solucion móvil Elefantes blancos</t>
  </si>
  <si>
    <t>Portal web de administración Elefantes</t>
  </si>
  <si>
    <t xml:space="preserve">- Administrador Elefantes
</t>
  </si>
  <si>
    <t>La arquitectura del sistema es de 3 capas: app, logica de negocio y datos, siendo así se propone instalación de las apps en tiendas de aplicaciones (2 tiendas diferentes), las cuales consumen servicios alojados en diferentes nodos.  A su vez los servicios web que se consumen consultan información de base de datos que se encuentran distribuidas en componentes independientes.  Este grado de distribución se califica en escala media.
Nota: Este factor se mide de acuerdo con la arquitectura  del sistema</t>
  </si>
  <si>
    <t xml:space="preserve"> La velocidad de respuesta para los usuarios es  importante y existen requerimientos no funcionales al respecto.</t>
  </si>
  <si>
    <t xml:space="preserve">Existen requisitos asociados al tiempo de respuesta y desempeño de la aplicación.  En especial: 
Capacidad de respuesta del sistema en la interfaz a las acciones del usuario. 
El desempeño en este tipo de soluciones viene determinado por dos aspectos fundamentales:
1. Tiempo de respuesta de los servicios Web y su interpretación por parte de la aplicación  móvil.
2. Uso de memoria en el  instante de tiempo particular en el que la solución está siendo ejecutada (aplicaciones y servicios abiertos por el usuario en sus dispositivo)
Nota: Este factor se mide de acuerdo con el nivel de exigencia de tiempos de respuesta en la interacción del usuario con la aplicación, y de la aplicación con los servicios web. 
</t>
  </si>
  <si>
    <t>Los servicios web que se contruyen para proveer información a las aplicaciones móviles pueden ser utilizados por las entidades para otros fines.  Código con funcionalidades específicas genéricas como manejo del GPS y Cámara se podrán reutilizar en futuras aplicaciones móviles nativas.</t>
  </si>
  <si>
    <t xml:space="preserve">La aplicación debe empaquetarse para ser instalada en las tiendas de google y de apple.  Los servicios deberán ser instalados en centros de datos propios de la entidad o de GEL.  Se debe entregar adicionalmente  manual de instalación.
Nota: Este factor califica la facilidad de instalación requerida de la solución por personal externo a la UTSW </t>
  </si>
  <si>
    <t>La guia de desarrolladores enfatiza en la mantenibilidad del sistema como un requisito transversal.  Un requerimiento no funcional para esa solución es la mantenibilidad entendida como la posibilidad de que un equipo de desarrollo pueda mantener actualizado el sistema y hacerlo evolucionar con el negocio, así como la capacidad del sistema para realizar cambios rápidamente y a costos efectivos. 
La anterior consideración hace dar una calificación media.
Nota: El factor califica los elementos de diseño y codificación requeridos para facilitar la mantenibilidad futura de la solución</t>
  </si>
  <si>
    <t>En este caso particular los servicios estarán expuestos a alta concurrencia por parte de las apps, dado que se prevee una alta difusión de las aplicaciones.
Aunque se contruirán los servicios de Elefantes, El servicio para PEC estará a cargo de la Entidad.  Esta consideración hace que  se tenga una valoración media del factor.
Nota: Este factor se califica de acuerdo a la necesidad de atender múltiples usuarios  o procesos en un mismo instante de tiempo en el sistema</t>
  </si>
  <si>
    <t>Se hará entrega formal de las apps a las entidades por lo que  se requiere entrenamiento a dichos usuarios.  Dada una audiencia técnica la capacitación suele ser más compleja pues aparte de la capacitación funcional se deberá produndizar en la parte técnica.  En la medida que son usuarios nuevos la necesidad de entrenamiento es alta.  
Existe un plan de capacitación asociado al proyecto.
Nota: Este factor evalúa si se va a dar o no capacitación a los usuarios, y en caso afirmativo, la profundidad de la misma</t>
  </si>
  <si>
    <t xml:space="preserve">Existen requisitos asociados al tiempo de respuesta y desempeño de la aplicación.  Es especial: 
Capacidad de respuesta del sistema en la interfaz a las acciones del usuario. 
Capacidad de respuesta de los servicios web a las aplicaciones móviles.
Al ser una aplicación de backend se esperan tiempos de respuesta promedios por lo tanto la calificación del factor es media.
Nota: Este factor se mide de acuerdo con el nivel de exigencia de tiempos de respuesta en la interacción del usuario con la aplicación. 
</t>
  </si>
  <si>
    <t>La aplicación y servicios deben contar con personalización en seguridad  para que se oculten aquellos aspectos de conexión de manera que no queden en texto claro.
Los servicios web y la página de administración a construir deben implementar el esquema de seguridad definido en el diseño para garantizar los principios de confidencialidad e integridad de la información.
La aplicación web del backend requiere mecanismos de autenticación y cifrado de contraseñas.  No se contemplan certificados digitales.
Nota: Este factor se califica teniendo en cuenta los riesgos y requerimientos de seguridad para el sistema.</t>
  </si>
  <si>
    <t>Se hará entrega formal de las aplicacion a la entidad por lo que  se requiere entrenamiento a dichos usuarios.  Dada una audiencia técnica la capacitación suele ser más compleja pues aparte de la capacitación funcional se deberá produndizar en la parte técnica.  En la medida que son usuarios nuevos la necesidad de entrenamiento es alta y se debe seguir el plan de capacitación definido. 
Nota: Este factor evalúa si se va a dar o no capacitación a los usuarios, y en caso afirmativo, la profundidad de la misma</t>
  </si>
  <si>
    <t xml:space="preserve">El equipo cuenta con gente familiarizada con el proyecto ya que participó en el diseño de la versión móvil de elefantes.
</t>
  </si>
  <si>
    <t xml:space="preserve">La calificación de la experiencia del equipo de desarrollo en POO de acuerdo a los perfiles asignados se califica en 5/5.  Para esta solución se valora el conocimiento en programación orientado a objetos debido a que estan involucrados lenguajes de programación como JAVA </t>
  </si>
  <si>
    <t>Se cuenta con una alta capacidad de analisis por parte de los ingenieros sénior participantes del proyecto,  requisito exigido por la complejidad exigida de las soluciones.</t>
  </si>
  <si>
    <t>El cronograma establece algunos recursos de tiempo parcial pues se comparten con el desarrollo de las aplicaciones móviles.  Esto genera una calificación de 2</t>
  </si>
  <si>
    <t>Es un equipo que viene conformado desde la etapa de diseño de las aplicaciones móviles lo que favorece su eficiencia en la etapa de implementación</t>
  </si>
  <si>
    <t>Sprint 0 y revisión de diseño</t>
  </si>
  <si>
    <t>Elefante Móvil</t>
  </si>
  <si>
    <t>VALOR PEC MOVIL</t>
  </si>
  <si>
    <t>VALOR ELEFANTES MOVIL</t>
  </si>
  <si>
    <t>VALOR TOTAL</t>
  </si>
  <si>
    <t>pec</t>
  </si>
  <si>
    <t>elefantes</t>
  </si>
  <si>
    <t>Servicio de tienda DANE Google</t>
  </si>
  <si>
    <t>Servicio de tienda DANE Apple</t>
  </si>
  <si>
    <t>Servicio de tienda Sec.Transparencia Google</t>
  </si>
  <si>
    <t>Servicio de tienda Sec.Transparencia Apple</t>
  </si>
  <si>
    <t>Tasa de cambio</t>
  </si>
  <si>
    <t>Dolares</t>
  </si>
  <si>
    <t>N/A</t>
  </si>
  <si>
    <t>Viaticos Campus Party</t>
  </si>
  <si>
    <t xml:space="preserve">Valor </t>
  </si>
  <si>
    <t>Al momento de completar a satisfacción la entrega de la solución</t>
  </si>
  <si>
    <t>HITO DE PAGO PEC MOVIL</t>
  </si>
  <si>
    <t>HITO DE PAGO ELEFANTE MOVIL</t>
  </si>
  <si>
    <t>TOTAL CON IVA</t>
  </si>
  <si>
    <t xml:space="preserve">Al momento de completar a satisfacción la puesta en producción y estabilización de la solución </t>
  </si>
  <si>
    <t>Al momento de completar a satisfacción la puesta en producción y estabilización de la solución.</t>
  </si>
  <si>
    <t>Gastos Administrativos Adquisiciones (15%)</t>
  </si>
  <si>
    <t>Diseño</t>
  </si>
  <si>
    <t>Informes de seguimiento</t>
  </si>
  <si>
    <t>Plan de proyecto actualizado y aprobado.</t>
  </si>
  <si>
    <t xml:space="preserve"> El equipo cuenta con recursos familiarizados con el proyecto, ya que participaron en el diseño tanto de PEC como de Elefantes y realizarán los ajustes al diseño que correspondan.
</t>
  </si>
  <si>
    <t>Casos de uso complejos - 8 o más de 8 transacciones.</t>
  </si>
  <si>
    <t>Cálculo UUCW</t>
  </si>
  <si>
    <t>La aplicaciones no contemplan procesos matemáticos complejos sin embargo si se contempla manejo de múltiples excepciones, mecanismos de control y procesos con multiples validaciones.   Dada esa situación se califica en 2 este factor</t>
  </si>
  <si>
    <t>La solucion web de este proyecto requieren soporte para múltiples navegadores modernos y de mayor uso. En particular se tienen los siguientes en sus versiones más recientes:
• Chrome
• Internet explorer
• Mozilla Firefox
Lo anterior hace que la valoración del factor sea de 3.
Nota: Este factor se mide de acuerdo a la necesidad de soporte de múltiples plataformas y medios de acceso</t>
  </si>
  <si>
    <t>1. Opción editar datos del elefante (los permitidos) 
2. Opción aprobar elefante
3. Opción rechazar elefante
4. Opción aprobar "mas información"
5. Opción rechazar "más información"
6. Actualizar e informar el resultado de la operación</t>
  </si>
  <si>
    <t>1. Visualizar campos para diligenciamiento del usuario y contraseña
2. Validar el usuario y contraseña.  En caso que corresponda crear un objeto que mantenga en sesión la información del usuario, en caso contrario retornar un mesaje de error.</t>
  </si>
  <si>
    <t>1. Visualizar campos para cambio de clave
2. Verificar que los campos correspondan y que la nueva clave sea válida.  
3. Informar el resultado de la operación</t>
  </si>
  <si>
    <t>1. Visualizar parámetros generales del sistema del tipo llave-valor en modo edición
2. Opción de actualización e informar el resultado de la operación realizada</t>
  </si>
  <si>
    <t>1. Visualizar formulario con los campos básicos para el que permiten informar y/o crear el elefante blanco.
2. En caso que provenga de una petición de modificación, el formulario debe cargar los datos asociados al elefante.
3. Aplicar validaciones sobre el formulario de formato y obligatoriedad
4. Una vez se oprima el botón aceptar, registrar los datos e informar el resultado de la operación realizada.</t>
  </si>
  <si>
    <t>1. Permitir asociar una imagen a un elefante existente</t>
  </si>
  <si>
    <t>1. Permitir registrar voto de apoyo al elefante blanco existente</t>
  </si>
  <si>
    <t>1. Permitir obtener el listado de elefantes blancos por región.</t>
  </si>
  <si>
    <t>1. Permitir obtener el listado de elefantes blancos por departamento.</t>
  </si>
  <si>
    <t>1. Permitir obtener el listado de elefantes blancos por municipio.</t>
  </si>
  <si>
    <t>1. Permitir obtener el listado de elefantes blancos a partir del código de departamento y municipio.</t>
  </si>
  <si>
    <t>1. Permitir obtener el detalle del elefante blanco.</t>
  </si>
  <si>
    <t>1. Permitir obtener el listado de elefantes blancos a partir del identificador del teléfono</t>
  </si>
  <si>
    <t>1. Permitir obtener el listado de elefantes blancos a partir de la posición actual del ciudadano.</t>
  </si>
  <si>
    <t xml:space="preserve">1. Presentar del mapa de Colombia dividido por sus regiones
2. Consultar y ubicar en el mapa de colombia el número total de elefantes blancos reportados y aprobados
3. Opción para ingresar información de ubicación más detallada: departamento y municipio
4. Opción de autocompletar para las posibles opciones de municipios de acuerdo a lo que vaya digitando y el departamento ingresado
5. Despegar del mapa del municipio seleccionado
6. Ubicar en el mapa del municipio los elefantes blancos aprobados
7.  Verificar que en caso de que una región no posea elefantes reportados y aprobados, en el mapa de Colombia la misma aparecerá deshabilitada para consulta.
8. Buscar y visualizar aquellos elefantes que se encuentran cercanos a mi ubicación actual
9. Desde el mapa del municipio ver infomación resumida y opción para consultar el detalle del elefante
10. Desplegar la información detallada del elefante 
</t>
  </si>
  <si>
    <t xml:space="preserve">1. Desplegar el listado de los cinco elefantes blancos aprobados más “votados” en el sistema
2. Presentar enlace para consultar el detalle del elefante blanco
</t>
  </si>
  <si>
    <t>1. Presentar listado de "mis elefantes" reportados ordenados del más reciente al más antiguo
2. Implementar mecanismo para cuando el listado sea muy extenso (ej: paginación, ver más, top, ..)
3. Presentar enlace al detalle del elefante blanco</t>
  </si>
  <si>
    <t xml:space="preserve">
1. Visualizar datos básicos del elefante  (título, fecha reporte, estado)
2. Mostrar carrete de imágenes
3. Visualizar información de votos y opción "me uno".
4. Visualizar información adicional (número de imagenes asociadas, datos de ubicación, motivo, entidad responsable)
5. Opción "mas información" (costo, contratista, tiempo)
6. Opción de denuncia del elefante blanco</t>
  </si>
  <si>
    <t>1. Opción de realizar un “voto” apoyando el reporte del elefante, dando a conocer así, que está de acuerdo con dicho reporte desde diferentes lugares del sistema.
2. Aumentar el contador de votos verificando que no se pueda contabilizar su voto más de una vez.</t>
  </si>
  <si>
    <t xml:space="preserve">1. Habilitar el modo edición cuando el elefante se encuentre en estado "pendiente" (precargar los datos en modo editable)
2. Botón de actualizar y retorno de confirmación </t>
  </si>
  <si>
    <t>1. Cargar parámetros de información
2. Desplegar ayuda ¿Cómo Usar?
3. Desplegar Aviso Legal
4. Desplegar información sobre esta aplicación</t>
  </si>
  <si>
    <t>1. Presentar splash de bienvenida 
2. Validar disponibilidad de acceso a internet y a los servicios web
3. Validar acceso al GPS
4. Desplegar mapa
5. Calcular ubicación actual
6. Visualizar entidades cercanas a mi posición
7. Cargar y visualizar íconos distintivos para entidades consultadas y favoritas
8. Mostrar puntos de interés
9. Opción ubicarme (centrar el mapa)
10. Zoom in, zoom out sobre el mapa</t>
  </si>
  <si>
    <t>1. Despliegue del menú con las opciones establecidas en el diseño</t>
  </si>
  <si>
    <t>1. Opción buscar entidades a través de su nombre
2. Opción autocompletar
3. Ubicar en el mapa la entidad seleccionada
4. Diferenciarción por colores para diferenciar aquellas que tienen trámites en línea, aquellas que no, y las instituciones marcadas como favoritas
5. Desplegar submenú de opciones (favorito, información, llamada, foto)</t>
  </si>
  <si>
    <t>1. Marcar como favorita la entidad 
2. Actualizar ícono</t>
  </si>
  <si>
    <t>1. Establecer comunicación telefonica con la entidad si ésta tiene reportado un teléfono</t>
  </si>
  <si>
    <t>1. Abrir ventana para seleccionar buscar una imagen o tomar una foto
2. Si elige la opción de adjuntar una imagen o foto guardada, se abrirá la galería de imágenes del dispositivo y luego, elige una imagen o foto almacenada que el sistema asociará al perfil de la entidad.
3. Al seleccionar la opción de tomar una foto, se habilitará la cámara del dispositivo permitiendo adjuntar al perfil de la entidad, la foto que se tome
4.Si la entidad ya tiene relacionada una imagen o foto y se intenta asociar alguna imagen, el sistema deberá preguntar si se desea reemplazar la imagen existente con la nueva.
5. Validar foto de máximo una mega (1 MB) de tamaño. 
6. Opción de eliminar la imagen o foto relacionada con la entidad y verificar que el sistema, en el detalle de la entidad, visualice la imagen predeterminada</t>
  </si>
  <si>
    <t>1. Opción buscar trámites a través de su nombre
2. Opción autocompletar
3. Al dar clic sobre el trámite llevarlo al detalle del trámite o servicio</t>
  </si>
  <si>
    <t>1. Información "en qué consiste"
2. Información "Recuerde que"
3. Información "Pagos"
4. Información "Pasos"
5. Información "Requisitos"
6. Información "Documentos"
7. Información "Entidades"
8. Opción marcar como favorito</t>
  </si>
  <si>
    <t>1. Presentar opción para recomendar el contenido de un trámite a un amigo 
2. Abrir ventana para incluir la dirección del correo electrónico del amigo
3. Enviar el link y un texto predeterminado via correo electrónico</t>
  </si>
  <si>
    <t>1. Mostrar filtro tipo de búsqueda
2. Localización
3. Horarios (jornada)
4. Resultados de búsqueda tipo Pull and Refresh</t>
  </si>
  <si>
    <t>1. Opción agregar a favoritos (consultas)
2. Opción eliminar de favoritos (consultas)
3. Marcar una entidad como favorita desde el mapa
4. Listado de favoritos
5. Control número máximo de favoritos</t>
  </si>
  <si>
    <t>1. Opción puntos de interés del menú.  Al dar clic se mostrarán todos los puntos de interés en el mapa
2. Filtros de categorización puntos de interés</t>
  </si>
  <si>
    <t>1. Registrar consulta en el historial 
2. Ver la lista de las consultas más recientes
3. Opción de eliminar uno o varios de la lista
4. Control número máximo de items en historial</t>
  </si>
  <si>
    <t>1. Opción compartir nativa del S.O y que despliegue las diferentes redes sociales sobre las cuales puede compartir el enlace de descarga de la app</t>
  </si>
  <si>
    <t>1. Cargue de información (parámetros)
2. Visualizar tutorial (pantalla 1)
3. Visualizar tutorial (pantalla 2)
4. Visualizar información "acerca de"</t>
  </si>
  <si>
    <t>Cerrar sesión</t>
  </si>
  <si>
    <t>Administración de motivos de rechazo</t>
  </si>
  <si>
    <t>1. Consultar motivos de rechazo
2. Actualizar motivos de rechazo
3. Crear motivos de rechazo</t>
  </si>
  <si>
    <t>ETAPA DE DESARROLLO</t>
  </si>
  <si>
    <t>Primera Etapa</t>
  </si>
  <si>
    <t>Segunda Etapa</t>
  </si>
  <si>
    <t>1. Registrar evento de auditoría</t>
  </si>
  <si>
    <t>1. Desplegar filtros para el reporte de auditoría
2. Visualizar resultados según los filtros
3. Opcion de paginación
4. Opción de ordenamiento
5. Opción de exportar a excel</t>
  </si>
  <si>
    <t>1. Al seleccionar la opción de cerrar sesión o salida segura se liberarán los recursos asignados a la sesión de usuario y redireccionará a la página de autenticación</t>
  </si>
  <si>
    <t>OBSERVACIONES</t>
  </si>
  <si>
    <t>1. Consultar fotos pendientes
2. Opción aprobar foto. Opción rechazar foto
3. Opción aprobar y colocar como principal
4. Actualizar e informar el resultado de la operación</t>
  </si>
  <si>
    <t>Opción de denuncia del elefante blanco. al solicitar generar la denuncia, el sistema me presentará un mensaje en el cual se  informará que la denuncia  se realizará sobre la VUD</t>
  </si>
  <si>
    <t>Sprint 1</t>
  </si>
  <si>
    <t>Sprint 2</t>
  </si>
  <si>
    <t>El cronograma establece recursos de tiempo parcial, pues están compartidos en 3 proyectos dentro de una misma solución.  Esto genera una calificación de 2</t>
  </si>
  <si>
    <t>Sprint 0</t>
  </si>
  <si>
    <t>Revisión final de calidad</t>
  </si>
  <si>
    <t>El nivel de estabilidad de los requerimientos no permite una calificación más del nivel medio-alto (4) dado que la aplicación PEC ha sufrido innumerables cambios a través del tiempo y aun debe surtir una revisión de diseño.</t>
  </si>
  <si>
    <t>Etapa 2</t>
  </si>
  <si>
    <t>Etapa 1 (entrega en ambiente piloto) no ha medición de ans</t>
  </si>
  <si>
    <t>Sprint 3</t>
  </si>
  <si>
    <t>Paso a producción</t>
  </si>
  <si>
    <t>Paso a producción (ambiente piloto)</t>
  </si>
  <si>
    <t>Valor Costo total Solución Móvil Elefantes Blancos (Antes de Otros Costos)</t>
  </si>
  <si>
    <t>ENTREGABLES ELEFANTES BLANCOS MOVIL</t>
  </si>
  <si>
    <t>DOCUMENTOS COMUNES (APLICAN PARA LAS 3 SOLUCIONES</t>
  </si>
  <si>
    <t>Recepción y validación de requerimientos</t>
  </si>
  <si>
    <t>Consultar Elefantes Blancos
- Aprobados
- Rachazados
- Pendientes</t>
  </si>
  <si>
    <t>Ver Home sitio administrativo</t>
  </si>
  <si>
    <t>Ver detalle Elefante Blanco</t>
  </si>
  <si>
    <t>Registrar Usuarios</t>
  </si>
  <si>
    <t xml:space="preserve">Informes semanales (18) </t>
  </si>
  <si>
    <t>Informes mensuales (5)</t>
  </si>
  <si>
    <t>Entregables comunes (1/3 del total)</t>
  </si>
  <si>
    <t>Acta de inicio de la solución (Aplica para elefantes blancos móvil y back end)</t>
  </si>
  <si>
    <t>Plan para desarrollar una arquitectura robusta para la solución TIC.</t>
  </si>
  <si>
    <t>Documento de diseño detallado</t>
  </si>
  <si>
    <t>Guía metodológica para los desarrolladores.</t>
  </si>
  <si>
    <t>Documento de plan de pruebas.</t>
  </si>
  <si>
    <t>Plan de capacitación.</t>
  </si>
  <si>
    <t xml:space="preserve">Plan de construcción detallado. </t>
  </si>
  <si>
    <t>Implementación</t>
  </si>
  <si>
    <t>Registro de incidencias.</t>
  </si>
  <si>
    <t>Informe de gestión de las incidencias.</t>
  </si>
  <si>
    <t>Informe de Pruebas.</t>
  </si>
  <si>
    <t>Informe de pruebas de la solución.</t>
  </si>
  <si>
    <t>Informe de pruebas de estrés y carga.</t>
  </si>
  <si>
    <t>Informe de pruebas de vulnerabilidad.</t>
  </si>
  <si>
    <t>Informe de Ethical Hacking.</t>
  </si>
  <si>
    <t>Código fuente de la solución TIC.</t>
  </si>
  <si>
    <t>Medio magnético con código fuente y manuales.</t>
  </si>
  <si>
    <t>Instaladores.</t>
  </si>
  <si>
    <t>Solución final instalada en Preproducción.</t>
  </si>
  <si>
    <t>Certificación de entrega del código fuente.</t>
  </si>
  <si>
    <t>Modelo de Operación.</t>
  </si>
  <si>
    <t>Manual de instalación, configuración y solución de problemas.</t>
  </si>
  <si>
    <t>Informe de capacitación.</t>
  </si>
  <si>
    <t>Informe de instalación en ambiente de preproducción.</t>
  </si>
  <si>
    <t>Acta de instalación.</t>
  </si>
  <si>
    <t>Acta de recibo a satisfacción por parte de la Interventoría de todos los productos.</t>
  </si>
  <si>
    <t>Entrega de licencias de desarrollo.</t>
  </si>
  <si>
    <t>Acta de entrega de la solución TIC.</t>
  </si>
  <si>
    <t>Plan de seguridad ajustado si aplica.</t>
  </si>
  <si>
    <t>Plan de capacidad ajustado, si aplica.</t>
  </si>
  <si>
    <t>Informe del Ethical Hacking realizado a la solución en el ambiente productivo, si aplica.</t>
  </si>
  <si>
    <t>Informe de instalación en ambiente de producción.</t>
  </si>
  <si>
    <t>Acta de recibo a satisfacción.</t>
  </si>
  <si>
    <t>Licencias del software, si aplica.</t>
  </si>
  <si>
    <t>Informe de acompañamiento a la operación.</t>
  </si>
  <si>
    <t>Acta de inicio de la solución</t>
  </si>
  <si>
    <t>Valor Costo total Solución Móvil PEC (Antes de Otros Costos)</t>
  </si>
  <si>
    <t>Manejo de Alertas de Elefantes Blancos</t>
  </si>
  <si>
    <t xml:space="preserve">1. Presentar grupos de alertas por reportados y pendientes de validación a nivel total
2. Presentar listado detallado de reportados o pendientes de validación con opción de ingresar a gestionar </t>
  </si>
  <si>
    <t>Generar registro de Auditoria</t>
  </si>
  <si>
    <t>Consulta de Auditoria</t>
  </si>
  <si>
    <t>Recuperar Contraseña</t>
  </si>
  <si>
    <t>1. Presentar campos para recuperar contraseña
2. Verificar que los campos correspondan 
3. Enviar correo electrónico con la nueva clave</t>
  </si>
  <si>
    <t>Modificar Elefante Blanco administrador
(Aprobar / Rechazar)</t>
  </si>
  <si>
    <t>Autenticar Usuarios</t>
  </si>
  <si>
    <t>Cambio de clave</t>
  </si>
  <si>
    <t>Ver Home de la aplicación móvil de Elefantes Blancos</t>
  </si>
  <si>
    <t>Consultar Elefantes Blancos en Colombia</t>
  </si>
  <si>
    <t>Cconsultar top 5 de Elefantes Blancos en Colombia</t>
  </si>
  <si>
    <t>Consultar mis Elefantes Blancos</t>
  </si>
  <si>
    <t>Ver detalle de Elefantes Blancos (Ciudadano)</t>
  </si>
  <si>
    <t>Reportar Elefante Blanco</t>
  </si>
  <si>
    <t>Asociar nueva imagen a un Elefante Blanco aprobado</t>
  </si>
  <si>
    <t>Apoyar Elefante Blanco (Dar "Me uno")</t>
  </si>
  <si>
    <t>Modificar Elefante Blancos ciudadano</t>
  </si>
  <si>
    <t>Ver ayuda</t>
  </si>
  <si>
    <t>Estabilización y aceptación</t>
  </si>
  <si>
    <t>Estabilizacióny aceptación</t>
  </si>
  <si>
    <t>Documento de diseño detallado.</t>
  </si>
  <si>
    <t>Arquitectura general y detallada de la solución.</t>
  </si>
  <si>
    <t>Vista de casos de uso y/o vista por escenarios.</t>
  </si>
  <si>
    <t>Requerimientos no funcionales  de la solución.</t>
  </si>
  <si>
    <t>Prototipo de la solución.</t>
  </si>
  <si>
    <t>Plan de administración de la capacidad.</t>
  </si>
  <si>
    <t>Plan de seguridad de la solución.</t>
  </si>
  <si>
    <t>Plan de pruebas de estrés y carga.</t>
  </si>
  <si>
    <t>Manuales de uso y operación.</t>
  </si>
  <si>
    <t>ENTREGABLES  PEC</t>
  </si>
  <si>
    <t xml:space="preserve">Formatos de asistencia
Soportes de evaluación a los asistentes en la metodología.
</t>
  </si>
  <si>
    <t>Consultar/Actualizar usuarios</t>
  </si>
  <si>
    <t>El resumen de los elefantes reportados presenta: 
- Total de elefantes blancos reportados
- Total de fotos de elefantes reportados
- Total de elefantes blancos pendientes de validación
- Total de fotos pendientes de validación</t>
  </si>
  <si>
    <t>Consultar/Modificar fotos pendientes</t>
  </si>
  <si>
    <t>Ver Home sitio administrativo / Consulta en mapa de Colombia</t>
  </si>
  <si>
    <t>1. Calcular y presentar el resumen de elefantes blancos por estado
2. Poblar filtros por geografía (región, departamento y municipio)
3. Poblar y desplegar filtro por estados
4. Visualizar total de elefantes agrupados segun  los criterios de búsqueda
5. Visualizar resultados en tabla
6. Presentar opción de ver detalle para cada resultado de la consulta
7. Presentar opción de ordenar por alguna de las columnas presentadas en la tabla
8. Presentar opción de paginación en consulta tabla.</t>
  </si>
  <si>
    <t>El resumen de los elefantes reportados presenta: 
- Total de elefantes blancos reportados
- Total de fotos de elefantes reportados
- Total de elefantes blancos pendientes de validación
- Total de fotos pendientes de validación
Las columnas presentadas en la tabla y sobre las cuales se puede realizar el ordenamiento son:
- Código
- Departamento 
- Municipio
- Título
- Estado
- Fecha creación</t>
  </si>
  <si>
    <t xml:space="preserve">1. Ver datos básicos del elefante
2. Ver fotografias del elefante
3. Presentar opción para </t>
  </si>
  <si>
    <t xml:space="preserve">1. Visualizar encabezado que incluya el nombre del usuario logueado
2. Calcular y presentar el resumen de elefantes blancos por estado
3. Visualizar pie de página con los íconos y enlaces definidos 
4. Visualizar menú y desplegar opciones según la selección del usuario </t>
  </si>
  <si>
    <t>1. Calcular y presentar el resumen de elefantes blancos por estado
2. Presentar el panel de búsqueda en el mapa de Colombia
3. Visualizar filtros de búsqueda
    - Por región
    - Por departamento
    - Por municipio
    - Por estado
4. Presentar el mapa de Colombia divido por regiones y ubicar en el mapa el número total de elefantes blancos reportados y aprobados
5. Despegar del mapa del municipio seleccionado
6. Ubicar en el mapa del municipio los elefantes blancos aprobados
7.  Verificar que en caso de que una región no posea elefantes reportados y aprobados, en el mapa de Colombia la misma aparecerá deshabilitada para consulta.
8. Desde el mapa del municipio ver infomación resumida y opción para consultar el detalle del elefante
9. Desplegar la información detallada del elefante</t>
  </si>
  <si>
    <t>Ver detalle de Elefantes Blancos en mapa</t>
  </si>
  <si>
    <t>Los datos presentados en el panel de búsqueda son:
- Región
- Departamento
- Municipio
- Pendientes: elefantes pendientes de aprobación
- Aprobados: elefantes aprobados en el municipio seleccionado</t>
  </si>
  <si>
    <t>1. Calcular y presentar el resumen de elefantes blancos por estado
2. Presentar el panel de búsqueda en el mapa del municipio seleccionado en los filtros de búsqueda
3. Visualizar filtros de búsqueda
    - Por región
    - Por departamento
    - Por municipio
    - Por estado
4. Visualizar panel con los datos resultado de la búsqueda
5. Presentar el mapa del municipio y ubicar en el mapa el total de elefantes blancos reportados y aprobados
6. Desde el mapa del municipio ver infomación resumida y opción para consultar el detalle del elefante
7. Desplegar la información detallada del elefante</t>
  </si>
  <si>
    <t>Portal web de administración Elefantes (Backend)</t>
  </si>
  <si>
    <t>Etiquetas de fila</t>
  </si>
  <si>
    <t>Total general</t>
  </si>
  <si>
    <t>Etiquetas de columna</t>
  </si>
  <si>
    <t>Cuenta de DETALLE TRANSACCIONES</t>
  </si>
  <si>
    <t>Los requerimientos cuentan con un grado alto de incertidumbre puesto que no se tiene un diseño detallado de esta solución.  Cualquier cambio a los requerimientos se hará a través del procedimiento establecido de control de cambios</t>
  </si>
  <si>
    <t xml:space="preserve">El proceso de instalación de este tipo de solución es complejo debido a que la aplicación debe ser instalada inicialmente en un ambiente de la UT que servirá para el proceso inicial de  producción y posteriormente se debe instalar en el centro de datos de Synapsis. Dado el nivel de documentación generado por la fábrica, se califica el factor en un nivel medio.
Nota: Este factor califica la facilidad de instalación de la solución por parte de un usuario. </t>
  </si>
  <si>
    <t>La facilidad de uso es un lineamiento de GEL que debe cumplirse en el desarrollo de este tipo de aplicaciones . Existirá un  requerimiento no funcional en el Documento de vista de caso de uso asociado a este factor: Usabilidad sencilla (La aplicación debe implicar un bajo esfuerzo para su uso, debe facilitar el aprendizaje, la comprensión, la operatividad, brindando conformidad de uso al usuario). Dada la importancia de la facilidad de uso para los usuarios administradores el factor tiene una calificación medio alta.
Nota: Este factor se mide de acuerdo a la importancia que tiene para el usuario la facilidad de uso</t>
  </si>
  <si>
    <t>No existe una versión actual de esta aplicación. Por lo tanto no es posible valorar su experiencia o sería nula.  Se valora en este caso su participación en el diseño y la experiencia de la fábrica en construcción de aplicaciones web.</t>
  </si>
  <si>
    <t>Se pretenten construir aplicaciones web y servicios con lenguajes de programación complejos pero conocidos en el mercado como Java. Por lo que el calificador es medio bajo.</t>
  </si>
  <si>
    <t>CORREO ENVIADO POR BEATRIZ TOFIÑO EL DÍA 2013-10-02 EN EL QUE SE INDICABA EL COSTO PARA CUBRIR EL EVENTO EN MEDELLÍN</t>
  </si>
  <si>
    <t xml:space="preserve">
1. Verificar estado del GPS y capturar ubicación 
2. Presentar el mapa de la zona de mi ubicación actual y en él, los Elefantes Blancos reportados y cuyo estado sea aprobado, esto con el fin de visualizar si el Elefante Blanco que desea reportar ya ha sido registrado.
3. Habilitar cámara fotográfica y capturar la imagen
4. Registrar los datos básicos del elefante
5. Opción para cargar imagen
6. Datos geográficos enlazados a divipola
7. Opción de denuncia del elefante blanco
8. Permitir editar la información del elefante blanco reportado</t>
  </si>
  <si>
    <t>1. Verificar que la opción de asociar imágenes al elefante solo se presente si el elefante tiene menos de diez imágenes ya asociadas
2. Verificar estado de GPS y capturar ubicación
3. Invocar la función del sistema operativo que permite validar si el dispositivo tiene cámara y en caso afirmativo activarla desde la aplicación
4. Preguntar si desea asociar la imagen al elefante blanco o desea tomar una nueva foto
5. Asociar la imagen
6. Presentar mensaje de confirmación o error, según corresponda</t>
  </si>
  <si>
    <t>1. Desplegar filtros de consulta
2. Visualizar los usuarios en una tabla de acuerdo a los criterios de búsqueda aplicados
3. Mostrar paginado el resultado de la consulta
4. A partir de la opción "editar" visualizar la pantalla con los campos de un usuario en modo edición
5. Actualización de información e informar el resultado de la operación</t>
  </si>
  <si>
    <t>Recomendar a un amigo</t>
  </si>
  <si>
    <t>Cargue inicial de información</t>
  </si>
  <si>
    <t>1. Cargar información DIVIPOLA
2. Carga información histórica de elefantes reportados anteriormente</t>
  </si>
  <si>
    <t>ACTIVIDADES SPRINT 0 POR SOLUCIÓN Y ROL</t>
  </si>
  <si>
    <t xml:space="preserve">Actividades </t>
  </si>
  <si>
    <t xml:space="preserve">Planeación Sprint 0
Retrospectiva Sprint 0
Reunión kick off
Reunión revisión de riesgos
Revisión Plan de Proyecto
Seguimiento al equipo
</t>
  </si>
  <si>
    <t>Documentación del proyecto
Planeación Sprint 0
Retrospectiva Sprint 0
Reunión kick off
Reunión revisión de riesgos
Revisión Plan de Proyecto</t>
  </si>
  <si>
    <t>Análisis de información inicial
Planeación Sprint 0
Retrospectiva Sprint 0
Revisión Matriz Criterios de Aceptación
Revisión Plan de proyecto</t>
  </si>
  <si>
    <t>Análisis de información inicial
Configuración del repositorio
Crear funcionalidad base
Generar proyecto base
Planeación Sprint 0
Retrospectiva Sprint 0
Reunión de kick off
Reunión revisión administrador web
Revisión Definición Servicios Web
Revisión Matriz Criterios de Aceptación
Revisión Plan de proyecto</t>
  </si>
  <si>
    <t>Análisis de información inicial
Configuración repositorio SVN
Creación de vista Home
Creación de vista de splash iOS
Generar proyecto base iOS
Planeación Sprint 0
Retrospectiva Sprint 0
Revisión definición de servicios web
Revisión plan de proyecto</t>
  </si>
  <si>
    <t xml:space="preserve">Planeación Sprint 0
Retrospectiva Sprint 0
Reunión kick off
Revisión Plan de Proyecto
Revisión Prototipos EB
</t>
  </si>
  <si>
    <t>Actividades</t>
  </si>
  <si>
    <t>Calidad actas
Crear el product backlog
Desarrollar documento
Presentación mockups Grupo UTSW
Reuniones de levantamiento de requerimientos EB Backend
Segiumiento al equipo</t>
  </si>
  <si>
    <t>Corrección y publicación de actqas
Descargue de plantillas de todos los entregables del proyecto
Elaboración y publicación de actas
Elaboración de plantilla participantes del proyecto
Revisión de plan de proyecto</t>
  </si>
  <si>
    <t>Revisión de arquitectura para elefantes backend
Presentación de mockups grupo UTSW
Reunión de revisión y validación de arquitectura
Revisión de mockups elefantes backend
Revisión plan de proyecto</t>
  </si>
  <si>
    <t>Desarrollar vistas de casos de uso
Presentación mockups grupo UTSW
Reuniones de levantamiento de requerimientos elefantes backend
Revisión de mockups elefantes backend</t>
  </si>
  <si>
    <t>Presentación mockups grupo UTSW
Reuniones de levantamiento de requerimientos elefantes backend
Revisión de mockups elefantes backend</t>
  </si>
  <si>
    <t>CRONOGRAMA CONSOLIDADO (INCLUYE LAS 3 SOLUCIONES)</t>
  </si>
  <si>
    <t xml:space="preserve">Nota: Se toma como base una proyección de $2.000 por dólar, estos valores se liquidarán de manera definitiva con la TRM del momento en que se realice el pago al proveedor. </t>
  </si>
  <si>
    <t>Las soluciones móviles de este proyecto requieren soporte para múltiples plataformas (sistemas operativos)  y dispositivos. En particular se tiene el siguiente inventario para las apps:
• Apple iPhone 5.  Sistema operativo iOS 7.0.3 
• Apple iPhone 4S. Sistema operativo iOS 6.1 
• Samsung Galaxy S3.  Sistema operativo Android 4.1 
• Samsung Galaxy Ace.  Sistema operativo Android 2.3.6 
• Sony Xperia U.  Sistema operativo Android 2.3.7 
• Samsung Galaxy S4.  Sistema operativo Android 4.3
• Sumsung Galaxy S3 Mini. Sistema operativo Android 4.2 
Lo anterior hace que la valoración del factor sea alta.
Nota: Este factor se mide de acuerdo a la necesidad de soporte de múltiples plataformas y medios de acceso</t>
  </si>
  <si>
    <t>Servicio de tienda DANE Google US 25</t>
  </si>
  <si>
    <t>Servicio de tienda DANE Apple US 99</t>
  </si>
  <si>
    <t>Servicio de tienda Sec.Transparencia Google US 25</t>
  </si>
  <si>
    <t>Servicio de tienda Sec.Transparencia Apple US 99</t>
  </si>
  <si>
    <t>TRM</t>
  </si>
  <si>
    <t>TOTAL  Recurso Humano + Adquisiciones + Otros Costos</t>
  </si>
  <si>
    <t>Entregables comunes</t>
  </si>
  <si>
    <t>Documento de Diseño Detallado</t>
  </si>
  <si>
    <t>Valor Costo total Solución Elefantes Blancos Administrador(Antes de Otros Costos)</t>
  </si>
  <si>
    <t>ENTREGABLES ELEFANTES BLANCOS ADMINISTRADOR</t>
  </si>
  <si>
    <t>HITO DE PAGO ELEFANTE ADMINISTRADOR</t>
  </si>
  <si>
    <t>VALOR ELEFANTES ADMINISTRADOR</t>
  </si>
  <si>
    <t>Elefantes Administrador</t>
  </si>
  <si>
    <t>ELEFANTES ADMINISTRADOR</t>
  </si>
  <si>
    <t>Elefantes blancos administrador</t>
  </si>
  <si>
    <t>COSTOS POR ENTREGABLES DEL PROYECTO</t>
  </si>
</sst>
</file>

<file path=xl/styles.xml><?xml version="1.0" encoding="utf-8"?>
<styleSheet xmlns="http://schemas.openxmlformats.org/spreadsheetml/2006/main" xmlns:mc="http://schemas.openxmlformats.org/markup-compatibility/2006" xmlns:x14ac="http://schemas.microsoft.com/office/spreadsheetml/2009/9/ac" mc:Ignorable="x14ac">
  <numFmts count="19">
    <numFmt numFmtId="6" formatCode="&quot;$&quot;\ #,##0_);[Red]\(&quot;$&quot;\ #,##0\)"/>
    <numFmt numFmtId="41" formatCode="_(* #,##0_);_(* \(#,##0\);_(* &quot;-&quot;_);_(@_)"/>
    <numFmt numFmtId="44" formatCode="_(&quot;$&quot;\ * #,##0.00_);_(&quot;$&quot;\ * \(#,##0.00\);_(&quot;$&quot;\ * &quot;-&quot;??_);_(@_)"/>
    <numFmt numFmtId="43" formatCode="_(* #,##0.00_);_(* \(#,##0.00\);_(* &quot;-&quot;??_);_(@_)"/>
    <numFmt numFmtId="164" formatCode="_-* #,##0.00\ _€_-;\-* #,##0.00\ _€_-;_-* &quot;-&quot;??\ _€_-;_-@_-"/>
    <numFmt numFmtId="165" formatCode="_(&quot;$&quot;* #,##0.00_);_(&quot;$&quot;* \(#,##0.00\);_(&quot;$&quot;* &quot;-&quot;??_);_(@_)"/>
    <numFmt numFmtId="166" formatCode="_(* #,##0_);_(* \(#,##0\);_(* &quot;-&quot;??_);_(@_)"/>
    <numFmt numFmtId="167" formatCode="0.000"/>
    <numFmt numFmtId="168" formatCode="[$-240A]General"/>
    <numFmt numFmtId="169" formatCode="[$$-240A]#,##0.00;[Red]&quot;(&quot;[$$-240A]#,##0.00&quot;)&quot;"/>
    <numFmt numFmtId="170" formatCode="&quot;$&quot;#,##0.00"/>
    <numFmt numFmtId="171" formatCode="_-&quot;$&quot;* #,##0_-;\-&quot;$&quot;* #,##0_-;_-&quot;$&quot;* &quot;-&quot;??_-;_-@_-"/>
    <numFmt numFmtId="172" formatCode="_(&quot;$&quot;\ * #,##0_);_(&quot;$&quot;\ * \(#,##0\);_(&quot;$&quot;\ * &quot;-&quot;??_);_(@_)"/>
    <numFmt numFmtId="173" formatCode="_-[$$-240A]\ * #,##0_ ;_-[$$-240A]\ * \-#,##0\ ;_-[$$-240A]\ * &quot;-&quot;??_ ;_-@_ "/>
    <numFmt numFmtId="174" formatCode="&quot;$&quot;\ #,##0"/>
    <numFmt numFmtId="175" formatCode="_-&quot;$&quot;* #,##0.00_-;\-&quot;$&quot;* #,##0.00_-;_-&quot;$&quot;* &quot;-&quot;??_-;_-@_-"/>
    <numFmt numFmtId="176" formatCode="0.000%"/>
    <numFmt numFmtId="177" formatCode="_-&quot;$&quot;* #,##0.000000_-;\-&quot;$&quot;* #,##0.000000_-;_-&quot;$&quot;* &quot;-&quot;??_-;_-@_-"/>
    <numFmt numFmtId="178" formatCode="&quot;$&quot;\ #,##0.00"/>
  </numFmts>
  <fonts count="43" x14ac:knownFonts="1">
    <font>
      <sz val="10"/>
      <name val="Arial"/>
    </font>
    <font>
      <sz val="10"/>
      <name val="Arial"/>
      <family val="2"/>
    </font>
    <font>
      <sz val="8"/>
      <name val="Arial"/>
      <family val="2"/>
    </font>
    <font>
      <u/>
      <sz val="10"/>
      <color indexed="12"/>
      <name val="Arial"/>
      <family val="2"/>
    </font>
    <font>
      <sz val="10"/>
      <name val="Arial"/>
      <family val="2"/>
    </font>
    <font>
      <sz val="10"/>
      <name val="Calibri"/>
      <family val="2"/>
    </font>
    <font>
      <sz val="11"/>
      <color theme="1"/>
      <name val="Calibri"/>
      <family val="2"/>
      <scheme val="minor"/>
    </font>
    <font>
      <sz val="11"/>
      <color rgb="FF000000"/>
      <name val="Calibri"/>
      <family val="2"/>
    </font>
    <font>
      <b/>
      <i/>
      <sz val="16"/>
      <color theme="1"/>
      <name val="Arial"/>
      <family val="2"/>
    </font>
    <font>
      <sz val="11"/>
      <color theme="1"/>
      <name val="Arial"/>
      <family val="2"/>
    </font>
    <font>
      <b/>
      <i/>
      <u/>
      <sz val="11"/>
      <color theme="1"/>
      <name val="Arial"/>
      <family val="2"/>
    </font>
    <font>
      <b/>
      <sz val="11"/>
      <color theme="1"/>
      <name val="Calibri"/>
      <family val="2"/>
      <scheme val="minor"/>
    </font>
    <font>
      <sz val="10"/>
      <name val="Calibri"/>
      <family val="2"/>
      <scheme val="minor"/>
    </font>
    <font>
      <b/>
      <sz val="10"/>
      <name val="Calibri"/>
      <family val="2"/>
      <scheme val="minor"/>
    </font>
    <font>
      <sz val="10"/>
      <color theme="1"/>
      <name val="Calibri"/>
      <family val="2"/>
      <scheme val="minor"/>
    </font>
    <font>
      <sz val="11"/>
      <name val="Calibri"/>
      <family val="2"/>
      <scheme val="minor"/>
    </font>
    <font>
      <b/>
      <sz val="10"/>
      <color indexed="16"/>
      <name val="Calibri"/>
      <family val="2"/>
      <scheme val="minor"/>
    </font>
    <font>
      <u/>
      <sz val="10"/>
      <color indexed="12"/>
      <name val="Calibri"/>
      <family val="2"/>
      <scheme val="minor"/>
    </font>
    <font>
      <b/>
      <sz val="11"/>
      <name val="Calibri"/>
      <family val="2"/>
      <scheme val="minor"/>
    </font>
    <font>
      <b/>
      <sz val="10"/>
      <color rgb="FF000000"/>
      <name val="Arial"/>
      <family val="2"/>
    </font>
    <font>
      <sz val="10"/>
      <color rgb="FF000000"/>
      <name val="Arial"/>
      <family val="2"/>
    </font>
    <font>
      <sz val="11"/>
      <color theme="1"/>
      <name val="Arial Narrow"/>
      <family val="2"/>
    </font>
    <font>
      <sz val="10"/>
      <color theme="1"/>
      <name val="Arial"/>
      <family val="2"/>
    </font>
    <font>
      <b/>
      <sz val="10"/>
      <color theme="1"/>
      <name val="Arial"/>
      <family val="2"/>
    </font>
    <font>
      <sz val="10"/>
      <color indexed="9"/>
      <name val="Calibri"/>
      <family val="2"/>
      <scheme val="minor"/>
    </font>
    <font>
      <sz val="10"/>
      <color rgb="FFFF0000"/>
      <name val="Calibri"/>
      <family val="2"/>
      <scheme val="minor"/>
    </font>
    <font>
      <b/>
      <sz val="14"/>
      <name val="Calibri"/>
      <family val="2"/>
      <scheme val="minor"/>
    </font>
    <font>
      <sz val="10"/>
      <color theme="0"/>
      <name val="Calibri"/>
      <family val="2"/>
      <scheme val="minor"/>
    </font>
    <font>
      <sz val="10"/>
      <name val="Arial"/>
      <family val="2"/>
    </font>
    <font>
      <b/>
      <sz val="10"/>
      <name val="Arial"/>
      <family val="2"/>
    </font>
    <font>
      <b/>
      <sz val="11"/>
      <color theme="1"/>
      <name val="Arial Narrow"/>
      <family val="2"/>
    </font>
    <font>
      <sz val="10"/>
      <name val="Arial"/>
      <family val="2"/>
    </font>
    <font>
      <b/>
      <sz val="9"/>
      <color theme="1"/>
      <name val="Arial"/>
      <family val="2"/>
    </font>
    <font>
      <b/>
      <sz val="9"/>
      <color theme="3" tint="0.39997558519241921"/>
      <name val="Arial"/>
      <family val="2"/>
    </font>
    <font>
      <sz val="9"/>
      <color theme="1"/>
      <name val="Arial"/>
      <family val="2"/>
    </font>
    <font>
      <sz val="9"/>
      <name val="Arial"/>
      <family val="2"/>
    </font>
    <font>
      <b/>
      <sz val="9"/>
      <color rgb="FF000000"/>
      <name val="Arial"/>
      <family val="2"/>
    </font>
    <font>
      <sz val="9"/>
      <color rgb="FF000000"/>
      <name val="Arial"/>
      <family val="2"/>
    </font>
    <font>
      <sz val="10"/>
      <color theme="0"/>
      <name val="Arial"/>
      <family val="2"/>
    </font>
    <font>
      <sz val="10"/>
      <name val="Symbol"/>
      <family val="1"/>
      <charset val="2"/>
    </font>
    <font>
      <sz val="10"/>
      <name val="Courier New"/>
      <family val="3"/>
    </font>
    <font>
      <b/>
      <sz val="10"/>
      <color theme="0"/>
      <name val="Arial"/>
      <family val="2"/>
    </font>
    <font>
      <sz val="10"/>
      <name val="Times New Roman"/>
      <family val="1"/>
    </font>
  </fonts>
  <fills count="17">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theme="4" tint="0.59999389629810485"/>
        <bgColor indexed="64"/>
      </patternFill>
    </fill>
    <fill>
      <patternFill patternType="solid">
        <fgColor rgb="FFBFBFBF"/>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FFFF"/>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s>
  <borders count="70">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top style="thin">
        <color indexed="64"/>
      </top>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
      <left/>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bottom/>
      <diagonal/>
    </border>
    <border>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style="medium">
        <color indexed="64"/>
      </left>
      <right/>
      <top/>
      <bottom style="thin">
        <color indexed="64"/>
      </bottom>
      <diagonal/>
    </border>
    <border>
      <left/>
      <right/>
      <top style="medium">
        <color indexed="64"/>
      </top>
      <bottom/>
      <diagonal/>
    </border>
    <border>
      <left/>
      <right style="thin">
        <color indexed="64"/>
      </right>
      <top/>
      <bottom/>
      <diagonal/>
    </border>
    <border>
      <left style="thin">
        <color indexed="64"/>
      </left>
      <right/>
      <top style="medium">
        <color indexed="64"/>
      </top>
      <bottom style="medium">
        <color indexed="64"/>
      </bottom>
      <diagonal/>
    </border>
    <border>
      <left style="medium">
        <color indexed="64"/>
      </left>
      <right style="medium">
        <color indexed="64"/>
      </right>
      <top/>
      <bottom style="thin">
        <color indexed="64"/>
      </bottom>
      <diagonal/>
    </border>
    <border>
      <left/>
      <right/>
      <top/>
      <bottom style="medium">
        <color indexed="64"/>
      </bottom>
      <diagonal/>
    </border>
    <border>
      <left style="medium">
        <color indexed="64"/>
      </left>
      <right style="thin">
        <color indexed="64"/>
      </right>
      <top/>
      <bottom/>
      <diagonal/>
    </border>
    <border>
      <left style="thin">
        <color indexed="64"/>
      </left>
      <right/>
      <top/>
      <bottom style="medium">
        <color indexed="64"/>
      </bottom>
      <diagonal/>
    </border>
    <border>
      <left/>
      <right/>
      <top style="medium">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s>
  <cellStyleXfs count="20">
    <xf numFmtId="0" fontId="0" fillId="0" borderId="0"/>
    <xf numFmtId="168" fontId="7" fillId="0" borderId="0"/>
    <xf numFmtId="0" fontId="8" fillId="0" borderId="0">
      <alignment horizontal="center"/>
    </xf>
    <xf numFmtId="0" fontId="8" fillId="0" borderId="0">
      <alignment horizontal="center" textRotation="90"/>
    </xf>
    <xf numFmtId="0" fontId="3" fillId="0" borderId="0" applyNumberFormat="0" applyFill="0" applyBorder="0" applyAlignment="0" applyProtection="0">
      <alignment vertical="top"/>
      <protection locked="0"/>
    </xf>
    <xf numFmtId="43" fontId="1" fillId="0" borderId="0" applyFont="0" applyFill="0" applyBorder="0" applyAlignment="0" applyProtection="0"/>
    <xf numFmtId="43" fontId="4" fillId="0" borderId="0" applyFont="0" applyFill="0" applyBorder="0" applyAlignment="0" applyProtection="0"/>
    <xf numFmtId="44" fontId="6" fillId="0" borderId="0" applyFont="0" applyFill="0" applyBorder="0" applyAlignment="0" applyProtection="0"/>
    <xf numFmtId="165" fontId="4" fillId="0" borderId="0" applyFont="0" applyFill="0" applyBorder="0" applyAlignment="0" applyProtection="0"/>
    <xf numFmtId="0" fontId="4" fillId="0" borderId="0"/>
    <xf numFmtId="0" fontId="6" fillId="0" borderId="0"/>
    <xf numFmtId="0" fontId="4" fillId="0" borderId="0">
      <alignment vertical="center"/>
    </xf>
    <xf numFmtId="0" fontId="9" fillId="0" borderId="0"/>
    <xf numFmtId="0" fontId="6" fillId="0" borderId="0"/>
    <xf numFmtId="9" fontId="4" fillId="0" borderId="0" applyFont="0" applyFill="0" applyBorder="0" applyAlignment="0" applyProtection="0"/>
    <xf numFmtId="0" fontId="10" fillId="0" borderId="0"/>
    <xf numFmtId="169" fontId="10" fillId="0" borderId="0"/>
    <xf numFmtId="9" fontId="28" fillId="0" borderId="0" applyFont="0" applyFill="0" applyBorder="0" applyAlignment="0" applyProtection="0"/>
    <xf numFmtId="44" fontId="31" fillId="0" borderId="0" applyFont="0" applyFill="0" applyBorder="0" applyAlignment="0" applyProtection="0"/>
    <xf numFmtId="0" fontId="1" fillId="0" borderId="0"/>
  </cellStyleXfs>
  <cellXfs count="604">
    <xf numFmtId="0" fontId="0" fillId="0" borderId="0" xfId="0"/>
    <xf numFmtId="0" fontId="12" fillId="0" borderId="0" xfId="0" applyFont="1"/>
    <xf numFmtId="0" fontId="12" fillId="0" borderId="0" xfId="0" applyFont="1" applyAlignment="1">
      <alignment horizontal="center"/>
    </xf>
    <xf numFmtId="0" fontId="12" fillId="0" borderId="0" xfId="0" applyFont="1" applyAlignment="1">
      <alignment wrapText="1"/>
    </xf>
    <xf numFmtId="0" fontId="12" fillId="0" borderId="0" xfId="0" applyFont="1" applyAlignment="1">
      <alignment vertical="center"/>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3" xfId="0" applyNumberFormat="1" applyFont="1" applyBorder="1" applyAlignment="1">
      <alignment vertical="center" wrapText="1"/>
    </xf>
    <xf numFmtId="0" fontId="12" fillId="3" borderId="4" xfId="0" applyFont="1" applyFill="1" applyBorder="1" applyAlignment="1">
      <alignment horizontal="center"/>
    </xf>
    <xf numFmtId="0" fontId="12" fillId="3" borderId="5" xfId="0" applyFont="1" applyFill="1" applyBorder="1" applyAlignment="1">
      <alignment wrapText="1"/>
    </xf>
    <xf numFmtId="0" fontId="13" fillId="3" borderId="6" xfId="0" applyFont="1" applyFill="1" applyBorder="1" applyAlignment="1">
      <alignment horizontal="center" vertical="center" wrapText="1"/>
    </xf>
    <xf numFmtId="0" fontId="13" fillId="3" borderId="7" xfId="0" applyFont="1" applyFill="1" applyBorder="1" applyAlignment="1">
      <alignment horizontal="center" vertical="center"/>
    </xf>
    <xf numFmtId="0" fontId="13" fillId="3" borderId="7" xfId="0" applyFont="1" applyFill="1" applyBorder="1" applyAlignment="1">
      <alignment horizontal="center" vertical="center" wrapText="1"/>
    </xf>
    <xf numFmtId="0" fontId="13" fillId="3" borderId="8" xfId="0" applyFont="1" applyFill="1" applyBorder="1" applyAlignment="1">
      <alignment horizontal="center" vertical="center" wrapText="1"/>
    </xf>
    <xf numFmtId="0" fontId="13" fillId="3" borderId="4" xfId="0" applyFont="1" applyFill="1" applyBorder="1" applyAlignment="1">
      <alignment horizontal="center" vertical="center"/>
    </xf>
    <xf numFmtId="0" fontId="12" fillId="4" borderId="2" xfId="0" applyFont="1" applyFill="1" applyBorder="1" applyAlignment="1">
      <alignment horizontal="center" vertical="center"/>
    </xf>
    <xf numFmtId="0" fontId="13" fillId="3" borderId="9" xfId="0" applyFont="1" applyFill="1" applyBorder="1" applyAlignment="1">
      <alignment horizontal="center" vertical="center" wrapText="1"/>
    </xf>
    <xf numFmtId="0" fontId="13" fillId="3" borderId="10" xfId="0" applyFont="1" applyFill="1" applyBorder="1" applyAlignment="1">
      <alignment horizontal="center" vertical="center"/>
    </xf>
    <xf numFmtId="0" fontId="14" fillId="0" borderId="1" xfId="0" applyFont="1" applyBorder="1" applyAlignment="1">
      <alignment horizontal="center" vertical="center" wrapText="1"/>
    </xf>
    <xf numFmtId="0" fontId="15" fillId="0" borderId="0" xfId="0" applyFont="1"/>
    <xf numFmtId="0" fontId="12" fillId="0" borderId="0" xfId="0" applyFont="1" applyAlignment="1">
      <alignment horizontal="left"/>
    </xf>
    <xf numFmtId="0" fontId="13" fillId="0" borderId="2" xfId="0" applyFont="1" applyBorder="1" applyAlignment="1">
      <alignment horizontal="left" vertical="center" wrapText="1"/>
    </xf>
    <xf numFmtId="0" fontId="13" fillId="5" borderId="2" xfId="0" applyFont="1" applyFill="1" applyBorder="1" applyAlignment="1">
      <alignment horizontal="center" vertical="center"/>
    </xf>
    <xf numFmtId="0" fontId="12" fillId="0" borderId="2" xfId="0" applyFont="1" applyBorder="1" applyAlignment="1">
      <alignment horizontal="left" vertical="center" wrapText="1"/>
    </xf>
    <xf numFmtId="0" fontId="12" fillId="4" borderId="2" xfId="0" applyFont="1" applyFill="1" applyBorder="1" applyAlignment="1">
      <alignment horizontal="left" vertical="center" wrapText="1"/>
    </xf>
    <xf numFmtId="0" fontId="15" fillId="0" borderId="0" xfId="0" applyFont="1" applyAlignment="1">
      <alignment horizontal="right"/>
    </xf>
    <xf numFmtId="0" fontId="15" fillId="0" borderId="2" xfId="0" applyFont="1" applyBorder="1" applyAlignment="1">
      <alignment horizontal="right" indent="1"/>
    </xf>
    <xf numFmtId="0" fontId="12" fillId="4" borderId="0" xfId="0" applyFont="1" applyFill="1"/>
    <xf numFmtId="0" fontId="12" fillId="4" borderId="0" xfId="0" applyFont="1" applyFill="1" applyAlignment="1">
      <alignment horizontal="left"/>
    </xf>
    <xf numFmtId="0" fontId="12" fillId="4" borderId="0" xfId="0" applyFont="1" applyFill="1" applyAlignment="1">
      <alignment horizontal="center"/>
    </xf>
    <xf numFmtId="0" fontId="12" fillId="4" borderId="0" xfId="0" applyFont="1" applyFill="1" applyAlignment="1">
      <alignment wrapText="1"/>
    </xf>
    <xf numFmtId="0" fontId="16" fillId="4" borderId="0" xfId="0" applyFont="1" applyFill="1" applyAlignment="1">
      <alignment wrapText="1"/>
    </xf>
    <xf numFmtId="0" fontId="17" fillId="4" borderId="0" xfId="4" applyFont="1" applyFill="1" applyAlignment="1" applyProtection="1"/>
    <xf numFmtId="0" fontId="17" fillId="4" borderId="0" xfId="4" applyFont="1" applyFill="1" applyAlignment="1" applyProtection="1">
      <alignment wrapText="1"/>
    </xf>
    <xf numFmtId="0" fontId="12" fillId="4" borderId="0" xfId="0" applyFont="1" applyFill="1" applyAlignment="1">
      <alignment vertical="center"/>
    </xf>
    <xf numFmtId="0" fontId="15" fillId="0" borderId="12" xfId="0" applyFont="1" applyBorder="1"/>
    <xf numFmtId="0" fontId="15" fillId="4" borderId="12" xfId="0" applyFont="1" applyFill="1" applyBorder="1"/>
    <xf numFmtId="0" fontId="5" fillId="0" borderId="2" xfId="0" applyFont="1" applyBorder="1" applyAlignment="1">
      <alignment horizontal="right" indent="1"/>
    </xf>
    <xf numFmtId="0" fontId="15" fillId="4" borderId="0" xfId="0" applyFont="1" applyFill="1"/>
    <xf numFmtId="0" fontId="15" fillId="4" borderId="0" xfId="0" applyFont="1" applyFill="1" applyAlignment="1">
      <alignment horizontal="right"/>
    </xf>
    <xf numFmtId="0" fontId="5" fillId="0" borderId="7" xfId="0" applyFont="1" applyBorder="1" applyAlignment="1">
      <alignment horizontal="right" indent="1"/>
    </xf>
    <xf numFmtId="0" fontId="15" fillId="0" borderId="11" xfId="0" applyFont="1" applyBorder="1"/>
    <xf numFmtId="0" fontId="5" fillId="0" borderId="4" xfId="0" applyFont="1" applyBorder="1" applyAlignment="1">
      <alignment horizontal="right" indent="1"/>
    </xf>
    <xf numFmtId="0" fontId="13" fillId="0" borderId="2" xfId="0" applyFont="1" applyBorder="1" applyAlignment="1">
      <alignment horizontal="center" vertical="center"/>
    </xf>
    <xf numFmtId="0" fontId="13" fillId="0" borderId="13" xfId="0" applyFont="1" applyBorder="1" applyAlignment="1">
      <alignment horizontal="center" vertical="center"/>
    </xf>
    <xf numFmtId="0" fontId="13" fillId="3" borderId="14" xfId="0" applyFont="1" applyFill="1" applyBorder="1" applyAlignment="1">
      <alignment horizontal="center" vertical="center"/>
    </xf>
    <xf numFmtId="167" fontId="13" fillId="3" borderId="4" xfId="0" applyNumberFormat="1" applyFont="1" applyFill="1" applyBorder="1" applyAlignment="1">
      <alignment horizontal="center" vertical="center"/>
    </xf>
    <xf numFmtId="9" fontId="15" fillId="4" borderId="0" xfId="0" applyNumberFormat="1" applyFont="1" applyFill="1"/>
    <xf numFmtId="0" fontId="18" fillId="4" borderId="2" xfId="0" applyFont="1" applyFill="1" applyBorder="1" applyAlignment="1">
      <alignment horizontal="left"/>
    </xf>
    <xf numFmtId="43" fontId="18" fillId="4" borderId="2" xfId="0" applyNumberFormat="1" applyFont="1" applyFill="1" applyBorder="1" applyAlignment="1">
      <alignment horizontal="left"/>
    </xf>
    <xf numFmtId="43" fontId="15" fillId="4" borderId="0" xfId="0" applyNumberFormat="1" applyFont="1" applyFill="1"/>
    <xf numFmtId="0" fontId="14" fillId="0" borderId="13" xfId="0" applyFont="1" applyBorder="1" applyAlignment="1">
      <alignment horizontal="justify" vertical="center" wrapText="1"/>
    </xf>
    <xf numFmtId="0" fontId="12" fillId="3" borderId="10" xfId="0" applyFont="1" applyFill="1" applyBorder="1" applyAlignment="1">
      <alignment wrapText="1"/>
    </xf>
    <xf numFmtId="166" fontId="15" fillId="4" borderId="0" xfId="0" applyNumberFormat="1" applyFont="1" applyFill="1"/>
    <xf numFmtId="0" fontId="12" fillId="4" borderId="0" xfId="0" applyFont="1" applyFill="1" applyAlignment="1">
      <alignment horizontal="center" vertical="center" wrapText="1"/>
    </xf>
    <xf numFmtId="0" fontId="16" fillId="4" borderId="0" xfId="0" applyFont="1" applyFill="1" applyAlignment="1">
      <alignment horizontal="center" vertical="center" wrapText="1"/>
    </xf>
    <xf numFmtId="0" fontId="17" fillId="4" borderId="0" xfId="4" applyFont="1" applyFill="1" applyAlignment="1" applyProtection="1">
      <alignment horizontal="center" vertical="center"/>
    </xf>
    <xf numFmtId="0" fontId="17" fillId="4" borderId="0" xfId="4" applyFont="1" applyFill="1" applyAlignment="1" applyProtection="1">
      <alignment horizontal="center" vertical="center" wrapText="1"/>
    </xf>
    <xf numFmtId="0" fontId="12" fillId="0" borderId="0" xfId="0" applyFont="1" applyAlignment="1">
      <alignment horizontal="center" vertical="center" wrapText="1"/>
    </xf>
    <xf numFmtId="0" fontId="12" fillId="0" borderId="2" xfId="0" applyFont="1" applyBorder="1" applyAlignment="1">
      <alignment horizontal="justify" vertical="center"/>
    </xf>
    <xf numFmtId="0" fontId="12" fillId="0" borderId="0" xfId="0" applyFont="1" applyFill="1" applyAlignment="1">
      <alignment horizontal="center" vertical="center"/>
    </xf>
    <xf numFmtId="0" fontId="24" fillId="0" borderId="0" xfId="0" applyFont="1" applyFill="1"/>
    <xf numFmtId="0" fontId="24" fillId="0" borderId="0" xfId="0" applyFont="1" applyFill="1" applyAlignment="1">
      <alignment vertical="center"/>
    </xf>
    <xf numFmtId="0" fontId="25" fillId="0" borderId="0" xfId="0" applyFont="1" applyFill="1" applyAlignment="1">
      <alignment vertical="center"/>
    </xf>
    <xf numFmtId="6" fontId="0" fillId="0" borderId="0" xfId="0" applyNumberFormat="1"/>
    <xf numFmtId="0" fontId="19" fillId="8" borderId="2" xfId="13" applyFont="1" applyFill="1" applyBorder="1" applyAlignment="1">
      <alignment horizontal="center" vertical="center" wrapText="1"/>
    </xf>
    <xf numFmtId="6" fontId="22" fillId="0" borderId="2" xfId="13" applyNumberFormat="1" applyFont="1" applyBorder="1"/>
    <xf numFmtId="0" fontId="20" fillId="9" borderId="2" xfId="13" applyFont="1" applyFill="1" applyBorder="1" applyAlignment="1">
      <alignment horizontal="left" vertical="center" wrapText="1"/>
    </xf>
    <xf numFmtId="6" fontId="20" fillId="0" borderId="2" xfId="13" applyNumberFormat="1" applyFont="1" applyBorder="1" applyAlignment="1">
      <alignment horizontal="right" vertical="center"/>
    </xf>
    <xf numFmtId="0" fontId="19" fillId="9" borderId="2" xfId="13" applyFont="1" applyFill="1" applyBorder="1" applyAlignment="1">
      <alignment horizontal="left" vertical="center" wrapText="1"/>
    </xf>
    <xf numFmtId="6" fontId="19" fillId="9" borderId="2" xfId="13" applyNumberFormat="1" applyFont="1" applyFill="1" applyBorder="1" applyAlignment="1">
      <alignment horizontal="right" vertical="center" wrapText="1"/>
    </xf>
    <xf numFmtId="0" fontId="20" fillId="0" borderId="2" xfId="13" applyFont="1" applyFill="1" applyBorder="1" applyAlignment="1">
      <alignment vertical="center" wrapText="1"/>
    </xf>
    <xf numFmtId="0" fontId="20" fillId="0" borderId="2" xfId="13" applyFont="1" applyFill="1" applyBorder="1" applyAlignment="1">
      <alignment horizontal="left" vertical="center" wrapText="1"/>
    </xf>
    <xf numFmtId="6" fontId="20" fillId="0" borderId="2" xfId="13" applyNumberFormat="1" applyFont="1" applyBorder="1" applyAlignment="1">
      <alignment vertical="center" wrapText="1"/>
    </xf>
    <xf numFmtId="6" fontId="20" fillId="0" borderId="2" xfId="13" applyNumberFormat="1" applyFont="1" applyFill="1" applyBorder="1" applyAlignment="1">
      <alignment vertical="center" wrapText="1"/>
    </xf>
    <xf numFmtId="0" fontId="20" fillId="0" borderId="2" xfId="13" applyFont="1" applyFill="1" applyBorder="1" applyAlignment="1">
      <alignment horizontal="left" vertical="center"/>
    </xf>
    <xf numFmtId="0" fontId="19" fillId="0" borderId="2" xfId="13" applyFont="1" applyFill="1" applyBorder="1" applyAlignment="1">
      <alignment horizontal="left" vertical="center"/>
    </xf>
    <xf numFmtId="0" fontId="22" fillId="0" borderId="2" xfId="13" applyFont="1" applyFill="1" applyBorder="1"/>
    <xf numFmtId="6" fontId="23" fillId="0" borderId="2" xfId="13" applyNumberFormat="1" applyFont="1" applyFill="1" applyBorder="1" applyAlignment="1"/>
    <xf numFmtId="0" fontId="0" fillId="0" borderId="0" xfId="0" applyAlignment="1">
      <alignment vertical="center"/>
    </xf>
    <xf numFmtId="0" fontId="0" fillId="0" borderId="0" xfId="0" applyAlignment="1">
      <alignment horizontal="center" vertical="center" wrapText="1"/>
    </xf>
    <xf numFmtId="0" fontId="12" fillId="4" borderId="3" xfId="0" applyFont="1" applyFill="1" applyBorder="1" applyAlignment="1">
      <alignment wrapText="1"/>
    </xf>
    <xf numFmtId="170" fontId="0" fillId="0" borderId="0" xfId="0" applyNumberFormat="1"/>
    <xf numFmtId="0" fontId="27" fillId="4" borderId="0" xfId="0" applyFont="1" applyFill="1" applyAlignment="1">
      <alignment vertical="center"/>
    </xf>
    <xf numFmtId="0" fontId="12" fillId="0" borderId="24" xfId="0" applyFont="1" applyBorder="1" applyAlignment="1">
      <alignment horizontal="center" vertical="center"/>
    </xf>
    <xf numFmtId="0" fontId="13" fillId="0" borderId="24" xfId="0" applyFont="1" applyBorder="1" applyAlignment="1">
      <alignment horizontal="left" vertical="center" wrapText="1"/>
    </xf>
    <xf numFmtId="0" fontId="13" fillId="5" borderId="24" xfId="0" applyFont="1" applyFill="1" applyBorder="1" applyAlignment="1">
      <alignment horizontal="center" vertical="center"/>
    </xf>
    <xf numFmtId="0" fontId="12" fillId="0" borderId="24" xfId="0" applyFont="1" applyBorder="1" applyAlignment="1">
      <alignment horizontal="justify" vertical="center"/>
    </xf>
    <xf numFmtId="0" fontId="13" fillId="3" borderId="30" xfId="0" applyFont="1" applyFill="1" applyBorder="1" applyAlignment="1">
      <alignment horizontal="center" vertical="center" wrapText="1"/>
    </xf>
    <xf numFmtId="0" fontId="13" fillId="3" borderId="31" xfId="0" applyFont="1" applyFill="1" applyBorder="1" applyAlignment="1">
      <alignment horizontal="center" vertical="center" wrapText="1"/>
    </xf>
    <xf numFmtId="0" fontId="12" fillId="0" borderId="23" xfId="0" applyFont="1" applyBorder="1" applyAlignment="1">
      <alignment horizontal="center" vertical="center"/>
    </xf>
    <xf numFmtId="0" fontId="12" fillId="4" borderId="25" xfId="0" applyFont="1" applyFill="1" applyBorder="1" applyAlignment="1">
      <alignment horizontal="left" vertical="center" wrapText="1"/>
    </xf>
    <xf numFmtId="0" fontId="12" fillId="4" borderId="3" xfId="0" applyFont="1" applyFill="1" applyBorder="1" applyAlignment="1">
      <alignment vertical="center" wrapText="1"/>
    </xf>
    <xf numFmtId="0" fontId="12" fillId="4" borderId="3" xfId="0" applyFont="1" applyFill="1" applyBorder="1" applyAlignment="1">
      <alignment horizontal="left" vertical="top" wrapText="1"/>
    </xf>
    <xf numFmtId="0" fontId="12" fillId="0" borderId="3" xfId="0" applyFont="1" applyFill="1" applyBorder="1" applyAlignment="1">
      <alignment horizontal="left" vertical="center" wrapText="1"/>
    </xf>
    <xf numFmtId="0" fontId="13" fillId="3" borderId="4" xfId="0" applyFont="1" applyFill="1" applyBorder="1" applyAlignment="1">
      <alignment horizontal="center" vertical="center" wrapText="1"/>
    </xf>
    <xf numFmtId="0" fontId="12" fillId="3" borderId="4" xfId="0" applyFont="1" applyFill="1" applyBorder="1" applyAlignment="1">
      <alignment wrapText="1"/>
    </xf>
    <xf numFmtId="0" fontId="12" fillId="4" borderId="5" xfId="0" applyFont="1" applyFill="1" applyBorder="1"/>
    <xf numFmtId="0" fontId="12" fillId="0" borderId="2" xfId="0" applyNumberFormat="1" applyFont="1" applyBorder="1" applyAlignment="1">
      <alignment vertical="center" wrapText="1"/>
    </xf>
    <xf numFmtId="0" fontId="12" fillId="0" borderId="3" xfId="0" applyFont="1" applyFill="1" applyBorder="1" applyAlignment="1">
      <alignment horizontal="left" vertical="top" wrapText="1"/>
    </xf>
    <xf numFmtId="0" fontId="14" fillId="0" borderId="3" xfId="0" applyFont="1" applyFill="1" applyBorder="1" applyAlignment="1">
      <alignment horizontal="left" vertical="top" wrapText="1"/>
    </xf>
    <xf numFmtId="0" fontId="12" fillId="0" borderId="3" xfId="0" applyFont="1" applyFill="1" applyBorder="1" applyAlignment="1">
      <alignment vertical="top" wrapText="1"/>
    </xf>
    <xf numFmtId="0" fontId="12" fillId="0" borderId="32" xfId="0" applyFont="1" applyBorder="1" applyAlignment="1">
      <alignment horizontal="center" vertical="center"/>
    </xf>
    <xf numFmtId="0" fontId="12" fillId="4" borderId="28" xfId="0" applyFont="1" applyFill="1" applyBorder="1" applyAlignment="1">
      <alignment horizontal="left" vertical="center" wrapText="1"/>
    </xf>
    <xf numFmtId="0" fontId="12" fillId="4" borderId="28" xfId="0" applyFont="1" applyFill="1" applyBorder="1" applyAlignment="1">
      <alignment horizontal="center" vertical="center"/>
    </xf>
    <xf numFmtId="0" fontId="13" fillId="5" borderId="28" xfId="0" applyFont="1" applyFill="1" applyBorder="1" applyAlignment="1">
      <alignment horizontal="center" vertical="center"/>
    </xf>
    <xf numFmtId="0" fontId="12" fillId="0" borderId="28" xfId="0" applyFont="1" applyBorder="1" applyAlignment="1">
      <alignment horizontal="center" vertical="center"/>
    </xf>
    <xf numFmtId="0" fontId="12" fillId="0" borderId="28" xfId="0" applyNumberFormat="1" applyFont="1" applyBorder="1" applyAlignment="1">
      <alignment vertical="center" wrapText="1"/>
    </xf>
    <xf numFmtId="0" fontId="12" fillId="0" borderId="33" xfId="0" applyFont="1" applyFill="1" applyBorder="1" applyAlignment="1">
      <alignment horizontal="left" vertical="top" wrapText="1"/>
    </xf>
    <xf numFmtId="0" fontId="13" fillId="3" borderId="30" xfId="0" applyFont="1" applyFill="1" applyBorder="1" applyAlignment="1">
      <alignment horizontal="center" vertical="center"/>
    </xf>
    <xf numFmtId="0" fontId="13" fillId="3" borderId="31" xfId="0" applyFont="1" applyFill="1" applyBorder="1" applyAlignment="1">
      <alignment horizontal="center" vertical="center"/>
    </xf>
    <xf numFmtId="0" fontId="12" fillId="0" borderId="24" xfId="0" applyFont="1" applyBorder="1" applyAlignment="1">
      <alignment horizontal="left" vertical="center" wrapText="1"/>
    </xf>
    <xf numFmtId="0" fontId="12" fillId="0" borderId="24" xfId="0" applyNumberFormat="1" applyFont="1" applyBorder="1" applyAlignment="1">
      <alignment vertical="center" wrapText="1"/>
    </xf>
    <xf numFmtId="0" fontId="12" fillId="0" borderId="25" xfId="0" applyFont="1" applyFill="1" applyBorder="1" applyAlignment="1">
      <alignment horizontal="left" vertical="top" wrapText="1"/>
    </xf>
    <xf numFmtId="1" fontId="15" fillId="4" borderId="3" xfId="0" applyNumberFormat="1" applyFont="1" applyFill="1" applyBorder="1"/>
    <xf numFmtId="0" fontId="15" fillId="4" borderId="3" xfId="0" applyFont="1" applyFill="1" applyBorder="1"/>
    <xf numFmtId="0" fontId="19" fillId="6" borderId="29" xfId="0" applyFont="1" applyFill="1" applyBorder="1" applyAlignment="1">
      <alignment horizontal="center" vertical="center" wrapText="1"/>
    </xf>
    <xf numFmtId="0" fontId="18" fillId="4" borderId="14" xfId="0" applyFont="1" applyFill="1" applyBorder="1" applyAlignment="1">
      <alignment horizontal="right"/>
    </xf>
    <xf numFmtId="0" fontId="15" fillId="4" borderId="8" xfId="0" applyFont="1" applyFill="1" applyBorder="1"/>
    <xf numFmtId="49" fontId="18" fillId="4" borderId="1" xfId="0" applyNumberFormat="1" applyFont="1" applyFill="1" applyBorder="1" applyAlignment="1">
      <alignment horizontal="right" wrapText="1"/>
    </xf>
    <xf numFmtId="0" fontId="18" fillId="4" borderId="15" xfId="0" applyFont="1" applyFill="1" applyBorder="1" applyAlignment="1">
      <alignment horizontal="right"/>
    </xf>
    <xf numFmtId="166" fontId="15" fillId="4" borderId="5" xfId="0" applyNumberFormat="1" applyFont="1" applyFill="1" applyBorder="1" applyAlignment="1">
      <alignment wrapText="1"/>
    </xf>
    <xf numFmtId="1" fontId="15" fillId="4" borderId="1" xfId="0" applyNumberFormat="1" applyFont="1" applyFill="1" applyBorder="1"/>
    <xf numFmtId="0" fontId="15" fillId="4" borderId="1" xfId="0" applyFont="1" applyFill="1" applyBorder="1"/>
    <xf numFmtId="0" fontId="15" fillId="4" borderId="15" xfId="0" applyFont="1" applyFill="1" applyBorder="1"/>
    <xf numFmtId="0" fontId="18" fillId="4" borderId="4" xfId="0" applyFont="1" applyFill="1" applyBorder="1" applyAlignment="1">
      <alignment horizontal="left"/>
    </xf>
    <xf numFmtId="1" fontId="15" fillId="4" borderId="5" xfId="0" applyNumberFormat="1" applyFont="1" applyFill="1" applyBorder="1"/>
    <xf numFmtId="166" fontId="18" fillId="7" borderId="3" xfId="0" applyNumberFormat="1" applyFont="1" applyFill="1" applyBorder="1"/>
    <xf numFmtId="41" fontId="18" fillId="7" borderId="5" xfId="5" applyNumberFormat="1" applyFont="1" applyFill="1" applyBorder="1"/>
    <xf numFmtId="0" fontId="0" fillId="0" borderId="0" xfId="0" applyNumberFormat="1" applyBorder="1"/>
    <xf numFmtId="0" fontId="13" fillId="3" borderId="4" xfId="0" applyFont="1" applyFill="1" applyBorder="1" applyAlignment="1">
      <alignment horizontal="center" vertical="center"/>
    </xf>
    <xf numFmtId="0" fontId="13" fillId="0" borderId="1" xfId="0" applyFont="1" applyBorder="1" applyAlignment="1">
      <alignment horizontal="center" vertical="center" wrapText="1"/>
    </xf>
    <xf numFmtId="0" fontId="13" fillId="3" borderId="4" xfId="0" applyFont="1" applyFill="1" applyBorder="1" applyAlignment="1">
      <alignment horizontal="center" vertical="center"/>
    </xf>
    <xf numFmtId="49" fontId="12" fillId="4" borderId="3" xfId="0" applyNumberFormat="1" applyFont="1" applyFill="1" applyBorder="1" applyAlignment="1">
      <alignment wrapText="1"/>
    </xf>
    <xf numFmtId="0" fontId="1" fillId="0" borderId="2" xfId="0" applyFont="1" applyBorder="1" applyAlignment="1">
      <alignment horizontal="center" vertical="center" wrapText="1"/>
    </xf>
    <xf numFmtId="0" fontId="1" fillId="0" borderId="0" xfId="0" applyFont="1"/>
    <xf numFmtId="0" fontId="19" fillId="6" borderId="16" xfId="0" applyFont="1" applyFill="1" applyBorder="1" applyAlignment="1">
      <alignment horizontal="center" vertical="center" wrapText="1"/>
    </xf>
    <xf numFmtId="0" fontId="0" fillId="0" borderId="2" xfId="0" applyBorder="1"/>
    <xf numFmtId="6" fontId="0" fillId="0" borderId="2" xfId="0" applyNumberFormat="1" applyBorder="1"/>
    <xf numFmtId="0" fontId="15" fillId="4" borderId="2" xfId="0" applyFont="1" applyFill="1" applyBorder="1"/>
    <xf numFmtId="0" fontId="19" fillId="6" borderId="35" xfId="0" applyFont="1" applyFill="1" applyBorder="1" applyAlignment="1">
      <alignment horizontal="center" vertical="center" wrapText="1"/>
    </xf>
    <xf numFmtId="0" fontId="0" fillId="4" borderId="0" xfId="0" applyFill="1"/>
    <xf numFmtId="0" fontId="0" fillId="4" borderId="2" xfId="0" applyFill="1" applyBorder="1"/>
    <xf numFmtId="0" fontId="1" fillId="0" borderId="2" xfId="0" applyFont="1" applyFill="1" applyBorder="1" applyAlignment="1">
      <alignment horizontal="center" vertical="center" wrapText="1"/>
    </xf>
    <xf numFmtId="0" fontId="21" fillId="0" borderId="2" xfId="0" applyFont="1" applyFill="1" applyBorder="1" applyAlignment="1">
      <alignment horizontal="center" vertical="center"/>
    </xf>
    <xf numFmtId="0" fontId="29" fillId="4" borderId="0" xfId="0" applyFont="1" applyFill="1"/>
    <xf numFmtId="0" fontId="21" fillId="11" borderId="2" xfId="0" applyFont="1" applyFill="1" applyBorder="1" applyAlignment="1">
      <alignment horizontal="center" vertical="center"/>
    </xf>
    <xf numFmtId="0" fontId="21" fillId="11" borderId="28" xfId="0" applyFont="1" applyFill="1" applyBorder="1" applyAlignment="1">
      <alignment horizontal="center" vertical="center"/>
    </xf>
    <xf numFmtId="0" fontId="21" fillId="10" borderId="2" xfId="0" applyFont="1" applyFill="1" applyBorder="1" applyAlignment="1">
      <alignment horizontal="center" vertical="center"/>
    </xf>
    <xf numFmtId="0" fontId="21" fillId="10" borderId="28" xfId="0" applyFont="1" applyFill="1" applyBorder="1" applyAlignment="1">
      <alignment horizontal="center" vertical="center"/>
    </xf>
    <xf numFmtId="0" fontId="29" fillId="0" borderId="0" xfId="0" applyFont="1"/>
    <xf numFmtId="0" fontId="29" fillId="4" borderId="2" xfId="0" applyFont="1" applyFill="1" applyBorder="1"/>
    <xf numFmtId="0" fontId="21" fillId="12" borderId="24" xfId="0" applyFont="1" applyFill="1" applyBorder="1" applyAlignment="1">
      <alignment horizontal="center" vertical="center"/>
    </xf>
    <xf numFmtId="0" fontId="21" fillId="12" borderId="2" xfId="0" applyFont="1" applyFill="1" applyBorder="1" applyAlignment="1">
      <alignment horizontal="center" vertical="center"/>
    </xf>
    <xf numFmtId="0" fontId="21" fillId="12" borderId="28" xfId="0" applyFont="1" applyFill="1" applyBorder="1" applyAlignment="1">
      <alignment horizontal="center" vertical="center"/>
    </xf>
    <xf numFmtId="0" fontId="29" fillId="0" borderId="2" xfId="0" applyFont="1" applyFill="1" applyBorder="1"/>
    <xf numFmtId="6" fontId="29" fillId="0" borderId="0" xfId="0" applyNumberFormat="1" applyFont="1"/>
    <xf numFmtId="9" fontId="1" fillId="0" borderId="0" xfId="17" applyFont="1"/>
    <xf numFmtId="6" fontId="0" fillId="0" borderId="13" xfId="0" applyNumberFormat="1" applyBorder="1"/>
    <xf numFmtId="6" fontId="29" fillId="0" borderId="2" xfId="0" applyNumberFormat="1" applyFont="1" applyBorder="1"/>
    <xf numFmtId="6" fontId="1" fillId="0" borderId="0" xfId="0" applyNumberFormat="1" applyFont="1" applyBorder="1"/>
    <xf numFmtId="6" fontId="1" fillId="0" borderId="0" xfId="0" applyNumberFormat="1" applyFont="1" applyFill="1" applyBorder="1"/>
    <xf numFmtId="41" fontId="15" fillId="4" borderId="0" xfId="0" applyNumberFormat="1" applyFont="1" applyFill="1"/>
    <xf numFmtId="0" fontId="0" fillId="0" borderId="0" xfId="0" applyAlignment="1">
      <alignment horizontal="center" vertical="center"/>
    </xf>
    <xf numFmtId="0" fontId="11" fillId="7" borderId="29" xfId="0" applyFont="1" applyFill="1" applyBorder="1" applyAlignment="1">
      <alignment horizontal="center" vertical="center" wrapText="1"/>
    </xf>
    <xf numFmtId="0" fontId="11" fillId="7" borderId="30" xfId="0" applyFont="1" applyFill="1" applyBorder="1" applyAlignment="1">
      <alignment horizontal="center" vertical="center" wrapText="1"/>
    </xf>
    <xf numFmtId="0" fontId="11" fillId="7" borderId="31" xfId="0" applyFont="1" applyFill="1" applyBorder="1" applyAlignment="1">
      <alignment horizontal="center" wrapText="1"/>
    </xf>
    <xf numFmtId="49" fontId="12" fillId="4" borderId="3" xfId="0" applyNumberFormat="1" applyFont="1" applyFill="1" applyBorder="1" applyAlignment="1">
      <alignment vertical="center" wrapText="1"/>
    </xf>
    <xf numFmtId="0" fontId="0" fillId="0" borderId="0" xfId="0" applyAlignment="1">
      <alignment horizontal="left"/>
    </xf>
    <xf numFmtId="6" fontId="0" fillId="4" borderId="2" xfId="0" applyNumberFormat="1" applyFill="1" applyBorder="1"/>
    <xf numFmtId="0" fontId="1" fillId="0" borderId="2" xfId="0" applyFont="1" applyBorder="1"/>
    <xf numFmtId="0" fontId="13" fillId="3" borderId="30" xfId="0" applyFont="1" applyFill="1" applyBorder="1" applyAlignment="1">
      <alignment horizontal="center" vertical="center"/>
    </xf>
    <xf numFmtId="0" fontId="13" fillId="3" borderId="4" xfId="0" applyFont="1" applyFill="1" applyBorder="1" applyAlignment="1">
      <alignment horizontal="center" vertical="center"/>
    </xf>
    <xf numFmtId="6" fontId="23" fillId="0" borderId="0" xfId="13" applyNumberFormat="1" applyFont="1" applyFill="1" applyBorder="1" applyAlignment="1"/>
    <xf numFmtId="0" fontId="19" fillId="0" borderId="0" xfId="13" applyFont="1" applyFill="1" applyBorder="1" applyAlignment="1">
      <alignment horizontal="left" vertical="center"/>
    </xf>
    <xf numFmtId="0" fontId="22" fillId="0" borderId="0" xfId="13" applyFont="1" applyFill="1" applyBorder="1"/>
    <xf numFmtId="171" fontId="33" fillId="0" borderId="2" xfId="18" applyNumberFormat="1" applyFont="1" applyBorder="1"/>
    <xf numFmtId="0" fontId="34" fillId="7" borderId="2" xfId="0" applyFont="1" applyFill="1" applyBorder="1" applyAlignment="1">
      <alignment horizontal="left" wrapText="1"/>
    </xf>
    <xf numFmtId="9" fontId="35" fillId="7" borderId="2" xfId="0" applyNumberFormat="1" applyFont="1" applyFill="1" applyBorder="1"/>
    <xf numFmtId="171" fontId="34" fillId="0" borderId="2" xfId="18" applyNumberFormat="1" applyFont="1" applyFill="1" applyBorder="1"/>
    <xf numFmtId="0" fontId="36" fillId="6" borderId="36" xfId="0" applyFont="1" applyFill="1" applyBorder="1" applyAlignment="1">
      <alignment horizontal="center" vertical="center"/>
    </xf>
    <xf numFmtId="44" fontId="0" fillId="4" borderId="0" xfId="18" applyFont="1" applyFill="1"/>
    <xf numFmtId="0" fontId="38" fillId="0" borderId="0" xfId="0" applyFont="1"/>
    <xf numFmtId="0" fontId="13" fillId="3" borderId="4" xfId="0" applyFont="1" applyFill="1" applyBorder="1" applyAlignment="1">
      <alignment horizontal="center" vertical="center"/>
    </xf>
    <xf numFmtId="0" fontId="19" fillId="6" borderId="40" xfId="0" applyFont="1" applyFill="1" applyBorder="1" applyAlignment="1">
      <alignment horizontal="center" vertical="center" wrapText="1"/>
    </xf>
    <xf numFmtId="0" fontId="19" fillId="6" borderId="2" xfId="0" applyFont="1" applyFill="1" applyBorder="1" applyAlignment="1">
      <alignment horizontal="center" vertical="center" wrapText="1"/>
    </xf>
    <xf numFmtId="0" fontId="19" fillId="6" borderId="52" xfId="0" applyFont="1" applyFill="1" applyBorder="1" applyAlignment="1">
      <alignment horizontal="center" vertical="center" wrapText="1"/>
    </xf>
    <xf numFmtId="0" fontId="29" fillId="4" borderId="0" xfId="0" applyFont="1" applyFill="1" applyBorder="1" applyAlignment="1">
      <alignment horizontal="center" vertical="center" wrapText="1"/>
    </xf>
    <xf numFmtId="0" fontId="29" fillId="4" borderId="0" xfId="0" applyFont="1" applyFill="1" applyBorder="1" applyAlignment="1">
      <alignment horizontal="center"/>
    </xf>
    <xf numFmtId="0" fontId="29" fillId="4" borderId="0" xfId="0" applyFont="1" applyFill="1" applyBorder="1"/>
    <xf numFmtId="0" fontId="21" fillId="3" borderId="2" xfId="0" applyFont="1" applyFill="1" applyBorder="1" applyAlignment="1">
      <alignment horizontal="center" vertical="center"/>
    </xf>
    <xf numFmtId="0" fontId="21" fillId="3" borderId="28" xfId="0" applyFont="1" applyFill="1" applyBorder="1" applyAlignment="1">
      <alignment horizontal="center" vertical="center"/>
    </xf>
    <xf numFmtId="0" fontId="29" fillId="10" borderId="37" xfId="0" applyFont="1" applyFill="1" applyBorder="1" applyAlignment="1">
      <alignment horizontal="center" vertical="center" wrapText="1"/>
    </xf>
    <xf numFmtId="0" fontId="19" fillId="6" borderId="49" xfId="0" applyFont="1" applyFill="1" applyBorder="1" applyAlignment="1">
      <alignment horizontal="center" vertical="center" wrapText="1"/>
    </xf>
    <xf numFmtId="6" fontId="29" fillId="4" borderId="0" xfId="0" applyNumberFormat="1" applyFont="1" applyFill="1" applyBorder="1"/>
    <xf numFmtId="6" fontId="0" fillId="0" borderId="28" xfId="0" applyNumberFormat="1" applyBorder="1"/>
    <xf numFmtId="6" fontId="0" fillId="0" borderId="41" xfId="0" applyNumberFormat="1" applyBorder="1"/>
    <xf numFmtId="6" fontId="0" fillId="4" borderId="28" xfId="0" applyNumberFormat="1" applyFill="1" applyBorder="1"/>
    <xf numFmtId="0" fontId="29" fillId="11" borderId="37" xfId="0" applyFont="1" applyFill="1" applyBorder="1" applyAlignment="1">
      <alignment horizontal="center" vertical="center" wrapText="1"/>
    </xf>
    <xf numFmtId="0" fontId="0" fillId="0" borderId="2" xfId="0" applyFill="1" applyBorder="1"/>
    <xf numFmtId="0" fontId="21" fillId="11" borderId="27" xfId="0" applyFont="1" applyFill="1" applyBorder="1" applyAlignment="1">
      <alignment horizontal="center" vertical="center"/>
    </xf>
    <xf numFmtId="0" fontId="21" fillId="11" borderId="34" xfId="0" applyFont="1" applyFill="1" applyBorder="1" applyAlignment="1">
      <alignment horizontal="center" vertical="center"/>
    </xf>
    <xf numFmtId="0" fontId="21" fillId="11" borderId="54" xfId="0" applyFont="1" applyFill="1" applyBorder="1" applyAlignment="1">
      <alignment horizontal="center" vertical="center"/>
    </xf>
    <xf numFmtId="0" fontId="21" fillId="11" borderId="55" xfId="0" applyFont="1" applyFill="1" applyBorder="1" applyAlignment="1">
      <alignment horizontal="center" vertical="center"/>
    </xf>
    <xf numFmtId="0" fontId="21" fillId="12" borderId="48" xfId="0" applyFont="1" applyFill="1" applyBorder="1" applyAlignment="1">
      <alignment horizontal="center" vertical="center"/>
    </xf>
    <xf numFmtId="0" fontId="21" fillId="12" borderId="27" xfId="0" applyFont="1" applyFill="1" applyBorder="1" applyAlignment="1">
      <alignment horizontal="center" vertical="center"/>
    </xf>
    <xf numFmtId="0" fontId="21" fillId="12" borderId="34" xfId="0" applyFont="1" applyFill="1" applyBorder="1" applyAlignment="1">
      <alignment horizontal="center" vertical="center"/>
    </xf>
    <xf numFmtId="0" fontId="19" fillId="6" borderId="8" xfId="0" applyFont="1" applyFill="1" applyBorder="1" applyAlignment="1">
      <alignment horizontal="center" vertical="center" wrapText="1"/>
    </xf>
    <xf numFmtId="0" fontId="21" fillId="12" borderId="25" xfId="0" applyFont="1" applyFill="1" applyBorder="1" applyAlignment="1">
      <alignment horizontal="center" vertical="center"/>
    </xf>
    <xf numFmtId="0" fontId="21" fillId="12" borderId="3" xfId="0" applyFont="1" applyFill="1" applyBorder="1" applyAlignment="1">
      <alignment horizontal="center" vertical="center"/>
    </xf>
    <xf numFmtId="0" fontId="21" fillId="12" borderId="33" xfId="0" applyFont="1" applyFill="1" applyBorder="1" applyAlignment="1">
      <alignment horizontal="center" vertical="center"/>
    </xf>
    <xf numFmtId="0" fontId="21" fillId="10" borderId="27" xfId="0" applyFont="1" applyFill="1" applyBorder="1" applyAlignment="1">
      <alignment horizontal="center" vertical="center"/>
    </xf>
    <xf numFmtId="0" fontId="21" fillId="10" borderId="34" xfId="0" applyFont="1" applyFill="1" applyBorder="1" applyAlignment="1">
      <alignment horizontal="center" vertical="center"/>
    </xf>
    <xf numFmtId="0" fontId="21" fillId="10" borderId="3" xfId="0" applyFont="1" applyFill="1" applyBorder="1" applyAlignment="1">
      <alignment horizontal="center" vertical="center"/>
    </xf>
    <xf numFmtId="0" fontId="21" fillId="10" borderId="33" xfId="0" applyFont="1" applyFill="1" applyBorder="1" applyAlignment="1">
      <alignment horizontal="center" vertical="center"/>
    </xf>
    <xf numFmtId="0" fontId="19" fillId="8" borderId="43" xfId="13" applyFont="1" applyFill="1" applyBorder="1" applyAlignment="1">
      <alignment horizontal="center" vertical="center" wrapText="1"/>
    </xf>
    <xf numFmtId="0" fontId="19" fillId="6" borderId="37" xfId="0" applyFont="1" applyFill="1" applyBorder="1" applyAlignment="1">
      <alignment horizontal="center" vertical="center" wrapText="1"/>
    </xf>
    <xf numFmtId="15" fontId="0" fillId="0" borderId="0" xfId="0" applyNumberFormat="1"/>
    <xf numFmtId="16" fontId="0" fillId="0" borderId="0" xfId="0" applyNumberFormat="1"/>
    <xf numFmtId="0" fontId="1" fillId="0" borderId="0" xfId="0" applyFont="1" applyFill="1" applyBorder="1"/>
    <xf numFmtId="172" fontId="1" fillId="0" borderId="0" xfId="18" applyNumberFormat="1" applyFont="1"/>
    <xf numFmtId="0" fontId="19" fillId="9" borderId="0" xfId="13" applyFont="1" applyFill="1" applyBorder="1" applyAlignment="1">
      <alignment horizontal="left" vertical="center" wrapText="1"/>
    </xf>
    <xf numFmtId="6" fontId="19" fillId="0" borderId="2" xfId="13" applyNumberFormat="1" applyFont="1" applyBorder="1" applyAlignment="1">
      <alignment horizontal="right" vertical="center"/>
    </xf>
    <xf numFmtId="6" fontId="20" fillId="9" borderId="2" xfId="13" applyNumberFormat="1" applyFont="1" applyFill="1" applyBorder="1" applyAlignment="1">
      <alignment horizontal="right" vertical="center" wrapText="1"/>
    </xf>
    <xf numFmtId="6" fontId="22" fillId="0" borderId="0" xfId="13" applyNumberFormat="1" applyFont="1" applyBorder="1"/>
    <xf numFmtId="6" fontId="0" fillId="0" borderId="0" xfId="0" applyNumberFormat="1" applyBorder="1"/>
    <xf numFmtId="0" fontId="21" fillId="11" borderId="26" xfId="0" applyFont="1" applyFill="1" applyBorder="1" applyAlignment="1">
      <alignment horizontal="center" vertical="center"/>
    </xf>
    <xf numFmtId="0" fontId="21" fillId="11" borderId="3" xfId="0" applyFont="1" applyFill="1" applyBorder="1" applyAlignment="1">
      <alignment horizontal="center" vertical="center"/>
    </xf>
    <xf numFmtId="0" fontId="4" fillId="11" borderId="26" xfId="0" applyFont="1" applyFill="1" applyBorder="1" applyAlignment="1">
      <alignment horizontal="center" vertical="center" wrapText="1"/>
    </xf>
    <xf numFmtId="0" fontId="1" fillId="11" borderId="26" xfId="0" applyFont="1" applyFill="1" applyBorder="1" applyAlignment="1">
      <alignment horizontal="center" vertical="center" wrapText="1"/>
    </xf>
    <xf numFmtId="0" fontId="4" fillId="11" borderId="56" xfId="0" applyFont="1" applyFill="1" applyBorder="1" applyAlignment="1">
      <alignment horizontal="center" vertical="center" wrapText="1"/>
    </xf>
    <xf numFmtId="0" fontId="21" fillId="11" borderId="33" xfId="0" applyFont="1" applyFill="1" applyBorder="1" applyAlignment="1">
      <alignment horizontal="center" vertical="center"/>
    </xf>
    <xf numFmtId="0" fontId="30" fillId="11" borderId="57" xfId="0" applyFont="1" applyFill="1" applyBorder="1" applyAlignment="1">
      <alignment horizontal="center" vertical="center"/>
    </xf>
    <xf numFmtId="0" fontId="19" fillId="6" borderId="36" xfId="0" applyFont="1" applyFill="1" applyBorder="1" applyAlignment="1">
      <alignment horizontal="center" vertical="center" wrapText="1"/>
    </xf>
    <xf numFmtId="0" fontId="21" fillId="10" borderId="4" xfId="0" applyFont="1" applyFill="1" applyBorder="1" applyAlignment="1">
      <alignment horizontal="center" vertical="center"/>
    </xf>
    <xf numFmtId="0" fontId="21" fillId="10" borderId="5" xfId="0" applyFont="1" applyFill="1" applyBorder="1" applyAlignment="1">
      <alignment horizontal="center" vertical="center"/>
    </xf>
    <xf numFmtId="0" fontId="30" fillId="3" borderId="4" xfId="0" applyFont="1" applyFill="1" applyBorder="1" applyAlignment="1">
      <alignment vertical="center"/>
    </xf>
    <xf numFmtId="0" fontId="21" fillId="10" borderId="26" xfId="0" applyFont="1" applyFill="1" applyBorder="1" applyAlignment="1">
      <alignment horizontal="center" vertical="center"/>
    </xf>
    <xf numFmtId="0" fontId="4" fillId="10" borderId="26" xfId="0" applyFont="1" applyFill="1" applyBorder="1" applyAlignment="1">
      <alignment horizontal="center" vertical="center" wrapText="1"/>
    </xf>
    <xf numFmtId="0" fontId="1" fillId="10" borderId="26" xfId="0" applyFont="1" applyFill="1" applyBorder="1" applyAlignment="1">
      <alignment horizontal="center" vertical="center" wrapText="1"/>
    </xf>
    <xf numFmtId="44" fontId="4" fillId="10" borderId="56" xfId="18" applyFont="1" applyFill="1" applyBorder="1" applyAlignment="1">
      <alignment horizontal="center" vertical="center" wrapText="1"/>
    </xf>
    <xf numFmtId="0" fontId="19" fillId="6" borderId="60" xfId="0" applyFont="1" applyFill="1" applyBorder="1" applyAlignment="1">
      <alignment horizontal="center" vertical="center" wrapText="1"/>
    </xf>
    <xf numFmtId="0" fontId="21" fillId="3" borderId="1" xfId="0" applyFont="1" applyFill="1" applyBorder="1" applyAlignment="1">
      <alignment horizontal="center" vertical="center"/>
    </xf>
    <xf numFmtId="0" fontId="21" fillId="3" borderId="32" xfId="0" applyFont="1" applyFill="1" applyBorder="1" applyAlignment="1">
      <alignment horizontal="center" vertical="center"/>
    </xf>
    <xf numFmtId="0" fontId="30" fillId="3" borderId="15" xfId="0" applyFont="1" applyFill="1" applyBorder="1" applyAlignment="1">
      <alignment vertical="center"/>
    </xf>
    <xf numFmtId="0" fontId="30" fillId="3" borderId="5" xfId="0" applyFont="1" applyFill="1" applyBorder="1" applyAlignment="1">
      <alignment vertical="center"/>
    </xf>
    <xf numFmtId="0" fontId="20" fillId="6" borderId="23" xfId="0" applyFont="1" applyFill="1" applyBorder="1" applyAlignment="1">
      <alignment horizontal="center" vertical="center" wrapText="1"/>
    </xf>
    <xf numFmtId="0" fontId="20" fillId="6" borderId="24" xfId="0" applyFont="1" applyFill="1" applyBorder="1" applyAlignment="1">
      <alignment horizontal="center" vertical="center" wrapText="1"/>
    </xf>
    <xf numFmtId="0" fontId="39" fillId="0" borderId="0" xfId="0" applyFont="1" applyAlignment="1">
      <alignment horizontal="left" vertical="center" indent="2"/>
    </xf>
    <xf numFmtId="0" fontId="40" fillId="0" borderId="0" xfId="0" applyFont="1" applyAlignment="1">
      <alignment horizontal="left" vertical="center" indent="4"/>
    </xf>
    <xf numFmtId="0" fontId="1" fillId="0" borderId="0" xfId="0" applyFont="1" applyAlignment="1">
      <alignment horizontal="left" vertical="center" indent="4"/>
    </xf>
    <xf numFmtId="0" fontId="1" fillId="0" borderId="0" xfId="0" applyFont="1" applyAlignment="1">
      <alignment vertical="center"/>
    </xf>
    <xf numFmtId="171" fontId="0" fillId="0" borderId="0" xfId="0" applyNumberFormat="1"/>
    <xf numFmtId="0" fontId="19" fillId="6" borderId="37" xfId="0" applyFont="1" applyFill="1" applyBorder="1" applyAlignment="1">
      <alignment horizontal="center" vertical="center" wrapText="1"/>
    </xf>
    <xf numFmtId="0" fontId="13" fillId="4" borderId="0" xfId="0" applyFont="1" applyFill="1" applyAlignment="1">
      <alignment horizontal="left"/>
    </xf>
    <xf numFmtId="0" fontId="18" fillId="7" borderId="14" xfId="0" applyFont="1" applyFill="1" applyBorder="1"/>
    <xf numFmtId="0" fontId="18" fillId="7" borderId="7" xfId="0" applyFont="1" applyFill="1" applyBorder="1"/>
    <xf numFmtId="0" fontId="18" fillId="7" borderId="8" xfId="0" applyFont="1" applyFill="1" applyBorder="1"/>
    <xf numFmtId="0" fontId="0" fillId="4" borderId="0" xfId="0" applyFill="1" applyAlignment="1">
      <alignment vertical="center"/>
    </xf>
    <xf numFmtId="0" fontId="0" fillId="4" borderId="0" xfId="0" applyFill="1" applyAlignment="1">
      <alignment horizontal="center" vertical="center"/>
    </xf>
    <xf numFmtId="0" fontId="11" fillId="7" borderId="61" xfId="0" applyFont="1" applyFill="1" applyBorder="1" applyAlignment="1">
      <alignment horizontal="center" vertical="center" wrapText="1"/>
    </xf>
    <xf numFmtId="0" fontId="19" fillId="6" borderId="36" xfId="0" applyFont="1" applyFill="1" applyBorder="1" applyAlignment="1">
      <alignment vertical="center" wrapText="1"/>
    </xf>
    <xf numFmtId="0" fontId="21" fillId="11" borderId="58" xfId="0" applyFont="1" applyFill="1" applyBorder="1" applyAlignment="1">
      <alignment horizontal="center" vertical="center"/>
    </xf>
    <xf numFmtId="0" fontId="21" fillId="11" borderId="62" xfId="0" applyFont="1" applyFill="1" applyBorder="1" applyAlignment="1">
      <alignment horizontal="center" vertical="center"/>
    </xf>
    <xf numFmtId="0" fontId="21" fillId="11" borderId="24" xfId="0" applyFont="1" applyFill="1" applyBorder="1" applyAlignment="1">
      <alignment horizontal="center" vertical="center"/>
    </xf>
    <xf numFmtId="0" fontId="21" fillId="11" borderId="25" xfId="0" applyFont="1" applyFill="1" applyBorder="1" applyAlignment="1">
      <alignment horizontal="center" vertical="center"/>
    </xf>
    <xf numFmtId="0" fontId="29" fillId="12" borderId="36" xfId="0" applyFont="1" applyFill="1" applyBorder="1" applyAlignment="1">
      <alignment horizontal="center" vertical="center" wrapText="1"/>
    </xf>
    <xf numFmtId="0" fontId="36" fillId="6" borderId="36" xfId="0" applyFont="1" applyFill="1" applyBorder="1" applyAlignment="1">
      <alignment horizontal="center" vertical="center" wrapText="1"/>
    </xf>
    <xf numFmtId="0" fontId="36" fillId="6" borderId="59" xfId="0" applyFont="1" applyFill="1" applyBorder="1" applyAlignment="1">
      <alignment vertical="center" wrapText="1"/>
    </xf>
    <xf numFmtId="0" fontId="36" fillId="6" borderId="36" xfId="0" applyFont="1" applyFill="1" applyBorder="1" applyAlignment="1">
      <alignment vertical="center" wrapText="1"/>
    </xf>
    <xf numFmtId="0" fontId="36" fillId="6" borderId="50" xfId="0" applyFont="1" applyFill="1" applyBorder="1" applyAlignment="1">
      <alignment horizontal="center" vertical="center" wrapText="1"/>
    </xf>
    <xf numFmtId="0" fontId="21" fillId="12" borderId="53" xfId="0" applyFont="1" applyFill="1" applyBorder="1" applyAlignment="1">
      <alignment horizontal="center" vertical="center"/>
    </xf>
    <xf numFmtId="0" fontId="21" fillId="12" borderId="54" xfId="0" applyFont="1" applyFill="1" applyBorder="1" applyAlignment="1">
      <alignment horizontal="center" vertical="center"/>
    </xf>
    <xf numFmtId="0" fontId="1" fillId="12" borderId="54" xfId="0" applyFont="1" applyFill="1" applyBorder="1" applyAlignment="1">
      <alignment horizontal="center" vertical="center" wrapText="1"/>
    </xf>
    <xf numFmtId="0" fontId="4" fillId="12" borderId="54" xfId="0" applyFont="1" applyFill="1" applyBorder="1" applyAlignment="1">
      <alignment horizontal="center" vertical="center" wrapText="1"/>
    </xf>
    <xf numFmtId="0" fontId="1" fillId="12" borderId="55" xfId="0" applyFont="1" applyFill="1" applyBorder="1" applyAlignment="1">
      <alignment horizontal="center" vertical="center" wrapText="1"/>
    </xf>
    <xf numFmtId="0" fontId="41" fillId="4" borderId="0" xfId="0" applyFont="1" applyFill="1" applyBorder="1" applyAlignment="1">
      <alignment horizontal="center"/>
    </xf>
    <xf numFmtId="0" fontId="29" fillId="12" borderId="36" xfId="0" applyFont="1" applyFill="1" applyBorder="1" applyAlignment="1">
      <alignment horizontal="center" vertical="center"/>
    </xf>
    <xf numFmtId="0" fontId="29" fillId="12" borderId="36" xfId="0" applyFont="1" applyFill="1" applyBorder="1" applyAlignment="1">
      <alignment vertical="center"/>
    </xf>
    <xf numFmtId="0" fontId="18" fillId="7" borderId="16" xfId="0" applyFont="1" applyFill="1" applyBorder="1"/>
    <xf numFmtId="0" fontId="18" fillId="7" borderId="22" xfId="0" applyFont="1" applyFill="1" applyBorder="1"/>
    <xf numFmtId="0" fontId="18" fillId="7" borderId="17" xfId="0" applyFont="1" applyFill="1" applyBorder="1"/>
    <xf numFmtId="1" fontId="15" fillId="4" borderId="14" xfId="0" applyNumberFormat="1" applyFont="1" applyFill="1" applyBorder="1"/>
    <xf numFmtId="0" fontId="18" fillId="4" borderId="7" xfId="0" applyFont="1" applyFill="1" applyBorder="1" applyAlignment="1">
      <alignment horizontal="left"/>
    </xf>
    <xf numFmtId="1" fontId="15" fillId="4" borderId="8" xfId="0" applyNumberFormat="1" applyFont="1" applyFill="1" applyBorder="1"/>
    <xf numFmtId="0" fontId="36" fillId="6" borderId="40" xfId="0" applyFont="1" applyFill="1" applyBorder="1" applyAlignment="1">
      <alignment horizontal="center" vertical="center"/>
    </xf>
    <xf numFmtId="0" fontId="34" fillId="7" borderId="2" xfId="0" applyFont="1" applyFill="1" applyBorder="1" applyAlignment="1">
      <alignment horizontal="left" vertical="center" wrapText="1"/>
    </xf>
    <xf numFmtId="172" fontId="0" fillId="0" borderId="0" xfId="18" applyNumberFormat="1" applyFont="1"/>
    <xf numFmtId="172" fontId="0" fillId="0" borderId="0" xfId="0" applyNumberFormat="1"/>
    <xf numFmtId="10" fontId="35" fillId="7" borderId="2" xfId="0" applyNumberFormat="1" applyFont="1" applyFill="1" applyBorder="1"/>
    <xf numFmtId="9" fontId="0" fillId="0" borderId="0" xfId="0" applyNumberFormat="1"/>
    <xf numFmtId="0" fontId="35" fillId="0" borderId="8" xfId="0" applyFont="1" applyBorder="1" applyAlignment="1">
      <alignment horizontal="left" vertical="center" wrapText="1"/>
    </xf>
    <xf numFmtId="0" fontId="35" fillId="0" borderId="3" xfId="0" applyFont="1" applyBorder="1" applyAlignment="1">
      <alignment horizontal="left" vertical="center" wrapText="1"/>
    </xf>
    <xf numFmtId="0" fontId="37" fillId="0" borderId="2" xfId="0" applyFont="1" applyBorder="1" applyAlignment="1">
      <alignment vertical="center" wrapText="1"/>
    </xf>
    <xf numFmtId="172" fontId="37" fillId="0" borderId="47" xfId="18" applyNumberFormat="1" applyFont="1" applyBorder="1" applyAlignment="1">
      <alignment horizontal="justify" vertical="center" wrapText="1"/>
    </xf>
    <xf numFmtId="173" fontId="1" fillId="4" borderId="53" xfId="5" applyNumberFormat="1" applyFont="1" applyFill="1" applyBorder="1" applyAlignment="1">
      <alignment horizontal="right" vertical="center" wrapText="1"/>
    </xf>
    <xf numFmtId="173" fontId="1" fillId="4" borderId="54" xfId="5" applyNumberFormat="1" applyFont="1" applyFill="1" applyBorder="1" applyAlignment="1">
      <alignment horizontal="right" vertical="center" wrapText="1"/>
    </xf>
    <xf numFmtId="173" fontId="1" fillId="4" borderId="55" xfId="5" applyNumberFormat="1" applyFont="1" applyFill="1" applyBorder="1" applyAlignment="1">
      <alignment horizontal="right" vertical="center" wrapText="1"/>
    </xf>
    <xf numFmtId="173" fontId="1" fillId="4" borderId="62" xfId="5" applyNumberFormat="1" applyFont="1" applyFill="1" applyBorder="1" applyAlignment="1">
      <alignment horizontal="right" vertical="center" wrapText="1"/>
    </xf>
    <xf numFmtId="172" fontId="37" fillId="0" borderId="54" xfId="18" applyNumberFormat="1" applyFont="1" applyBorder="1" applyAlignment="1">
      <alignment horizontal="justify" vertical="center" wrapText="1"/>
    </xf>
    <xf numFmtId="44" fontId="38" fillId="0" borderId="0" xfId="18" applyFont="1"/>
    <xf numFmtId="0" fontId="37" fillId="0" borderId="51" xfId="0" applyFont="1" applyBorder="1" applyAlignment="1">
      <alignment vertical="center" wrapText="1"/>
    </xf>
    <xf numFmtId="0" fontId="36" fillId="6" borderId="40" xfId="0" applyFont="1" applyFill="1" applyBorder="1" applyAlignment="1">
      <alignment horizontal="center" vertical="center" wrapText="1"/>
    </xf>
    <xf numFmtId="0" fontId="15" fillId="4" borderId="5" xfId="0" applyFont="1" applyFill="1" applyBorder="1"/>
    <xf numFmtId="174" fontId="1" fillId="4" borderId="25" xfId="5" applyNumberFormat="1" applyFont="1" applyFill="1" applyBorder="1" applyAlignment="1">
      <alignment horizontal="right" vertical="center" wrapText="1"/>
    </xf>
    <xf numFmtId="174" fontId="1" fillId="4" borderId="3" xfId="5" applyNumberFormat="1" applyFont="1" applyFill="1" applyBorder="1" applyAlignment="1">
      <alignment horizontal="right" vertical="center" wrapText="1"/>
    </xf>
    <xf numFmtId="174" fontId="1" fillId="4" borderId="33" xfId="5" applyNumberFormat="1" applyFont="1" applyFill="1" applyBorder="1" applyAlignment="1">
      <alignment horizontal="right" vertical="center" wrapText="1"/>
    </xf>
    <xf numFmtId="174" fontId="1" fillId="4" borderId="8" xfId="5" applyNumberFormat="1" applyFont="1" applyFill="1" applyBorder="1" applyAlignment="1">
      <alignment horizontal="right" vertical="center" wrapText="1"/>
    </xf>
    <xf numFmtId="174" fontId="1" fillId="4" borderId="5" xfId="5" applyNumberFormat="1" applyFont="1" applyFill="1" applyBorder="1" applyAlignment="1">
      <alignment horizontal="right" vertical="center" wrapText="1"/>
    </xf>
    <xf numFmtId="174" fontId="37" fillId="0" borderId="11" xfId="18" applyNumberFormat="1" applyFont="1" applyBorder="1" applyAlignment="1">
      <alignment horizontal="right" vertical="center" wrapText="1"/>
    </xf>
    <xf numFmtId="174" fontId="37" fillId="0" borderId="45" xfId="18" applyNumberFormat="1" applyFont="1" applyBorder="1" applyAlignment="1">
      <alignment horizontal="right" vertical="center" wrapText="1"/>
    </xf>
    <xf numFmtId="174" fontId="37" fillId="0" borderId="51" xfId="18" applyNumberFormat="1" applyFont="1" applyBorder="1" applyAlignment="1">
      <alignment horizontal="right" vertical="center" wrapText="1"/>
    </xf>
    <xf numFmtId="174" fontId="19" fillId="0" borderId="51" xfId="0" applyNumberFormat="1" applyFont="1" applyBorder="1" applyAlignment="1">
      <alignment horizontal="right" vertical="center"/>
    </xf>
    <xf numFmtId="174" fontId="1" fillId="4" borderId="33" xfId="5" applyNumberFormat="1" applyFont="1" applyFill="1" applyBorder="1" applyAlignment="1">
      <alignment vertical="center" wrapText="1"/>
    </xf>
    <xf numFmtId="174" fontId="1" fillId="4" borderId="8" xfId="5" applyNumberFormat="1" applyFont="1" applyFill="1" applyBorder="1" applyAlignment="1">
      <alignment vertical="center" wrapText="1"/>
    </xf>
    <xf numFmtId="174" fontId="1" fillId="4" borderId="3" xfId="5" applyNumberFormat="1" applyFont="1" applyFill="1" applyBorder="1" applyAlignment="1">
      <alignment vertical="center" wrapText="1"/>
    </xf>
    <xf numFmtId="174" fontId="37" fillId="0" borderId="3" xfId="18" applyNumberFormat="1" applyFont="1" applyBorder="1" applyAlignment="1">
      <alignment vertical="center" wrapText="1"/>
    </xf>
    <xf numFmtId="174" fontId="37" fillId="0" borderId="33" xfId="18" applyNumberFormat="1" applyFont="1" applyBorder="1" applyAlignment="1">
      <alignment horizontal="right" vertical="center" wrapText="1"/>
    </xf>
    <xf numFmtId="174" fontId="37" fillId="0" borderId="8" xfId="18" applyNumberFormat="1" applyFont="1" applyBorder="1" applyAlignment="1">
      <alignment horizontal="right" vertical="center" wrapText="1"/>
    </xf>
    <xf numFmtId="174" fontId="37" fillId="0" borderId="3" xfId="18" applyNumberFormat="1" applyFont="1" applyBorder="1" applyAlignment="1">
      <alignment horizontal="right" vertical="center" wrapText="1"/>
    </xf>
    <xf numFmtId="174" fontId="37" fillId="0" borderId="5" xfId="18" applyNumberFormat="1" applyFont="1" applyBorder="1" applyAlignment="1">
      <alignment horizontal="right" vertical="center" wrapText="1"/>
    </xf>
    <xf numFmtId="0" fontId="0" fillId="0" borderId="0" xfId="0" pivotButton="1"/>
    <xf numFmtId="0" fontId="0" fillId="0" borderId="0" xfId="0" applyNumberFormat="1"/>
    <xf numFmtId="0" fontId="1" fillId="13" borderId="24" xfId="0" applyFont="1" applyFill="1" applyBorder="1" applyAlignment="1">
      <alignment vertical="center" wrapText="1"/>
    </xf>
    <xf numFmtId="0" fontId="22" fillId="13" borderId="24" xfId="0" applyFont="1" applyFill="1" applyBorder="1" applyAlignment="1">
      <alignment horizontal="left" vertical="center" wrapText="1"/>
    </xf>
    <xf numFmtId="0" fontId="1" fillId="13" borderId="24" xfId="0" applyFont="1" applyFill="1" applyBorder="1" applyAlignment="1">
      <alignment horizontal="center" vertical="center" wrapText="1"/>
    </xf>
    <xf numFmtId="0" fontId="1" fillId="13" borderId="2" xfId="0" applyFont="1" applyFill="1" applyBorder="1" applyAlignment="1">
      <alignment vertical="center" wrapText="1"/>
    </xf>
    <xf numFmtId="0" fontId="22" fillId="13" borderId="2" xfId="0" applyFont="1" applyFill="1" applyBorder="1" applyAlignment="1">
      <alignment horizontal="left" vertical="center" wrapText="1"/>
    </xf>
    <xf numFmtId="0" fontId="1" fillId="13" borderId="2" xfId="0" applyFont="1" applyFill="1" applyBorder="1" applyAlignment="1">
      <alignment horizontal="center" vertical="center"/>
    </xf>
    <xf numFmtId="0" fontId="1" fillId="13" borderId="2" xfId="0" applyFont="1" applyFill="1" applyBorder="1" applyAlignment="1">
      <alignment horizontal="center" vertical="center" wrapText="1"/>
    </xf>
    <xf numFmtId="0" fontId="0" fillId="13" borderId="2" xfId="0" applyFill="1" applyBorder="1" applyAlignment="1"/>
    <xf numFmtId="0" fontId="1" fillId="13" borderId="2" xfId="0" applyFont="1" applyFill="1" applyBorder="1" applyAlignment="1">
      <alignment vertical="center"/>
    </xf>
    <xf numFmtId="0" fontId="1" fillId="13" borderId="44" xfId="0" applyFont="1" applyFill="1" applyBorder="1" applyAlignment="1">
      <alignment vertical="center"/>
    </xf>
    <xf numFmtId="0" fontId="1" fillId="13" borderId="28" xfId="0" applyFont="1" applyFill="1" applyBorder="1" applyAlignment="1">
      <alignment vertical="center" wrapText="1"/>
    </xf>
    <xf numFmtId="0" fontId="1" fillId="13" borderId="0" xfId="0" applyFont="1" applyFill="1" applyBorder="1" applyAlignment="1">
      <alignment vertical="center"/>
    </xf>
    <xf numFmtId="0" fontId="1" fillId="13" borderId="28" xfId="0" applyFont="1" applyFill="1" applyBorder="1" applyAlignment="1">
      <alignment horizontal="center" vertical="center"/>
    </xf>
    <xf numFmtId="0" fontId="1" fillId="13" borderId="28" xfId="0" applyFont="1" applyFill="1" applyBorder="1" applyAlignment="1">
      <alignment horizontal="center" vertical="center" wrapText="1"/>
    </xf>
    <xf numFmtId="0" fontId="1" fillId="13" borderId="2" xfId="0" applyFont="1" applyFill="1" applyBorder="1" applyAlignment="1"/>
    <xf numFmtId="0" fontId="1" fillId="14" borderId="24" xfId="0" applyFont="1" applyFill="1" applyBorder="1" applyAlignment="1">
      <alignment vertical="center" wrapText="1"/>
    </xf>
    <xf numFmtId="0" fontId="22" fillId="14" borderId="24" xfId="0" applyFont="1" applyFill="1" applyBorder="1" applyAlignment="1">
      <alignment horizontal="left" vertical="center" wrapText="1"/>
    </xf>
    <xf numFmtId="0" fontId="1" fillId="14" borderId="24" xfId="0" applyFont="1" applyFill="1" applyBorder="1" applyAlignment="1">
      <alignment horizontal="center" vertical="center" wrapText="1"/>
    </xf>
    <xf numFmtId="0" fontId="1" fillId="14" borderId="2" xfId="0" applyFont="1" applyFill="1" applyBorder="1" applyAlignment="1">
      <alignment vertical="center" wrapText="1"/>
    </xf>
    <xf numFmtId="0" fontId="22" fillId="14" borderId="2" xfId="0" applyFont="1" applyFill="1" applyBorder="1" applyAlignment="1">
      <alignment horizontal="left" vertical="center" wrapText="1"/>
    </xf>
    <xf numFmtId="0" fontId="1" fillId="14" borderId="2" xfId="0" applyFont="1" applyFill="1" applyBorder="1" applyAlignment="1">
      <alignment horizontal="center" vertical="center"/>
    </xf>
    <xf numFmtId="0" fontId="1" fillId="14" borderId="2" xfId="0" applyFont="1" applyFill="1" applyBorder="1" applyAlignment="1">
      <alignment horizontal="center" vertical="center" wrapText="1"/>
    </xf>
    <xf numFmtId="0" fontId="1" fillId="14" borderId="2" xfId="19" applyFont="1" applyFill="1" applyBorder="1" applyAlignment="1">
      <alignment vertical="center" wrapText="1"/>
    </xf>
    <xf numFmtId="0" fontId="22" fillId="14" borderId="2" xfId="19" applyFont="1" applyFill="1" applyBorder="1" applyAlignment="1">
      <alignment horizontal="left" vertical="center" wrapText="1"/>
    </xf>
    <xf numFmtId="0" fontId="1" fillId="14" borderId="2" xfId="19" applyFont="1" applyFill="1" applyBorder="1" applyAlignment="1">
      <alignment horizontal="center" vertical="center"/>
    </xf>
    <xf numFmtId="0" fontId="1" fillId="14" borderId="2" xfId="19" applyFont="1" applyFill="1" applyBorder="1" applyAlignment="1">
      <alignment horizontal="center" vertical="center" wrapText="1"/>
    </xf>
    <xf numFmtId="0" fontId="0" fillId="14" borderId="2" xfId="0" applyFill="1" applyBorder="1" applyAlignment="1"/>
    <xf numFmtId="0" fontId="1" fillId="14" borderId="2" xfId="19" applyFont="1" applyFill="1" applyBorder="1" applyAlignment="1">
      <alignment vertical="center"/>
    </xf>
    <xf numFmtId="0" fontId="1" fillId="15" borderId="2" xfId="9" applyFont="1" applyFill="1" applyBorder="1" applyAlignment="1">
      <alignment horizontal="left" vertical="center" wrapText="1"/>
    </xf>
    <xf numFmtId="0" fontId="14" fillId="15" borderId="2" xfId="0" applyFont="1" applyFill="1" applyBorder="1" applyAlignment="1">
      <alignment horizontal="left" vertical="center" wrapText="1"/>
    </xf>
    <xf numFmtId="0" fontId="1" fillId="15" borderId="2" xfId="9" applyFont="1" applyFill="1" applyBorder="1" applyAlignment="1">
      <alignment horizontal="center" vertical="center" wrapText="1"/>
    </xf>
    <xf numFmtId="0" fontId="1" fillId="15" borderId="2" xfId="0" applyFont="1" applyFill="1" applyBorder="1" applyAlignment="1">
      <alignment vertical="center" wrapText="1"/>
    </xf>
    <xf numFmtId="0" fontId="1" fillId="15" borderId="2" xfId="0" applyFont="1" applyFill="1" applyBorder="1" applyAlignment="1">
      <alignment horizontal="center" vertical="center" wrapText="1"/>
    </xf>
    <xf numFmtId="0" fontId="4" fillId="15" borderId="2" xfId="9" applyFont="1" applyFill="1" applyBorder="1" applyAlignment="1">
      <alignment horizontal="left" wrapText="1"/>
    </xf>
    <xf numFmtId="0" fontId="1" fillId="15" borderId="2" xfId="0" applyFont="1" applyFill="1" applyBorder="1" applyAlignment="1">
      <alignment vertical="top" wrapText="1"/>
    </xf>
    <xf numFmtId="0" fontId="0" fillId="15" borderId="2" xfId="0" applyFill="1" applyBorder="1" applyAlignment="1"/>
    <xf numFmtId="0" fontId="1" fillId="16" borderId="2" xfId="0" applyFont="1" applyFill="1" applyBorder="1" applyAlignment="1">
      <alignment vertical="center"/>
    </xf>
    <xf numFmtId="0" fontId="1" fillId="16" borderId="2" xfId="0" applyFont="1" applyFill="1" applyBorder="1" applyAlignment="1">
      <alignment horizontal="center" vertical="center"/>
    </xf>
    <xf numFmtId="0" fontId="1" fillId="16" borderId="2" xfId="0" applyFont="1" applyFill="1" applyBorder="1" applyAlignment="1">
      <alignment vertical="center" wrapText="1"/>
    </xf>
    <xf numFmtId="0" fontId="1" fillId="16" borderId="2" xfId="0" applyFont="1" applyFill="1" applyBorder="1" applyAlignment="1">
      <alignment horizontal="center" vertical="center" wrapText="1"/>
    </xf>
    <xf numFmtId="0" fontId="0" fillId="16" borderId="2" xfId="0" applyFill="1" applyBorder="1" applyAlignment="1"/>
    <xf numFmtId="0" fontId="0" fillId="16" borderId="2" xfId="0" applyFill="1" applyBorder="1" applyAlignment="1">
      <alignment vertical="center"/>
    </xf>
    <xf numFmtId="0" fontId="19" fillId="6" borderId="37" xfId="0" applyFont="1" applyFill="1" applyBorder="1" applyAlignment="1">
      <alignment horizontal="center" vertical="center" wrapText="1"/>
    </xf>
    <xf numFmtId="0" fontId="29" fillId="12" borderId="37" xfId="0" applyFont="1" applyFill="1" applyBorder="1" applyAlignment="1">
      <alignment horizontal="center" vertical="center"/>
    </xf>
    <xf numFmtId="0" fontId="21" fillId="11" borderId="18" xfId="0" applyFont="1" applyFill="1" applyBorder="1" applyAlignment="1">
      <alignment horizontal="center" vertical="center"/>
    </xf>
    <xf numFmtId="0" fontId="30" fillId="11" borderId="65" xfId="0" applyFont="1" applyFill="1" applyBorder="1" applyAlignment="1">
      <alignment horizontal="center" vertical="center"/>
    </xf>
    <xf numFmtId="0" fontId="20" fillId="6" borderId="67" xfId="0" applyFont="1" applyFill="1" applyBorder="1" applyAlignment="1">
      <alignment horizontal="center" vertical="center" wrapText="1"/>
    </xf>
    <xf numFmtId="0" fontId="21" fillId="3" borderId="13" xfId="0" applyFont="1" applyFill="1" applyBorder="1" applyAlignment="1">
      <alignment horizontal="center" vertical="center"/>
    </xf>
    <xf numFmtId="0" fontId="21" fillId="3" borderId="41" xfId="0" applyFont="1" applyFill="1" applyBorder="1" applyAlignment="1">
      <alignment horizontal="center" vertical="center"/>
    </xf>
    <xf numFmtId="0" fontId="19" fillId="6" borderId="14" xfId="0" applyFont="1" applyFill="1" applyBorder="1" applyAlignment="1">
      <alignment horizontal="center" vertical="center" wrapText="1"/>
    </xf>
    <xf numFmtId="0" fontId="21" fillId="10" borderId="1" xfId="0" applyFont="1" applyFill="1" applyBorder="1" applyAlignment="1">
      <alignment horizontal="center" vertical="center"/>
    </xf>
    <xf numFmtId="0" fontId="21" fillId="10" borderId="15" xfId="0" applyFont="1" applyFill="1" applyBorder="1" applyAlignment="1">
      <alignment horizontal="center" vertical="center"/>
    </xf>
    <xf numFmtId="0" fontId="36" fillId="6" borderId="37" xfId="0" applyFont="1" applyFill="1" applyBorder="1" applyAlignment="1">
      <alignment vertical="center" wrapText="1"/>
    </xf>
    <xf numFmtId="0" fontId="21" fillId="12" borderId="68" xfId="0" applyFont="1" applyFill="1" applyBorder="1" applyAlignment="1">
      <alignment horizontal="center" vertical="center"/>
    </xf>
    <xf numFmtId="0" fontId="21" fillId="12" borderId="44" xfId="0" applyFont="1" applyFill="1" applyBorder="1" applyAlignment="1">
      <alignment horizontal="center" vertical="center"/>
    </xf>
    <xf numFmtId="0" fontId="21" fillId="12" borderId="69" xfId="0" applyFont="1" applyFill="1" applyBorder="1" applyAlignment="1">
      <alignment horizontal="center" vertical="center"/>
    </xf>
    <xf numFmtId="0" fontId="0" fillId="0" borderId="2" xfId="0" applyBorder="1" applyAlignment="1">
      <alignment horizontal="center"/>
    </xf>
    <xf numFmtId="6" fontId="20" fillId="4" borderId="2" xfId="13" applyNumberFormat="1" applyFont="1" applyFill="1" applyBorder="1" applyAlignment="1">
      <alignment horizontal="right" vertical="center"/>
    </xf>
    <xf numFmtId="0" fontId="19" fillId="8" borderId="28" xfId="13" applyFont="1" applyFill="1" applyBorder="1" applyAlignment="1">
      <alignment horizontal="center" vertical="center" wrapText="1"/>
    </xf>
    <xf numFmtId="0" fontId="37" fillId="0" borderId="2" xfId="0" applyFont="1" applyBorder="1" applyAlignment="1">
      <alignment vertical="center" wrapText="1"/>
    </xf>
    <xf numFmtId="0" fontId="37" fillId="0" borderId="7" xfId="0" applyFont="1" applyBorder="1" applyAlignment="1">
      <alignment vertical="center" wrapText="1"/>
    </xf>
    <xf numFmtId="174" fontId="37" fillId="0" borderId="8" xfId="18" applyNumberFormat="1" applyFont="1" applyBorder="1" applyAlignment="1">
      <alignment horizontal="right" vertical="center" wrapText="1"/>
    </xf>
    <xf numFmtId="174" fontId="37" fillId="0" borderId="5" xfId="18" applyNumberFormat="1" applyFont="1" applyBorder="1" applyAlignment="1">
      <alignment horizontal="right" vertical="center" wrapText="1"/>
    </xf>
    <xf numFmtId="175" fontId="34" fillId="0" borderId="2" xfId="18" applyNumberFormat="1" applyFont="1" applyFill="1" applyBorder="1"/>
    <xf numFmtId="175" fontId="33" fillId="0" borderId="2" xfId="18" applyNumberFormat="1" applyFont="1" applyBorder="1"/>
    <xf numFmtId="176" fontId="0" fillId="0" borderId="0" xfId="0" applyNumberFormat="1"/>
    <xf numFmtId="0" fontId="20" fillId="0" borderId="47" xfId="0" applyFont="1" applyBorder="1" applyAlignment="1">
      <alignment vertical="center" wrapText="1"/>
    </xf>
    <xf numFmtId="0" fontId="20" fillId="0" borderId="42" xfId="0" applyFont="1" applyBorder="1" applyAlignment="1">
      <alignment vertical="center" wrapText="1"/>
    </xf>
    <xf numFmtId="166" fontId="0" fillId="0" borderId="2" xfId="5" applyNumberFormat="1" applyFont="1" applyBorder="1"/>
    <xf numFmtId="0" fontId="19" fillId="0" borderId="40" xfId="0" applyFont="1" applyBorder="1" applyAlignment="1">
      <alignment horizontal="center" vertical="center" wrapText="1"/>
    </xf>
    <xf numFmtId="0" fontId="19" fillId="0" borderId="47" xfId="0" applyFont="1" applyBorder="1" applyAlignment="1">
      <alignment horizontal="center" vertical="center" wrapText="1"/>
    </xf>
    <xf numFmtId="0" fontId="19" fillId="0" borderId="42" xfId="0" applyFont="1" applyBorder="1" applyAlignment="1">
      <alignment horizontal="center" vertical="center" wrapText="1"/>
    </xf>
    <xf numFmtId="6" fontId="20" fillId="0" borderId="24" xfId="13" applyNumberFormat="1" applyFont="1" applyBorder="1" applyAlignment="1">
      <alignment horizontal="right" vertical="center"/>
    </xf>
    <xf numFmtId="178" fontId="1" fillId="4" borderId="42" xfId="5" applyNumberFormat="1" applyFont="1" applyFill="1" applyBorder="1" applyAlignment="1">
      <alignment horizontal="right" vertical="center" wrapText="1"/>
    </xf>
    <xf numFmtId="178" fontId="29" fillId="4" borderId="31" xfId="5" applyNumberFormat="1" applyFont="1" applyFill="1" applyBorder="1" applyAlignment="1">
      <alignment horizontal="right" vertical="center" wrapText="1"/>
    </xf>
    <xf numFmtId="178" fontId="37" fillId="0" borderId="42" xfId="18" applyNumberFormat="1" applyFont="1" applyBorder="1" applyAlignment="1">
      <alignment horizontal="right" vertical="center" wrapText="1"/>
    </xf>
    <xf numFmtId="0" fontId="18" fillId="4" borderId="0" xfId="0" applyFont="1" applyFill="1" applyAlignment="1">
      <alignment horizontal="center"/>
    </xf>
    <xf numFmtId="0" fontId="13" fillId="3" borderId="18" xfId="0" applyFont="1" applyFill="1" applyBorder="1" applyAlignment="1">
      <alignment horizontal="center" vertical="center"/>
    </xf>
    <xf numFmtId="0" fontId="13" fillId="3" borderId="19" xfId="0" applyFont="1" applyFill="1" applyBorder="1" applyAlignment="1">
      <alignment horizontal="center" vertical="center"/>
    </xf>
    <xf numFmtId="0" fontId="13" fillId="3" borderId="20" xfId="0" applyFont="1" applyFill="1" applyBorder="1" applyAlignment="1">
      <alignment horizontal="center" vertical="center"/>
    </xf>
    <xf numFmtId="0" fontId="13" fillId="4" borderId="0" xfId="0" applyFont="1" applyFill="1" applyAlignment="1">
      <alignment horizontal="center"/>
    </xf>
    <xf numFmtId="0" fontId="13" fillId="3" borderId="29" xfId="0" applyFont="1" applyFill="1" applyBorder="1" applyAlignment="1">
      <alignment horizontal="center" vertical="center"/>
    </xf>
    <xf numFmtId="0" fontId="13" fillId="3" borderId="30" xfId="0" applyFont="1" applyFill="1" applyBorder="1" applyAlignment="1">
      <alignment horizontal="center" vertical="center"/>
    </xf>
    <xf numFmtId="0" fontId="13" fillId="3" borderId="15" xfId="0" applyFont="1" applyFill="1" applyBorder="1" applyAlignment="1">
      <alignment horizontal="center" vertical="center"/>
    </xf>
    <xf numFmtId="0" fontId="13" fillId="3" borderId="4" xfId="0" applyFont="1" applyFill="1" applyBorder="1" applyAlignment="1">
      <alignment horizontal="center" vertical="center"/>
    </xf>
    <xf numFmtId="0" fontId="26" fillId="4" borderId="0" xfId="0" applyFont="1" applyFill="1" applyAlignment="1">
      <alignment horizontal="center"/>
    </xf>
    <xf numFmtId="0" fontId="18" fillId="2" borderId="18" xfId="0" applyFont="1" applyFill="1" applyBorder="1" applyAlignment="1">
      <alignment horizontal="right" indent="1"/>
    </xf>
    <xf numFmtId="0" fontId="15" fillId="0" borderId="19" xfId="0" applyFont="1" applyBorder="1" applyAlignment="1">
      <alignment horizontal="right"/>
    </xf>
    <xf numFmtId="0" fontId="15" fillId="0" borderId="20" xfId="0" applyFont="1" applyBorder="1" applyAlignment="1">
      <alignment horizontal="right"/>
    </xf>
    <xf numFmtId="0" fontId="15" fillId="0" borderId="26" xfId="0" applyFont="1" applyBorder="1" applyAlignment="1">
      <alignment horizontal="right"/>
    </xf>
    <xf numFmtId="0" fontId="15" fillId="0" borderId="27" xfId="0" applyFont="1" applyBorder="1" applyAlignment="1">
      <alignment horizontal="right"/>
    </xf>
    <xf numFmtId="0" fontId="15" fillId="0" borderId="18" xfId="0" applyFont="1" applyBorder="1" applyAlignment="1">
      <alignment horizontal="right"/>
    </xf>
    <xf numFmtId="0" fontId="18" fillId="7" borderId="23" xfId="0" applyFont="1" applyFill="1" applyBorder="1" applyAlignment="1"/>
    <xf numFmtId="0" fontId="18" fillId="7" borderId="24" xfId="0" applyFont="1" applyFill="1" applyBorder="1" applyAlignment="1"/>
    <xf numFmtId="0" fontId="18" fillId="7" borderId="25" xfId="0" applyFont="1" applyFill="1" applyBorder="1" applyAlignment="1"/>
    <xf numFmtId="0" fontId="18" fillId="7" borderId="16" xfId="0" applyFont="1" applyFill="1" applyBorder="1" applyAlignment="1"/>
    <xf numFmtId="0" fontId="18" fillId="7" borderId="22" xfId="0" applyFont="1" applyFill="1" applyBorder="1" applyAlignment="1"/>
    <xf numFmtId="0" fontId="18" fillId="7" borderId="17" xfId="0" applyFont="1" applyFill="1" applyBorder="1" applyAlignment="1"/>
    <xf numFmtId="0" fontId="15" fillId="0" borderId="6" xfId="0" applyFont="1" applyBorder="1" applyAlignment="1">
      <alignment horizontal="right"/>
    </xf>
    <xf numFmtId="0" fontId="15" fillId="0" borderId="21" xfId="0" applyFont="1" applyBorder="1" applyAlignment="1">
      <alignment horizontal="right"/>
    </xf>
    <xf numFmtId="0" fontId="18" fillId="7" borderId="14" xfId="0" applyFont="1" applyFill="1" applyBorder="1" applyAlignment="1"/>
    <xf numFmtId="0" fontId="18" fillId="7" borderId="7" xfId="0" applyFont="1" applyFill="1" applyBorder="1" applyAlignment="1"/>
    <xf numFmtId="0" fontId="18" fillId="7" borderId="8" xfId="0" applyFont="1" applyFill="1" applyBorder="1" applyAlignment="1"/>
    <xf numFmtId="0" fontId="18" fillId="4" borderId="0" xfId="0" applyFont="1" applyFill="1" applyAlignment="1">
      <alignment horizontal="center"/>
    </xf>
    <xf numFmtId="0" fontId="1" fillId="0" borderId="26" xfId="0" applyFont="1" applyBorder="1" applyAlignment="1">
      <alignment horizontal="left" vertical="center" wrapText="1"/>
    </xf>
    <xf numFmtId="0" fontId="1" fillId="0" borderId="44" xfId="0" applyFont="1" applyBorder="1" applyAlignment="1">
      <alignment horizontal="left" vertical="center" wrapText="1"/>
    </xf>
    <xf numFmtId="0" fontId="1" fillId="0" borderId="12" xfId="0" applyFont="1" applyBorder="1" applyAlignment="1">
      <alignment horizontal="left" vertical="center" wrapText="1"/>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15"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44" xfId="0" applyBorder="1" applyAlignment="1">
      <alignment horizontal="left" vertical="center"/>
    </xf>
    <xf numFmtId="0" fontId="0" fillId="0" borderId="12" xfId="0" applyBorder="1" applyAlignment="1">
      <alignment horizontal="left" vertical="center"/>
    </xf>
    <xf numFmtId="0" fontId="29" fillId="7" borderId="49" xfId="0" applyFont="1" applyFill="1" applyBorder="1" applyAlignment="1">
      <alignment horizontal="center" vertical="center"/>
    </xf>
    <xf numFmtId="0" fontId="29" fillId="7" borderId="59" xfId="0" applyFont="1" applyFill="1" applyBorder="1" applyAlignment="1">
      <alignment horizontal="center" vertical="center"/>
    </xf>
    <xf numFmtId="0" fontId="29" fillId="7" borderId="50" xfId="0" applyFont="1" applyFill="1" applyBorder="1" applyAlignment="1">
      <alignment horizontal="center" vertical="center"/>
    </xf>
    <xf numFmtId="0" fontId="29" fillId="7" borderId="46" xfId="0" applyFont="1" applyFill="1" applyBorder="1" applyAlignment="1">
      <alignment horizontal="center" vertical="center"/>
    </xf>
    <xf numFmtId="0" fontId="29" fillId="7" borderId="63" xfId="0" applyFont="1" applyFill="1" applyBorder="1" applyAlignment="1">
      <alignment horizontal="center" vertical="center"/>
    </xf>
    <xf numFmtId="0" fontId="29" fillId="7" borderId="51" xfId="0" applyFont="1" applyFill="1" applyBorder="1" applyAlignment="1">
      <alignment horizontal="center" vertical="center"/>
    </xf>
    <xf numFmtId="0" fontId="1" fillId="0" borderId="6" xfId="0" applyFont="1" applyBorder="1" applyAlignment="1">
      <alignment horizontal="left" vertical="center" wrapText="1"/>
    </xf>
    <xf numFmtId="0" fontId="0" fillId="0" borderId="66" xfId="0" applyBorder="1" applyAlignment="1">
      <alignment horizontal="left" vertical="center"/>
    </xf>
    <xf numFmtId="0" fontId="0" fillId="0" borderId="11" xfId="0" applyBorder="1" applyAlignment="1">
      <alignment horizontal="left" vertical="center"/>
    </xf>
    <xf numFmtId="0" fontId="30" fillId="10" borderId="37" xfId="0" applyFont="1" applyFill="1" applyBorder="1" applyAlignment="1">
      <alignment horizontal="center" vertical="center"/>
    </xf>
    <xf numFmtId="0" fontId="30" fillId="10" borderId="38" xfId="0" applyFont="1" applyFill="1" applyBorder="1" applyAlignment="1">
      <alignment horizontal="center" vertical="center"/>
    </xf>
    <xf numFmtId="0" fontId="30" fillId="10" borderId="39" xfId="0" applyFont="1" applyFill="1" applyBorder="1" applyAlignment="1">
      <alignment horizontal="center" vertical="center"/>
    </xf>
    <xf numFmtId="0" fontId="19" fillId="6" borderId="37" xfId="0" applyFont="1" applyFill="1" applyBorder="1" applyAlignment="1">
      <alignment horizontal="center" vertical="center" wrapText="1"/>
    </xf>
    <xf numFmtId="0" fontId="19" fillId="6" borderId="39" xfId="0" applyFont="1" applyFill="1" applyBorder="1" applyAlignment="1">
      <alignment horizontal="center" vertical="center" wrapText="1"/>
    </xf>
    <xf numFmtId="0" fontId="19" fillId="6" borderId="38" xfId="0" applyFont="1" applyFill="1" applyBorder="1" applyAlignment="1">
      <alignment horizontal="center" vertical="center" wrapText="1"/>
    </xf>
    <xf numFmtId="0" fontId="19" fillId="6" borderId="14" xfId="0" applyFont="1" applyFill="1" applyBorder="1" applyAlignment="1">
      <alignment horizontal="center" vertical="center" wrapText="1"/>
    </xf>
    <xf numFmtId="0" fontId="19" fillId="6" borderId="7" xfId="0" applyFont="1" applyFill="1" applyBorder="1" applyAlignment="1">
      <alignment horizontal="center" vertical="center" wrapText="1"/>
    </xf>
    <xf numFmtId="0" fontId="19" fillId="6" borderId="8" xfId="0" applyFont="1" applyFill="1" applyBorder="1" applyAlignment="1">
      <alignment horizontal="center" vertical="center" wrapText="1"/>
    </xf>
    <xf numFmtId="0" fontId="19" fillId="6" borderId="32" xfId="0" applyFont="1" applyFill="1" applyBorder="1" applyAlignment="1">
      <alignment horizontal="center" vertical="center" wrapText="1"/>
    </xf>
    <xf numFmtId="0" fontId="19" fillId="6" borderId="28" xfId="0" applyFont="1" applyFill="1" applyBorder="1" applyAlignment="1">
      <alignment horizontal="center" vertical="center" wrapText="1"/>
    </xf>
    <xf numFmtId="0" fontId="19" fillId="6" borderId="33" xfId="0" applyFont="1" applyFill="1" applyBorder="1" applyAlignment="1">
      <alignment horizontal="center" vertical="center" wrapText="1"/>
    </xf>
    <xf numFmtId="0" fontId="1" fillId="0" borderId="29" xfId="0" applyFont="1" applyBorder="1" applyAlignment="1">
      <alignment horizontal="left" vertical="center" wrapText="1"/>
    </xf>
    <xf numFmtId="0" fontId="1" fillId="0" borderId="30" xfId="0" applyFont="1" applyBorder="1" applyAlignment="1">
      <alignment horizontal="left" vertical="center" wrapText="1"/>
    </xf>
    <xf numFmtId="0" fontId="1" fillId="0" borderId="31" xfId="0" applyFont="1" applyBorder="1" applyAlignment="1">
      <alignment horizontal="left" vertical="center" wrapText="1"/>
    </xf>
    <xf numFmtId="0" fontId="1" fillId="0" borderId="66" xfId="0" applyFont="1" applyBorder="1" applyAlignment="1">
      <alignment horizontal="left" vertical="center" wrapText="1"/>
    </xf>
    <xf numFmtId="0" fontId="1" fillId="0" borderId="11" xfId="0" applyFont="1" applyBorder="1" applyAlignment="1">
      <alignment horizontal="left" vertical="center" wrapText="1"/>
    </xf>
    <xf numFmtId="0" fontId="30" fillId="10" borderId="46" xfId="0" applyFont="1" applyFill="1" applyBorder="1" applyAlignment="1">
      <alignment horizontal="center" vertical="center"/>
    </xf>
    <xf numFmtId="0" fontId="30" fillId="10" borderId="51" xfId="0" applyFont="1" applyFill="1" applyBorder="1" applyAlignment="1">
      <alignment horizontal="center" vertical="center"/>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15" xfId="0" applyFont="1" applyBorder="1" applyAlignment="1">
      <alignment horizontal="left" wrapText="1"/>
    </xf>
    <xf numFmtId="0" fontId="1" fillId="0" borderId="4" xfId="0" applyFont="1" applyBorder="1" applyAlignment="1">
      <alignment horizontal="left" wrapText="1"/>
    </xf>
    <xf numFmtId="0" fontId="1" fillId="0" borderId="5" xfId="0" applyFont="1" applyBorder="1" applyAlignment="1">
      <alignment horizontal="left" wrapText="1"/>
    </xf>
    <xf numFmtId="0" fontId="29" fillId="0" borderId="0" xfId="0" applyFont="1" applyFill="1" applyBorder="1" applyAlignment="1">
      <alignment horizontal="center" vertical="center" wrapText="1"/>
    </xf>
    <xf numFmtId="0" fontId="30" fillId="11" borderId="38" xfId="0" applyFont="1" applyFill="1" applyBorder="1" applyAlignment="1">
      <alignment horizontal="center" vertical="center"/>
    </xf>
    <xf numFmtId="0" fontId="30" fillId="11" borderId="39" xfId="0" applyFont="1" applyFill="1" applyBorder="1" applyAlignment="1">
      <alignment horizontal="center" vertical="center"/>
    </xf>
    <xf numFmtId="0" fontId="19" fillId="3" borderId="37" xfId="0" applyFont="1" applyFill="1" applyBorder="1" applyAlignment="1">
      <alignment horizontal="center" vertical="center" wrapText="1"/>
    </xf>
    <xf numFmtId="0" fontId="19" fillId="3" borderId="38" xfId="0" applyFont="1" applyFill="1" applyBorder="1" applyAlignment="1">
      <alignment horizontal="center" vertical="center" wrapText="1"/>
    </xf>
    <xf numFmtId="0" fontId="19" fillId="3" borderId="39" xfId="0" applyFont="1" applyFill="1" applyBorder="1" applyAlignment="1">
      <alignment horizontal="center" vertical="center" wrapText="1"/>
    </xf>
    <xf numFmtId="0" fontId="36" fillId="6" borderId="37" xfId="0" applyFont="1" applyFill="1" applyBorder="1" applyAlignment="1">
      <alignment horizontal="center" vertical="center" wrapText="1"/>
    </xf>
    <xf numFmtId="0" fontId="36" fillId="6" borderId="38" xfId="0" applyFont="1" applyFill="1" applyBorder="1" applyAlignment="1">
      <alignment horizontal="center" vertical="center" wrapText="1"/>
    </xf>
    <xf numFmtId="0" fontId="36" fillId="6" borderId="39" xfId="0" applyFont="1" applyFill="1" applyBorder="1" applyAlignment="1">
      <alignment horizontal="center" vertical="center" wrapText="1"/>
    </xf>
    <xf numFmtId="0" fontId="29" fillId="12" borderId="37" xfId="0" applyFont="1" applyFill="1" applyBorder="1" applyAlignment="1">
      <alignment horizontal="center" vertical="center"/>
    </xf>
    <xf numFmtId="0" fontId="29" fillId="12" borderId="38" xfId="0" applyFont="1" applyFill="1" applyBorder="1" applyAlignment="1">
      <alignment horizontal="center" vertical="center"/>
    </xf>
    <xf numFmtId="0" fontId="29" fillId="12" borderId="39" xfId="0" applyFont="1" applyFill="1" applyBorder="1" applyAlignment="1">
      <alignment horizontal="center" vertical="center"/>
    </xf>
    <xf numFmtId="0" fontId="29" fillId="7" borderId="37" xfId="0" applyFont="1" applyFill="1" applyBorder="1" applyAlignment="1">
      <alignment horizontal="center"/>
    </xf>
    <xf numFmtId="0" fontId="29" fillId="7" borderId="38" xfId="0" applyFont="1" applyFill="1" applyBorder="1" applyAlignment="1">
      <alignment horizontal="center"/>
    </xf>
    <xf numFmtId="0" fontId="29" fillId="7" borderId="39" xfId="0" applyFont="1" applyFill="1" applyBorder="1" applyAlignment="1">
      <alignment horizontal="center"/>
    </xf>
    <xf numFmtId="0" fontId="19" fillId="6" borderId="49" xfId="0" applyFont="1" applyFill="1" applyBorder="1" applyAlignment="1">
      <alignment horizontal="center" vertical="center" wrapText="1"/>
    </xf>
    <xf numFmtId="0" fontId="19" fillId="6" borderId="50" xfId="0" applyFont="1" applyFill="1" applyBorder="1" applyAlignment="1">
      <alignment horizontal="center" vertical="center" wrapText="1"/>
    </xf>
    <xf numFmtId="0" fontId="36" fillId="0" borderId="37" xfId="0" applyFont="1" applyBorder="1" applyAlignment="1">
      <alignment vertical="center" wrapText="1"/>
    </xf>
    <xf numFmtId="0" fontId="36" fillId="0" borderId="39" xfId="0" applyFont="1" applyBorder="1" applyAlignment="1">
      <alignment vertical="center" wrapText="1"/>
    </xf>
    <xf numFmtId="0" fontId="36" fillId="0" borderId="40" xfId="0" applyFont="1" applyBorder="1" applyAlignment="1">
      <alignment vertical="center" wrapText="1"/>
    </xf>
    <xf numFmtId="0" fontId="36" fillId="0" borderId="47" xfId="0" applyFont="1" applyBorder="1" applyAlignment="1">
      <alignment vertical="center" wrapText="1"/>
    </xf>
    <xf numFmtId="0" fontId="36" fillId="0" borderId="42" xfId="0" applyFont="1" applyBorder="1" applyAlignment="1">
      <alignment vertical="center" wrapText="1"/>
    </xf>
    <xf numFmtId="0" fontId="42" fillId="0" borderId="40" xfId="0" applyFont="1" applyBorder="1" applyAlignment="1">
      <alignment vertical="center" wrapText="1"/>
    </xf>
    <xf numFmtId="0" fontId="42" fillId="0" borderId="47" xfId="0" applyFont="1" applyBorder="1" applyAlignment="1">
      <alignment vertical="center" wrapText="1"/>
    </xf>
    <xf numFmtId="0" fontId="42" fillId="0" borderId="42" xfId="0" applyFont="1" applyBorder="1" applyAlignment="1">
      <alignment vertical="center" wrapText="1"/>
    </xf>
    <xf numFmtId="0" fontId="36" fillId="0" borderId="49" xfId="0" applyFont="1" applyBorder="1" applyAlignment="1">
      <alignment vertical="center" wrapText="1"/>
    </xf>
    <xf numFmtId="0" fontId="36" fillId="0" borderId="50" xfId="0" applyFont="1" applyBorder="1" applyAlignment="1">
      <alignment vertical="center" wrapText="1"/>
    </xf>
    <xf numFmtId="0" fontId="36" fillId="6" borderId="40" xfId="0" applyFont="1" applyFill="1" applyBorder="1" applyAlignment="1">
      <alignment horizontal="center" vertical="center"/>
    </xf>
    <xf numFmtId="0" fontId="36" fillId="6" borderId="42" xfId="0" applyFont="1" applyFill="1" applyBorder="1" applyAlignment="1">
      <alignment horizontal="center" vertical="center"/>
    </xf>
    <xf numFmtId="0" fontId="36" fillId="6" borderId="49" xfId="0" applyFont="1" applyFill="1" applyBorder="1" applyAlignment="1">
      <alignment horizontal="center" vertical="center"/>
    </xf>
    <xf numFmtId="0" fontId="36" fillId="6" borderId="50" xfId="0" applyFont="1" applyFill="1" applyBorder="1" applyAlignment="1">
      <alignment horizontal="center" vertical="center"/>
    </xf>
    <xf numFmtId="0" fontId="36" fillId="6" borderId="46" xfId="0" applyFont="1" applyFill="1" applyBorder="1" applyAlignment="1">
      <alignment horizontal="center" vertical="center"/>
    </xf>
    <xf numFmtId="0" fontId="36" fillId="6" borderId="51" xfId="0" applyFont="1" applyFill="1" applyBorder="1" applyAlignment="1">
      <alignment horizontal="center" vertical="center"/>
    </xf>
    <xf numFmtId="0" fontId="36" fillId="6" borderId="40" xfId="0" applyFont="1" applyFill="1" applyBorder="1" applyAlignment="1">
      <alignment horizontal="center" vertical="center" wrapText="1"/>
    </xf>
    <xf numFmtId="0" fontId="36" fillId="6" borderId="42" xfId="0" applyFont="1" applyFill="1" applyBorder="1" applyAlignment="1">
      <alignment horizontal="center" vertical="center" wrapText="1"/>
    </xf>
    <xf numFmtId="0" fontId="36" fillId="0" borderId="46" xfId="0" applyFont="1" applyBorder="1" applyAlignment="1">
      <alignment vertical="center" wrapText="1"/>
    </xf>
    <xf numFmtId="0" fontId="36" fillId="0" borderId="51" xfId="0" applyFont="1" applyBorder="1" applyAlignment="1">
      <alignment vertical="center" wrapText="1"/>
    </xf>
    <xf numFmtId="172" fontId="37" fillId="0" borderId="40" xfId="18" applyNumberFormat="1" applyFont="1" applyBorder="1" applyAlignment="1">
      <alignment horizontal="center" vertical="center" wrapText="1"/>
    </xf>
    <xf numFmtId="172" fontId="37" fillId="0" borderId="47" xfId="18" applyNumberFormat="1" applyFont="1" applyBorder="1" applyAlignment="1">
      <alignment horizontal="center" vertical="center" wrapText="1"/>
    </xf>
    <xf numFmtId="0" fontId="29" fillId="0" borderId="40" xfId="0" applyFont="1" applyBorder="1" applyAlignment="1">
      <alignment horizontal="left" vertical="center"/>
    </xf>
    <xf numFmtId="0" fontId="29" fillId="0" borderId="47" xfId="0" applyFont="1" applyBorder="1" applyAlignment="1">
      <alignment horizontal="left" vertical="center"/>
    </xf>
    <xf numFmtId="0" fontId="29" fillId="0" borderId="42" xfId="0" applyFont="1" applyBorder="1" applyAlignment="1">
      <alignment horizontal="left" vertical="center"/>
    </xf>
    <xf numFmtId="0" fontId="37" fillId="0" borderId="18" xfId="0" applyFont="1" applyBorder="1" applyAlignment="1">
      <alignment horizontal="left" vertical="center" wrapText="1"/>
    </xf>
    <xf numFmtId="0" fontId="37" fillId="0" borderId="45" xfId="0" applyFont="1" applyBorder="1" applyAlignment="1">
      <alignment horizontal="left" vertical="center" wrapText="1"/>
    </xf>
    <xf numFmtId="0" fontId="19" fillId="0" borderId="40" xfId="0" applyFont="1" applyBorder="1" applyAlignment="1">
      <alignment horizontal="center" vertical="center" wrapText="1"/>
    </xf>
    <xf numFmtId="0" fontId="19" fillId="0" borderId="47" xfId="0" applyFont="1" applyBorder="1" applyAlignment="1">
      <alignment horizontal="center" vertical="center" wrapText="1"/>
    </xf>
    <xf numFmtId="0" fontId="19" fillId="0" borderId="42" xfId="0" applyFont="1" applyBorder="1" applyAlignment="1">
      <alignment horizontal="center" vertical="center" wrapText="1"/>
    </xf>
    <xf numFmtId="0" fontId="19" fillId="0" borderId="40" xfId="0" applyFont="1" applyBorder="1" applyAlignment="1">
      <alignment horizontal="left" vertical="center" wrapText="1"/>
    </xf>
    <xf numFmtId="0" fontId="19" fillId="0" borderId="47" xfId="0" applyFont="1" applyBorder="1" applyAlignment="1">
      <alignment horizontal="left" vertical="center" wrapText="1"/>
    </xf>
    <xf numFmtId="0" fontId="19" fillId="0" borderId="42" xfId="0" applyFont="1" applyBorder="1" applyAlignment="1">
      <alignment horizontal="left" vertical="center" wrapText="1"/>
    </xf>
    <xf numFmtId="0" fontId="19" fillId="0" borderId="37" xfId="0" applyFont="1" applyBorder="1" applyAlignment="1">
      <alignment horizontal="right" vertical="center"/>
    </xf>
    <xf numFmtId="0" fontId="19" fillId="0" borderId="38" xfId="0" applyFont="1" applyBorder="1" applyAlignment="1">
      <alignment horizontal="right" vertical="center"/>
    </xf>
    <xf numFmtId="0" fontId="19" fillId="0" borderId="52" xfId="0" applyFont="1" applyBorder="1" applyAlignment="1">
      <alignment horizontal="right" vertical="center"/>
    </xf>
    <xf numFmtId="0" fontId="19" fillId="0" borderId="29" xfId="0" applyFont="1" applyBorder="1" applyAlignment="1">
      <alignment horizontal="right" vertical="center"/>
    </xf>
    <xf numFmtId="0" fontId="19" fillId="0" borderId="30" xfId="0" applyFont="1" applyBorder="1" applyAlignment="1">
      <alignment horizontal="right" vertical="center"/>
    </xf>
    <xf numFmtId="0" fontId="36" fillId="0" borderId="1" xfId="0" applyFont="1" applyBorder="1" applyAlignment="1">
      <alignment vertical="center" wrapText="1"/>
    </xf>
    <xf numFmtId="0" fontId="36" fillId="0" borderId="26" xfId="0" applyFont="1" applyBorder="1" applyAlignment="1">
      <alignment horizontal="left" vertical="center" wrapText="1"/>
    </xf>
    <xf numFmtId="0" fontId="36" fillId="0" borderId="27" xfId="0" applyFont="1" applyBorder="1" applyAlignment="1">
      <alignment horizontal="left" vertical="center" wrapText="1"/>
    </xf>
    <xf numFmtId="0" fontId="37" fillId="0" borderId="1" xfId="0" applyFont="1" applyBorder="1" applyAlignment="1">
      <alignment vertical="center" wrapText="1"/>
    </xf>
    <xf numFmtId="0" fontId="37" fillId="0" borderId="2" xfId="0" applyFont="1" applyBorder="1" applyAlignment="1">
      <alignment vertical="center" wrapText="1"/>
    </xf>
    <xf numFmtId="0" fontId="20" fillId="0" borderId="35" xfId="0" applyFont="1" applyBorder="1" applyAlignment="1">
      <alignment horizontal="justify" vertical="center" wrapText="1"/>
    </xf>
    <xf numFmtId="0" fontId="20" fillId="0" borderId="49" xfId="0" applyFont="1" applyBorder="1" applyAlignment="1">
      <alignment horizontal="justify" vertical="center" wrapText="1"/>
    </xf>
    <xf numFmtId="0" fontId="20" fillId="0" borderId="46" xfId="0" applyFont="1" applyBorder="1" applyAlignment="1">
      <alignment horizontal="justify" vertical="center" wrapText="1"/>
    </xf>
    <xf numFmtId="0" fontId="37" fillId="0" borderId="23" xfId="0" applyFont="1" applyBorder="1" applyAlignment="1">
      <alignment vertical="center" wrapText="1"/>
    </xf>
    <xf numFmtId="0" fontId="37" fillId="0" borderId="24" xfId="0" applyFont="1" applyBorder="1" applyAlignment="1">
      <alignment vertical="center" wrapText="1"/>
    </xf>
    <xf numFmtId="0" fontId="37" fillId="0" borderId="15" xfId="0" applyFont="1" applyBorder="1" applyAlignment="1">
      <alignment vertical="center" wrapText="1"/>
    </xf>
    <xf numFmtId="0" fontId="37" fillId="0" borderId="4" xfId="0" applyFont="1" applyBorder="1" applyAlignment="1">
      <alignment vertical="center" wrapText="1"/>
    </xf>
    <xf numFmtId="0" fontId="20" fillId="0" borderId="46" xfId="0" applyFont="1" applyBorder="1" applyAlignment="1">
      <alignment horizontal="right" vertical="center" wrapText="1"/>
    </xf>
    <xf numFmtId="0" fontId="20" fillId="0" borderId="63" xfId="0" applyFont="1" applyBorder="1" applyAlignment="1">
      <alignment horizontal="right" vertical="center" wrapText="1"/>
    </xf>
    <xf numFmtId="0" fontId="20" fillId="0" borderId="37" xfId="0" applyFont="1" applyBorder="1" applyAlignment="1">
      <alignment horizontal="right" vertical="center" wrapText="1"/>
    </xf>
    <xf numFmtId="0" fontId="20" fillId="0" borderId="38" xfId="0" applyFont="1" applyBorder="1" applyAlignment="1">
      <alignment horizontal="right" vertical="center" wrapText="1"/>
    </xf>
    <xf numFmtId="0" fontId="20" fillId="0" borderId="39" xfId="0" applyFont="1" applyBorder="1" applyAlignment="1">
      <alignment horizontal="right" vertical="center" wrapText="1"/>
    </xf>
    <xf numFmtId="0" fontId="36" fillId="0" borderId="18" xfId="0" applyFont="1" applyBorder="1" applyAlignment="1">
      <alignment horizontal="left" vertical="center" wrapText="1"/>
    </xf>
    <xf numFmtId="0" fontId="36" fillId="0" borderId="20" xfId="0" applyFont="1" applyBorder="1" applyAlignment="1">
      <alignment horizontal="left" vertical="center" wrapText="1"/>
    </xf>
    <xf numFmtId="0" fontId="36" fillId="0" borderId="6" xfId="0" applyFont="1" applyBorder="1" applyAlignment="1">
      <alignment horizontal="left" vertical="center" wrapText="1"/>
    </xf>
    <xf numFmtId="0" fontId="36" fillId="0" borderId="21" xfId="0" applyFont="1" applyBorder="1" applyAlignment="1">
      <alignment horizontal="left" vertical="center" wrapText="1"/>
    </xf>
    <xf numFmtId="0" fontId="36" fillId="0" borderId="26" xfId="0" applyFont="1" applyBorder="1" applyAlignment="1">
      <alignment horizontal="center" vertical="center" wrapText="1"/>
    </xf>
    <xf numFmtId="0" fontId="36" fillId="0" borderId="27" xfId="0" applyFont="1" applyBorder="1" applyAlignment="1">
      <alignment horizontal="center" vertical="center" wrapText="1"/>
    </xf>
    <xf numFmtId="0" fontId="37" fillId="0" borderId="14" xfId="0" applyFont="1" applyBorder="1" applyAlignment="1">
      <alignment vertical="center" wrapText="1"/>
    </xf>
    <xf numFmtId="0" fontId="37" fillId="0" borderId="7" xfId="0" applyFont="1" applyBorder="1" applyAlignment="1">
      <alignment vertical="center" wrapText="1"/>
    </xf>
    <xf numFmtId="0" fontId="37" fillId="0" borderId="32" xfId="0" applyFont="1" applyBorder="1" applyAlignment="1">
      <alignment vertical="center" wrapText="1"/>
    </xf>
    <xf numFmtId="0" fontId="37" fillId="0" borderId="28" xfId="0" applyFont="1" applyBorder="1" applyAlignment="1">
      <alignment vertical="center" wrapText="1"/>
    </xf>
    <xf numFmtId="0" fontId="19" fillId="0" borderId="49" xfId="0" applyFont="1" applyBorder="1" applyAlignment="1">
      <alignment horizontal="justify" vertical="center" wrapText="1"/>
    </xf>
    <xf numFmtId="0" fontId="19" fillId="0" borderId="35" xfId="0" applyFont="1" applyBorder="1" applyAlignment="1">
      <alignment horizontal="justify" vertical="center" wrapText="1"/>
    </xf>
    <xf numFmtId="0" fontId="19" fillId="0" borderId="46" xfId="0" applyFont="1" applyBorder="1" applyAlignment="1">
      <alignment horizontal="justify" vertical="center" wrapText="1"/>
    </xf>
    <xf numFmtId="0" fontId="36" fillId="0" borderId="16" xfId="0" applyFont="1" applyBorder="1" applyAlignment="1">
      <alignment horizontal="left" vertical="center" wrapText="1"/>
    </xf>
    <xf numFmtId="0" fontId="36" fillId="0" borderId="23" xfId="0" applyFont="1" applyBorder="1" applyAlignment="1">
      <alignment horizontal="left" vertical="center" wrapText="1"/>
    </xf>
    <xf numFmtId="0" fontId="19" fillId="0" borderId="39" xfId="0" applyFont="1" applyBorder="1" applyAlignment="1">
      <alignment horizontal="right" vertical="center"/>
    </xf>
    <xf numFmtId="0" fontId="36" fillId="0" borderId="40" xfId="0" applyFont="1" applyBorder="1" applyAlignment="1">
      <alignment horizontal="left" vertical="center" wrapText="1"/>
    </xf>
    <xf numFmtId="0" fontId="36" fillId="0" borderId="42" xfId="0" applyFont="1" applyBorder="1" applyAlignment="1">
      <alignment horizontal="left" vertical="center" wrapText="1"/>
    </xf>
    <xf numFmtId="0" fontId="37" fillId="0" borderId="49" xfId="0" applyFont="1" applyBorder="1" applyAlignment="1">
      <alignment horizontal="left" vertical="center" wrapText="1"/>
    </xf>
    <xf numFmtId="0" fontId="37" fillId="0" borderId="50" xfId="0" applyFont="1" applyBorder="1" applyAlignment="1">
      <alignment horizontal="left" vertical="center" wrapText="1"/>
    </xf>
    <xf numFmtId="0" fontId="37" fillId="0" borderId="46" xfId="0" applyFont="1" applyBorder="1" applyAlignment="1">
      <alignment horizontal="left" vertical="center" wrapText="1"/>
    </xf>
    <xf numFmtId="0" fontId="37" fillId="0" borderId="51" xfId="0" applyFont="1" applyBorder="1" applyAlignment="1">
      <alignment horizontal="left" vertical="center" wrapText="1"/>
    </xf>
    <xf numFmtId="174" fontId="37" fillId="0" borderId="40" xfId="18" applyNumberFormat="1" applyFont="1" applyBorder="1" applyAlignment="1">
      <alignment horizontal="right" vertical="center" wrapText="1"/>
    </xf>
    <xf numFmtId="174" fontId="37" fillId="0" borderId="42" xfId="18" applyNumberFormat="1" applyFont="1" applyBorder="1" applyAlignment="1">
      <alignment horizontal="right" vertical="center" wrapText="1"/>
    </xf>
    <xf numFmtId="0" fontId="37" fillId="0" borderId="15" xfId="0" applyFont="1" applyBorder="1" applyAlignment="1">
      <alignment horizontal="left" vertical="center" wrapText="1"/>
    </xf>
    <xf numFmtId="0" fontId="37" fillId="0" borderId="4" xfId="0" applyFont="1" applyBorder="1" applyAlignment="1">
      <alignment horizontal="left" vertical="center" wrapText="1"/>
    </xf>
    <xf numFmtId="0" fontId="36" fillId="6" borderId="59" xfId="0" applyFont="1" applyFill="1" applyBorder="1" applyAlignment="1">
      <alignment horizontal="center" vertical="center"/>
    </xf>
    <xf numFmtId="0" fontId="32" fillId="7" borderId="13" xfId="0" applyFont="1" applyFill="1" applyBorder="1" applyAlignment="1">
      <alignment horizontal="left" wrapText="1"/>
    </xf>
    <xf numFmtId="0" fontId="32" fillId="7" borderId="27" xfId="0" applyFont="1" applyFill="1" applyBorder="1" applyAlignment="1">
      <alignment horizontal="left" wrapText="1"/>
    </xf>
    <xf numFmtId="0" fontId="36" fillId="0" borderId="49" xfId="0" applyFont="1" applyBorder="1" applyAlignment="1">
      <alignment horizontal="left" vertical="center" wrapText="1"/>
    </xf>
    <xf numFmtId="0" fontId="36" fillId="0" borderId="46" xfId="0" applyFont="1" applyBorder="1" applyAlignment="1">
      <alignment horizontal="left" vertical="center" wrapText="1"/>
    </xf>
    <xf numFmtId="0" fontId="37" fillId="0" borderId="14" xfId="0" applyFont="1" applyBorder="1" applyAlignment="1">
      <alignment horizontal="left" vertical="center" wrapText="1"/>
    </xf>
    <xf numFmtId="0" fontId="37" fillId="0" borderId="7" xfId="0" applyFont="1" applyBorder="1" applyAlignment="1">
      <alignment horizontal="left" vertical="center" wrapText="1"/>
    </xf>
    <xf numFmtId="174" fontId="37" fillId="0" borderId="8" xfId="18" applyNumberFormat="1" applyFont="1" applyBorder="1" applyAlignment="1">
      <alignment horizontal="right" vertical="center" wrapText="1"/>
    </xf>
    <xf numFmtId="174" fontId="37" fillId="0" borderId="5" xfId="18" applyNumberFormat="1" applyFont="1" applyBorder="1" applyAlignment="1">
      <alignment horizontal="right" vertical="center" wrapText="1"/>
    </xf>
    <xf numFmtId="0" fontId="36" fillId="0" borderId="16" xfId="0" applyFont="1" applyBorder="1" applyAlignment="1">
      <alignment horizontal="center" vertical="center" wrapText="1"/>
    </xf>
    <xf numFmtId="0" fontId="36" fillId="0" borderId="64" xfId="0" applyFont="1" applyBorder="1" applyAlignment="1">
      <alignment horizontal="center" vertical="center" wrapText="1"/>
    </xf>
    <xf numFmtId="0" fontId="36" fillId="0" borderId="23" xfId="0" applyFont="1" applyBorder="1" applyAlignment="1">
      <alignment horizontal="center" vertical="center" wrapText="1"/>
    </xf>
    <xf numFmtId="0" fontId="36" fillId="6" borderId="37" xfId="0" applyFont="1" applyFill="1" applyBorder="1" applyAlignment="1">
      <alignment horizontal="center" vertical="center"/>
    </xf>
    <xf numFmtId="0" fontId="36" fillId="6" borderId="38" xfId="0" applyFont="1" applyFill="1" applyBorder="1" applyAlignment="1">
      <alignment horizontal="center" vertical="center"/>
    </xf>
    <xf numFmtId="16" fontId="38" fillId="0" borderId="0" xfId="0" applyNumberFormat="1" applyFont="1"/>
    <xf numFmtId="16" fontId="41" fillId="4" borderId="0" xfId="0" applyNumberFormat="1" applyFont="1" applyFill="1" applyBorder="1" applyAlignment="1">
      <alignment horizontal="center"/>
    </xf>
    <xf numFmtId="0" fontId="0" fillId="4" borderId="13" xfId="0" applyFill="1" applyBorder="1"/>
    <xf numFmtId="0" fontId="0" fillId="4" borderId="28" xfId="0" applyFill="1" applyBorder="1"/>
    <xf numFmtId="0" fontId="29" fillId="4" borderId="2" xfId="0" applyFont="1" applyFill="1" applyBorder="1" applyAlignment="1"/>
    <xf numFmtId="0" fontId="29" fillId="4" borderId="38" xfId="0" applyFont="1" applyFill="1" applyBorder="1" applyAlignment="1"/>
    <xf numFmtId="6" fontId="29" fillId="4" borderId="2" xfId="0" applyNumberFormat="1" applyFont="1" applyFill="1" applyBorder="1" applyAlignment="1"/>
    <xf numFmtId="0" fontId="30" fillId="4" borderId="2" xfId="0" applyFont="1" applyFill="1" applyBorder="1" applyAlignment="1">
      <alignment vertical="center"/>
    </xf>
    <xf numFmtId="6" fontId="30" fillId="4" borderId="2" xfId="0" applyNumberFormat="1" applyFont="1" applyFill="1" applyBorder="1" applyAlignment="1">
      <alignment vertical="center"/>
    </xf>
    <xf numFmtId="9" fontId="1" fillId="0" borderId="0" xfId="17" applyFont="1" applyAlignment="1">
      <alignment vertical="center"/>
    </xf>
    <xf numFmtId="6" fontId="0" fillId="0" borderId="0" xfId="0" applyNumberFormat="1" applyAlignment="1">
      <alignment vertical="center"/>
    </xf>
    <xf numFmtId="170" fontId="38" fillId="0" borderId="0" xfId="0" applyNumberFormat="1" applyFont="1"/>
    <xf numFmtId="164" fontId="38" fillId="0" borderId="0" xfId="0" applyNumberFormat="1" applyFont="1"/>
    <xf numFmtId="171" fontId="38" fillId="0" borderId="0" xfId="0" applyNumberFormat="1" applyFont="1"/>
    <xf numFmtId="178" fontId="38" fillId="0" borderId="0" xfId="0" applyNumberFormat="1" applyFont="1"/>
    <xf numFmtId="175" fontId="38" fillId="0" borderId="0" xfId="0" applyNumberFormat="1" applyFont="1"/>
    <xf numFmtId="172" fontId="38" fillId="0" borderId="0" xfId="18" applyNumberFormat="1" applyFont="1"/>
    <xf numFmtId="176" fontId="38" fillId="0" borderId="0" xfId="0" applyNumberFormat="1" applyFont="1"/>
    <xf numFmtId="177" fontId="38" fillId="0" borderId="0" xfId="0" applyNumberFormat="1" applyFont="1"/>
    <xf numFmtId="0" fontId="29" fillId="0" borderId="0" xfId="0" applyFont="1" applyAlignment="1">
      <alignment horizontal="center" vertical="center"/>
    </xf>
  </cellXfs>
  <cellStyles count="20">
    <cellStyle name="Excel Built-in Normal" xfId="1"/>
    <cellStyle name="Heading" xfId="2"/>
    <cellStyle name="Heading1" xfId="3"/>
    <cellStyle name="Hipervínculo" xfId="4" builtinId="8"/>
    <cellStyle name="Millares" xfId="5" builtinId="3"/>
    <cellStyle name="Millares 2" xfId="6"/>
    <cellStyle name="Moneda" xfId="18" builtinId="4"/>
    <cellStyle name="Moneda 2" xfId="7"/>
    <cellStyle name="Moneda 3" xfId="8"/>
    <cellStyle name="Normal" xfId="0" builtinId="0"/>
    <cellStyle name="Normal 2" xfId="9"/>
    <cellStyle name="Normal 3" xfId="10"/>
    <cellStyle name="Normal 4" xfId="11"/>
    <cellStyle name="Normal 5" xfId="12"/>
    <cellStyle name="Normal 6" xfId="19"/>
    <cellStyle name="Normal 7" xfId="13"/>
    <cellStyle name="Porcentaje" xfId="17" builtinId="5"/>
    <cellStyle name="Porcentaje 2" xfId="14"/>
    <cellStyle name="Result" xfId="15"/>
    <cellStyle name="Result2" xfId="1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Distribución del costo</a:t>
            </a:r>
          </a:p>
        </c:rich>
      </c:tx>
      <c:layout/>
      <c:overlay val="0"/>
    </c:title>
    <c:autoTitleDeleted val="0"/>
    <c:plotArea>
      <c:layout/>
      <c:pieChart>
        <c:varyColors val="1"/>
        <c:ser>
          <c:idx val="0"/>
          <c:order val="0"/>
          <c:tx>
            <c:strRef>
              <c:f>'Cronograma (2)'!$S$63:$S$65</c:f>
              <c:strCache>
                <c:ptCount val="1"/>
                <c:pt idx="0">
                  <c:v>Elefantes Movil Pec Movil Elefantes Backend</c:v>
                </c:pt>
              </c:strCache>
            </c:strRef>
          </c:tx>
          <c:dLbls>
            <c:txPr>
              <a:bodyPr/>
              <a:lstStyle/>
              <a:p>
                <a:pPr>
                  <a:defRPr sz="2000"/>
                </a:pPr>
                <a:endParaRPr lang="es-CO"/>
              </a:p>
            </c:txPr>
            <c:showLegendKey val="0"/>
            <c:showVal val="1"/>
            <c:showCatName val="0"/>
            <c:showSerName val="0"/>
            <c:showPercent val="0"/>
            <c:showBubbleSize val="0"/>
            <c:showLeaderLines val="1"/>
          </c:dLbls>
          <c:cat>
            <c:strRef>
              <c:f>'Cronograma (2)'!$S$63:$S$65</c:f>
              <c:strCache>
                <c:ptCount val="3"/>
                <c:pt idx="0">
                  <c:v>Elefantes Movil</c:v>
                </c:pt>
                <c:pt idx="1">
                  <c:v>Pec Movil</c:v>
                </c:pt>
                <c:pt idx="2">
                  <c:v>Elefantes Backend</c:v>
                </c:pt>
              </c:strCache>
            </c:strRef>
          </c:cat>
          <c:val>
            <c:numRef>
              <c:f>'Cronograma (2)'!$Q$63:$Q$65</c:f>
              <c:numCache>
                <c:formatCode>0%</c:formatCode>
                <c:ptCount val="3"/>
                <c:pt idx="0">
                  <c:v>0.2301546391483196</c:v>
                </c:pt>
                <c:pt idx="1">
                  <c:v>0.32001002973726778</c:v>
                </c:pt>
                <c:pt idx="2">
                  <c:v>0.4498353311144126</c:v>
                </c:pt>
              </c:numCache>
            </c:numRef>
          </c:val>
        </c:ser>
        <c:dLbls>
          <c:showLegendKey val="0"/>
          <c:showVal val="0"/>
          <c:showCatName val="0"/>
          <c:showSerName val="0"/>
          <c:showPercent val="0"/>
          <c:showBubbleSize val="0"/>
          <c:showLeaderLines val="1"/>
        </c:dLbls>
        <c:firstSliceAng val="0"/>
      </c:pieChart>
    </c:plotArea>
    <c:legend>
      <c:legendPos val="r"/>
      <c:layout/>
      <c:overlay val="0"/>
      <c:txPr>
        <a:bodyPr/>
        <a:lstStyle/>
        <a:p>
          <a:pPr>
            <a:defRPr sz="1100"/>
          </a:pPr>
          <a:endParaRPr lang="es-CO"/>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278266</xdr:colOff>
      <xdr:row>65</xdr:row>
      <xdr:rowOff>134031</xdr:rowOff>
    </xdr:from>
    <xdr:to>
      <xdr:col>20</xdr:col>
      <xdr:colOff>777648</xdr:colOff>
      <xdr:row>67</xdr:row>
      <xdr:rowOff>1129393</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36</xdr:row>
      <xdr:rowOff>9525</xdr:rowOff>
    </xdr:from>
    <xdr:to>
      <xdr:col>10</xdr:col>
      <xdr:colOff>751429</xdr:colOff>
      <xdr:row>66</xdr:row>
      <xdr:rowOff>66061</xdr:rowOff>
    </xdr:to>
    <xdr:pic>
      <xdr:nvPicPr>
        <xdr:cNvPr id="2" name="1 Imagen"/>
        <xdr:cNvPicPr>
          <a:picLocks noChangeAspect="1"/>
        </xdr:cNvPicPr>
      </xdr:nvPicPr>
      <xdr:blipFill>
        <a:blip xmlns:r="http://schemas.openxmlformats.org/officeDocument/2006/relationships" r:embed="rId1"/>
        <a:stretch>
          <a:fillRect/>
        </a:stretch>
      </xdr:blipFill>
      <xdr:spPr>
        <a:xfrm>
          <a:off x="0" y="5353050"/>
          <a:ext cx="8371429" cy="4914286"/>
        </a:xfrm>
        <a:prstGeom prst="rect">
          <a:avLst/>
        </a:prstGeom>
      </xdr:spPr>
    </xdr:pic>
    <xdr:clientData/>
  </xdr:twoCellAnchor>
  <xdr:twoCellAnchor editAs="oneCell">
    <xdr:from>
      <xdr:col>0</xdr:col>
      <xdr:colOff>0</xdr:colOff>
      <xdr:row>2</xdr:row>
      <xdr:rowOff>0</xdr:rowOff>
    </xdr:from>
    <xdr:to>
      <xdr:col>14</xdr:col>
      <xdr:colOff>674858</xdr:colOff>
      <xdr:row>32</xdr:row>
      <xdr:rowOff>113679</xdr:rowOff>
    </xdr:to>
    <xdr:pic>
      <xdr:nvPicPr>
        <xdr:cNvPr id="3" name="2 Imagen"/>
        <xdr:cNvPicPr>
          <a:picLocks noChangeAspect="1"/>
        </xdr:cNvPicPr>
      </xdr:nvPicPr>
      <xdr:blipFill>
        <a:blip xmlns:r="http://schemas.openxmlformats.org/officeDocument/2006/relationships" r:embed="rId2"/>
        <a:stretch>
          <a:fillRect/>
        </a:stretch>
      </xdr:blipFill>
      <xdr:spPr>
        <a:xfrm>
          <a:off x="0" y="0"/>
          <a:ext cx="11342858" cy="497142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uario" refreshedDate="41606.702326620369" createdVersion="4" refreshedVersion="4" minRefreshableVersion="3" recordCount="58">
  <cacheSource type="worksheet">
    <worksheetSource ref="A1:F59" sheet="Historias Usuario Estimadas"/>
  </cacheSource>
  <cacheFields count="6">
    <cacheField name="APLICACION" numFmtId="0">
      <sharedItems count="3">
        <s v="Elefantes blancos backend"/>
        <s v="Elefantes blancos movil"/>
        <s v="PEC Móvil"/>
      </sharedItems>
    </cacheField>
    <cacheField name="FUNCIONALIDAD" numFmtId="0">
      <sharedItems/>
    </cacheField>
    <cacheField name="COMPLEJIDAD" numFmtId="0">
      <sharedItems count="3">
        <s v="media"/>
        <s v="alta"/>
        <s v="baja"/>
      </sharedItems>
    </cacheField>
    <cacheField name="DETALLE TRANSACCIONES" numFmtId="0">
      <sharedItems longText="1"/>
    </cacheField>
    <cacheField name="ETAPA DE DESARROLLO" numFmtId="0">
      <sharedItems/>
    </cacheField>
    <cacheField name="OBSERVACIONE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8">
  <r>
    <x v="0"/>
    <s v="Ver Home sitio administrativo"/>
    <x v="0"/>
    <s v="1. Visualizar encabezado que incluya el nombre del usuario logueado_x000a_2. Calcular y presentar el resumen de elefantes blancos por estado_x000a_3. Visualizar pie de página con los íconos y enlaces definidos _x000a_4. Visualizar menú y desplegar opciones según la selección del usuario "/>
    <s v="Primera Etapa"/>
    <s v="El resumen de los elefantes reportados presenta: _x000a_- Total de elefantes blancos reportados_x000a_- Total de fotos de elefantes reportados_x000a_- Total de elefantes blancos pendientes de validación_x000a_- Total de fotos pendientes de validación"/>
  </r>
  <r>
    <x v="0"/>
    <s v="Ver Home sitio administrativo / Consulta en mapa de Colombia"/>
    <x v="1"/>
    <s v="1. Calcular y presentar el resumen de elefantes blancos por estado_x000a_2. Presentar el panel de búsqueda en el mapa de Colombia_x000a_3. Visualizar filtros de búsqueda_x000a_    - Por región_x000a_    - Por departamento_x000a_    - Por municipio_x000a_    - Por estado_x000a_4. Presentar el mapa de Colombia divido por regiones y ubicar en el mapa el número total de elefantes blancos reportados y aprobados_x000a_5. Despegar del mapa del municipio seleccionado_x000a_6. Ubicar en el mapa del municipio los elefantes blancos aprobados_x000a_7.  Verificar que en caso de que una región no posea elefantes reportados y aprobados, en el mapa de Colombia la misma aparecerá deshabilitada para consulta._x000a_8. Desde el mapa del municipio ver infomación resumida y opción para consultar el detalle del elefante_x000a_9. Desplegar la información detallada del elefante"/>
    <s v="Segunda Etapa"/>
    <s v="El resumen de los elefantes reportados presenta: _x000a_- Total de elefantes blancos reportados_x000a_- Total de fotos de elefantes reportados_x000a_- Total de elefantes blancos pendientes de validación_x000a_- Total de fotos pendientes de validación"/>
  </r>
  <r>
    <x v="0"/>
    <s v="Consultar Elefantes Blancos_x000a_- Aprobados_x000a_- Rachazados_x000a_- Pendientes"/>
    <x v="1"/>
    <s v="1. Calcular y presentar el resumen de elefantes blancos por estado_x000a_2. Poblar filtros por geografía (región, departamento y municipio)_x000a_3. Poblar y desplegar filtro por estados_x000a_4. Visualizar total de elefantes agrupados segun  los criterios de búsqueda_x000a_5. Visualizar resultados en tabla_x000a_6. Presentar opción de ver detalle para cada resultado de la consulta_x000a_7. Presentar opción de ordenar por alguna de las columnas presentadas en la tabla_x000a_8. Presentar opción de paginación en consulta tabla."/>
    <s v="Primera Etapa"/>
    <s v="El resumen de los elefantes reportados presenta: _x000a_- Total de elefantes blancos reportados_x000a_- Total de fotos de elefantes reportados_x000a_- Total de elefantes blancos pendientes de validación_x000a_- Total de fotos pendientes de validación_x000a__x000a_Las columnas presentadas en la tabla y sobre las cuales se puede realizar el ordenamiento son:_x000a_- Código_x000a_- Departamento _x000a_- Municipio_x000a_- Título_x000a_- Estado_x000a_- Fecha creación"/>
  </r>
  <r>
    <x v="0"/>
    <s v="Ver detalle de Elefantes Blancos en mapa"/>
    <x v="0"/>
    <s v="1. Calcular y presentar el resumen de elefantes blancos por estado_x000a_2. Presentar el panel de búsqueda en el mapa del municipio seleccionado en los filtros de búsqueda_x000a_3. Visualizar filtros de búsqueda_x000a_    - Por región_x000a_    - Por departamento_x000a_    - Por municipio_x000a_    - Por estado_x000a_4. Visualizar panel con los datos resultado de la búsqueda_x000a_5. Presentar el mapa del municipio y ubicar en el mapa el total de elefantes blancos reportados y aprobados_x000a_6. Desde el mapa del municipio ver infomación resumida y opción para consultar el detalle del elefante_x000a_7. Desplegar la información detallada del elefante"/>
    <s v="Segunda Etapa"/>
    <s v="Los datos presentados en el panel de búsqueda son:_x000a_- Región_x000a_- Departamento_x000a_- Municipio_x000a_- Pendientes: elefantes pendientes de aprobación_x000a_- Aprobados: elefantes aprobados en el municipio seleccionado"/>
  </r>
  <r>
    <x v="0"/>
    <s v="Ver detalle Elefante Blanco"/>
    <x v="2"/>
    <s v="1. Ver datos básicos del elefante_x000a_2. Ver fotografias del elefante_x000a_3. Presentar opción para "/>
    <s v="Primera Etapa"/>
    <m/>
  </r>
  <r>
    <x v="0"/>
    <s v="Modificar Elefante Blanco administrador_x000a_(Aprobar / Rechazar)"/>
    <x v="0"/>
    <s v="1. Opción editar datos del elefante (los permitidos) _x000a_2. Opción aprobar elefante_x000a_3. Opción rechazar elefante_x000a_4. Opción aprobar &quot;mas información&quot;_x000a_5. Opción rechazar &quot;más información&quot;_x000a_6. Actualizar e informar el resultado de la operación"/>
    <s v="Primera Etapa"/>
    <m/>
  </r>
  <r>
    <x v="0"/>
    <s v="Consultar/Modificar fotos pendientes"/>
    <x v="0"/>
    <s v="1. Consultar fotos pendientes_x000a_2. Opción aprobar foto. Opción rechazar foto_x000a_3. Opción aprobar y colocar como principal_x000a_4. Actualizar e informar el resultado de la operación"/>
    <s v="Primera Etapa"/>
    <m/>
  </r>
  <r>
    <x v="0"/>
    <s v="Registrar Usuarios"/>
    <x v="2"/>
    <s v="1. Visualizar formulario con los campos básicos para el registro de un usuario_x000a_2. Validar campos a nivel de formato y obligatoriedad_x000a_3. Registrar al usuario e informar el resultado de la operación"/>
    <s v="Primera Etapa"/>
    <m/>
  </r>
  <r>
    <x v="0"/>
    <s v="Autenticar Usuarios"/>
    <x v="2"/>
    <s v="1. Visualizar campos para diligenciamiento del usuario y contraseña_x000a_2. Validar el usuario y contraseña.  En caso que corresponda crear un objeto que mantenga en sesión la información del usuario, en caso contrario retornar un mesaje de error."/>
    <s v="Primera Etapa"/>
    <m/>
  </r>
  <r>
    <x v="0"/>
    <s v="Cambio de clave"/>
    <x v="2"/>
    <s v="1. Visualizar campos para cambio de clave_x000a_2. Verificar que los campos correspondan y que la nueva clave sea válida.  _x000a_3. Informar el resultado de la operación"/>
    <s v="Primera Etapa"/>
    <m/>
  </r>
  <r>
    <x v="0"/>
    <s v="Consultar/Actualizar usuarios"/>
    <x v="0"/>
    <s v="1. Desplegar filtros de consulta_x000a_2. Visualizar los usuarios en una tabla de acuerdo a los criterios de búsqueda aplicados_x000a_3. Mostrar opción de paginación_x000a_4. A partir de la opción &quot;editar&quot; visualizar la pantalla con los campos de un usuario en modo edición_x000a_5. Actualización de información e informar el resultado de la operación"/>
    <s v="Primera Etapa"/>
    <m/>
  </r>
  <r>
    <x v="0"/>
    <s v="Administración de parámetros"/>
    <x v="2"/>
    <s v="1. Visualizar parámetros generales del sistema del tipo llave-valor en modo edición_x000a_2. Opción de actualización e informar el resultado de la operación realizada"/>
    <s v="Primera Etapa"/>
    <m/>
  </r>
  <r>
    <x v="0"/>
    <s v="Cargue inicial DIVIPOLA"/>
    <x v="2"/>
    <s v="1. Cargar información DIVIPOLA"/>
    <s v="Primera Etapa"/>
    <m/>
  </r>
  <r>
    <x v="0"/>
    <s v="Servicio registrar/modificar elefante blanco"/>
    <x v="0"/>
    <s v="1. Visualizar formulario con los campos básicos para el que permiten informar y/o crear el elefante blanco._x000a_2. En caso que provenga de una petición de modificación, el formulario debe cargar los datos asociados al elefante._x000a_3. Aplicar validaciones sobre el formulario de formato y obligatoriedad_x000a_4. Una vez se oprima el botón aceptar, registrar los datos e informar el resultado de la operación realizada."/>
    <s v="Primera Etapa"/>
    <m/>
  </r>
  <r>
    <x v="0"/>
    <s v="Servicio asociar imagen a elefante blanco"/>
    <x v="2"/>
    <s v="1. Permitir asociar una imagen a un elefante existente"/>
    <s v="Primera Etapa"/>
    <m/>
  </r>
  <r>
    <x v="0"/>
    <s v="Servicio registrar voto"/>
    <x v="2"/>
    <s v="1. Permitir registrar voto de apoyo al elefante blanco existente"/>
    <s v="Primera Etapa"/>
    <m/>
  </r>
  <r>
    <x v="0"/>
    <s v="Servicio consultar elefantes por region"/>
    <x v="2"/>
    <s v="1. Permitir obtener el listado de elefantes blancos por región."/>
    <s v="Primera Etapa"/>
    <m/>
  </r>
  <r>
    <x v="0"/>
    <s v="Servicio de consultar elefantes por departamento"/>
    <x v="2"/>
    <s v="1. Permitir obtener el listado de elefantes blancos por departamento."/>
    <s v="Primera Etapa"/>
    <m/>
  </r>
  <r>
    <x v="0"/>
    <s v="Servicio de consultar elefantes por municipio"/>
    <x v="2"/>
    <s v="1. Permitir obtener el listado de elefantes blancos por municipio."/>
    <s v="Primera Etapa"/>
    <m/>
  </r>
  <r>
    <x v="0"/>
    <s v="Servicio de consultar elefantes"/>
    <x v="2"/>
    <s v="1. Permitir obtener el listado de elefantes blancos a partir del código de departamento y municipio."/>
    <s v="Primera Etapa"/>
    <m/>
  </r>
  <r>
    <x v="0"/>
    <s v="Servicio de consultar detalle de elefantes"/>
    <x v="2"/>
    <s v="1. Permitir obtener el detalle del elefante blanco."/>
    <s v="Primera Etapa"/>
    <m/>
  </r>
  <r>
    <x v="0"/>
    <s v="Servicio de consultar elefantes por token"/>
    <x v="2"/>
    <s v="1. Permitir obtener el listado de elefantes blancos a partir del identificador del teléfono"/>
    <s v="Primera Etapa"/>
    <m/>
  </r>
  <r>
    <x v="0"/>
    <s v="Servicio de consultar elefantes mas votados"/>
    <x v="2"/>
    <s v="1. Permitir obtener el listado de elefantes blancos a partir del identificador del teléfono"/>
    <s v="Primera Etapa"/>
    <m/>
  </r>
  <r>
    <x v="0"/>
    <s v="Servicio de consultar en mi zona"/>
    <x v="2"/>
    <s v="1. Permitir obtener el listado de elefantes blancos a partir de la posición actual del ciudadano."/>
    <s v="Primera Etapa"/>
    <m/>
  </r>
  <r>
    <x v="0"/>
    <s v="Manejo de Alertas de Elefantes Blancos"/>
    <x v="2"/>
    <s v="1. Presentar grupos de alertas por reportados y pendientes de validación a nivel total_x000a_2. Presentar listado detallado de reportados o pendientes de validación con opción de ingresar a gestionar "/>
    <s v="Segunda Etapa"/>
    <m/>
  </r>
  <r>
    <x v="0"/>
    <s v="Generar registro de Auditoria"/>
    <x v="2"/>
    <s v="1. Registrar evento de auditoría"/>
    <s v="Segunda Etapa"/>
    <m/>
  </r>
  <r>
    <x v="0"/>
    <s v="Consulta de Auditoria"/>
    <x v="0"/>
    <s v="1. Desplegar filtros para el reporte de auditoría_x000a_2. Visualizar resultados según los filtros_x000a_3. Opcion de paginación_x000a_4. Opción de ordenamiento_x000a_5. Opción de exportar a excel"/>
    <s v="Segunda Etapa"/>
    <m/>
  </r>
  <r>
    <x v="0"/>
    <s v="Recuperar Contraseña"/>
    <x v="2"/>
    <s v="1. Presentar campos para recuperar contraseña_x000a_2. Verificar que los campos correspondan _x000a_3. Enviar correo electrónico con la nueva clave"/>
    <s v="Segunda Etapa"/>
    <m/>
  </r>
  <r>
    <x v="0"/>
    <s v="Cerrar sesión"/>
    <x v="2"/>
    <s v="1. Al seleccionar la opción de cerrar sesión o salida segura se liberarán los recursos asignados a la sesión de usuario y redireccionará a la página de autenticación"/>
    <s v="Segunda Etapa"/>
    <m/>
  </r>
  <r>
    <x v="0"/>
    <s v="Administración de motivos de rechazo"/>
    <x v="2"/>
    <s v="1. Consultar motivos de rechazo_x000a_2. Actualizar motivos de rechazo_x000a_3. Crear motivos de rechazo"/>
    <s v="Segunda Etapa"/>
    <m/>
  </r>
  <r>
    <x v="1"/>
    <s v="Ver Home de la aplicación móvil de Elefantes Blancos"/>
    <x v="2"/>
    <s v="1. Desplegar la pantalla de home con las secciones definidas en el diseño (encabezado, botones de acceso, y pie de pagina)_x000a_2. Validar disponibilidad de acceso a internet y a los servicios web_x000a_3. Validar acceso al GPS"/>
    <s v="Primera Etapa"/>
    <m/>
  </r>
  <r>
    <x v="1"/>
    <s v="Consultar Elefantes Blancos en Colombia"/>
    <x v="1"/>
    <s v="1. Presentar del mapa de Colombia dividido por sus regiones_x000a_2. Consultar y ubicar en el mapa de colombia el número total de elefantes blancos reportados y aprobados_x000a_3. Opción para ingresar información de ubicación más detallada: departamento y municipio_x000a_4. Opción de autocompletar para las posibles opciones de municipios de acuerdo a lo que vaya digitando y el departamento ingresado_x000a_5. Despegar del mapa del municipio seleccionado_x000a_6. Ubicar en el mapa del municipio los elefantes blancos aprobados_x000a_7.  Verificar que en caso de que una región no posea elefantes reportados y aprobados, en el mapa de Colombia la misma aparecerá deshabilitada para consulta._x000a_8. Buscar y visualizar aquellos elefantes que se encuentran cercanos a mi ubicación actual_x000a_9. Desde el mapa del municipio ver infomación resumida y opción para consultar el detalle del elefante_x000a_10. Desplegar la información detallada del elefante _x000a_"/>
    <s v="Primera Etapa"/>
    <m/>
  </r>
  <r>
    <x v="1"/>
    <s v="Cconsultar top 5 de Elefantes Blancos en Colombia"/>
    <x v="2"/>
    <s v="1. Desplegar el listado de los cinco elefantes blancos aprobados más “votados” en el sistema_x000a_2. Presentar enlace para consultar el detalle del elefante blanco_x000a_"/>
    <s v="Primera Etapa"/>
    <m/>
  </r>
  <r>
    <x v="1"/>
    <s v="Consultar mis Elefantes Blancos"/>
    <x v="2"/>
    <s v="1. Presentar listado de &quot;mis elefantes&quot; reportados ordenados del más reciente al más antiguo_x000a_2. Implementar mecanismo para cuando el listado sea muy extenso (ej: paginación, ver más, top, ..)_x000a_3. Presentar enlace al detalle del elefante blanco"/>
    <s v="Primera Etapa"/>
    <m/>
  </r>
  <r>
    <x v="1"/>
    <s v="Ver detalle de Elefantes Blancos (Ciudadano)"/>
    <x v="0"/>
    <s v="_x000a_1. Visualizar datos básicos del elefante  (título, fecha reporte, estado)_x000a_2. Mostrar carrete de imágenes_x000a_3. Visualizar información de votos y opción &quot;me uno&quot;._x000a_4. Visualizar información adicional (número de imagenes asociadas, datos de ubicación, motivo, entidad responsable)_x000a_5. Opción &quot;mas información&quot; (costo, contratista, tiempo)_x000a_6. Opción de denuncia del elefante blanco"/>
    <s v="Primera Etapa"/>
    <m/>
  </r>
  <r>
    <x v="1"/>
    <s v="Reportar Elefante Blanco"/>
    <x v="1"/>
    <s v="_x000a_1. Presentar el mapa de la zona de mi ubicación actual y en él, los Elefantes Blancos reportados y cuyo estado sea aprobado, esto con el fin de visualizar si el Elefante Blanco que desea reportar ya ha sido registrado._x000a_2. Habilitar cámara fotográfica y capturar la imagen_x000a_3. Verificar estado del GPS y capturar ubicación_x000a_4. Registrar los datos básicos del elefante_x000a_5. Opción para cargar imagen_x000a_6. Datos geográficos enlazados a divipola_x000a_7. Opción de denuncia del elefante blanco_x000a_8. Permitir el modo edición "/>
    <s v="Primera Etapa"/>
    <s v="Opción de denuncia del elefante blanco. al solicitar generar la denuncia, el sistema me presentará un mensaje en el cual se  informará que la denuncia  se realizará sobre la VUD"/>
  </r>
  <r>
    <x v="1"/>
    <s v="Asociar nueva imagen a un Elefante Blanco aprobado"/>
    <x v="0"/>
    <s v="1. Invocar la función del sistema operativo que permite validar si el dispositivo tiene cámara y en caso afirmativo activarla desde la aplicación_x000a_2. Preguntar si desea asociar la imagen al elefante blanco o desea tomar una nueva foto_x000a_3. Asociar la imagen_x000a_4. Verificar que la opción de asociar imágenes al elefante solo se presente si el elefante tiene menos de diez imágenes ya asociadas_x000a_5. Verificar estado de GPS y capturar ubicación_x000a_6. Presentar mensaje de confirmación o error, según corresponda"/>
    <s v="Primera Etapa"/>
    <m/>
  </r>
  <r>
    <x v="1"/>
    <s v="Apoyar Elefante Blanco (Dar &quot;Me uno&quot;)"/>
    <x v="2"/>
    <s v="1. Opción de realizar un “voto” apoyando el reporte del elefante, dando a conocer así, que está de acuerdo con dicho reporte desde diferentes lugares del sistema._x000a_2. Aumentar el contador de votos verificando que no se pueda contabilizar su voto más de una vez."/>
    <s v="Primera Etapa"/>
    <m/>
  </r>
  <r>
    <x v="1"/>
    <s v="Modificar Elefante Blancos ciudadano"/>
    <x v="2"/>
    <s v="1. Habilitar el modo edición cuando el elefante se encuentre en estado &quot;pendiente&quot; (precargar los datos en modo editable)_x000a_2. Botón de actualizar y retorno de confirmación "/>
    <s v="Primera Etapa"/>
    <m/>
  </r>
  <r>
    <x v="1"/>
    <s v="Ver ayuda"/>
    <x v="0"/>
    <s v="1. Cargar parámetros de información_x000a_2. Desplegar ayuda ¿Cómo Usar?_x000a_3. Desplegar Aviso Legal_x000a_4. Desplegar información sobre esta aplicación"/>
    <s v="Primera Etapa"/>
    <m/>
  </r>
  <r>
    <x v="1"/>
    <s v="Versión para smartphone iOS"/>
    <x v="1"/>
    <s v="1. Ver home_x000a_2. Consultar elefantes en Colombia_x000a_3. Consultar top 5_x000a_4. Consultar mis elefantes_x000a_5. Ver detalle elefantes_x000a_6. Reportar elefante_x000a_7. Asociar nueva imagen_x000a_8. Apoyar elefante blanco_x000a_9. Modificar elefante_x000a_10. Ver ayuda"/>
    <s v="Primera Etapa"/>
    <m/>
  </r>
  <r>
    <x v="2"/>
    <s v="Página de inicio cómo &amp; dónde"/>
    <x v="1"/>
    <s v="1. Presentar splash de bienvenida _x000a_2. Validar disponibilidad de acceso a internet y a los servicios web_x000a_3. Validar acceso al GPS_x000a_4. Desplegar mapa_x000a_5. Calcular ubicación actual_x000a_6. Visualizar entidades cercanas a mi posición_x000a_7. Cargar y visualizar íconos distintivos para entidades consultadas y favoritas_x000a_8. Mostrar puntos de interés_x000a_9. Opción ubicarme (centrar el mapa)_x000a_10. Zoom in, zoom out sobre el mapa"/>
    <s v="Segunda Etapa"/>
    <m/>
  </r>
  <r>
    <x v="2"/>
    <s v="Ver menú de opciones"/>
    <x v="2"/>
    <s v="1. Despliegue del menú con las opciones establecidas en el diseño"/>
    <s v="Segunda Etapa"/>
    <m/>
  </r>
  <r>
    <x v="2"/>
    <s v="Buscar entidades"/>
    <x v="0"/>
    <s v="1. Opción buscar entidades a través de su nombre_x000a_2. Opción autocompletar_x000a_3. Ubicar en el mapa la entidad seleccionada_x000a_4. Diferenciarción por colores para diferenciar aquellas que tienen trámites en línea, aquellas que no, y las instituciones marcadas como favoritas_x000a_5. Desplegar submenú de opciones (favorito, información, llamada, foto)"/>
    <s v="Segunda Etapa"/>
    <m/>
  </r>
  <r>
    <x v="2"/>
    <s v="Marcar como favorita la entidad"/>
    <x v="2"/>
    <s v="1. Marcar como favorita la entidad _x000a_2. Actualizar ícono"/>
    <s v="Segunda Etapa"/>
    <m/>
  </r>
  <r>
    <x v="2"/>
    <s v="Ver información detalle de la entidad"/>
    <x v="2"/>
    <s v="1. Mostrar información detallada de la entidad:_x000a_o Foto de la entidad (Si se encuentra disponible)_x000a_o Nombre de la entidad_x000a_o Descripción de la entidad_x000a_o Horarios_x000a_o Ubicación: Dirección de la entidad_x000a_o Contacto: Teléfono de la entidad"/>
    <s v="Segunda Etapa"/>
    <m/>
  </r>
  <r>
    <x v="2"/>
    <s v="Llamada"/>
    <x v="2"/>
    <s v="1. Establecer comunicación telefonica con la entidad si ésta tiene reportado un teléfono"/>
    <s v="Segunda Etapa"/>
    <m/>
  </r>
  <r>
    <x v="2"/>
    <s v="Foto"/>
    <x v="0"/>
    <s v="1. Abrir ventana para seleccionar buscar una imagen o tomar una foto_x000a_2. Si elige la opción de adjuntar una imagen o foto guardada, se abrirá la galería de imágenes del dispositivo y luego, elige una imagen o foto almacenada que el sistema asociará al perfil de la entidad._x000a_3. Al seleccionar la opción de tomar una foto, se habilitará la cámara del dispositivo permitiendo adjuntar al perfil de la entidad, la foto que se tome_x000a_4.Si la entidad ya tiene relacionada una imagen o foto y se intenta asociar alguna imagen, el sistema deberá preguntar si se desea reemplazar la imagen existente con la nueva._x000a_5. Validar foto de máximo una mega (1 MB) de tamaño. _x000a_6. Opción de eliminar la imagen o foto relacionada con la entidad y verificar que el sistema, en el detalle de la entidad, visualice la imagen predeterminada"/>
    <s v="Segunda Etapa"/>
    <m/>
  </r>
  <r>
    <x v="2"/>
    <s v="Buscar los trámites y/o servicios"/>
    <x v="2"/>
    <s v="1. Opción buscar trámites a través de su nombre_x000a_2. Opción autocompletar_x000a_3. Al dar clic sobre el trámite llevarlo al detalle del trámite o servicio"/>
    <s v="Segunda Etapa"/>
    <m/>
  </r>
  <r>
    <x v="2"/>
    <s v="Ver información detalle del trámite y/o del servicio"/>
    <x v="1"/>
    <s v="1. Información &quot;en qué consiste&quot;_x000a_2. Información &quot;Recuerde que&quot;_x000a_3. Información &quot;Pagos&quot;_x000a_4. Información &quot;Pasos&quot;_x000a_5. Información &quot;Requisitos&quot;_x000a_6. Información &quot;Documentos&quot;_x000a_7. Información &quot;Entidades&quot;_x000a_8. Opción marcar como favorito"/>
    <s v="Segunda Etapa"/>
    <m/>
  </r>
  <r>
    <x v="2"/>
    <s v="Recomentar a un amigo"/>
    <x v="2"/>
    <s v="1. Presentar opción para recomendar el contenido de un trámite a un amigo _x000a_2. Abrir ventana para incluir la dirección del correo electrónico del amigo_x000a_3. Enviar el link y un texto predeterminado via correo electrónico"/>
    <s v="Segunda Etapa"/>
    <m/>
  </r>
  <r>
    <x v="2"/>
    <s v="Realizar búsqueda avanzada"/>
    <x v="0"/>
    <s v="1. Mostrar filtro tipo de búsqueda_x000a_2. Localización_x000a_3. Horarios (jornada)_x000a_4. Resultados de búsqueda tipo Pull and Refresh"/>
    <s v="Segunda Etapa"/>
    <m/>
  </r>
  <r>
    <x v="2"/>
    <s v="Ver mis entidades y servicios favoritos"/>
    <x v="0"/>
    <s v="1. Opción agregar a favoritos (consultas)_x000a_2. Opción eliminar de favoritos (consultas)_x000a_3. Marcar una entidad como favorita desde el mapa_x000a_4. Listado de favoritos_x000a_5. Control número máximo de favoritos"/>
    <s v="Segunda Etapa"/>
    <m/>
  </r>
  <r>
    <x v="2"/>
    <s v="Mostrar puntos de interés"/>
    <x v="2"/>
    <s v="1. Opción puntos de interés del menú.  Al dar clic se mostrarán todos los puntos de interés en el mapa_x000a_2. Filtros de categorización puntos de interés"/>
    <s v="Segunda Etapa"/>
    <m/>
  </r>
  <r>
    <x v="2"/>
    <s v="Ver mi historial de búsqueda"/>
    <x v="0"/>
    <s v="1. Registrar consulta en el historial _x000a_2. Ver la lista de las consultas más recientes_x000a_3. Opción de eliminar uno o varios de la lista_x000a_4. Control número máximo de items en historial"/>
    <s v="Segunda Etapa"/>
    <m/>
  </r>
  <r>
    <x v="2"/>
    <s v="Compartir el aplicativo"/>
    <x v="2"/>
    <s v="1. Opción compartir nativa del S.O y que despliegue las diferentes redes sociales sobre las cuales puede compartir el enlace de descarga de la app"/>
    <s v="Segunda Etapa"/>
    <m/>
  </r>
  <r>
    <x v="2"/>
    <s v="Ver Tutorial de Cómo y Dónde y acerca de"/>
    <x v="2"/>
    <s v="1. Cargue de información (parámetros)_x000a_2. Visualizar tutorial (pantalla 1)_x000a_3. Visualizar tutorial (pantalla 2)_x000a_4. Visualizar información &quot;acerca de&quot;"/>
    <s v="Segunda Etapa"/>
    <m/>
  </r>
  <r>
    <x v="2"/>
    <s v="Versión para smartphone iOS"/>
    <x v="1"/>
    <s v="Todas las funcionalidades pero en versión iOS (1 caso de uso de complejidad alta por cada 12 funcionalidades)"/>
    <s v="Segunda Etapa"/>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1" cacheId="0"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F55:J60" firstHeaderRow="1" firstDataRow="2" firstDataCol="1"/>
  <pivotFields count="6">
    <pivotField axis="axisRow" showAll="0">
      <items count="4">
        <item x="0"/>
        <item x="1"/>
        <item x="2"/>
        <item t="default"/>
      </items>
    </pivotField>
    <pivotField showAll="0"/>
    <pivotField axis="axisCol" showAll="0">
      <items count="4">
        <item x="1"/>
        <item x="2"/>
        <item x="0"/>
        <item t="default"/>
      </items>
    </pivotField>
    <pivotField dataField="1" showAll="0"/>
    <pivotField showAll="0"/>
    <pivotField showAll="0"/>
  </pivotFields>
  <rowFields count="1">
    <field x="0"/>
  </rowFields>
  <rowItems count="4">
    <i>
      <x/>
    </i>
    <i>
      <x v="1"/>
    </i>
    <i>
      <x v="2"/>
    </i>
    <i t="grand">
      <x/>
    </i>
  </rowItems>
  <colFields count="1">
    <field x="2"/>
  </colFields>
  <colItems count="4">
    <i>
      <x/>
    </i>
    <i>
      <x v="1"/>
    </i>
    <i>
      <x v="2"/>
    </i>
    <i t="grand">
      <x/>
    </i>
  </colItems>
  <dataFields count="1">
    <dataField name="Cuenta de DETALLE TRANSACCIONES"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17"/>
  <sheetViews>
    <sheetView view="pageBreakPreview" topLeftCell="A28" zoomScale="60" zoomScaleNormal="90" workbookViewId="0">
      <selection activeCell="J22" sqref="J22"/>
    </sheetView>
  </sheetViews>
  <sheetFormatPr baseColWidth="10" defaultColWidth="9.140625" defaultRowHeight="12.75" x14ac:dyDescent="0.2"/>
  <cols>
    <col min="1" max="1" width="5.7109375" style="27" customWidth="1"/>
    <col min="2" max="2" width="9.140625" style="27" customWidth="1"/>
    <col min="3" max="3" width="20.7109375" style="2" customWidth="1"/>
    <col min="4" max="4" width="13.85546875" style="2" bestFit="1" customWidth="1"/>
    <col min="5" max="5" width="13.5703125" style="1" customWidth="1"/>
    <col min="6" max="6" width="36.140625" style="1" customWidth="1"/>
    <col min="7" max="7" width="23.140625" style="3" customWidth="1"/>
    <col min="8" max="8" width="11.5703125" style="27" customWidth="1"/>
    <col min="9" max="9" width="6.7109375" style="27" customWidth="1"/>
    <col min="10" max="10" width="13.140625" style="27" customWidth="1"/>
    <col min="11" max="11" width="10.140625" style="27" customWidth="1"/>
    <col min="12" max="12" width="13.140625" style="27" bestFit="1" customWidth="1"/>
    <col min="13" max="32" width="9.140625" style="27"/>
    <col min="33" max="16384" width="9.140625" style="1"/>
  </cols>
  <sheetData>
    <row r="1" spans="3:8" s="27" customFormat="1" x14ac:dyDescent="0.2">
      <c r="C1" s="29"/>
      <c r="D1" s="29"/>
      <c r="G1" s="30"/>
    </row>
    <row r="2" spans="3:8" s="27" customFormat="1" x14ac:dyDescent="0.2">
      <c r="C2" s="403" t="s">
        <v>76</v>
      </c>
      <c r="D2" s="403"/>
      <c r="E2" s="403"/>
      <c r="F2" s="403"/>
      <c r="G2" s="403"/>
    </row>
    <row r="3" spans="3:8" s="27" customFormat="1" ht="13.5" thickBot="1" x14ac:dyDescent="0.25">
      <c r="C3" s="29" t="s">
        <v>247</v>
      </c>
      <c r="D3" s="29"/>
      <c r="G3" s="30"/>
    </row>
    <row r="4" spans="3:8" s="27" customFormat="1" ht="38.25" x14ac:dyDescent="0.2">
      <c r="C4" s="45" t="s">
        <v>40</v>
      </c>
      <c r="D4" s="11" t="s">
        <v>33</v>
      </c>
      <c r="E4" s="12" t="s">
        <v>41</v>
      </c>
      <c r="F4" s="16" t="s">
        <v>43</v>
      </c>
      <c r="G4" s="16" t="s">
        <v>12</v>
      </c>
      <c r="H4" s="13" t="s">
        <v>94</v>
      </c>
    </row>
    <row r="5" spans="3:8" s="27" customFormat="1" ht="63.75" x14ac:dyDescent="0.2">
      <c r="C5" s="18" t="s">
        <v>37</v>
      </c>
      <c r="D5" s="15">
        <v>1</v>
      </c>
      <c r="E5" s="43">
        <v>2</v>
      </c>
      <c r="F5" s="44">
        <f>D5*E5</f>
        <v>2</v>
      </c>
      <c r="G5" s="51" t="s">
        <v>91</v>
      </c>
      <c r="H5" s="92" t="s">
        <v>184</v>
      </c>
    </row>
    <row r="6" spans="3:8" s="27" customFormat="1" ht="63.75" x14ac:dyDescent="0.2">
      <c r="C6" s="18" t="s">
        <v>36</v>
      </c>
      <c r="D6" s="15">
        <v>2</v>
      </c>
      <c r="E6" s="43">
        <v>1</v>
      </c>
      <c r="F6" s="44">
        <f>D6*E6</f>
        <v>2</v>
      </c>
      <c r="G6" s="51" t="s">
        <v>39</v>
      </c>
      <c r="H6" s="81" t="s">
        <v>248</v>
      </c>
    </row>
    <row r="7" spans="3:8" s="27" customFormat="1" ht="63.75" x14ac:dyDescent="0.2">
      <c r="C7" s="18" t="s">
        <v>35</v>
      </c>
      <c r="D7" s="15">
        <v>3</v>
      </c>
      <c r="E7" s="43">
        <v>2</v>
      </c>
      <c r="F7" s="44">
        <f>D7*E7</f>
        <v>6</v>
      </c>
      <c r="G7" s="51" t="s">
        <v>92</v>
      </c>
      <c r="H7" s="133" t="s">
        <v>128</v>
      </c>
    </row>
    <row r="8" spans="3:8" s="27" customFormat="1" ht="13.5" thickBot="1" x14ac:dyDescent="0.25">
      <c r="C8" s="400" t="s">
        <v>42</v>
      </c>
      <c r="D8" s="401"/>
      <c r="E8" s="402"/>
      <c r="F8" s="17">
        <f>SUM(F5:F7)</f>
        <v>10</v>
      </c>
      <c r="G8" s="52"/>
      <c r="H8" s="9"/>
    </row>
    <row r="9" spans="3:8" s="27" customFormat="1" x14ac:dyDescent="0.2">
      <c r="C9" s="29"/>
      <c r="D9" s="29"/>
      <c r="G9" s="30"/>
    </row>
    <row r="10" spans="3:8" s="27" customFormat="1" ht="13.5" thickBot="1" x14ac:dyDescent="0.25">
      <c r="C10" s="28" t="s">
        <v>250</v>
      </c>
      <c r="D10" s="29"/>
      <c r="G10" s="30"/>
    </row>
    <row r="11" spans="3:8" s="27" customFormat="1" ht="38.25" x14ac:dyDescent="0.2">
      <c r="C11" s="45" t="s">
        <v>40</v>
      </c>
      <c r="D11" s="11" t="s">
        <v>33</v>
      </c>
      <c r="E11" s="12" t="s">
        <v>41</v>
      </c>
      <c r="F11" s="16" t="s">
        <v>43</v>
      </c>
      <c r="G11" s="16" t="s">
        <v>12</v>
      </c>
      <c r="H11" s="13" t="s">
        <v>94</v>
      </c>
    </row>
    <row r="12" spans="3:8" s="27" customFormat="1" ht="63.75" x14ac:dyDescent="0.2">
      <c r="C12" s="18" t="s">
        <v>37</v>
      </c>
      <c r="D12" s="15">
        <v>1</v>
      </c>
      <c r="E12" s="43">
        <v>2</v>
      </c>
      <c r="F12" s="44">
        <f>D12*E12</f>
        <v>2</v>
      </c>
      <c r="G12" s="51" t="s">
        <v>91</v>
      </c>
      <c r="H12" s="92" t="s">
        <v>184</v>
      </c>
    </row>
    <row r="13" spans="3:8" s="27" customFormat="1" ht="76.5" x14ac:dyDescent="0.2">
      <c r="C13" s="18" t="s">
        <v>36</v>
      </c>
      <c r="D13" s="15">
        <v>2</v>
      </c>
      <c r="E13" s="43">
        <v>1</v>
      </c>
      <c r="F13" s="44">
        <f>D13*E13</f>
        <v>2</v>
      </c>
      <c r="G13" s="51" t="s">
        <v>39</v>
      </c>
      <c r="H13" s="81" t="s">
        <v>249</v>
      </c>
    </row>
    <row r="14" spans="3:8" s="27" customFormat="1" ht="64.5" customHeight="1" x14ac:dyDescent="0.2">
      <c r="C14" s="18" t="s">
        <v>35</v>
      </c>
      <c r="D14" s="15">
        <v>3</v>
      </c>
      <c r="E14" s="43">
        <v>2</v>
      </c>
      <c r="F14" s="44">
        <f>D14*E14</f>
        <v>6</v>
      </c>
      <c r="G14" s="51" t="s">
        <v>92</v>
      </c>
      <c r="H14" s="133" t="s">
        <v>128</v>
      </c>
    </row>
    <row r="15" spans="3:8" s="27" customFormat="1" ht="13.5" thickBot="1" x14ac:dyDescent="0.25">
      <c r="C15" s="400" t="s">
        <v>42</v>
      </c>
      <c r="D15" s="401"/>
      <c r="E15" s="402"/>
      <c r="F15" s="17">
        <f>SUM(F12:F14)</f>
        <v>10</v>
      </c>
      <c r="G15" s="52"/>
      <c r="H15" s="9"/>
    </row>
    <row r="16" spans="3:8" s="27" customFormat="1" x14ac:dyDescent="0.2">
      <c r="C16" s="29"/>
      <c r="D16" s="29"/>
      <c r="G16" s="30"/>
    </row>
    <row r="17" spans="1:32" s="27" customFormat="1" ht="13.5" thickBot="1" x14ac:dyDescent="0.25">
      <c r="C17" s="28" t="s">
        <v>251</v>
      </c>
      <c r="D17" s="29"/>
      <c r="G17" s="30"/>
    </row>
    <row r="18" spans="1:32" s="27" customFormat="1" ht="38.25" x14ac:dyDescent="0.2">
      <c r="C18" s="45" t="s">
        <v>40</v>
      </c>
      <c r="D18" s="11" t="s">
        <v>33</v>
      </c>
      <c r="E18" s="12" t="s">
        <v>41</v>
      </c>
      <c r="F18" s="16" t="s">
        <v>43</v>
      </c>
      <c r="G18" s="16" t="s">
        <v>12</v>
      </c>
      <c r="H18" s="13" t="s">
        <v>94</v>
      </c>
    </row>
    <row r="19" spans="1:32" s="27" customFormat="1" ht="63.75" x14ac:dyDescent="0.2">
      <c r="C19" s="18" t="s">
        <v>37</v>
      </c>
      <c r="D19" s="15">
        <v>1</v>
      </c>
      <c r="E19" s="43">
        <v>0</v>
      </c>
      <c r="F19" s="44">
        <f>D19*E19</f>
        <v>0</v>
      </c>
      <c r="G19" s="51" t="s">
        <v>91</v>
      </c>
      <c r="H19" s="92"/>
    </row>
    <row r="20" spans="1:32" s="27" customFormat="1" ht="63.75" x14ac:dyDescent="0.2">
      <c r="C20" s="18" t="s">
        <v>36</v>
      </c>
      <c r="D20" s="15">
        <v>2</v>
      </c>
      <c r="E20" s="43">
        <v>0</v>
      </c>
      <c r="F20" s="44">
        <f>D20*E20</f>
        <v>0</v>
      </c>
      <c r="G20" s="51" t="s">
        <v>39</v>
      </c>
      <c r="H20" s="81"/>
    </row>
    <row r="21" spans="1:32" s="27" customFormat="1" ht="51" x14ac:dyDescent="0.2">
      <c r="C21" s="18" t="s">
        <v>35</v>
      </c>
      <c r="D21" s="15">
        <v>3</v>
      </c>
      <c r="E21" s="43">
        <v>1</v>
      </c>
      <c r="F21" s="44">
        <f>D21*E21</f>
        <v>3</v>
      </c>
      <c r="G21" s="51" t="s">
        <v>92</v>
      </c>
      <c r="H21" s="167" t="s">
        <v>252</v>
      </c>
    </row>
    <row r="22" spans="1:32" s="27" customFormat="1" ht="13.5" thickBot="1" x14ac:dyDescent="0.25">
      <c r="C22" s="400" t="s">
        <v>42</v>
      </c>
      <c r="D22" s="401"/>
      <c r="E22" s="402"/>
      <c r="F22" s="17">
        <f>SUM(F19:F21)</f>
        <v>3</v>
      </c>
      <c r="G22" s="52"/>
      <c r="H22" s="9"/>
    </row>
    <row r="23" spans="1:32" x14ac:dyDescent="0.2">
      <c r="A23" s="1"/>
      <c r="B23" s="1"/>
      <c r="H23" s="129"/>
      <c r="I23" s="129"/>
      <c r="J23" s="129"/>
      <c r="K23" s="129"/>
      <c r="L23"/>
      <c r="M23"/>
      <c r="N23"/>
      <c r="O23"/>
      <c r="P23" s="1"/>
      <c r="Q23" s="1"/>
      <c r="R23" s="1"/>
      <c r="S23" s="1"/>
      <c r="T23" s="1"/>
      <c r="U23" s="1"/>
      <c r="V23" s="1"/>
      <c r="W23" s="1"/>
      <c r="X23" s="1"/>
      <c r="Y23" s="1"/>
      <c r="Z23" s="1"/>
      <c r="AA23" s="1"/>
      <c r="AB23" s="1"/>
      <c r="AC23" s="1"/>
      <c r="AD23" s="1"/>
      <c r="AE23" s="1"/>
      <c r="AF23" s="1"/>
    </row>
    <row r="24" spans="1:32" x14ac:dyDescent="0.2">
      <c r="A24" s="1"/>
      <c r="B24" s="1"/>
      <c r="C24" s="403" t="s">
        <v>77</v>
      </c>
      <c r="D24" s="403"/>
      <c r="E24" s="403"/>
      <c r="F24" s="403"/>
      <c r="G24" s="403"/>
      <c r="H24" s="129"/>
      <c r="I24" s="129"/>
      <c r="J24" s="129"/>
      <c r="K24" s="129"/>
      <c r="L24"/>
      <c r="M24"/>
      <c r="N24"/>
      <c r="O24"/>
      <c r="P24" s="1"/>
      <c r="Q24" s="1"/>
      <c r="R24" s="1"/>
      <c r="S24" s="1"/>
      <c r="T24" s="1"/>
      <c r="U24" s="1"/>
      <c r="V24" s="1"/>
      <c r="W24" s="1"/>
      <c r="X24" s="1"/>
      <c r="Y24" s="1"/>
      <c r="Z24" s="1"/>
      <c r="AA24" s="1"/>
      <c r="AB24" s="1"/>
      <c r="AC24" s="1"/>
      <c r="AD24" s="1"/>
      <c r="AE24" s="1"/>
      <c r="AF24" s="1"/>
    </row>
    <row r="25" spans="1:32" ht="13.5" thickBot="1" x14ac:dyDescent="0.25">
      <c r="A25" s="1"/>
      <c r="B25" s="1"/>
      <c r="C25" s="29" t="s">
        <v>247</v>
      </c>
      <c r="D25" s="29"/>
      <c r="E25" s="27"/>
      <c r="F25" s="27"/>
      <c r="G25" s="30"/>
      <c r="H25" s="129"/>
      <c r="I25" s="129"/>
      <c r="J25" s="129"/>
      <c r="K25" s="129"/>
      <c r="L25"/>
      <c r="M25"/>
      <c r="N25"/>
      <c r="O25"/>
      <c r="P25" s="1"/>
      <c r="Q25" s="1"/>
      <c r="R25" s="1"/>
      <c r="S25" s="1"/>
      <c r="T25" s="1"/>
      <c r="U25" s="1"/>
      <c r="V25" s="1"/>
      <c r="W25" s="1"/>
      <c r="X25" s="1"/>
      <c r="Y25" s="1"/>
      <c r="Z25" s="1"/>
      <c r="AA25" s="1"/>
      <c r="AB25" s="1"/>
      <c r="AC25" s="1"/>
      <c r="AD25" s="1"/>
      <c r="AE25" s="1"/>
      <c r="AF25" s="1"/>
    </row>
    <row r="26" spans="1:32" ht="25.5" x14ac:dyDescent="0.2">
      <c r="A26" s="1"/>
      <c r="B26" s="1"/>
      <c r="C26" s="10" t="s">
        <v>34</v>
      </c>
      <c r="D26" s="12" t="s">
        <v>45</v>
      </c>
      <c r="E26" s="12" t="s">
        <v>46</v>
      </c>
      <c r="F26" s="12" t="s">
        <v>44</v>
      </c>
      <c r="G26" s="13" t="s">
        <v>12</v>
      </c>
      <c r="H26"/>
      <c r="I26"/>
      <c r="J26"/>
      <c r="K26"/>
      <c r="L26"/>
      <c r="M26"/>
      <c r="N26"/>
      <c r="O26"/>
      <c r="P26" s="1"/>
      <c r="Q26" s="1"/>
      <c r="R26" s="1"/>
      <c r="S26" s="1"/>
      <c r="T26" s="1"/>
      <c r="U26" s="1"/>
      <c r="V26" s="1"/>
      <c r="W26" s="1"/>
      <c r="X26" s="1"/>
      <c r="Y26" s="1"/>
      <c r="Z26" s="1"/>
      <c r="AA26" s="1"/>
      <c r="AB26" s="1"/>
      <c r="AC26" s="1"/>
      <c r="AD26" s="1"/>
      <c r="AE26" s="1"/>
      <c r="AF26" s="1"/>
    </row>
    <row r="27" spans="1:32" ht="25.5" x14ac:dyDescent="0.2">
      <c r="A27" s="1"/>
      <c r="B27" s="1"/>
      <c r="C27" s="131" t="s">
        <v>37</v>
      </c>
      <c r="D27" s="6">
        <v>5</v>
      </c>
      <c r="E27" s="6">
        <v>9</v>
      </c>
      <c r="F27" s="43">
        <f>+E27*D27</f>
        <v>45</v>
      </c>
      <c r="G27" s="7" t="s">
        <v>29</v>
      </c>
      <c r="H27"/>
      <c r="I27"/>
      <c r="J27"/>
      <c r="K27"/>
      <c r="L27"/>
      <c r="M27"/>
      <c r="N27"/>
      <c r="O27"/>
      <c r="P27" s="1"/>
      <c r="Q27" s="1"/>
      <c r="R27" s="1"/>
      <c r="S27" s="1"/>
      <c r="T27" s="1"/>
      <c r="U27" s="1"/>
      <c r="V27" s="1"/>
      <c r="W27" s="1"/>
      <c r="X27" s="1"/>
      <c r="Y27" s="1"/>
      <c r="Z27" s="1"/>
      <c r="AA27" s="1"/>
      <c r="AB27" s="1"/>
      <c r="AC27" s="1"/>
      <c r="AD27" s="1"/>
      <c r="AE27" s="1"/>
      <c r="AF27" s="1"/>
    </row>
    <row r="28" spans="1:32" ht="25.5" x14ac:dyDescent="0.2">
      <c r="A28" s="1"/>
      <c r="B28" s="1"/>
      <c r="C28" s="131" t="s">
        <v>36</v>
      </c>
      <c r="D28" s="6">
        <v>10</v>
      </c>
      <c r="E28" s="6">
        <v>5</v>
      </c>
      <c r="F28" s="43">
        <f>+E28*D28</f>
        <v>50</v>
      </c>
      <c r="G28" s="7" t="s">
        <v>30</v>
      </c>
      <c r="H28"/>
      <c r="I28"/>
      <c r="J28"/>
      <c r="K28"/>
      <c r="L28"/>
      <c r="M28"/>
      <c r="N28"/>
      <c r="O28"/>
      <c r="P28" s="1"/>
      <c r="Q28" s="1"/>
      <c r="R28" s="1"/>
      <c r="S28" s="1"/>
      <c r="T28" s="1"/>
      <c r="U28" s="1"/>
      <c r="V28" s="1"/>
      <c r="W28" s="1"/>
      <c r="X28" s="1"/>
      <c r="Y28" s="1"/>
      <c r="Z28" s="1"/>
      <c r="AA28" s="1"/>
      <c r="AB28" s="1"/>
      <c r="AC28" s="1"/>
      <c r="AD28" s="1"/>
      <c r="AE28" s="1"/>
      <c r="AF28" s="1"/>
    </row>
    <row r="29" spans="1:32" ht="25.5" x14ac:dyDescent="0.2">
      <c r="A29" s="1"/>
      <c r="B29" s="1"/>
      <c r="C29" s="131" t="s">
        <v>35</v>
      </c>
      <c r="D29" s="6">
        <v>15</v>
      </c>
      <c r="E29" s="6">
        <v>3</v>
      </c>
      <c r="F29" s="43">
        <f>+E29*D29</f>
        <v>45</v>
      </c>
      <c r="G29" s="7" t="s">
        <v>296</v>
      </c>
      <c r="H29"/>
      <c r="I29"/>
      <c r="J29"/>
      <c r="K29"/>
      <c r="L29"/>
      <c r="M29"/>
      <c r="N29"/>
      <c r="O29"/>
      <c r="P29" s="1"/>
      <c r="Q29" s="1"/>
      <c r="R29" s="1"/>
      <c r="S29" s="1"/>
      <c r="T29" s="1"/>
      <c r="U29" s="1"/>
      <c r="V29" s="1"/>
      <c r="W29" s="1"/>
      <c r="X29" s="1"/>
      <c r="Y29" s="1"/>
      <c r="Z29" s="1"/>
      <c r="AA29" s="1"/>
      <c r="AB29" s="1"/>
      <c r="AC29" s="1"/>
      <c r="AD29" s="1"/>
      <c r="AE29" s="1"/>
      <c r="AF29" s="1"/>
    </row>
    <row r="30" spans="1:32" ht="13.5" thickBot="1" x14ac:dyDescent="0.25">
      <c r="A30" s="1"/>
      <c r="B30" s="1"/>
      <c r="C30" s="400" t="s">
        <v>297</v>
      </c>
      <c r="D30" s="401"/>
      <c r="E30" s="402"/>
      <c r="F30" s="130">
        <f>SUM(F27:F29)</f>
        <v>140</v>
      </c>
      <c r="G30" s="9"/>
      <c r="H30"/>
      <c r="I30"/>
      <c r="J30"/>
      <c r="K30"/>
      <c r="L30"/>
      <c r="M30"/>
      <c r="N30"/>
      <c r="O30"/>
      <c r="P30" s="1"/>
      <c r="Q30" s="1"/>
      <c r="R30" s="1"/>
      <c r="S30" s="1"/>
      <c r="T30" s="1"/>
      <c r="U30" s="1"/>
      <c r="V30" s="1"/>
      <c r="W30" s="1"/>
      <c r="X30" s="1"/>
      <c r="Y30" s="1"/>
      <c r="Z30" s="1"/>
      <c r="AA30" s="1"/>
      <c r="AB30" s="1"/>
      <c r="AC30" s="1"/>
      <c r="AD30" s="1"/>
      <c r="AE30" s="1"/>
      <c r="AF30" s="1"/>
    </row>
    <row r="31" spans="1:32" x14ac:dyDescent="0.2">
      <c r="A31" s="1"/>
      <c r="B31" s="1"/>
      <c r="C31" s="1"/>
      <c r="D31" s="1"/>
      <c r="G31"/>
      <c r="H31"/>
      <c r="I31"/>
      <c r="J31"/>
      <c r="K31"/>
      <c r="L31"/>
      <c r="M31"/>
      <c r="N31"/>
      <c r="O31"/>
      <c r="P31" s="1"/>
      <c r="Q31" s="1"/>
      <c r="R31" s="1"/>
      <c r="S31" s="1"/>
      <c r="T31" s="1"/>
      <c r="U31" s="1"/>
      <c r="V31" s="1"/>
      <c r="W31" s="1"/>
      <c r="X31" s="1"/>
      <c r="Y31" s="1"/>
      <c r="Z31" s="1"/>
      <c r="AA31" s="1"/>
      <c r="AB31" s="1"/>
      <c r="AC31" s="1"/>
      <c r="AD31" s="1"/>
      <c r="AE31" s="1"/>
      <c r="AF31" s="1"/>
    </row>
    <row r="32" spans="1:32" ht="13.5" thickBot="1" x14ac:dyDescent="0.25">
      <c r="A32" s="1"/>
      <c r="B32" s="1"/>
      <c r="C32" s="28" t="s">
        <v>250</v>
      </c>
      <c r="D32" s="29"/>
      <c r="E32" s="27"/>
      <c r="F32" s="27"/>
      <c r="G32" s="30"/>
      <c r="H32"/>
      <c r="I32"/>
      <c r="J32" s="129"/>
      <c r="K32" s="129"/>
      <c r="L32"/>
      <c r="M32"/>
      <c r="N32"/>
      <c r="O32"/>
      <c r="P32" s="1"/>
      <c r="Q32" s="1"/>
      <c r="R32" s="1"/>
      <c r="S32" s="1"/>
      <c r="T32" s="1"/>
      <c r="U32" s="1"/>
      <c r="V32" s="1"/>
      <c r="W32" s="1"/>
      <c r="X32" s="1"/>
      <c r="Y32" s="1"/>
      <c r="Z32" s="1"/>
      <c r="AA32" s="1"/>
      <c r="AB32" s="1"/>
      <c r="AC32" s="1"/>
      <c r="AD32" s="1"/>
      <c r="AE32" s="1"/>
      <c r="AF32" s="1"/>
    </row>
    <row r="33" spans="1:32" ht="25.5" x14ac:dyDescent="0.2">
      <c r="A33" s="1"/>
      <c r="B33" s="1"/>
      <c r="C33" s="10" t="s">
        <v>34</v>
      </c>
      <c r="D33" s="12" t="s">
        <v>45</v>
      </c>
      <c r="E33" s="12" t="s">
        <v>46</v>
      </c>
      <c r="F33" s="12" t="s">
        <v>44</v>
      </c>
      <c r="G33" s="13" t="s">
        <v>12</v>
      </c>
      <c r="H33"/>
      <c r="I33"/>
      <c r="J33"/>
      <c r="K33"/>
      <c r="L33"/>
      <c r="M33"/>
      <c r="N33"/>
      <c r="O33"/>
      <c r="P33" s="1"/>
      <c r="Q33" s="1"/>
      <c r="R33" s="1"/>
      <c r="S33" s="1"/>
      <c r="T33" s="1"/>
      <c r="U33" s="1"/>
      <c r="V33" s="1"/>
      <c r="W33" s="1"/>
      <c r="X33" s="1"/>
      <c r="Y33" s="1"/>
      <c r="Z33" s="1"/>
      <c r="AA33" s="1"/>
      <c r="AB33" s="1"/>
      <c r="AC33" s="1"/>
      <c r="AD33" s="1"/>
      <c r="AE33" s="1"/>
      <c r="AF33" s="1"/>
    </row>
    <row r="34" spans="1:32" ht="25.5" x14ac:dyDescent="0.2">
      <c r="A34" s="1"/>
      <c r="B34" s="1"/>
      <c r="C34" s="131" t="s">
        <v>37</v>
      </c>
      <c r="D34" s="6">
        <v>5</v>
      </c>
      <c r="E34" s="6">
        <v>5</v>
      </c>
      <c r="F34" s="43">
        <f>+E34*D34</f>
        <v>25</v>
      </c>
      <c r="G34" s="7" t="s">
        <v>29</v>
      </c>
      <c r="H34"/>
      <c r="I34"/>
      <c r="J34"/>
      <c r="K34"/>
      <c r="L34"/>
      <c r="M34"/>
      <c r="N34"/>
      <c r="O34"/>
      <c r="P34" s="1"/>
      <c r="Q34" s="1"/>
      <c r="R34" s="1"/>
      <c r="S34" s="1"/>
      <c r="T34" s="1"/>
      <c r="U34" s="1"/>
      <c r="V34" s="1"/>
      <c r="W34" s="1"/>
      <c r="X34" s="1"/>
      <c r="Y34" s="1"/>
      <c r="Z34" s="1"/>
      <c r="AA34" s="1"/>
      <c r="AB34" s="1"/>
      <c r="AC34" s="1"/>
      <c r="AD34" s="1"/>
      <c r="AE34" s="1"/>
      <c r="AF34" s="1"/>
    </row>
    <row r="35" spans="1:32" ht="25.5" x14ac:dyDescent="0.2">
      <c r="A35" s="1"/>
      <c r="B35" s="1"/>
      <c r="C35" s="131" t="s">
        <v>36</v>
      </c>
      <c r="D35" s="6">
        <v>10</v>
      </c>
      <c r="E35" s="6">
        <v>3</v>
      </c>
      <c r="F35" s="43">
        <f>+E35*D35</f>
        <v>30</v>
      </c>
      <c r="G35" s="7" t="s">
        <v>30</v>
      </c>
      <c r="H35"/>
      <c r="I35"/>
      <c r="J35"/>
      <c r="K35"/>
      <c r="L35"/>
      <c r="M35"/>
      <c r="N35"/>
      <c r="O35"/>
      <c r="P35" s="1"/>
      <c r="Q35" s="1"/>
      <c r="R35" s="1"/>
      <c r="S35" s="1"/>
      <c r="T35" s="1"/>
      <c r="U35" s="1"/>
      <c r="V35" s="1"/>
      <c r="W35" s="1"/>
      <c r="X35" s="1"/>
      <c r="Y35" s="1"/>
      <c r="Z35" s="1"/>
      <c r="AA35" s="1"/>
      <c r="AB35" s="1"/>
      <c r="AC35" s="1"/>
      <c r="AD35" s="1"/>
      <c r="AE35" s="1"/>
      <c r="AF35" s="1"/>
    </row>
    <row r="36" spans="1:32" ht="25.5" x14ac:dyDescent="0.2">
      <c r="A36" s="1"/>
      <c r="B36" s="1"/>
      <c r="C36" s="131" t="s">
        <v>35</v>
      </c>
      <c r="D36" s="6">
        <v>15</v>
      </c>
      <c r="E36" s="6">
        <v>3</v>
      </c>
      <c r="F36" s="43">
        <f>+E36*D36</f>
        <v>45</v>
      </c>
      <c r="G36" s="7" t="s">
        <v>296</v>
      </c>
      <c r="H36"/>
      <c r="I36"/>
      <c r="J36"/>
      <c r="K36"/>
      <c r="L36"/>
      <c r="M36"/>
      <c r="N36"/>
      <c r="O36"/>
      <c r="P36" s="1"/>
      <c r="Q36" s="1"/>
      <c r="R36" s="1"/>
      <c r="S36" s="1"/>
      <c r="T36" s="1"/>
      <c r="U36" s="1"/>
      <c r="V36" s="1"/>
      <c r="W36" s="1"/>
      <c r="X36" s="1"/>
      <c r="Y36" s="1"/>
      <c r="Z36" s="1"/>
      <c r="AA36" s="1"/>
      <c r="AB36" s="1"/>
      <c r="AC36" s="1"/>
      <c r="AD36" s="1"/>
      <c r="AE36" s="1"/>
      <c r="AF36" s="1"/>
    </row>
    <row r="37" spans="1:32" ht="13.5" thickBot="1" x14ac:dyDescent="0.25">
      <c r="A37" s="1"/>
      <c r="B37" s="1"/>
      <c r="C37" s="400" t="s">
        <v>297</v>
      </c>
      <c r="D37" s="401"/>
      <c r="E37" s="402"/>
      <c r="F37" s="183">
        <f>SUM(F34:F36)</f>
        <v>100</v>
      </c>
      <c r="G37" s="9"/>
      <c r="H37"/>
      <c r="I37"/>
      <c r="J37"/>
      <c r="K37"/>
      <c r="L37"/>
      <c r="M37"/>
      <c r="N37"/>
      <c r="O37"/>
      <c r="P37" s="1"/>
      <c r="Q37" s="1"/>
      <c r="R37" s="1"/>
      <c r="S37" s="1"/>
      <c r="T37" s="1"/>
      <c r="U37" s="1"/>
      <c r="V37" s="1"/>
      <c r="W37" s="1"/>
      <c r="X37" s="1"/>
      <c r="Y37" s="1"/>
      <c r="Z37" s="1"/>
      <c r="AA37" s="1"/>
      <c r="AB37" s="1"/>
      <c r="AC37" s="1"/>
      <c r="AD37" s="1"/>
      <c r="AE37" s="1"/>
      <c r="AF37" s="1"/>
    </row>
    <row r="38" spans="1:32" x14ac:dyDescent="0.2">
      <c r="A38" s="1"/>
      <c r="B38" s="1"/>
      <c r="C38" s="1"/>
      <c r="D38" s="1"/>
      <c r="G38"/>
      <c r="H38"/>
      <c r="I38"/>
      <c r="J38"/>
      <c r="K38"/>
      <c r="L38"/>
      <c r="M38"/>
      <c r="N38"/>
      <c r="O38"/>
      <c r="P38" s="1"/>
      <c r="Q38" s="1"/>
      <c r="R38" s="1"/>
      <c r="S38" s="1"/>
      <c r="T38" s="1"/>
      <c r="U38" s="1"/>
      <c r="V38" s="1"/>
      <c r="W38" s="1"/>
      <c r="X38" s="1"/>
      <c r="Y38" s="1"/>
      <c r="Z38" s="1"/>
      <c r="AA38" s="1"/>
      <c r="AB38" s="1"/>
      <c r="AC38" s="1"/>
      <c r="AD38" s="1"/>
      <c r="AE38" s="1"/>
      <c r="AF38" s="1"/>
    </row>
    <row r="39" spans="1:32" x14ac:dyDescent="0.2">
      <c r="A39" s="1"/>
      <c r="B39" s="1"/>
      <c r="C39" s="1"/>
      <c r="D39" s="1"/>
      <c r="G39"/>
      <c r="H39"/>
      <c r="I39"/>
      <c r="J39"/>
      <c r="K39"/>
      <c r="L39"/>
      <c r="M39"/>
      <c r="N39"/>
      <c r="O39"/>
      <c r="P39" s="1"/>
      <c r="Q39" s="1"/>
      <c r="R39" s="1"/>
      <c r="S39" s="1"/>
      <c r="T39" s="1"/>
      <c r="U39" s="1"/>
      <c r="V39" s="1"/>
      <c r="W39" s="1"/>
      <c r="X39" s="1"/>
      <c r="Y39" s="1"/>
      <c r="Z39" s="1"/>
      <c r="AA39" s="1"/>
      <c r="AB39" s="1"/>
      <c r="AC39" s="1"/>
      <c r="AD39" s="1"/>
      <c r="AE39" s="1"/>
      <c r="AF39" s="1"/>
    </row>
    <row r="40" spans="1:32" ht="13.5" thickBot="1" x14ac:dyDescent="0.25">
      <c r="A40" s="1"/>
      <c r="B40" s="1"/>
      <c r="C40" s="28" t="s">
        <v>251</v>
      </c>
      <c r="D40" s="1"/>
      <c r="G40"/>
      <c r="H40"/>
      <c r="I40"/>
      <c r="J40"/>
      <c r="K40"/>
      <c r="L40"/>
      <c r="M40"/>
      <c r="N40"/>
      <c r="O40"/>
      <c r="P40" s="1"/>
      <c r="Q40" s="1"/>
      <c r="R40" s="1"/>
      <c r="S40" s="1"/>
      <c r="T40" s="1"/>
      <c r="U40" s="1"/>
      <c r="V40" s="1"/>
      <c r="W40" s="1"/>
      <c r="X40" s="1"/>
      <c r="Y40" s="1"/>
      <c r="Z40" s="1"/>
      <c r="AA40" s="1"/>
      <c r="AB40" s="1"/>
      <c r="AC40" s="1"/>
      <c r="AD40" s="1"/>
      <c r="AE40" s="1"/>
      <c r="AF40" s="1"/>
    </row>
    <row r="41" spans="1:32" ht="25.5" x14ac:dyDescent="0.2">
      <c r="A41" s="1"/>
      <c r="B41" s="1"/>
      <c r="C41" s="10" t="s">
        <v>34</v>
      </c>
      <c r="D41" s="12" t="s">
        <v>45</v>
      </c>
      <c r="E41" s="12" t="s">
        <v>46</v>
      </c>
      <c r="F41" s="12" t="s">
        <v>44</v>
      </c>
      <c r="G41" s="13" t="s">
        <v>12</v>
      </c>
      <c r="H41"/>
      <c r="I41"/>
      <c r="J41"/>
      <c r="K41"/>
      <c r="L41"/>
      <c r="M41"/>
      <c r="N41"/>
      <c r="O41"/>
      <c r="P41" s="1"/>
      <c r="Q41" s="1"/>
      <c r="R41" s="1"/>
      <c r="S41" s="1"/>
      <c r="T41" s="1"/>
      <c r="U41" s="1"/>
      <c r="V41" s="1"/>
      <c r="W41" s="1"/>
      <c r="X41" s="1"/>
      <c r="Y41" s="1"/>
      <c r="Z41" s="1"/>
      <c r="AA41" s="1"/>
      <c r="AB41" s="1"/>
      <c r="AC41" s="1"/>
      <c r="AD41" s="1"/>
      <c r="AE41" s="1"/>
      <c r="AF41" s="1"/>
    </row>
    <row r="42" spans="1:32" ht="25.5" x14ac:dyDescent="0.2">
      <c r="A42" s="1"/>
      <c r="B42" s="1"/>
      <c r="C42" s="131" t="s">
        <v>37</v>
      </c>
      <c r="D42" s="6">
        <v>5</v>
      </c>
      <c r="E42" s="43">
        <v>21</v>
      </c>
      <c r="F42" s="43">
        <f>+E42*D42</f>
        <v>105</v>
      </c>
      <c r="G42" s="7" t="s">
        <v>29</v>
      </c>
      <c r="H42"/>
      <c r="I42"/>
      <c r="J42"/>
      <c r="K42"/>
      <c r="L42"/>
      <c r="M42"/>
      <c r="N42"/>
      <c r="O42"/>
      <c r="P42" s="1"/>
      <c r="Q42" s="1"/>
      <c r="R42" s="1"/>
      <c r="S42" s="1"/>
      <c r="T42" s="1"/>
      <c r="U42" s="1"/>
      <c r="V42" s="1"/>
      <c r="W42" s="1"/>
      <c r="X42" s="1"/>
      <c r="Y42" s="1"/>
      <c r="Z42" s="1"/>
      <c r="AA42" s="1"/>
      <c r="AB42" s="1"/>
      <c r="AC42" s="1"/>
      <c r="AD42" s="1"/>
      <c r="AE42" s="1"/>
      <c r="AF42" s="1"/>
    </row>
    <row r="43" spans="1:32" ht="25.5" x14ac:dyDescent="0.2">
      <c r="A43" s="1"/>
      <c r="B43" s="1"/>
      <c r="C43" s="131" t="s">
        <v>36</v>
      </c>
      <c r="D43" s="6">
        <v>10</v>
      </c>
      <c r="E43" s="43">
        <v>7</v>
      </c>
      <c r="F43" s="43">
        <f>+E43*D43</f>
        <v>70</v>
      </c>
      <c r="G43" s="7" t="s">
        <v>30</v>
      </c>
      <c r="H43"/>
      <c r="I43"/>
      <c r="J43"/>
      <c r="K43"/>
      <c r="L43"/>
      <c r="M43"/>
      <c r="N43"/>
      <c r="O43"/>
      <c r="P43" s="1"/>
      <c r="Q43" s="1"/>
      <c r="R43" s="1"/>
      <c r="S43" s="1"/>
      <c r="T43" s="1"/>
      <c r="U43" s="1"/>
      <c r="V43" s="1"/>
      <c r="W43" s="1"/>
      <c r="X43" s="1"/>
      <c r="Y43" s="1"/>
      <c r="Z43" s="1"/>
      <c r="AA43" s="1"/>
      <c r="AB43" s="1"/>
      <c r="AC43" s="1"/>
      <c r="AD43" s="1"/>
      <c r="AE43" s="1"/>
      <c r="AF43" s="1"/>
    </row>
    <row r="44" spans="1:32" ht="25.5" x14ac:dyDescent="0.2">
      <c r="A44" s="1"/>
      <c r="B44" s="1"/>
      <c r="C44" s="131" t="s">
        <v>35</v>
      </c>
      <c r="D44" s="6">
        <v>15</v>
      </c>
      <c r="E44" s="43">
        <v>2</v>
      </c>
      <c r="F44" s="43">
        <f>+E44*D44</f>
        <v>30</v>
      </c>
      <c r="G44" s="7" t="s">
        <v>296</v>
      </c>
      <c r="H44"/>
      <c r="I44"/>
      <c r="J44"/>
      <c r="K44"/>
      <c r="L44"/>
      <c r="M44"/>
      <c r="N44"/>
      <c r="O44"/>
      <c r="P44" s="1"/>
      <c r="Q44" s="1"/>
      <c r="R44" s="1"/>
      <c r="S44" s="1"/>
      <c r="T44" s="1"/>
      <c r="U44" s="1"/>
      <c r="V44" s="1"/>
      <c r="W44" s="1"/>
      <c r="X44" s="1"/>
      <c r="Y44" s="1"/>
      <c r="Z44" s="1"/>
      <c r="AA44" s="1"/>
      <c r="AB44" s="1"/>
      <c r="AC44" s="1"/>
      <c r="AD44" s="1"/>
      <c r="AE44" s="1"/>
      <c r="AF44" s="1"/>
    </row>
    <row r="45" spans="1:32" ht="13.5" thickBot="1" x14ac:dyDescent="0.25">
      <c r="A45" s="1"/>
      <c r="B45" s="1"/>
      <c r="C45" s="400" t="s">
        <v>297</v>
      </c>
      <c r="D45" s="401"/>
      <c r="E45" s="402"/>
      <c r="F45" s="132">
        <f>SUM(F42:F44)</f>
        <v>205</v>
      </c>
      <c r="G45" s="9"/>
      <c r="H45"/>
      <c r="I45"/>
      <c r="J45"/>
      <c r="K45"/>
      <c r="L45"/>
      <c r="M45"/>
      <c r="N45"/>
      <c r="O45"/>
      <c r="P45" s="1"/>
      <c r="Q45" s="1"/>
      <c r="R45" s="1"/>
      <c r="S45" s="1"/>
      <c r="T45" s="1"/>
      <c r="U45" s="1"/>
      <c r="V45" s="1"/>
      <c r="W45" s="1"/>
      <c r="X45" s="1"/>
      <c r="Y45" s="1"/>
      <c r="Z45" s="1"/>
      <c r="AA45" s="1"/>
      <c r="AB45" s="1"/>
      <c r="AC45" s="1"/>
      <c r="AD45" s="1"/>
      <c r="AE45" s="1"/>
      <c r="AF45" s="1"/>
    </row>
    <row r="46" spans="1:32" x14ac:dyDescent="0.2">
      <c r="A46" s="1"/>
      <c r="B46" s="1"/>
      <c r="C46" s="1"/>
      <c r="D46" s="1"/>
      <c r="G46"/>
      <c r="H46"/>
      <c r="I46"/>
      <c r="J46"/>
      <c r="K46"/>
      <c r="L46"/>
      <c r="M46"/>
      <c r="N46"/>
      <c r="O46"/>
      <c r="P46" s="1"/>
      <c r="Q46" s="1"/>
      <c r="R46" s="1"/>
      <c r="S46" s="1"/>
      <c r="T46" s="1"/>
      <c r="U46" s="1"/>
      <c r="V46" s="1"/>
      <c r="W46" s="1"/>
      <c r="X46" s="1"/>
      <c r="Y46" s="1"/>
      <c r="Z46" s="1"/>
      <c r="AA46" s="1"/>
      <c r="AB46" s="1"/>
      <c r="AC46" s="1"/>
      <c r="AD46" s="1"/>
      <c r="AE46" s="1"/>
      <c r="AF46" s="1"/>
    </row>
    <row r="47" spans="1:32" x14ac:dyDescent="0.2">
      <c r="A47" s="1"/>
      <c r="B47" s="1"/>
      <c r="C47" s="1"/>
      <c r="D47" s="1"/>
      <c r="G47"/>
      <c r="H47"/>
      <c r="I47"/>
      <c r="J47"/>
      <c r="K47"/>
      <c r="L47"/>
      <c r="M47"/>
      <c r="N47"/>
      <c r="O47"/>
      <c r="P47" s="1"/>
      <c r="Q47" s="1"/>
      <c r="R47" s="1"/>
      <c r="S47" s="1"/>
      <c r="T47" s="1"/>
      <c r="U47" s="1"/>
      <c r="V47" s="1"/>
      <c r="W47" s="1"/>
      <c r="X47" s="1"/>
      <c r="Y47" s="1"/>
      <c r="Z47" s="1"/>
      <c r="AA47" s="1"/>
      <c r="AB47" s="1"/>
      <c r="AC47" s="1"/>
      <c r="AD47" s="1"/>
      <c r="AE47" s="1"/>
      <c r="AF47" s="1"/>
    </row>
    <row r="48" spans="1:32" x14ac:dyDescent="0.2">
      <c r="A48" s="1"/>
      <c r="B48" s="1"/>
      <c r="C48" s="1"/>
      <c r="D48" s="1"/>
      <c r="G48"/>
      <c r="H48"/>
      <c r="I48"/>
      <c r="J48"/>
      <c r="K48"/>
      <c r="L48"/>
      <c r="M48"/>
      <c r="N48"/>
      <c r="O48"/>
      <c r="P48" s="1"/>
      <c r="Q48" s="1"/>
      <c r="R48" s="1"/>
      <c r="S48" s="1"/>
      <c r="T48" s="1"/>
      <c r="U48" s="1"/>
      <c r="V48" s="1"/>
      <c r="W48" s="1"/>
      <c r="X48" s="1"/>
      <c r="Y48" s="1"/>
      <c r="Z48" s="1"/>
      <c r="AA48" s="1"/>
      <c r="AB48" s="1"/>
      <c r="AC48" s="1"/>
      <c r="AD48" s="1"/>
      <c r="AE48" s="1"/>
      <c r="AF48" s="1"/>
    </row>
    <row r="49" spans="1:32" x14ac:dyDescent="0.2">
      <c r="A49" s="1"/>
      <c r="B49" s="1"/>
      <c r="C49" s="1"/>
      <c r="D49" s="1"/>
      <c r="G49"/>
      <c r="H49"/>
      <c r="I49"/>
      <c r="J49"/>
      <c r="K49"/>
      <c r="L49"/>
      <c r="M49"/>
      <c r="N49"/>
      <c r="O49"/>
      <c r="P49" s="1"/>
      <c r="Q49" s="1"/>
      <c r="R49" s="1"/>
      <c r="S49" s="1"/>
      <c r="T49" s="1"/>
      <c r="U49" s="1"/>
      <c r="V49" s="1"/>
      <c r="W49" s="1"/>
      <c r="X49" s="1"/>
      <c r="Y49" s="1"/>
      <c r="Z49" s="1"/>
      <c r="AA49" s="1"/>
      <c r="AB49" s="1"/>
      <c r="AC49" s="1"/>
      <c r="AD49" s="1"/>
      <c r="AE49" s="1"/>
      <c r="AF49" s="1"/>
    </row>
    <row r="50" spans="1:32" x14ac:dyDescent="0.2">
      <c r="A50" s="1"/>
      <c r="B50" s="1"/>
      <c r="C50" s="1"/>
      <c r="D50" s="1"/>
      <c r="G50"/>
      <c r="H50"/>
      <c r="I50"/>
      <c r="J50"/>
      <c r="K50"/>
      <c r="L50"/>
      <c r="M50"/>
      <c r="N50"/>
      <c r="O50"/>
      <c r="P50" s="1"/>
      <c r="Q50" s="1"/>
      <c r="R50" s="1"/>
      <c r="S50" s="1"/>
      <c r="T50" s="1"/>
      <c r="U50" s="1"/>
      <c r="V50" s="1"/>
      <c r="W50" s="1"/>
      <c r="X50" s="1"/>
      <c r="Y50" s="1"/>
      <c r="Z50" s="1"/>
      <c r="AA50" s="1"/>
      <c r="AB50" s="1"/>
      <c r="AC50" s="1"/>
      <c r="AD50" s="1"/>
      <c r="AE50" s="1"/>
      <c r="AF50" s="1"/>
    </row>
    <row r="51" spans="1:32" x14ac:dyDescent="0.2">
      <c r="A51" s="1"/>
      <c r="B51" s="1"/>
      <c r="C51" s="1"/>
      <c r="D51" s="1"/>
      <c r="G51"/>
      <c r="H51" s="168"/>
      <c r="I51"/>
      <c r="J51"/>
      <c r="K51"/>
      <c r="L51"/>
      <c r="M51"/>
      <c r="N51"/>
      <c r="O51"/>
      <c r="P51" s="1"/>
      <c r="Q51" s="1"/>
      <c r="R51" s="1"/>
      <c r="S51" s="1"/>
      <c r="T51" s="1"/>
      <c r="U51" s="1"/>
      <c r="V51" s="1"/>
      <c r="W51" s="1"/>
      <c r="X51" s="1"/>
      <c r="Y51" s="1"/>
      <c r="Z51" s="1"/>
      <c r="AA51" s="1"/>
      <c r="AB51" s="1"/>
      <c r="AC51" s="1"/>
      <c r="AD51" s="1"/>
      <c r="AE51" s="1"/>
      <c r="AF51" s="1"/>
    </row>
    <row r="52" spans="1:32" x14ac:dyDescent="0.2">
      <c r="A52" s="1"/>
      <c r="B52" s="1"/>
      <c r="C52" s="1"/>
      <c r="D52" s="1"/>
      <c r="G52"/>
      <c r="H52" s="168"/>
      <c r="I52"/>
      <c r="J52"/>
      <c r="K52"/>
      <c r="L52"/>
      <c r="M52"/>
      <c r="N52"/>
      <c r="O52"/>
      <c r="P52" s="1"/>
      <c r="Q52" s="1"/>
      <c r="R52" s="1"/>
      <c r="S52" s="1"/>
      <c r="T52" s="1"/>
      <c r="U52" s="1"/>
      <c r="V52" s="1"/>
      <c r="W52" s="1"/>
      <c r="X52" s="1"/>
      <c r="Y52" s="1"/>
      <c r="Z52" s="1"/>
      <c r="AA52" s="1"/>
      <c r="AB52" s="1"/>
      <c r="AC52" s="1"/>
      <c r="AD52" s="1"/>
      <c r="AE52" s="1"/>
      <c r="AF52" s="1"/>
    </row>
    <row r="53" spans="1:32" x14ac:dyDescent="0.2">
      <c r="A53" s="1"/>
      <c r="B53" s="1"/>
      <c r="C53" s="1"/>
      <c r="D53" s="1"/>
      <c r="G53"/>
      <c r="H53" s="168"/>
      <c r="I53"/>
      <c r="J53"/>
      <c r="K53"/>
      <c r="L53"/>
      <c r="M53"/>
      <c r="N53"/>
      <c r="O53"/>
      <c r="P53" s="1"/>
      <c r="Q53" s="1"/>
      <c r="R53" s="1"/>
      <c r="S53" s="1"/>
      <c r="T53" s="1"/>
      <c r="U53" s="1"/>
      <c r="V53" s="1"/>
      <c r="W53" s="1"/>
      <c r="X53" s="1"/>
      <c r="Y53" s="1"/>
      <c r="Z53" s="1"/>
      <c r="AA53" s="1"/>
      <c r="AB53" s="1"/>
      <c r="AC53" s="1"/>
      <c r="AD53" s="1"/>
      <c r="AE53" s="1"/>
      <c r="AF53" s="1"/>
    </row>
    <row r="54" spans="1:32" x14ac:dyDescent="0.2">
      <c r="A54" s="1"/>
      <c r="B54" s="1"/>
      <c r="C54" s="1"/>
      <c r="D54" s="1"/>
      <c r="G54"/>
      <c r="H54" s="168"/>
      <c r="I54"/>
      <c r="J54"/>
      <c r="K54"/>
      <c r="L54"/>
      <c r="M54"/>
      <c r="N54"/>
      <c r="O54"/>
      <c r="P54" s="1"/>
      <c r="Q54" s="1"/>
      <c r="R54" s="1"/>
      <c r="S54" s="1"/>
      <c r="T54" s="1"/>
      <c r="U54" s="1"/>
      <c r="V54" s="1"/>
      <c r="W54" s="1"/>
      <c r="X54" s="1"/>
      <c r="Y54" s="1"/>
      <c r="Z54" s="1"/>
      <c r="AA54" s="1"/>
      <c r="AB54" s="1"/>
      <c r="AC54" s="1"/>
      <c r="AD54" s="1"/>
      <c r="AE54" s="1"/>
      <c r="AF54" s="1"/>
    </row>
    <row r="55" spans="1:32" x14ac:dyDescent="0.2">
      <c r="A55" s="1"/>
      <c r="B55" s="1"/>
      <c r="C55" s="1"/>
      <c r="D55" s="1"/>
      <c r="F55" s="321" t="s">
        <v>455</v>
      </c>
      <c r="G55" s="321" t="s">
        <v>454</v>
      </c>
      <c r="H55"/>
      <c r="I55"/>
      <c r="J55"/>
      <c r="K55"/>
      <c r="L55"/>
      <c r="M55"/>
      <c r="N55"/>
      <c r="O55"/>
      <c r="P55" s="1"/>
      <c r="Q55" s="1"/>
      <c r="R55" s="1"/>
      <c r="S55" s="1"/>
      <c r="T55" s="1"/>
      <c r="U55" s="1"/>
      <c r="V55" s="1"/>
      <c r="W55" s="1"/>
      <c r="X55" s="1"/>
      <c r="Y55" s="1"/>
      <c r="Z55" s="1"/>
      <c r="AA55" s="1"/>
      <c r="AB55" s="1"/>
      <c r="AC55" s="1"/>
      <c r="AD55" s="1"/>
      <c r="AE55" s="1"/>
      <c r="AF55" s="1"/>
    </row>
    <row r="56" spans="1:32" x14ac:dyDescent="0.2">
      <c r="A56" s="1"/>
      <c r="B56" s="1"/>
      <c r="C56" s="1"/>
      <c r="D56" s="1"/>
      <c r="F56" s="321" t="s">
        <v>452</v>
      </c>
      <c r="G56" t="s">
        <v>131</v>
      </c>
      <c r="H56" t="s">
        <v>130</v>
      </c>
      <c r="I56" t="s">
        <v>132</v>
      </c>
      <c r="J56" t="s">
        <v>453</v>
      </c>
      <c r="K56"/>
      <c r="L56"/>
      <c r="M56"/>
      <c r="N56"/>
      <c r="O56"/>
      <c r="P56" s="1"/>
      <c r="Q56" s="1"/>
      <c r="R56" s="1"/>
      <c r="S56" s="1"/>
      <c r="T56" s="1"/>
      <c r="U56" s="1"/>
      <c r="V56" s="1"/>
      <c r="W56" s="1"/>
      <c r="X56" s="1"/>
      <c r="Y56" s="1"/>
      <c r="Z56" s="1"/>
      <c r="AA56" s="1"/>
      <c r="AB56" s="1"/>
      <c r="AC56" s="1"/>
      <c r="AD56" s="1"/>
      <c r="AE56" s="1"/>
      <c r="AF56" s="1"/>
    </row>
    <row r="57" spans="1:32" x14ac:dyDescent="0.2">
      <c r="A57" s="1"/>
      <c r="B57" s="1"/>
      <c r="C57" s="1"/>
      <c r="D57" s="1"/>
      <c r="F57" s="168" t="s">
        <v>144</v>
      </c>
      <c r="G57" s="322">
        <v>2</v>
      </c>
      <c r="H57" s="322">
        <v>21</v>
      </c>
      <c r="I57" s="322">
        <v>7</v>
      </c>
      <c r="J57" s="322">
        <v>30</v>
      </c>
      <c r="K57"/>
      <c r="L57"/>
      <c r="M57"/>
      <c r="N57"/>
      <c r="O57"/>
      <c r="P57" s="1"/>
      <c r="Q57" s="1"/>
      <c r="R57" s="1"/>
      <c r="S57" s="1"/>
      <c r="T57" s="1"/>
      <c r="U57" s="1"/>
      <c r="V57" s="1"/>
      <c r="W57" s="1"/>
      <c r="X57" s="1"/>
      <c r="Y57" s="1"/>
      <c r="Z57" s="1"/>
      <c r="AA57" s="1"/>
      <c r="AB57" s="1"/>
      <c r="AC57" s="1"/>
      <c r="AD57" s="1"/>
      <c r="AE57" s="1"/>
      <c r="AF57" s="1"/>
    </row>
    <row r="58" spans="1:32" x14ac:dyDescent="0.2">
      <c r="A58" s="1"/>
      <c r="B58" s="1"/>
      <c r="C58" s="1"/>
      <c r="D58" s="1"/>
      <c r="F58" s="168" t="s">
        <v>129</v>
      </c>
      <c r="G58" s="322">
        <v>3</v>
      </c>
      <c r="H58" s="322">
        <v>5</v>
      </c>
      <c r="I58" s="322">
        <v>3</v>
      </c>
      <c r="J58" s="322">
        <v>11</v>
      </c>
      <c r="K58"/>
      <c r="L58"/>
      <c r="M58"/>
      <c r="N58"/>
      <c r="O58"/>
      <c r="P58" s="1"/>
      <c r="Q58" s="1"/>
      <c r="R58" s="1"/>
      <c r="S58" s="1"/>
      <c r="T58" s="1"/>
      <c r="U58" s="1"/>
      <c r="V58" s="1"/>
      <c r="W58" s="1"/>
      <c r="X58" s="1"/>
      <c r="Y58" s="1"/>
      <c r="Z58" s="1"/>
      <c r="AA58" s="1"/>
      <c r="AB58" s="1"/>
      <c r="AC58" s="1"/>
      <c r="AD58" s="1"/>
      <c r="AE58" s="1"/>
      <c r="AF58" s="1"/>
    </row>
    <row r="59" spans="1:32" x14ac:dyDescent="0.2">
      <c r="A59" s="1"/>
      <c r="B59" s="1"/>
      <c r="C59" s="1"/>
      <c r="D59" s="1"/>
      <c r="F59" s="168" t="s">
        <v>165</v>
      </c>
      <c r="G59" s="322">
        <v>3</v>
      </c>
      <c r="H59" s="322">
        <v>9</v>
      </c>
      <c r="I59" s="322">
        <v>5</v>
      </c>
      <c r="J59" s="322">
        <v>17</v>
      </c>
      <c r="K59"/>
      <c r="L59"/>
      <c r="M59"/>
      <c r="N59"/>
      <c r="O59"/>
      <c r="P59" s="1"/>
      <c r="Q59" s="1"/>
      <c r="R59" s="1"/>
      <c r="S59" s="1"/>
      <c r="T59" s="1"/>
      <c r="U59" s="1"/>
      <c r="V59" s="1"/>
      <c r="W59" s="1"/>
      <c r="X59" s="1"/>
      <c r="Y59" s="1"/>
      <c r="Z59" s="1"/>
      <c r="AA59" s="1"/>
      <c r="AB59" s="1"/>
      <c r="AC59" s="1"/>
      <c r="AD59" s="1"/>
      <c r="AE59" s="1"/>
      <c r="AF59" s="1"/>
    </row>
    <row r="60" spans="1:32" x14ac:dyDescent="0.2">
      <c r="A60" s="1"/>
      <c r="B60" s="1"/>
      <c r="C60" s="1"/>
      <c r="D60" s="1"/>
      <c r="F60" s="168" t="s">
        <v>453</v>
      </c>
      <c r="G60" s="322">
        <v>8</v>
      </c>
      <c r="H60" s="322">
        <v>35</v>
      </c>
      <c r="I60" s="322">
        <v>15</v>
      </c>
      <c r="J60" s="322">
        <v>58</v>
      </c>
      <c r="K60"/>
      <c r="L60"/>
      <c r="M60"/>
      <c r="N60"/>
      <c r="O60"/>
      <c r="P60" s="1"/>
      <c r="Q60" s="1"/>
      <c r="R60" s="1"/>
      <c r="S60" s="1"/>
      <c r="T60" s="1"/>
      <c r="U60" s="1"/>
      <c r="V60" s="1"/>
      <c r="W60" s="1"/>
      <c r="X60" s="1"/>
      <c r="Y60" s="1"/>
      <c r="Z60" s="1"/>
      <c r="AA60" s="1"/>
      <c r="AB60" s="1"/>
      <c r="AC60" s="1"/>
      <c r="AD60" s="1"/>
      <c r="AE60" s="1"/>
      <c r="AF60" s="1"/>
    </row>
    <row r="61" spans="1:32" x14ac:dyDescent="0.2">
      <c r="A61" s="1"/>
      <c r="B61" s="1"/>
      <c r="C61" s="1"/>
      <c r="D61" s="1"/>
      <c r="F61"/>
      <c r="G61"/>
      <c r="H61"/>
      <c r="I61"/>
      <c r="J61"/>
      <c r="K61"/>
      <c r="L61"/>
      <c r="M61"/>
      <c r="N61"/>
      <c r="O61"/>
      <c r="P61" s="1"/>
      <c r="Q61" s="1"/>
      <c r="R61" s="1"/>
      <c r="S61" s="1"/>
      <c r="T61" s="1"/>
      <c r="U61" s="1"/>
      <c r="V61" s="1"/>
      <c r="W61" s="1"/>
      <c r="X61" s="1"/>
      <c r="Y61" s="1"/>
      <c r="Z61" s="1"/>
      <c r="AA61" s="1"/>
      <c r="AB61" s="1"/>
      <c r="AC61" s="1"/>
      <c r="AD61" s="1"/>
      <c r="AE61" s="1"/>
      <c r="AF61" s="1"/>
    </row>
    <row r="62" spans="1:32" x14ac:dyDescent="0.2">
      <c r="A62" s="1"/>
      <c r="B62" s="1"/>
      <c r="C62" s="1"/>
      <c r="D62" s="1"/>
      <c r="F62"/>
      <c r="G62"/>
      <c r="H62"/>
      <c r="I62"/>
      <c r="J62"/>
      <c r="K62"/>
      <c r="L62"/>
      <c r="M62"/>
      <c r="N62"/>
      <c r="O62"/>
      <c r="P62" s="1"/>
      <c r="Q62" s="1"/>
      <c r="R62" s="1"/>
      <c r="S62" s="1"/>
      <c r="T62" s="1"/>
      <c r="U62" s="1"/>
      <c r="V62" s="1"/>
      <c r="W62" s="1"/>
      <c r="X62" s="1"/>
      <c r="Y62" s="1"/>
      <c r="Z62" s="1"/>
      <c r="AA62" s="1"/>
      <c r="AB62" s="1"/>
      <c r="AC62" s="1"/>
      <c r="AD62" s="1"/>
      <c r="AE62" s="1"/>
      <c r="AF62" s="1"/>
    </row>
    <row r="63" spans="1:32" x14ac:dyDescent="0.2">
      <c r="A63" s="1"/>
      <c r="B63" s="1"/>
      <c r="C63" s="1"/>
      <c r="D63" s="1"/>
      <c r="F63"/>
      <c r="G63"/>
      <c r="H63"/>
      <c r="I63"/>
      <c r="J63"/>
      <c r="K63"/>
      <c r="L63"/>
      <c r="M63"/>
      <c r="N63"/>
      <c r="O63"/>
      <c r="P63" s="1"/>
      <c r="Q63" s="1"/>
      <c r="R63" s="1"/>
      <c r="S63" s="1"/>
      <c r="T63" s="1"/>
      <c r="U63" s="1"/>
      <c r="V63" s="1"/>
      <c r="W63" s="1"/>
      <c r="X63" s="1"/>
      <c r="Y63" s="1"/>
      <c r="Z63" s="1"/>
      <c r="AA63" s="1"/>
      <c r="AB63" s="1"/>
      <c r="AC63" s="1"/>
      <c r="AD63" s="1"/>
      <c r="AE63" s="1"/>
      <c r="AF63" s="1"/>
    </row>
    <row r="64" spans="1:32" x14ac:dyDescent="0.2">
      <c r="A64" s="1"/>
      <c r="B64" s="1"/>
      <c r="C64" s="1"/>
      <c r="D64" s="1"/>
      <c r="F64"/>
      <c r="G64"/>
      <c r="H64"/>
      <c r="I64"/>
      <c r="J64"/>
      <c r="K64"/>
      <c r="L64"/>
      <c r="M64"/>
      <c r="N64"/>
      <c r="O64"/>
      <c r="P64" s="1"/>
      <c r="Q64" s="1"/>
      <c r="R64" s="1"/>
      <c r="S64" s="1"/>
      <c r="T64" s="1"/>
      <c r="U64" s="1"/>
      <c r="V64" s="1"/>
      <c r="W64" s="1"/>
      <c r="X64" s="1"/>
      <c r="Y64" s="1"/>
      <c r="Z64" s="1"/>
      <c r="AA64" s="1"/>
      <c r="AB64" s="1"/>
      <c r="AC64" s="1"/>
      <c r="AD64" s="1"/>
      <c r="AE64" s="1"/>
      <c r="AF64" s="1"/>
    </row>
    <row r="65" spans="1:32" x14ac:dyDescent="0.2">
      <c r="A65" s="1"/>
      <c r="B65" s="1"/>
      <c r="C65" s="1"/>
      <c r="D65" s="1"/>
      <c r="F65"/>
      <c r="G65"/>
      <c r="H65"/>
      <c r="I65"/>
      <c r="J65"/>
      <c r="K65"/>
      <c r="L65"/>
      <c r="M65"/>
      <c r="N65"/>
      <c r="O65"/>
      <c r="P65" s="1"/>
      <c r="Q65" s="1"/>
      <c r="R65" s="1"/>
      <c r="S65" s="1"/>
      <c r="T65" s="1"/>
      <c r="U65" s="1"/>
      <c r="V65" s="1"/>
      <c r="W65" s="1"/>
      <c r="X65" s="1"/>
      <c r="Y65" s="1"/>
      <c r="Z65" s="1"/>
      <c r="AA65" s="1"/>
      <c r="AB65" s="1"/>
      <c r="AC65" s="1"/>
      <c r="AD65" s="1"/>
      <c r="AE65" s="1"/>
      <c r="AF65" s="1"/>
    </row>
    <row r="66" spans="1:32" x14ac:dyDescent="0.2">
      <c r="A66" s="1"/>
      <c r="B66" s="1"/>
      <c r="C66" s="1"/>
      <c r="D66" s="1"/>
      <c r="F66"/>
      <c r="G66"/>
      <c r="H66"/>
      <c r="I66"/>
      <c r="J66"/>
      <c r="K66"/>
      <c r="L66"/>
      <c r="M66"/>
      <c r="N66"/>
      <c r="O66"/>
      <c r="P66" s="1"/>
      <c r="Q66" s="1"/>
      <c r="R66" s="1"/>
      <c r="S66" s="1"/>
      <c r="T66" s="1"/>
      <c r="U66" s="1"/>
      <c r="V66" s="1"/>
      <c r="W66" s="1"/>
      <c r="X66" s="1"/>
      <c r="Y66" s="1"/>
      <c r="Z66" s="1"/>
      <c r="AA66" s="1"/>
      <c r="AB66" s="1"/>
      <c r="AC66" s="1"/>
      <c r="AD66" s="1"/>
      <c r="AE66" s="1"/>
      <c r="AF66" s="1"/>
    </row>
    <row r="67" spans="1:32" x14ac:dyDescent="0.2">
      <c r="A67" s="1"/>
      <c r="B67" s="1"/>
      <c r="C67" s="1"/>
      <c r="D67" s="1"/>
      <c r="F67"/>
      <c r="G67"/>
      <c r="H67"/>
      <c r="I67"/>
      <c r="J67"/>
      <c r="K67"/>
      <c r="L67"/>
      <c r="M67"/>
      <c r="N67"/>
      <c r="O67"/>
      <c r="P67" s="1"/>
      <c r="Q67" s="1"/>
      <c r="R67" s="1"/>
      <c r="S67" s="1"/>
      <c r="T67" s="1"/>
      <c r="U67" s="1"/>
      <c r="V67" s="1"/>
      <c r="W67" s="1"/>
      <c r="X67" s="1"/>
      <c r="Y67" s="1"/>
      <c r="Z67" s="1"/>
      <c r="AA67" s="1"/>
      <c r="AB67" s="1"/>
      <c r="AC67" s="1"/>
      <c r="AD67" s="1"/>
      <c r="AE67" s="1"/>
      <c r="AF67" s="1"/>
    </row>
    <row r="68" spans="1:32" x14ac:dyDescent="0.2">
      <c r="A68" s="1"/>
      <c r="B68" s="1"/>
      <c r="C68" s="1"/>
      <c r="D68" s="1"/>
      <c r="F68"/>
      <c r="G68"/>
      <c r="H68"/>
      <c r="I68"/>
      <c r="J68"/>
      <c r="K68"/>
      <c r="L68"/>
      <c r="M68"/>
      <c r="N68"/>
      <c r="O68"/>
      <c r="P68" s="1"/>
      <c r="Q68" s="1"/>
      <c r="R68" s="1"/>
      <c r="S68" s="1"/>
      <c r="T68" s="1"/>
      <c r="U68" s="1"/>
      <c r="V68" s="1"/>
      <c r="W68" s="1"/>
      <c r="X68" s="1"/>
      <c r="Y68" s="1"/>
      <c r="Z68" s="1"/>
      <c r="AA68" s="1"/>
      <c r="AB68" s="1"/>
      <c r="AC68" s="1"/>
      <c r="AD68" s="1"/>
      <c r="AE68" s="1"/>
      <c r="AF68" s="1"/>
    </row>
    <row r="69" spans="1:32" x14ac:dyDescent="0.2">
      <c r="A69" s="1"/>
      <c r="B69" s="1"/>
      <c r="C69" s="1"/>
      <c r="D69" s="1"/>
      <c r="F69"/>
      <c r="G69"/>
      <c r="H69"/>
      <c r="I69"/>
      <c r="J69"/>
      <c r="K69"/>
      <c r="L69"/>
      <c r="M69"/>
      <c r="N69"/>
      <c r="O69"/>
      <c r="P69" s="1"/>
      <c r="Q69" s="1"/>
      <c r="R69" s="1"/>
      <c r="S69" s="1"/>
      <c r="T69" s="1"/>
      <c r="U69" s="1"/>
      <c r="V69" s="1"/>
      <c r="W69" s="1"/>
      <c r="X69" s="1"/>
      <c r="Y69" s="1"/>
      <c r="Z69" s="1"/>
      <c r="AA69" s="1"/>
      <c r="AB69" s="1"/>
      <c r="AC69" s="1"/>
      <c r="AD69" s="1"/>
      <c r="AE69" s="1"/>
      <c r="AF69" s="1"/>
    </row>
    <row r="70" spans="1:32" x14ac:dyDescent="0.2">
      <c r="A70" s="1"/>
      <c r="B70" s="1"/>
      <c r="C70" s="1"/>
      <c r="D70" s="1"/>
      <c r="F70"/>
      <c r="G70"/>
      <c r="H70"/>
      <c r="I70"/>
      <c r="J70"/>
      <c r="K70"/>
      <c r="L70"/>
      <c r="M70"/>
      <c r="N70"/>
      <c r="O70"/>
      <c r="P70" s="1"/>
      <c r="Q70" s="1"/>
      <c r="R70" s="1"/>
      <c r="S70" s="1"/>
      <c r="T70" s="1"/>
      <c r="U70" s="1"/>
      <c r="V70" s="1"/>
      <c r="W70" s="1"/>
      <c r="X70" s="1"/>
      <c r="Y70" s="1"/>
      <c r="Z70" s="1"/>
      <c r="AA70" s="1"/>
      <c r="AB70" s="1"/>
      <c r="AC70" s="1"/>
      <c r="AD70" s="1"/>
      <c r="AE70" s="1"/>
      <c r="AF70" s="1"/>
    </row>
    <row r="71" spans="1:32" x14ac:dyDescent="0.2">
      <c r="A71" s="1"/>
      <c r="B71" s="1"/>
      <c r="C71" s="1"/>
      <c r="D71" s="1"/>
      <c r="F71"/>
      <c r="G71"/>
      <c r="H71"/>
      <c r="I71"/>
      <c r="J71"/>
      <c r="K71"/>
      <c r="L71"/>
      <c r="M71"/>
      <c r="N71"/>
      <c r="O71"/>
      <c r="P71" s="1"/>
      <c r="Q71" s="1"/>
      <c r="R71" s="1"/>
      <c r="S71" s="1"/>
      <c r="T71" s="1"/>
      <c r="U71" s="1"/>
      <c r="V71" s="1"/>
      <c r="W71" s="1"/>
      <c r="X71" s="1"/>
      <c r="Y71" s="1"/>
      <c r="Z71" s="1"/>
      <c r="AA71" s="1"/>
      <c r="AB71" s="1"/>
      <c r="AC71" s="1"/>
      <c r="AD71" s="1"/>
      <c r="AE71" s="1"/>
      <c r="AF71" s="1"/>
    </row>
    <row r="72" spans="1:32" x14ac:dyDescent="0.2">
      <c r="A72" s="1"/>
      <c r="B72" s="1"/>
      <c r="C72" s="1"/>
      <c r="D72" s="1"/>
      <c r="F72"/>
      <c r="G72"/>
      <c r="H72"/>
      <c r="I72"/>
      <c r="J72"/>
      <c r="K72"/>
      <c r="L72"/>
      <c r="M72"/>
      <c r="N72"/>
      <c r="O72"/>
      <c r="P72" s="1"/>
      <c r="Q72" s="1"/>
      <c r="R72" s="1"/>
      <c r="S72" s="1"/>
      <c r="T72" s="1"/>
      <c r="U72" s="1"/>
      <c r="V72" s="1"/>
      <c r="W72" s="1"/>
      <c r="X72" s="1"/>
      <c r="Y72" s="1"/>
      <c r="Z72" s="1"/>
      <c r="AA72" s="1"/>
      <c r="AB72" s="1"/>
      <c r="AC72" s="1"/>
      <c r="AD72" s="1"/>
      <c r="AE72" s="1"/>
      <c r="AF72" s="1"/>
    </row>
    <row r="73" spans="1:32" x14ac:dyDescent="0.2">
      <c r="A73" s="1"/>
      <c r="B73" s="1"/>
      <c r="C73" s="1"/>
      <c r="D73" s="1"/>
      <c r="F73"/>
      <c r="G73"/>
      <c r="H73"/>
      <c r="I73"/>
      <c r="J73"/>
      <c r="K73"/>
      <c r="L73"/>
      <c r="M73"/>
      <c r="N73"/>
      <c r="O73"/>
      <c r="P73" s="1"/>
      <c r="Q73" s="1"/>
      <c r="R73" s="1"/>
      <c r="S73" s="1"/>
      <c r="T73" s="1"/>
      <c r="U73" s="1"/>
      <c r="V73" s="1"/>
      <c r="W73" s="1"/>
      <c r="X73" s="1"/>
      <c r="Y73" s="1"/>
      <c r="Z73" s="1"/>
      <c r="AA73" s="1"/>
      <c r="AB73" s="1"/>
      <c r="AC73" s="1"/>
      <c r="AD73" s="1"/>
      <c r="AE73" s="1"/>
      <c r="AF73" s="1"/>
    </row>
    <row r="74" spans="1:32" x14ac:dyDescent="0.2">
      <c r="A74" s="1"/>
      <c r="B74" s="1"/>
      <c r="C74" s="1"/>
      <c r="D74" s="1"/>
      <c r="F74"/>
      <c r="G74"/>
      <c r="H74"/>
      <c r="I74"/>
      <c r="J74"/>
      <c r="K74"/>
      <c r="L74"/>
      <c r="M74"/>
      <c r="N74"/>
      <c r="O74"/>
      <c r="P74" s="1"/>
      <c r="Q74" s="1"/>
      <c r="R74" s="1"/>
      <c r="S74" s="1"/>
      <c r="T74" s="1"/>
      <c r="U74" s="1"/>
      <c r="V74" s="1"/>
      <c r="W74" s="1"/>
      <c r="X74" s="1"/>
      <c r="Y74" s="1"/>
      <c r="Z74" s="1"/>
      <c r="AA74" s="1"/>
      <c r="AB74" s="1"/>
      <c r="AC74" s="1"/>
      <c r="AD74" s="1"/>
      <c r="AE74" s="1"/>
      <c r="AF74" s="1"/>
    </row>
    <row r="75" spans="1:32" x14ac:dyDescent="0.2">
      <c r="A75" s="1"/>
      <c r="B75" s="1"/>
      <c r="C75" s="1"/>
      <c r="D75" s="1"/>
      <c r="F75"/>
      <c r="G75"/>
      <c r="H75"/>
      <c r="I75"/>
      <c r="J75"/>
      <c r="K75"/>
      <c r="L75"/>
      <c r="M75"/>
      <c r="N75"/>
      <c r="O75"/>
      <c r="P75" s="1"/>
      <c r="Q75" s="1"/>
      <c r="R75" s="1"/>
      <c r="S75" s="1"/>
      <c r="T75" s="1"/>
      <c r="U75" s="1"/>
      <c r="V75" s="1"/>
      <c r="W75" s="1"/>
      <c r="X75" s="1"/>
      <c r="Y75" s="1"/>
      <c r="Z75" s="1"/>
      <c r="AA75" s="1"/>
      <c r="AB75" s="1"/>
      <c r="AC75" s="1"/>
      <c r="AD75" s="1"/>
      <c r="AE75" s="1"/>
      <c r="AF75" s="1"/>
    </row>
    <row r="76" spans="1:32" x14ac:dyDescent="0.2">
      <c r="A76" s="1"/>
      <c r="B76" s="1"/>
      <c r="C76" s="1"/>
      <c r="D76" s="1"/>
      <c r="F76"/>
      <c r="G76"/>
      <c r="H76"/>
      <c r="I76"/>
      <c r="J76"/>
      <c r="K76"/>
      <c r="L76"/>
      <c r="M76"/>
      <c r="N76"/>
      <c r="O76"/>
      <c r="P76" s="1"/>
      <c r="Q76" s="1"/>
      <c r="R76" s="1"/>
      <c r="S76" s="1"/>
      <c r="T76" s="1"/>
      <c r="U76" s="1"/>
      <c r="V76" s="1"/>
      <c r="W76" s="1"/>
      <c r="X76" s="1"/>
      <c r="Y76" s="1"/>
      <c r="Z76" s="1"/>
      <c r="AA76" s="1"/>
      <c r="AB76" s="1"/>
      <c r="AC76" s="1"/>
      <c r="AD76" s="1"/>
      <c r="AE76" s="1"/>
      <c r="AF76" s="1"/>
    </row>
    <row r="77" spans="1:32" x14ac:dyDescent="0.2">
      <c r="A77" s="1"/>
      <c r="B77" s="1"/>
      <c r="C77" s="1"/>
      <c r="D77" s="1"/>
      <c r="F77"/>
      <c r="G77"/>
      <c r="H77"/>
      <c r="I77"/>
      <c r="J77"/>
      <c r="K77"/>
      <c r="L77"/>
      <c r="M77"/>
      <c r="N77"/>
      <c r="O77"/>
      <c r="P77" s="1"/>
      <c r="Q77" s="1"/>
      <c r="R77" s="1"/>
      <c r="S77" s="1"/>
      <c r="T77" s="1"/>
      <c r="U77" s="1"/>
      <c r="V77" s="1"/>
      <c r="W77" s="1"/>
      <c r="X77" s="1"/>
      <c r="Y77" s="1"/>
      <c r="Z77" s="1"/>
      <c r="AA77" s="1"/>
      <c r="AB77" s="1"/>
      <c r="AC77" s="1"/>
      <c r="AD77" s="1"/>
      <c r="AE77" s="1"/>
      <c r="AF77" s="1"/>
    </row>
    <row r="78" spans="1:32" x14ac:dyDescent="0.2">
      <c r="A78" s="1"/>
      <c r="B78" s="1"/>
      <c r="C78" s="1"/>
      <c r="D78" s="1"/>
      <c r="F78"/>
      <c r="G78"/>
      <c r="H78"/>
      <c r="I78"/>
      <c r="J78"/>
      <c r="K78"/>
      <c r="L78"/>
      <c r="M78"/>
      <c r="N78"/>
      <c r="O78"/>
      <c r="P78" s="1"/>
      <c r="Q78" s="1"/>
      <c r="R78" s="1"/>
      <c r="S78" s="1"/>
      <c r="T78" s="1"/>
      <c r="U78" s="1"/>
      <c r="V78" s="1"/>
      <c r="W78" s="1"/>
      <c r="X78" s="1"/>
      <c r="Y78" s="1"/>
      <c r="Z78" s="1"/>
      <c r="AA78" s="1"/>
      <c r="AB78" s="1"/>
      <c r="AC78" s="1"/>
      <c r="AD78" s="1"/>
      <c r="AE78" s="1"/>
      <c r="AF78" s="1"/>
    </row>
    <row r="79" spans="1:32" x14ac:dyDescent="0.2">
      <c r="A79" s="1"/>
      <c r="B79" s="1"/>
      <c r="C79" s="1"/>
      <c r="D79" s="1"/>
      <c r="F79"/>
      <c r="G79"/>
      <c r="H79"/>
      <c r="I79"/>
      <c r="J79"/>
      <c r="K79"/>
      <c r="L79"/>
      <c r="M79"/>
      <c r="N79"/>
      <c r="O79"/>
      <c r="P79" s="1"/>
      <c r="Q79" s="1"/>
      <c r="R79" s="1"/>
      <c r="S79" s="1"/>
      <c r="T79" s="1"/>
      <c r="U79" s="1"/>
      <c r="V79" s="1"/>
      <c r="W79" s="1"/>
      <c r="X79" s="1"/>
      <c r="Y79" s="1"/>
      <c r="Z79" s="1"/>
      <c r="AA79" s="1"/>
      <c r="AB79" s="1"/>
      <c r="AC79" s="1"/>
      <c r="AD79" s="1"/>
      <c r="AE79" s="1"/>
      <c r="AF79" s="1"/>
    </row>
    <row r="80" spans="1:32" x14ac:dyDescent="0.2">
      <c r="A80" s="1"/>
      <c r="B80" s="1"/>
      <c r="C80" s="1"/>
      <c r="D80" s="1"/>
      <c r="F80"/>
      <c r="G80"/>
      <c r="H80"/>
      <c r="I80"/>
      <c r="J80"/>
      <c r="K80"/>
      <c r="L80"/>
      <c r="M80"/>
      <c r="N80"/>
      <c r="O80"/>
      <c r="P80" s="1"/>
      <c r="Q80" s="1"/>
      <c r="R80" s="1"/>
      <c r="S80" s="1"/>
      <c r="T80" s="1"/>
      <c r="U80" s="1"/>
      <c r="V80" s="1"/>
      <c r="W80" s="1"/>
      <c r="X80" s="1"/>
      <c r="Y80" s="1"/>
      <c r="Z80" s="1"/>
      <c r="AA80" s="1"/>
      <c r="AB80" s="1"/>
      <c r="AC80" s="1"/>
      <c r="AD80" s="1"/>
      <c r="AE80" s="1"/>
      <c r="AF80" s="1"/>
    </row>
    <row r="81" spans="1:32" x14ac:dyDescent="0.2">
      <c r="A81" s="1"/>
      <c r="B81" s="1"/>
      <c r="C81" s="1"/>
      <c r="D81" s="1"/>
      <c r="F81"/>
      <c r="G81"/>
      <c r="H81"/>
      <c r="I81"/>
      <c r="J81"/>
      <c r="K81"/>
      <c r="L81"/>
      <c r="M81"/>
      <c r="N81"/>
      <c r="O81"/>
      <c r="P81" s="1"/>
      <c r="Q81" s="1"/>
      <c r="R81" s="1"/>
      <c r="S81" s="1"/>
      <c r="T81" s="1"/>
      <c r="U81" s="1"/>
      <c r="V81" s="1"/>
      <c r="W81" s="1"/>
      <c r="X81" s="1"/>
      <c r="Y81" s="1"/>
      <c r="Z81" s="1"/>
      <c r="AA81" s="1"/>
      <c r="AB81" s="1"/>
      <c r="AC81" s="1"/>
      <c r="AD81" s="1"/>
      <c r="AE81" s="1"/>
      <c r="AF81" s="1"/>
    </row>
    <row r="82" spans="1:32" x14ac:dyDescent="0.2">
      <c r="A82" s="1"/>
      <c r="B82" s="1"/>
      <c r="C82" s="1"/>
      <c r="D82" s="1"/>
      <c r="F82"/>
      <c r="G82"/>
      <c r="H82"/>
      <c r="I82"/>
      <c r="J82"/>
      <c r="K82"/>
      <c r="L82"/>
      <c r="M82"/>
      <c r="N82"/>
      <c r="O82"/>
      <c r="P82" s="1"/>
      <c r="Q82" s="1"/>
      <c r="R82" s="1"/>
      <c r="S82" s="1"/>
      <c r="T82" s="1"/>
      <c r="U82" s="1"/>
      <c r="V82" s="1"/>
      <c r="W82" s="1"/>
      <c r="X82" s="1"/>
      <c r="Y82" s="1"/>
      <c r="Z82" s="1"/>
      <c r="AA82" s="1"/>
      <c r="AB82" s="1"/>
      <c r="AC82" s="1"/>
      <c r="AD82" s="1"/>
      <c r="AE82" s="1"/>
      <c r="AF82" s="1"/>
    </row>
    <row r="83" spans="1:32" x14ac:dyDescent="0.2">
      <c r="A83" s="1"/>
      <c r="B83" s="1"/>
      <c r="C83" s="1"/>
      <c r="D83" s="1"/>
      <c r="F83"/>
      <c r="G83"/>
      <c r="H83"/>
      <c r="I83"/>
      <c r="J83"/>
      <c r="K83"/>
      <c r="L83"/>
      <c r="M83"/>
      <c r="N83"/>
      <c r="O83"/>
      <c r="P83" s="1"/>
      <c r="Q83" s="1"/>
      <c r="R83" s="1"/>
      <c r="S83" s="1"/>
      <c r="T83" s="1"/>
      <c r="U83" s="1"/>
      <c r="V83" s="1"/>
      <c r="W83" s="1"/>
      <c r="X83" s="1"/>
      <c r="Y83" s="1"/>
      <c r="Z83" s="1"/>
      <c r="AA83" s="1"/>
      <c r="AB83" s="1"/>
      <c r="AC83" s="1"/>
      <c r="AD83" s="1"/>
      <c r="AE83" s="1"/>
      <c r="AF83" s="1"/>
    </row>
    <row r="84" spans="1:32" x14ac:dyDescent="0.2">
      <c r="A84" s="1"/>
      <c r="B84" s="1"/>
      <c r="C84" s="1"/>
      <c r="D84" s="1"/>
      <c r="F84"/>
      <c r="G84"/>
      <c r="H84"/>
      <c r="I84"/>
      <c r="J84"/>
      <c r="K84"/>
      <c r="L84"/>
      <c r="M84"/>
      <c r="N84"/>
      <c r="O84"/>
      <c r="P84" s="1"/>
      <c r="Q84" s="1"/>
      <c r="R84" s="1"/>
      <c r="S84" s="1"/>
      <c r="T84" s="1"/>
      <c r="U84" s="1"/>
      <c r="V84" s="1"/>
      <c r="W84" s="1"/>
      <c r="X84" s="1"/>
      <c r="Y84" s="1"/>
      <c r="Z84" s="1"/>
      <c r="AA84" s="1"/>
      <c r="AB84" s="1"/>
      <c r="AC84" s="1"/>
      <c r="AD84" s="1"/>
      <c r="AE84" s="1"/>
      <c r="AF84" s="1"/>
    </row>
    <row r="85" spans="1:32" x14ac:dyDescent="0.2">
      <c r="A85" s="1"/>
      <c r="B85" s="1"/>
      <c r="C85" s="1"/>
      <c r="D85" s="1"/>
      <c r="F85"/>
      <c r="G85"/>
      <c r="H85"/>
      <c r="I85"/>
      <c r="J85"/>
      <c r="K85"/>
      <c r="L85"/>
      <c r="M85"/>
      <c r="N85"/>
      <c r="O85"/>
      <c r="P85" s="1"/>
      <c r="Q85" s="1"/>
      <c r="R85" s="1"/>
      <c r="S85" s="1"/>
      <c r="T85" s="1"/>
      <c r="U85" s="1"/>
      <c r="V85" s="1"/>
      <c r="W85" s="1"/>
      <c r="X85" s="1"/>
      <c r="Y85" s="1"/>
      <c r="Z85" s="1"/>
      <c r="AA85" s="1"/>
      <c r="AB85" s="1"/>
      <c r="AC85" s="1"/>
      <c r="AD85" s="1"/>
      <c r="AE85" s="1"/>
      <c r="AF85" s="1"/>
    </row>
    <row r="86" spans="1:32" x14ac:dyDescent="0.2">
      <c r="A86" s="1"/>
      <c r="B86" s="1"/>
      <c r="C86" s="1"/>
      <c r="D86" s="1"/>
      <c r="F86"/>
      <c r="G86"/>
      <c r="H86"/>
      <c r="I86"/>
      <c r="J86"/>
      <c r="K86"/>
      <c r="L86"/>
      <c r="M86"/>
      <c r="N86"/>
      <c r="O86"/>
      <c r="P86" s="1"/>
      <c r="Q86" s="1"/>
      <c r="R86" s="1"/>
      <c r="S86" s="1"/>
      <c r="T86" s="1"/>
      <c r="U86" s="1"/>
      <c r="V86" s="1"/>
      <c r="W86" s="1"/>
      <c r="X86" s="1"/>
      <c r="Y86" s="1"/>
      <c r="Z86" s="1"/>
      <c r="AA86" s="1"/>
      <c r="AB86" s="1"/>
      <c r="AC86" s="1"/>
      <c r="AD86" s="1"/>
      <c r="AE86" s="1"/>
      <c r="AF86" s="1"/>
    </row>
    <row r="87" spans="1:32" x14ac:dyDescent="0.2">
      <c r="A87" s="1"/>
      <c r="B87" s="1"/>
      <c r="C87" s="1"/>
      <c r="D87" s="1"/>
      <c r="F87"/>
      <c r="G87"/>
      <c r="H87"/>
      <c r="I87"/>
      <c r="J87"/>
      <c r="K87"/>
      <c r="L87"/>
      <c r="M87"/>
      <c r="N87"/>
      <c r="O87"/>
      <c r="P87" s="1"/>
      <c r="Q87" s="1"/>
      <c r="R87" s="1"/>
      <c r="S87" s="1"/>
      <c r="T87" s="1"/>
      <c r="U87" s="1"/>
      <c r="V87" s="1"/>
      <c r="W87" s="1"/>
      <c r="X87" s="1"/>
      <c r="Y87" s="1"/>
      <c r="Z87" s="1"/>
      <c r="AA87" s="1"/>
      <c r="AB87" s="1"/>
      <c r="AC87" s="1"/>
      <c r="AD87" s="1"/>
      <c r="AE87" s="1"/>
      <c r="AF87" s="1"/>
    </row>
    <row r="88" spans="1:32" x14ac:dyDescent="0.2">
      <c r="A88" s="1"/>
      <c r="B88" s="1"/>
      <c r="C88" s="1"/>
      <c r="D88" s="1"/>
      <c r="F88"/>
      <c r="G88"/>
      <c r="H88"/>
      <c r="I88"/>
      <c r="J88"/>
      <c r="K88"/>
      <c r="L88"/>
      <c r="M88"/>
      <c r="N88"/>
      <c r="O88"/>
      <c r="P88" s="1"/>
      <c r="Q88" s="1"/>
      <c r="R88" s="1"/>
      <c r="S88" s="1"/>
      <c r="T88" s="1"/>
      <c r="U88" s="1"/>
      <c r="V88" s="1"/>
      <c r="W88" s="1"/>
      <c r="X88" s="1"/>
      <c r="Y88" s="1"/>
      <c r="Z88" s="1"/>
      <c r="AA88" s="1"/>
      <c r="AB88" s="1"/>
      <c r="AC88" s="1"/>
      <c r="AD88" s="1"/>
      <c r="AE88" s="1"/>
      <c r="AF88" s="1"/>
    </row>
    <row r="89" spans="1:32" x14ac:dyDescent="0.2">
      <c r="A89" s="1"/>
      <c r="B89" s="1"/>
      <c r="C89" s="1"/>
      <c r="D89" s="1"/>
      <c r="F89"/>
      <c r="G89"/>
      <c r="H89"/>
      <c r="I89"/>
      <c r="J89"/>
      <c r="K89"/>
      <c r="L89"/>
      <c r="M89"/>
      <c r="N89"/>
      <c r="O89"/>
      <c r="P89" s="1"/>
      <c r="Q89" s="1"/>
      <c r="R89" s="1"/>
      <c r="S89" s="1"/>
      <c r="T89" s="1"/>
      <c r="U89" s="1"/>
      <c r="V89" s="1"/>
      <c r="W89" s="1"/>
      <c r="X89" s="1"/>
      <c r="Y89" s="1"/>
      <c r="Z89" s="1"/>
      <c r="AA89" s="1"/>
      <c r="AB89" s="1"/>
      <c r="AC89" s="1"/>
      <c r="AD89" s="1"/>
      <c r="AE89" s="1"/>
      <c r="AF89" s="1"/>
    </row>
    <row r="90" spans="1:32" x14ac:dyDescent="0.2">
      <c r="A90" s="1"/>
      <c r="B90" s="1"/>
      <c r="C90" s="1"/>
      <c r="D90" s="1"/>
      <c r="F90"/>
      <c r="G90"/>
      <c r="H90"/>
      <c r="I90"/>
      <c r="J90"/>
      <c r="K90"/>
      <c r="L90"/>
      <c r="M90"/>
      <c r="N90"/>
      <c r="O90"/>
      <c r="P90" s="1"/>
      <c r="Q90" s="1"/>
      <c r="R90" s="1"/>
      <c r="S90" s="1"/>
      <c r="T90" s="1"/>
      <c r="U90" s="1"/>
      <c r="V90" s="1"/>
      <c r="W90" s="1"/>
      <c r="X90" s="1"/>
      <c r="Y90" s="1"/>
      <c r="Z90" s="1"/>
      <c r="AA90" s="1"/>
      <c r="AB90" s="1"/>
      <c r="AC90" s="1"/>
      <c r="AD90" s="1"/>
      <c r="AE90" s="1"/>
      <c r="AF90" s="1"/>
    </row>
    <row r="91" spans="1:32" x14ac:dyDescent="0.2">
      <c r="A91" s="1"/>
      <c r="B91" s="1"/>
      <c r="C91" s="1"/>
      <c r="D91" s="1"/>
      <c r="F91"/>
      <c r="G91"/>
      <c r="H91"/>
      <c r="I91"/>
      <c r="J91"/>
      <c r="K91"/>
      <c r="L91"/>
      <c r="M91"/>
      <c r="N91"/>
      <c r="O91"/>
      <c r="P91" s="1"/>
      <c r="Q91" s="1"/>
      <c r="R91" s="1"/>
      <c r="S91" s="1"/>
      <c r="T91" s="1"/>
      <c r="U91" s="1"/>
      <c r="V91" s="1"/>
      <c r="W91" s="1"/>
      <c r="X91" s="1"/>
      <c r="Y91" s="1"/>
      <c r="Z91" s="1"/>
      <c r="AA91" s="1"/>
      <c r="AB91" s="1"/>
      <c r="AC91" s="1"/>
      <c r="AD91" s="1"/>
      <c r="AE91" s="1"/>
      <c r="AF91" s="1"/>
    </row>
    <row r="92" spans="1:32" x14ac:dyDescent="0.2">
      <c r="A92" s="1"/>
      <c r="B92" s="1"/>
      <c r="C92" s="1"/>
      <c r="D92" s="1"/>
      <c r="F92"/>
      <c r="G92"/>
      <c r="H92"/>
      <c r="I92"/>
      <c r="J92"/>
      <c r="K92"/>
      <c r="L92"/>
      <c r="M92"/>
      <c r="N92"/>
      <c r="O92"/>
      <c r="P92" s="1"/>
      <c r="Q92" s="1"/>
      <c r="R92" s="1"/>
      <c r="S92" s="1"/>
      <c r="T92" s="1"/>
      <c r="U92" s="1"/>
      <c r="V92" s="1"/>
      <c r="W92" s="1"/>
      <c r="X92" s="1"/>
      <c r="Y92" s="1"/>
      <c r="Z92" s="1"/>
      <c r="AA92" s="1"/>
      <c r="AB92" s="1"/>
      <c r="AC92" s="1"/>
      <c r="AD92" s="1"/>
      <c r="AE92" s="1"/>
      <c r="AF92" s="1"/>
    </row>
    <row r="93" spans="1:32" x14ac:dyDescent="0.2">
      <c r="A93" s="1"/>
      <c r="B93" s="1"/>
      <c r="C93" s="1"/>
      <c r="D93" s="1"/>
      <c r="F93"/>
      <c r="G93"/>
      <c r="H93"/>
      <c r="I93"/>
      <c r="J93"/>
      <c r="K93"/>
      <c r="L93"/>
      <c r="M93"/>
      <c r="N93"/>
      <c r="O93"/>
      <c r="P93" s="1"/>
      <c r="Q93" s="1"/>
      <c r="R93" s="1"/>
      <c r="S93" s="1"/>
      <c r="T93" s="1"/>
      <c r="U93" s="1"/>
      <c r="V93" s="1"/>
      <c r="W93" s="1"/>
      <c r="X93" s="1"/>
      <c r="Y93" s="1"/>
      <c r="Z93" s="1"/>
      <c r="AA93" s="1"/>
      <c r="AB93" s="1"/>
      <c r="AC93" s="1"/>
      <c r="AD93" s="1"/>
      <c r="AE93" s="1"/>
      <c r="AF93" s="1"/>
    </row>
    <row r="94" spans="1:32" x14ac:dyDescent="0.2">
      <c r="A94" s="1"/>
      <c r="B94" s="1"/>
      <c r="C94" s="1"/>
      <c r="D94" s="1"/>
      <c r="F94"/>
      <c r="G94"/>
      <c r="H94"/>
      <c r="I94"/>
      <c r="J94"/>
      <c r="K94"/>
      <c r="L94"/>
      <c r="M94"/>
      <c r="N94"/>
      <c r="O94"/>
      <c r="P94" s="1"/>
      <c r="Q94" s="1"/>
      <c r="R94" s="1"/>
      <c r="S94" s="1"/>
      <c r="T94" s="1"/>
      <c r="U94" s="1"/>
      <c r="V94" s="1"/>
      <c r="W94" s="1"/>
      <c r="X94" s="1"/>
      <c r="Y94" s="1"/>
      <c r="Z94" s="1"/>
      <c r="AA94" s="1"/>
      <c r="AB94" s="1"/>
      <c r="AC94" s="1"/>
      <c r="AD94" s="1"/>
      <c r="AE94" s="1"/>
      <c r="AF94" s="1"/>
    </row>
    <row r="95" spans="1:32" x14ac:dyDescent="0.2">
      <c r="A95" s="1"/>
      <c r="B95" s="1"/>
      <c r="C95" s="1"/>
      <c r="D95" s="1"/>
      <c r="F95"/>
      <c r="G95"/>
      <c r="H95"/>
      <c r="I95"/>
      <c r="J95"/>
      <c r="K95"/>
      <c r="L95"/>
      <c r="M95"/>
      <c r="N95"/>
      <c r="O95"/>
      <c r="P95" s="1"/>
      <c r="Q95" s="1"/>
      <c r="R95" s="1"/>
      <c r="S95" s="1"/>
      <c r="T95" s="1"/>
      <c r="U95" s="1"/>
      <c r="V95" s="1"/>
      <c r="W95" s="1"/>
      <c r="X95" s="1"/>
      <c r="Y95" s="1"/>
      <c r="Z95" s="1"/>
      <c r="AA95" s="1"/>
      <c r="AB95" s="1"/>
      <c r="AC95" s="1"/>
      <c r="AD95" s="1"/>
      <c r="AE95" s="1"/>
      <c r="AF95" s="1"/>
    </row>
    <row r="96" spans="1:32" x14ac:dyDescent="0.2">
      <c r="A96" s="1"/>
      <c r="B96" s="1"/>
      <c r="C96" s="1"/>
      <c r="D96" s="1"/>
      <c r="F96"/>
      <c r="G96"/>
      <c r="H96"/>
      <c r="I96"/>
      <c r="J96"/>
      <c r="K96"/>
      <c r="L96"/>
      <c r="M96"/>
      <c r="N96"/>
      <c r="O96"/>
      <c r="P96" s="1"/>
      <c r="Q96" s="1"/>
      <c r="R96" s="1"/>
      <c r="S96" s="1"/>
      <c r="T96" s="1"/>
      <c r="U96" s="1"/>
      <c r="V96" s="1"/>
      <c r="W96" s="1"/>
      <c r="X96" s="1"/>
      <c r="Y96" s="1"/>
      <c r="Z96" s="1"/>
      <c r="AA96" s="1"/>
      <c r="AB96" s="1"/>
      <c r="AC96" s="1"/>
      <c r="AD96" s="1"/>
      <c r="AE96" s="1"/>
      <c r="AF96" s="1"/>
    </row>
    <row r="97" spans="1:32" x14ac:dyDescent="0.2">
      <c r="A97" s="1"/>
      <c r="B97" s="1"/>
      <c r="C97" s="1"/>
      <c r="D97" s="1"/>
      <c r="F97"/>
      <c r="G97"/>
      <c r="H97"/>
      <c r="I97"/>
      <c r="J97"/>
      <c r="K97"/>
      <c r="L97"/>
      <c r="M97"/>
      <c r="N97"/>
      <c r="O97"/>
      <c r="P97" s="1"/>
      <c r="Q97" s="1"/>
      <c r="R97" s="1"/>
      <c r="S97" s="1"/>
      <c r="T97" s="1"/>
      <c r="U97" s="1"/>
      <c r="V97" s="1"/>
      <c r="W97" s="1"/>
      <c r="X97" s="1"/>
      <c r="Y97" s="1"/>
      <c r="Z97" s="1"/>
      <c r="AA97" s="1"/>
      <c r="AB97" s="1"/>
      <c r="AC97" s="1"/>
      <c r="AD97" s="1"/>
      <c r="AE97" s="1"/>
      <c r="AF97" s="1"/>
    </row>
    <row r="98" spans="1:32" x14ac:dyDescent="0.2">
      <c r="A98" s="1"/>
      <c r="B98" s="1"/>
      <c r="C98" s="1"/>
      <c r="D98" s="1"/>
      <c r="F98"/>
      <c r="G98"/>
      <c r="H98"/>
      <c r="I98"/>
      <c r="J98"/>
      <c r="K98"/>
      <c r="L98"/>
      <c r="M98"/>
      <c r="N98"/>
      <c r="O98"/>
      <c r="P98" s="1"/>
      <c r="Q98" s="1"/>
      <c r="R98" s="1"/>
      <c r="S98" s="1"/>
      <c r="T98" s="1"/>
      <c r="U98" s="1"/>
      <c r="V98" s="1"/>
      <c r="W98" s="1"/>
      <c r="X98" s="1"/>
      <c r="Y98" s="1"/>
      <c r="Z98" s="1"/>
      <c r="AA98" s="1"/>
      <c r="AB98" s="1"/>
      <c r="AC98" s="1"/>
      <c r="AD98" s="1"/>
      <c r="AE98" s="1"/>
      <c r="AF98" s="1"/>
    </row>
    <row r="99" spans="1:32" x14ac:dyDescent="0.2">
      <c r="A99" s="1"/>
      <c r="B99" s="1"/>
      <c r="C99" s="1"/>
      <c r="D99" s="1"/>
      <c r="F99"/>
      <c r="G99"/>
      <c r="H99"/>
      <c r="I99"/>
      <c r="J99"/>
      <c r="K99"/>
      <c r="L99"/>
      <c r="M99"/>
      <c r="N99"/>
      <c r="O99"/>
      <c r="P99" s="1"/>
      <c r="Q99" s="1"/>
      <c r="R99" s="1"/>
      <c r="S99" s="1"/>
      <c r="T99" s="1"/>
      <c r="U99" s="1"/>
      <c r="V99" s="1"/>
      <c r="W99" s="1"/>
      <c r="X99" s="1"/>
      <c r="Y99" s="1"/>
      <c r="Z99" s="1"/>
      <c r="AA99" s="1"/>
      <c r="AB99" s="1"/>
      <c r="AC99" s="1"/>
      <c r="AD99" s="1"/>
      <c r="AE99" s="1"/>
      <c r="AF99" s="1"/>
    </row>
    <row r="100" spans="1:32" x14ac:dyDescent="0.2">
      <c r="A100" s="1"/>
      <c r="B100" s="1"/>
      <c r="C100" s="1"/>
      <c r="D100" s="1"/>
      <c r="F100"/>
      <c r="G100"/>
      <c r="H100"/>
      <c r="I100"/>
      <c r="J100"/>
      <c r="K100"/>
      <c r="L100"/>
      <c r="M100"/>
      <c r="N100"/>
      <c r="O100"/>
      <c r="P100" s="1"/>
      <c r="Q100" s="1"/>
      <c r="R100" s="1"/>
      <c r="S100" s="1"/>
      <c r="T100" s="1"/>
      <c r="U100" s="1"/>
      <c r="V100" s="1"/>
      <c r="W100" s="1"/>
      <c r="X100" s="1"/>
      <c r="Y100" s="1"/>
      <c r="Z100" s="1"/>
      <c r="AA100" s="1"/>
      <c r="AB100" s="1"/>
      <c r="AC100" s="1"/>
      <c r="AD100" s="1"/>
      <c r="AE100" s="1"/>
      <c r="AF100" s="1"/>
    </row>
    <row r="101" spans="1:32" x14ac:dyDescent="0.2">
      <c r="A101" s="1"/>
      <c r="B101" s="1"/>
      <c r="C101" s="1"/>
      <c r="D101" s="1"/>
      <c r="F101"/>
      <c r="G101"/>
      <c r="H101"/>
      <c r="I101"/>
      <c r="J101"/>
      <c r="K101"/>
      <c r="L101"/>
      <c r="M101"/>
      <c r="N101"/>
      <c r="O101"/>
      <c r="P101" s="1"/>
      <c r="Q101" s="1"/>
      <c r="R101" s="1"/>
      <c r="S101" s="1"/>
      <c r="T101" s="1"/>
      <c r="U101" s="1"/>
      <c r="V101" s="1"/>
      <c r="W101" s="1"/>
      <c r="X101" s="1"/>
      <c r="Y101" s="1"/>
      <c r="Z101" s="1"/>
      <c r="AA101" s="1"/>
      <c r="AB101" s="1"/>
      <c r="AC101" s="1"/>
      <c r="AD101" s="1"/>
      <c r="AE101" s="1"/>
      <c r="AF101" s="1"/>
    </row>
    <row r="102" spans="1:32" x14ac:dyDescent="0.2">
      <c r="A102" s="1"/>
      <c r="B102" s="1"/>
      <c r="C102" s="1"/>
      <c r="D102" s="1"/>
      <c r="F102"/>
      <c r="G102"/>
      <c r="H102"/>
      <c r="I102"/>
      <c r="J102"/>
      <c r="K102"/>
      <c r="L102"/>
      <c r="M102"/>
      <c r="N102"/>
      <c r="O102"/>
      <c r="P102" s="1"/>
      <c r="Q102" s="1"/>
      <c r="R102" s="1"/>
      <c r="S102" s="1"/>
      <c r="T102" s="1"/>
      <c r="U102" s="1"/>
      <c r="V102" s="1"/>
      <c r="W102" s="1"/>
      <c r="X102" s="1"/>
      <c r="Y102" s="1"/>
      <c r="Z102" s="1"/>
      <c r="AA102" s="1"/>
      <c r="AB102" s="1"/>
      <c r="AC102" s="1"/>
      <c r="AD102" s="1"/>
      <c r="AE102" s="1"/>
      <c r="AF102" s="1"/>
    </row>
    <row r="103" spans="1:32" x14ac:dyDescent="0.2">
      <c r="A103" s="1"/>
      <c r="B103" s="1"/>
      <c r="C103" s="1"/>
      <c r="D103" s="1"/>
      <c r="F103"/>
      <c r="G103"/>
      <c r="H103"/>
      <c r="I103"/>
      <c r="J103"/>
      <c r="K103"/>
      <c r="L103"/>
      <c r="M103"/>
      <c r="N103"/>
      <c r="O103"/>
      <c r="P103" s="1"/>
      <c r="Q103" s="1"/>
      <c r="R103" s="1"/>
      <c r="S103" s="1"/>
      <c r="T103" s="1"/>
      <c r="U103" s="1"/>
      <c r="V103" s="1"/>
      <c r="W103" s="1"/>
      <c r="X103" s="1"/>
      <c r="Y103" s="1"/>
      <c r="Z103" s="1"/>
      <c r="AA103" s="1"/>
      <c r="AB103" s="1"/>
      <c r="AC103" s="1"/>
      <c r="AD103" s="1"/>
      <c r="AE103" s="1"/>
      <c r="AF103" s="1"/>
    </row>
    <row r="104" spans="1:32" x14ac:dyDescent="0.2">
      <c r="A104" s="1"/>
      <c r="B104" s="1"/>
      <c r="C104" s="1"/>
      <c r="D104" s="1"/>
      <c r="F104"/>
      <c r="G104"/>
      <c r="H104"/>
      <c r="I104"/>
      <c r="J104"/>
      <c r="K104"/>
      <c r="L104"/>
      <c r="M104"/>
      <c r="N104"/>
      <c r="O104"/>
      <c r="P104" s="1"/>
      <c r="Q104" s="1"/>
      <c r="R104" s="1"/>
      <c r="S104" s="1"/>
      <c r="T104" s="1"/>
      <c r="U104" s="1"/>
      <c r="V104" s="1"/>
      <c r="W104" s="1"/>
      <c r="X104" s="1"/>
      <c r="Y104" s="1"/>
      <c r="Z104" s="1"/>
      <c r="AA104" s="1"/>
      <c r="AB104" s="1"/>
      <c r="AC104" s="1"/>
      <c r="AD104" s="1"/>
      <c r="AE104" s="1"/>
      <c r="AF104" s="1"/>
    </row>
    <row r="105" spans="1:32" x14ac:dyDescent="0.2">
      <c r="A105" s="1"/>
      <c r="B105" s="1"/>
      <c r="C105" s="1"/>
      <c r="D105" s="1"/>
      <c r="F105"/>
      <c r="G105"/>
      <c r="H105"/>
      <c r="I105"/>
      <c r="J105"/>
      <c r="K105"/>
      <c r="L105"/>
      <c r="M105"/>
      <c r="N105"/>
      <c r="O105"/>
      <c r="P105" s="1"/>
      <c r="Q105" s="1"/>
      <c r="R105" s="1"/>
      <c r="S105" s="1"/>
      <c r="T105" s="1"/>
      <c r="U105" s="1"/>
      <c r="V105" s="1"/>
      <c r="W105" s="1"/>
      <c r="X105" s="1"/>
      <c r="Y105" s="1"/>
      <c r="Z105" s="1"/>
      <c r="AA105" s="1"/>
      <c r="AB105" s="1"/>
      <c r="AC105" s="1"/>
      <c r="AD105" s="1"/>
      <c r="AE105" s="1"/>
      <c r="AF105" s="1"/>
    </row>
    <row r="106" spans="1:32" x14ac:dyDescent="0.2">
      <c r="A106" s="1"/>
      <c r="B106" s="1"/>
      <c r="C106" s="1"/>
      <c r="D106" s="1"/>
      <c r="F106"/>
      <c r="G106"/>
      <c r="H106"/>
      <c r="I106"/>
      <c r="J106"/>
      <c r="K106"/>
      <c r="L106"/>
      <c r="M106"/>
      <c r="N106"/>
      <c r="O106"/>
      <c r="P106" s="1"/>
      <c r="Q106" s="1"/>
      <c r="R106" s="1"/>
      <c r="S106" s="1"/>
      <c r="T106" s="1"/>
      <c r="U106" s="1"/>
      <c r="V106" s="1"/>
      <c r="W106" s="1"/>
      <c r="X106" s="1"/>
      <c r="Y106" s="1"/>
      <c r="Z106" s="1"/>
      <c r="AA106" s="1"/>
      <c r="AB106" s="1"/>
      <c r="AC106" s="1"/>
      <c r="AD106" s="1"/>
      <c r="AE106" s="1"/>
      <c r="AF106" s="1"/>
    </row>
    <row r="107" spans="1:32" x14ac:dyDescent="0.2">
      <c r="A107" s="1"/>
      <c r="B107" s="1"/>
      <c r="C107" s="1"/>
      <c r="D107" s="1"/>
      <c r="F107"/>
      <c r="G107"/>
      <c r="H107"/>
      <c r="I107"/>
      <c r="J107"/>
      <c r="K107"/>
      <c r="L107"/>
      <c r="M107"/>
      <c r="N107"/>
      <c r="O107"/>
      <c r="P107" s="1"/>
      <c r="Q107" s="1"/>
      <c r="R107" s="1"/>
      <c r="S107" s="1"/>
      <c r="T107" s="1"/>
      <c r="U107" s="1"/>
      <c r="V107" s="1"/>
      <c r="W107" s="1"/>
      <c r="X107" s="1"/>
      <c r="Y107" s="1"/>
      <c r="Z107" s="1"/>
      <c r="AA107" s="1"/>
      <c r="AB107" s="1"/>
      <c r="AC107" s="1"/>
      <c r="AD107" s="1"/>
      <c r="AE107" s="1"/>
      <c r="AF107" s="1"/>
    </row>
    <row r="108" spans="1:32" x14ac:dyDescent="0.2">
      <c r="A108" s="1"/>
      <c r="B108" s="1"/>
      <c r="C108" s="1"/>
      <c r="D108" s="1"/>
      <c r="F108"/>
      <c r="G108"/>
      <c r="H108"/>
      <c r="I108"/>
      <c r="J108"/>
      <c r="K108"/>
      <c r="L108"/>
      <c r="M108"/>
      <c r="N108"/>
      <c r="O108"/>
      <c r="P108" s="1"/>
      <c r="Q108" s="1"/>
      <c r="R108" s="1"/>
      <c r="S108" s="1"/>
      <c r="T108" s="1"/>
      <c r="U108" s="1"/>
      <c r="V108" s="1"/>
      <c r="W108" s="1"/>
      <c r="X108" s="1"/>
      <c r="Y108" s="1"/>
      <c r="Z108" s="1"/>
      <c r="AA108" s="1"/>
      <c r="AB108" s="1"/>
      <c r="AC108" s="1"/>
      <c r="AD108" s="1"/>
      <c r="AE108" s="1"/>
      <c r="AF108" s="1"/>
    </row>
    <row r="109" spans="1:32" x14ac:dyDescent="0.2">
      <c r="A109" s="1"/>
      <c r="B109" s="1"/>
      <c r="C109" s="1"/>
      <c r="D109" s="1"/>
      <c r="F109"/>
      <c r="G109"/>
      <c r="H109"/>
      <c r="I109"/>
      <c r="J109"/>
      <c r="K109"/>
      <c r="L109"/>
      <c r="M109"/>
      <c r="N109"/>
      <c r="O109"/>
      <c r="P109" s="1"/>
      <c r="Q109" s="1"/>
      <c r="R109" s="1"/>
      <c r="S109" s="1"/>
      <c r="T109" s="1"/>
      <c r="U109" s="1"/>
      <c r="V109" s="1"/>
      <c r="W109" s="1"/>
      <c r="X109" s="1"/>
      <c r="Y109" s="1"/>
      <c r="Z109" s="1"/>
      <c r="AA109" s="1"/>
      <c r="AB109" s="1"/>
      <c r="AC109" s="1"/>
      <c r="AD109" s="1"/>
      <c r="AE109" s="1"/>
      <c r="AF109" s="1"/>
    </row>
    <row r="110" spans="1:32" x14ac:dyDescent="0.2">
      <c r="A110" s="1"/>
      <c r="B110" s="1"/>
      <c r="C110" s="1"/>
      <c r="D110" s="1"/>
      <c r="F110"/>
      <c r="G110"/>
      <c r="H110"/>
      <c r="I110"/>
      <c r="J110"/>
      <c r="K110"/>
      <c r="L110"/>
      <c r="M110"/>
      <c r="N110"/>
      <c r="O110"/>
      <c r="P110" s="1"/>
      <c r="Q110" s="1"/>
      <c r="R110" s="1"/>
      <c r="S110" s="1"/>
      <c r="T110" s="1"/>
      <c r="U110" s="1"/>
      <c r="V110" s="1"/>
      <c r="W110" s="1"/>
      <c r="X110" s="1"/>
      <c r="Y110" s="1"/>
      <c r="Z110" s="1"/>
      <c r="AA110" s="1"/>
      <c r="AB110" s="1"/>
      <c r="AC110" s="1"/>
      <c r="AD110" s="1"/>
      <c r="AE110" s="1"/>
      <c r="AF110" s="1"/>
    </row>
    <row r="111" spans="1:32" x14ac:dyDescent="0.2">
      <c r="A111" s="1"/>
      <c r="B111" s="1"/>
      <c r="C111" s="1"/>
      <c r="D111" s="1"/>
      <c r="F111"/>
      <c r="G111"/>
      <c r="H111"/>
      <c r="I111"/>
      <c r="J111"/>
      <c r="K111"/>
      <c r="L111"/>
      <c r="M111"/>
      <c r="N111"/>
      <c r="O111"/>
      <c r="P111" s="1"/>
      <c r="Q111" s="1"/>
      <c r="R111" s="1"/>
      <c r="S111" s="1"/>
      <c r="T111" s="1"/>
      <c r="U111" s="1"/>
      <c r="V111" s="1"/>
      <c r="W111" s="1"/>
      <c r="X111" s="1"/>
      <c r="Y111" s="1"/>
      <c r="Z111" s="1"/>
      <c r="AA111" s="1"/>
      <c r="AB111" s="1"/>
      <c r="AC111" s="1"/>
      <c r="AD111" s="1"/>
      <c r="AE111" s="1"/>
      <c r="AF111" s="1"/>
    </row>
    <row r="112" spans="1:32" x14ac:dyDescent="0.2">
      <c r="F112"/>
      <c r="G112"/>
      <c r="H112"/>
      <c r="I112"/>
      <c r="J112"/>
    </row>
    <row r="113" spans="6:10" x14ac:dyDescent="0.2">
      <c r="F113"/>
      <c r="G113"/>
      <c r="H113"/>
      <c r="I113"/>
      <c r="J113"/>
    </row>
    <row r="114" spans="6:10" x14ac:dyDescent="0.2">
      <c r="F114"/>
      <c r="G114"/>
      <c r="H114"/>
      <c r="I114"/>
      <c r="J114"/>
    </row>
    <row r="115" spans="6:10" x14ac:dyDescent="0.2">
      <c r="F115"/>
      <c r="G115"/>
      <c r="H115"/>
      <c r="I115"/>
      <c r="J115"/>
    </row>
    <row r="116" spans="6:10" x14ac:dyDescent="0.2">
      <c r="F116"/>
      <c r="G116"/>
      <c r="H116"/>
      <c r="I116"/>
      <c r="J116"/>
    </row>
    <row r="117" spans="6:10" x14ac:dyDescent="0.2">
      <c r="F117"/>
      <c r="G117"/>
      <c r="H117"/>
      <c r="I117"/>
      <c r="J117"/>
    </row>
  </sheetData>
  <mergeCells count="8">
    <mergeCell ref="C45:E45"/>
    <mergeCell ref="C8:E8"/>
    <mergeCell ref="C2:G2"/>
    <mergeCell ref="C24:G24"/>
    <mergeCell ref="C30:E30"/>
    <mergeCell ref="C22:E22"/>
    <mergeCell ref="C15:E15"/>
    <mergeCell ref="C37:E37"/>
  </mergeCells>
  <phoneticPr fontId="2" type="noConversion"/>
  <printOptions horizontalCentered="1"/>
  <pageMargins left="0.74803149606299213" right="0.74803149606299213" top="0.98425196850393704" bottom="0.98425196850393704" header="0.51181102362204722" footer="0.51181102362204722"/>
  <pageSetup scale="91" fitToWidth="0" fitToHeight="3" orientation="landscape" r:id="rId2"/>
  <headerFooter alignWithMargins="0">
    <oddHeader>&amp;C&amp;"Arial,Negrita"CUADRO DE ESTIMACIÓN DE ESFUERZO 
SOLUCIONES MÓVILES 4</oddHeader>
    <oddFooter>&amp;L&amp;"Arial,Negrita"&amp;A&amp;C&amp;"Arial,Negrita"&amp;P/&amp;N</oddFooter>
  </headerFooter>
  <rowBreaks count="2" manualBreakCount="2">
    <brk id="9" min="2" max="7" man="1"/>
    <brk id="22" min="2" max="7"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
  <sheetViews>
    <sheetView workbookViewId="0">
      <selection activeCell="D3" sqref="D3:D4"/>
    </sheetView>
  </sheetViews>
  <sheetFormatPr baseColWidth="10" defaultRowHeight="12.75" x14ac:dyDescent="0.2"/>
  <cols>
    <col min="1" max="1" width="21.28515625" customWidth="1"/>
    <col min="2" max="2" width="23.5703125" customWidth="1"/>
    <col min="3" max="3" width="21.7109375" customWidth="1"/>
    <col min="4" max="4" width="24.42578125" customWidth="1"/>
  </cols>
  <sheetData>
    <row r="1" spans="1:4" x14ac:dyDescent="0.2">
      <c r="A1" s="499" t="s">
        <v>207</v>
      </c>
      <c r="B1" s="501"/>
      <c r="C1" s="502"/>
      <c r="D1" s="505" t="s">
        <v>113</v>
      </c>
    </row>
    <row r="2" spans="1:4" ht="13.5" thickBot="1" x14ac:dyDescent="0.25">
      <c r="A2" s="500"/>
      <c r="B2" s="503" t="s">
        <v>208</v>
      </c>
      <c r="C2" s="504"/>
      <c r="D2" s="506"/>
    </row>
    <row r="3" spans="1:4" ht="16.5" customHeight="1" x14ac:dyDescent="0.2">
      <c r="A3" s="491" t="s">
        <v>210</v>
      </c>
      <c r="B3" s="497" t="s">
        <v>211</v>
      </c>
      <c r="C3" s="498"/>
      <c r="D3" s="509">
        <v>185956</v>
      </c>
    </row>
    <row r="4" spans="1:4" ht="24" customHeight="1" thickBot="1" x14ac:dyDescent="0.25">
      <c r="A4" s="492"/>
      <c r="B4" s="507" t="s">
        <v>212</v>
      </c>
      <c r="C4" s="508"/>
      <c r="D4" s="510"/>
    </row>
    <row r="5" spans="1:4" ht="13.5" thickBot="1" x14ac:dyDescent="0.25">
      <c r="A5" s="493"/>
      <c r="B5" s="489" t="s">
        <v>405</v>
      </c>
      <c r="C5" s="490"/>
      <c r="D5" s="294">
        <v>244399</v>
      </c>
    </row>
    <row r="6" spans="1:4" ht="24.75" thickBot="1" x14ac:dyDescent="0.25">
      <c r="A6" s="494"/>
      <c r="B6" s="491" t="s">
        <v>372</v>
      </c>
      <c r="C6" s="301" t="s">
        <v>428</v>
      </c>
      <c r="D6" s="296">
        <v>1000000</v>
      </c>
    </row>
    <row r="7" spans="1:4" ht="24.75" thickBot="1" x14ac:dyDescent="0.25">
      <c r="A7" s="495"/>
      <c r="B7" s="492"/>
      <c r="C7" s="301" t="s">
        <v>429</v>
      </c>
      <c r="D7" s="296">
        <v>2000000</v>
      </c>
    </row>
    <row r="8" spans="1:4" ht="24.75" thickBot="1" x14ac:dyDescent="0.25">
      <c r="A8" s="495"/>
      <c r="B8" s="492"/>
      <c r="C8" s="301" t="s">
        <v>430</v>
      </c>
      <c r="D8" s="296">
        <v>2000000</v>
      </c>
    </row>
    <row r="9" spans="1:4" ht="36.75" thickBot="1" x14ac:dyDescent="0.25">
      <c r="A9" s="495"/>
      <c r="B9" s="493"/>
      <c r="C9" s="301" t="s">
        <v>431</v>
      </c>
      <c r="D9" s="296">
        <v>1000000</v>
      </c>
    </row>
    <row r="10" spans="1:4" ht="25.5" customHeight="1" thickBot="1" x14ac:dyDescent="0.25">
      <c r="A10" s="495"/>
      <c r="B10" s="489" t="s">
        <v>371</v>
      </c>
      <c r="C10" s="490"/>
      <c r="D10" s="295">
        <v>690698</v>
      </c>
    </row>
    <row r="11" spans="1:4" ht="13.5" thickBot="1" x14ac:dyDescent="0.25">
      <c r="A11" s="495"/>
      <c r="B11" s="489" t="s">
        <v>373</v>
      </c>
      <c r="C11" s="490"/>
      <c r="D11" s="296">
        <v>690698</v>
      </c>
    </row>
    <row r="12" spans="1:4" ht="13.5" thickBot="1" x14ac:dyDescent="0.25">
      <c r="A12" s="495"/>
      <c r="B12" s="489" t="s">
        <v>432</v>
      </c>
      <c r="C12" s="490"/>
      <c r="D12" s="296">
        <v>2000000</v>
      </c>
    </row>
    <row r="13" spans="1:4" ht="13.5" thickBot="1" x14ac:dyDescent="0.25">
      <c r="A13" s="495"/>
      <c r="B13" s="489" t="s">
        <v>374</v>
      </c>
      <c r="C13" s="490"/>
      <c r="D13" s="296">
        <v>2158430</v>
      </c>
    </row>
    <row r="14" spans="1:4" ht="13.5" thickBot="1" x14ac:dyDescent="0.25">
      <c r="A14" s="495"/>
      <c r="B14" s="497" t="s">
        <v>375</v>
      </c>
      <c r="C14" s="498"/>
      <c r="D14" s="296">
        <v>1187460</v>
      </c>
    </row>
    <row r="15" spans="1:4" ht="13.5" thickBot="1" x14ac:dyDescent="0.25">
      <c r="A15" s="495"/>
      <c r="B15" s="489" t="s">
        <v>433</v>
      </c>
      <c r="C15" s="490"/>
      <c r="D15" s="296">
        <v>2000000</v>
      </c>
    </row>
    <row r="16" spans="1:4" ht="13.5" thickBot="1" x14ac:dyDescent="0.25">
      <c r="A16" s="495"/>
      <c r="B16" s="489" t="s">
        <v>434</v>
      </c>
      <c r="C16" s="490"/>
      <c r="D16" s="296">
        <v>1892780</v>
      </c>
    </row>
    <row r="17" spans="1:4" ht="13.5" thickBot="1" x14ac:dyDescent="0.25">
      <c r="A17" s="495"/>
      <c r="B17" s="489" t="s">
        <v>435</v>
      </c>
      <c r="C17" s="490"/>
      <c r="D17" s="296">
        <v>500000</v>
      </c>
    </row>
    <row r="18" spans="1:4" ht="13.5" thickBot="1" x14ac:dyDescent="0.25">
      <c r="A18" s="496"/>
      <c r="B18" s="489" t="s">
        <v>376</v>
      </c>
      <c r="C18" s="490"/>
      <c r="D18" s="297">
        <v>1000000</v>
      </c>
    </row>
    <row r="19" spans="1:4" ht="13.5" thickBot="1" x14ac:dyDescent="0.25">
      <c r="A19" s="491" t="s">
        <v>377</v>
      </c>
      <c r="B19" s="489" t="s">
        <v>385</v>
      </c>
      <c r="C19" s="490"/>
      <c r="D19" s="296">
        <v>10912232.85</v>
      </c>
    </row>
    <row r="20" spans="1:4" ht="13.5" thickBot="1" x14ac:dyDescent="0.25">
      <c r="A20" s="492"/>
      <c r="B20" s="489" t="s">
        <v>380</v>
      </c>
      <c r="C20" s="490"/>
      <c r="D20" s="298">
        <v>2000000</v>
      </c>
    </row>
    <row r="21" spans="1:4" ht="13.5" thickBot="1" x14ac:dyDescent="0.25">
      <c r="A21" s="492"/>
      <c r="B21" s="489" t="s">
        <v>378</v>
      </c>
      <c r="C21" s="490"/>
      <c r="D21" s="298">
        <v>1220000</v>
      </c>
    </row>
    <row r="22" spans="1:4" ht="13.5" thickBot="1" x14ac:dyDescent="0.25">
      <c r="A22" s="492"/>
      <c r="B22" s="489" t="s">
        <v>379</v>
      </c>
      <c r="C22" s="490"/>
      <c r="D22" s="298">
        <v>2000000</v>
      </c>
    </row>
    <row r="23" spans="1:4" ht="13.5" thickBot="1" x14ac:dyDescent="0.25">
      <c r="A23" s="492"/>
      <c r="B23" s="489" t="s">
        <v>436</v>
      </c>
      <c r="C23" s="490"/>
      <c r="D23" s="298">
        <v>1220000</v>
      </c>
    </row>
    <row r="24" spans="1:4" ht="13.5" thickBot="1" x14ac:dyDescent="0.25">
      <c r="A24" s="492"/>
      <c r="B24" s="489" t="s">
        <v>391</v>
      </c>
      <c r="C24" s="490"/>
      <c r="D24" s="298">
        <v>1220000</v>
      </c>
    </row>
    <row r="25" spans="1:4" ht="13.5" thickBot="1" x14ac:dyDescent="0.25">
      <c r="A25" s="492"/>
      <c r="B25" s="497" t="s">
        <v>392</v>
      </c>
      <c r="C25" s="498"/>
      <c r="D25" s="298">
        <v>1220000</v>
      </c>
    </row>
    <row r="26" spans="1:4" ht="13.5" thickBot="1" x14ac:dyDescent="0.25">
      <c r="A26" s="492"/>
      <c r="B26" s="489" t="s">
        <v>215</v>
      </c>
      <c r="C26" s="490"/>
      <c r="D26" s="296">
        <v>244399</v>
      </c>
    </row>
    <row r="27" spans="1:4" ht="13.5" thickBot="1" x14ac:dyDescent="0.25">
      <c r="A27" s="492"/>
      <c r="B27" s="489" t="s">
        <v>388</v>
      </c>
      <c r="C27" s="490"/>
      <c r="D27" s="298">
        <v>1220000</v>
      </c>
    </row>
    <row r="28" spans="1:4" ht="13.5" thickBot="1" x14ac:dyDescent="0.25">
      <c r="A28" s="492"/>
      <c r="B28" s="489" t="s">
        <v>393</v>
      </c>
      <c r="C28" s="490"/>
      <c r="D28" s="298">
        <v>1220000</v>
      </c>
    </row>
    <row r="29" spans="1:4" ht="13.5" thickBot="1" x14ac:dyDescent="0.25">
      <c r="A29" s="492"/>
      <c r="B29" s="489" t="s">
        <v>216</v>
      </c>
      <c r="C29" s="490"/>
      <c r="D29" s="298">
        <v>1220000</v>
      </c>
    </row>
    <row r="30" spans="1:4" ht="13.5" thickBot="1" x14ac:dyDescent="0.25">
      <c r="A30" s="492"/>
      <c r="B30" s="489" t="s">
        <v>387</v>
      </c>
      <c r="C30" s="490"/>
      <c r="D30" s="298">
        <v>1220000</v>
      </c>
    </row>
    <row r="31" spans="1:4" ht="13.5" thickBot="1" x14ac:dyDescent="0.25">
      <c r="A31" s="492"/>
      <c r="B31" s="489" t="s">
        <v>394</v>
      </c>
      <c r="C31" s="490"/>
      <c r="D31" s="296">
        <v>244399</v>
      </c>
    </row>
    <row r="32" spans="1:4" ht="13.5" thickBot="1" x14ac:dyDescent="0.25">
      <c r="A32" s="492"/>
      <c r="B32" s="489" t="s">
        <v>395</v>
      </c>
      <c r="C32" s="490"/>
      <c r="D32" s="296">
        <v>244399</v>
      </c>
    </row>
    <row r="33" spans="1:4" ht="13.5" thickBot="1" x14ac:dyDescent="0.25">
      <c r="A33" s="492"/>
      <c r="B33" s="489" t="s">
        <v>381</v>
      </c>
      <c r="C33" s="490"/>
      <c r="D33" s="298">
        <v>2000000</v>
      </c>
    </row>
    <row r="34" spans="1:4" ht="13.5" thickBot="1" x14ac:dyDescent="0.25">
      <c r="A34" s="492"/>
      <c r="B34" s="489" t="s">
        <v>389</v>
      </c>
      <c r="C34" s="490"/>
      <c r="D34" s="296">
        <v>244399</v>
      </c>
    </row>
    <row r="35" spans="1:4" ht="13.5" thickBot="1" x14ac:dyDescent="0.25">
      <c r="A35" s="492"/>
      <c r="B35" s="497" t="s">
        <v>396</v>
      </c>
      <c r="C35" s="498"/>
      <c r="D35" s="296">
        <v>244399</v>
      </c>
    </row>
    <row r="36" spans="1:4" ht="13.5" thickBot="1" x14ac:dyDescent="0.25">
      <c r="A36" s="492"/>
      <c r="B36" s="489" t="s">
        <v>386</v>
      </c>
      <c r="C36" s="490"/>
      <c r="D36" s="296">
        <v>244399</v>
      </c>
    </row>
    <row r="37" spans="1:4" ht="13.5" thickBot="1" x14ac:dyDescent="0.25">
      <c r="A37" s="492"/>
      <c r="B37" s="489" t="s">
        <v>397</v>
      </c>
      <c r="C37" s="490"/>
      <c r="D37" s="296">
        <v>244399</v>
      </c>
    </row>
    <row r="38" spans="1:4" ht="13.5" thickBot="1" x14ac:dyDescent="0.25">
      <c r="A38" s="492"/>
      <c r="B38" s="489" t="s">
        <v>384</v>
      </c>
      <c r="C38" s="490"/>
      <c r="D38" s="298">
        <v>1220000</v>
      </c>
    </row>
    <row r="39" spans="1:4" ht="13.5" thickBot="1" x14ac:dyDescent="0.25">
      <c r="A39" s="492"/>
      <c r="B39" s="489" t="s">
        <v>383</v>
      </c>
      <c r="C39" s="490"/>
      <c r="D39" s="298">
        <v>1220000</v>
      </c>
    </row>
    <row r="40" spans="1:4" ht="13.5" thickBot="1" x14ac:dyDescent="0.25">
      <c r="A40" s="492"/>
      <c r="B40" s="489" t="s">
        <v>398</v>
      </c>
      <c r="C40" s="490"/>
      <c r="D40" s="298">
        <v>1220000</v>
      </c>
    </row>
    <row r="41" spans="1:4" ht="13.5" thickBot="1" x14ac:dyDescent="0.25">
      <c r="A41" s="492"/>
      <c r="B41" s="489" t="s">
        <v>382</v>
      </c>
      <c r="C41" s="490"/>
      <c r="D41" s="298">
        <v>1220000</v>
      </c>
    </row>
    <row r="42" spans="1:4" ht="13.5" thickBot="1" x14ac:dyDescent="0.25">
      <c r="A42" s="492"/>
      <c r="B42" s="489" t="s">
        <v>399</v>
      </c>
      <c r="C42" s="490"/>
      <c r="D42" s="298">
        <v>1220000</v>
      </c>
    </row>
    <row r="43" spans="1:4" ht="13.5" thickBot="1" x14ac:dyDescent="0.25">
      <c r="A43" s="493"/>
      <c r="B43" s="489" t="s">
        <v>390</v>
      </c>
      <c r="C43" s="490"/>
      <c r="D43" s="298">
        <v>1220000</v>
      </c>
    </row>
    <row r="44" spans="1:4" ht="13.5" thickBot="1" x14ac:dyDescent="0.25">
      <c r="A44" s="491" t="s">
        <v>217</v>
      </c>
      <c r="B44" s="489" t="s">
        <v>218</v>
      </c>
      <c r="C44" s="490"/>
      <c r="D44" s="298">
        <v>1220000</v>
      </c>
    </row>
    <row r="45" spans="1:4" ht="13.5" thickBot="1" x14ac:dyDescent="0.25">
      <c r="A45" s="492"/>
      <c r="B45" s="489" t="s">
        <v>401</v>
      </c>
      <c r="C45" s="490"/>
      <c r="D45" s="298">
        <v>1220000</v>
      </c>
    </row>
    <row r="46" spans="1:4" ht="13.5" thickBot="1" x14ac:dyDescent="0.25">
      <c r="A46" s="492"/>
      <c r="B46" s="489" t="s">
        <v>219</v>
      </c>
      <c r="C46" s="490"/>
      <c r="D46" s="298">
        <v>1220000</v>
      </c>
    </row>
    <row r="47" spans="1:4" ht="13.5" thickBot="1" x14ac:dyDescent="0.25">
      <c r="A47" s="492"/>
      <c r="B47" s="489" t="s">
        <v>220</v>
      </c>
      <c r="C47" s="490"/>
      <c r="D47" s="298">
        <v>1220000</v>
      </c>
    </row>
    <row r="48" spans="1:4" ht="13.5" thickBot="1" x14ac:dyDescent="0.25">
      <c r="A48" s="492"/>
      <c r="B48" s="489" t="s">
        <v>387</v>
      </c>
      <c r="C48" s="490"/>
      <c r="D48" s="298">
        <v>1220000</v>
      </c>
    </row>
    <row r="49" spans="1:4" ht="13.5" thickBot="1" x14ac:dyDescent="0.25">
      <c r="A49" s="492"/>
      <c r="B49" s="489" t="s">
        <v>394</v>
      </c>
      <c r="C49" s="490"/>
      <c r="D49" s="299">
        <v>244399</v>
      </c>
    </row>
    <row r="50" spans="1:4" ht="13.5" thickBot="1" x14ac:dyDescent="0.25">
      <c r="A50" s="492"/>
      <c r="B50" s="489" t="s">
        <v>402</v>
      </c>
      <c r="C50" s="490"/>
      <c r="D50" s="299">
        <v>244399</v>
      </c>
    </row>
    <row r="51" spans="1:4" ht="13.5" thickBot="1" x14ac:dyDescent="0.25">
      <c r="A51" s="492"/>
      <c r="B51" s="489" t="s">
        <v>403</v>
      </c>
      <c r="C51" s="490"/>
      <c r="D51" s="299">
        <v>244399</v>
      </c>
    </row>
    <row r="52" spans="1:4" ht="13.5" thickBot="1" x14ac:dyDescent="0.25">
      <c r="A52" s="492"/>
      <c r="B52" s="489" t="s">
        <v>400</v>
      </c>
      <c r="C52" s="490"/>
      <c r="D52" s="295">
        <v>1220000</v>
      </c>
    </row>
    <row r="53" spans="1:4" ht="13.5" thickBot="1" x14ac:dyDescent="0.25">
      <c r="A53" s="492"/>
      <c r="B53" s="489" t="s">
        <v>383</v>
      </c>
      <c r="C53" s="490"/>
      <c r="D53" s="295">
        <v>1220000</v>
      </c>
    </row>
    <row r="54" spans="1:4" ht="13.5" thickBot="1" x14ac:dyDescent="0.25">
      <c r="A54" s="492"/>
      <c r="B54" s="489" t="s">
        <v>398</v>
      </c>
      <c r="C54" s="490"/>
      <c r="D54" s="295">
        <v>1220000</v>
      </c>
    </row>
    <row r="55" spans="1:4" ht="13.5" thickBot="1" x14ac:dyDescent="0.25">
      <c r="A55" s="492"/>
      <c r="B55" s="489" t="s">
        <v>382</v>
      </c>
      <c r="C55" s="490"/>
      <c r="D55" s="295">
        <v>1220000</v>
      </c>
    </row>
    <row r="56" spans="1:4" ht="13.5" thickBot="1" x14ac:dyDescent="0.25">
      <c r="A56" s="492"/>
      <c r="B56" s="489" t="s">
        <v>399</v>
      </c>
      <c r="C56" s="490"/>
      <c r="D56" s="295">
        <v>1220000</v>
      </c>
    </row>
    <row r="57" spans="1:4" ht="13.5" thickBot="1" x14ac:dyDescent="0.25">
      <c r="A57" s="493"/>
      <c r="B57" s="489" t="s">
        <v>221</v>
      </c>
      <c r="C57" s="490"/>
      <c r="D57" s="299">
        <v>244399</v>
      </c>
    </row>
    <row r="58" spans="1:4" ht="13.5" thickBot="1" x14ac:dyDescent="0.25">
      <c r="A58" s="491" t="s">
        <v>153</v>
      </c>
      <c r="B58" s="489" t="s">
        <v>222</v>
      </c>
      <c r="C58" s="490"/>
      <c r="D58" s="295">
        <v>1000000</v>
      </c>
    </row>
    <row r="59" spans="1:4" ht="13.5" thickBot="1" x14ac:dyDescent="0.25">
      <c r="A59" s="492"/>
      <c r="B59" s="489" t="s">
        <v>223</v>
      </c>
      <c r="C59" s="490"/>
      <c r="D59" s="295">
        <v>1000000</v>
      </c>
    </row>
    <row r="60" spans="1:4" ht="13.5" thickBot="1" x14ac:dyDescent="0.25">
      <c r="A60" s="492"/>
      <c r="B60" s="489" t="s">
        <v>224</v>
      </c>
      <c r="C60" s="490"/>
      <c r="D60" s="295">
        <v>1000000</v>
      </c>
    </row>
    <row r="61" spans="1:4" ht="13.5" thickBot="1" x14ac:dyDescent="0.25">
      <c r="A61" s="492"/>
      <c r="B61" s="489" t="s">
        <v>404</v>
      </c>
      <c r="C61" s="490"/>
      <c r="D61" s="295">
        <v>1000000</v>
      </c>
    </row>
    <row r="62" spans="1:4" ht="13.5" thickBot="1" x14ac:dyDescent="0.25">
      <c r="A62" s="492"/>
      <c r="B62" s="489" t="s">
        <v>225</v>
      </c>
      <c r="C62" s="490"/>
      <c r="D62" s="295">
        <v>1000000</v>
      </c>
    </row>
    <row r="63" spans="1:4" ht="13.5" thickBot="1" x14ac:dyDescent="0.25">
      <c r="A63" s="492"/>
      <c r="B63" s="489" t="s">
        <v>226</v>
      </c>
      <c r="C63" s="490"/>
      <c r="D63" s="295">
        <v>1000000</v>
      </c>
    </row>
    <row r="64" spans="1:4" ht="13.5" thickBot="1" x14ac:dyDescent="0.25">
      <c r="A64" s="493"/>
      <c r="B64" s="489" t="s">
        <v>227</v>
      </c>
      <c r="C64" s="490"/>
      <c r="D64" s="295">
        <f>1000000-345625</f>
        <v>654375</v>
      </c>
    </row>
  </sheetData>
  <mergeCells count="69">
    <mergeCell ref="A1:A2"/>
    <mergeCell ref="B1:C1"/>
    <mergeCell ref="B2:C2"/>
    <mergeCell ref="D1:D2"/>
    <mergeCell ref="B3:C3"/>
    <mergeCell ref="A3:A5"/>
    <mergeCell ref="B4:C4"/>
    <mergeCell ref="D3:D4"/>
    <mergeCell ref="B5:C5"/>
    <mergeCell ref="B25:C25"/>
    <mergeCell ref="B16:C16"/>
    <mergeCell ref="B17:C17"/>
    <mergeCell ref="B18:C18"/>
    <mergeCell ref="B19:C19"/>
    <mergeCell ref="B20:C20"/>
    <mergeCell ref="B21:C21"/>
    <mergeCell ref="B22:C22"/>
    <mergeCell ref="B23:C23"/>
    <mergeCell ref="B24:C24"/>
    <mergeCell ref="B43:C43"/>
    <mergeCell ref="B44:C44"/>
    <mergeCell ref="B45:C45"/>
    <mergeCell ref="A19:A43"/>
    <mergeCell ref="B33:C33"/>
    <mergeCell ref="B34:C34"/>
    <mergeCell ref="B36:C36"/>
    <mergeCell ref="B37:C37"/>
    <mergeCell ref="B35:C35"/>
    <mergeCell ref="B31:C31"/>
    <mergeCell ref="B32:C32"/>
    <mergeCell ref="B26:C26"/>
    <mergeCell ref="B27:C27"/>
    <mergeCell ref="B28:C28"/>
    <mergeCell ref="B29:C29"/>
    <mergeCell ref="B30:C30"/>
    <mergeCell ref="B38:C38"/>
    <mergeCell ref="B39:C39"/>
    <mergeCell ref="B40:C40"/>
    <mergeCell ref="B41:C41"/>
    <mergeCell ref="B42:C42"/>
    <mergeCell ref="A6:A18"/>
    <mergeCell ref="B6:B9"/>
    <mergeCell ref="B14:C14"/>
    <mergeCell ref="B11:C11"/>
    <mergeCell ref="B15:C15"/>
    <mergeCell ref="B12:C12"/>
    <mergeCell ref="B13:C13"/>
    <mergeCell ref="B10:C10"/>
    <mergeCell ref="B50:C50"/>
    <mergeCell ref="B51:C51"/>
    <mergeCell ref="B52:C52"/>
    <mergeCell ref="B53:C53"/>
    <mergeCell ref="B54:C54"/>
    <mergeCell ref="B64:C64"/>
    <mergeCell ref="B55:C55"/>
    <mergeCell ref="B56:C56"/>
    <mergeCell ref="B57:C57"/>
    <mergeCell ref="A58:A64"/>
    <mergeCell ref="B58:C58"/>
    <mergeCell ref="B59:C59"/>
    <mergeCell ref="B60:C60"/>
    <mergeCell ref="B61:C61"/>
    <mergeCell ref="B62:C62"/>
    <mergeCell ref="B63:C63"/>
    <mergeCell ref="A44:A57"/>
    <mergeCell ref="B46:C46"/>
    <mergeCell ref="B47:C47"/>
    <mergeCell ref="B48:C48"/>
    <mergeCell ref="B49:C4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view="pageBreakPreview" topLeftCell="A25" zoomScale="60" zoomScaleNormal="100" workbookViewId="0">
      <selection activeCell="J22" sqref="J22"/>
    </sheetView>
  </sheetViews>
  <sheetFormatPr baseColWidth="10" defaultRowHeight="12.75" x14ac:dyDescent="0.2"/>
  <sheetData>
    <row r="1" spans="1:1" x14ac:dyDescent="0.2">
      <c r="A1" s="135" t="s">
        <v>461</v>
      </c>
    </row>
  </sheetData>
  <printOptions horizontalCentered="1"/>
  <pageMargins left="0.74803149606299213" right="0.74803149606299213" top="0.98425196850393704" bottom="0.98425196850393704" header="0.51181102362204722" footer="0.51181102362204722"/>
  <pageSetup scale="56" orientation="landscape" r:id="rId1"/>
  <headerFooter alignWithMargins="0">
    <oddHeader>&amp;C&amp;"Arial,Negrita"CUADRO DE ESTIMACIÓN DE ESFUERZO 
SOLUCIONES MÓVILES 4</oddHeader>
    <oddFooter>&amp;L&amp;"Arial,Negrita"&amp;A&amp;C&amp;"Arial,Negrita"&amp;P/&amp;N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75"/>
  <sheetViews>
    <sheetView tabSelected="1" view="pageBreakPreview" zoomScale="60" zoomScaleNormal="90" workbookViewId="0">
      <selection activeCell="J22" sqref="J22"/>
    </sheetView>
  </sheetViews>
  <sheetFormatPr baseColWidth="10" defaultRowHeight="12.75" x14ac:dyDescent="0.2"/>
  <cols>
    <col min="1" max="1" width="25" customWidth="1"/>
    <col min="2" max="2" width="12.85546875" customWidth="1"/>
    <col min="3" max="3" width="13.28515625" customWidth="1"/>
    <col min="4" max="4" width="18.5703125" customWidth="1"/>
    <col min="5" max="5" width="11.140625" bestFit="1" customWidth="1"/>
    <col min="6" max="6" width="29" customWidth="1"/>
    <col min="7" max="7" width="21.5703125" customWidth="1"/>
    <col min="8" max="8" width="24" customWidth="1"/>
    <col min="9" max="9" width="22.7109375" customWidth="1"/>
    <col min="10" max="10" width="3.5703125" customWidth="1"/>
    <col min="11" max="11" width="29" style="182" customWidth="1"/>
    <col min="12" max="12" width="21.5703125" style="182" customWidth="1"/>
    <col min="13" max="13" width="24" style="182" customWidth="1"/>
    <col min="14" max="14" width="22.7109375" style="182" customWidth="1"/>
    <col min="15" max="15" width="4.140625" customWidth="1"/>
    <col min="16" max="16" width="29" customWidth="1"/>
    <col min="17" max="17" width="21.5703125" customWidth="1"/>
    <col min="18" max="18" width="24" customWidth="1"/>
    <col min="19" max="19" width="22.7109375" customWidth="1"/>
    <col min="20" max="20" width="12.28515625" bestFit="1" customWidth="1"/>
    <col min="21" max="21" width="26.28515625" customWidth="1"/>
    <col min="23" max="23" width="29.7109375" customWidth="1"/>
    <col min="24" max="24" width="21.28515625" customWidth="1"/>
  </cols>
  <sheetData>
    <row r="1" spans="1:25" ht="26.25" customHeight="1" x14ac:dyDescent="0.2">
      <c r="A1" s="603" t="s">
        <v>500</v>
      </c>
      <c r="B1" s="603"/>
      <c r="C1" s="603"/>
      <c r="D1" s="603"/>
      <c r="F1" s="571" t="s">
        <v>359</v>
      </c>
      <c r="G1" s="572"/>
      <c r="H1" s="387">
        <f>costos!C2</f>
        <v>63858456</v>
      </c>
      <c r="I1" s="599">
        <f>SUM(H2:H4)</f>
        <v>63858456</v>
      </c>
      <c r="K1" s="571" t="s">
        <v>493</v>
      </c>
      <c r="L1" s="572"/>
      <c r="M1" s="387">
        <f>costos!D2</f>
        <v>124810822</v>
      </c>
      <c r="N1"/>
      <c r="P1" s="571" t="s">
        <v>406</v>
      </c>
      <c r="Q1" s="572"/>
      <c r="R1" s="176">
        <f>costos!B2</f>
        <v>88789635</v>
      </c>
      <c r="U1" s="571" t="s">
        <v>406</v>
      </c>
      <c r="V1" s="572"/>
      <c r="W1" s="387">
        <f>+costos!E2</f>
        <v>277458913</v>
      </c>
      <c r="X1" s="596">
        <f>+W1-R1-M1-H1</f>
        <v>0</v>
      </c>
      <c r="Y1" s="182"/>
    </row>
    <row r="2" spans="1:25" ht="24" x14ac:dyDescent="0.2">
      <c r="F2" s="177" t="s">
        <v>205</v>
      </c>
      <c r="G2" s="178">
        <v>0.2</v>
      </c>
      <c r="H2" s="386">
        <f>ROUND($H$1*G2,0)</f>
        <v>12771691</v>
      </c>
      <c r="I2" s="182"/>
      <c r="K2" s="177" t="s">
        <v>205</v>
      </c>
      <c r="L2" s="178">
        <v>0.2</v>
      </c>
      <c r="M2" s="386">
        <f>ROUND($M$1*L2,0)</f>
        <v>24962164</v>
      </c>
      <c r="N2"/>
      <c r="P2" s="177" t="s">
        <v>205</v>
      </c>
      <c r="Q2" s="178">
        <v>0.2</v>
      </c>
      <c r="R2" s="179">
        <f>ROUND($R$1*Q2,0)</f>
        <v>17757927</v>
      </c>
      <c r="U2" s="177" t="s">
        <v>205</v>
      </c>
      <c r="V2" s="178">
        <v>0.2</v>
      </c>
      <c r="W2" s="386">
        <f>ROUND($W$1*V2,0)</f>
        <v>55491783</v>
      </c>
      <c r="X2" s="596">
        <f>+W2-R2-M2-H2</f>
        <v>1</v>
      </c>
      <c r="Y2" s="182"/>
    </row>
    <row r="3" spans="1:25" x14ac:dyDescent="0.2">
      <c r="F3" s="177" t="s">
        <v>206</v>
      </c>
      <c r="G3" s="289">
        <f>100%-G4-G2</f>
        <v>0.65366515908245582</v>
      </c>
      <c r="H3" s="386">
        <f>ROUND($H$1*G3,0)</f>
        <v>41742048</v>
      </c>
      <c r="I3" s="600"/>
      <c r="J3" s="288"/>
      <c r="K3" s="177" t="s">
        <v>206</v>
      </c>
      <c r="L3" s="289">
        <f>100%-L4-L2</f>
        <v>0.72512895235959585</v>
      </c>
      <c r="M3" s="386">
        <f>ROUND($M$1*L3,0)</f>
        <v>90503941</v>
      </c>
      <c r="N3" s="600"/>
      <c r="P3" s="177" t="s">
        <v>206</v>
      </c>
      <c r="Q3" s="289">
        <f>100%-Q4-Q2</f>
        <v>0.69475441587297881</v>
      </c>
      <c r="R3" s="179">
        <f>ROUND($R$1*Q3,0)</f>
        <v>61686991</v>
      </c>
      <c r="S3" s="287"/>
      <c r="U3" s="177" t="s">
        <v>206</v>
      </c>
      <c r="V3" s="289">
        <f>100%-V4-V2</f>
        <v>0.69896107608552471</v>
      </c>
      <c r="W3" s="386">
        <f>+W1-W2-W4</f>
        <v>193932980</v>
      </c>
      <c r="X3" s="596">
        <f>+W3-R3-M3-H3</f>
        <v>0</v>
      </c>
      <c r="Y3" s="597">
        <f>+X3/W1</f>
        <v>0</v>
      </c>
    </row>
    <row r="4" spans="1:25" ht="24" x14ac:dyDescent="0.2">
      <c r="F4" s="286" t="s">
        <v>369</v>
      </c>
      <c r="G4" s="289">
        <f>H4/H1</f>
        <v>0.14633484091754426</v>
      </c>
      <c r="H4" s="386">
        <f>ROUND((D14/3),0)</f>
        <v>9344717</v>
      </c>
      <c r="I4" s="599">
        <f>ROUND(H4,0)</f>
        <v>9344717</v>
      </c>
      <c r="K4" s="286" t="s">
        <v>369</v>
      </c>
      <c r="L4" s="289">
        <f>M4/M1</f>
        <v>7.4871047640404129E-2</v>
      </c>
      <c r="M4" s="386">
        <f>H4</f>
        <v>9344717</v>
      </c>
      <c r="N4" s="599">
        <f>ROUND(M4,0)</f>
        <v>9344717</v>
      </c>
      <c r="P4" s="286" t="s">
        <v>369</v>
      </c>
      <c r="Q4" s="289">
        <f>R4/R1</f>
        <v>0.10524558412702113</v>
      </c>
      <c r="R4" s="179">
        <f>ROUND((D14/3),0)</f>
        <v>9344717</v>
      </c>
      <c r="U4" s="286" t="s">
        <v>369</v>
      </c>
      <c r="V4" s="289">
        <f>W4/W1</f>
        <v>0.10103892391447522</v>
      </c>
      <c r="W4" s="386">
        <f>+D14</f>
        <v>28034150</v>
      </c>
      <c r="X4" s="596">
        <f>+W4-R4-M4-H4</f>
        <v>-1</v>
      </c>
      <c r="Y4" s="597">
        <f>+X4/W1</f>
        <v>-3.6041372367086294E-9</v>
      </c>
    </row>
    <row r="5" spans="1:25" x14ac:dyDescent="0.2">
      <c r="G5" s="388"/>
      <c r="H5" s="252"/>
      <c r="K5"/>
      <c r="L5" s="601">
        <f>ROUND(+N4/M1,3)</f>
        <v>7.4999999999999997E-2</v>
      </c>
      <c r="M5" s="602">
        <f>+N4/M1</f>
        <v>7.4871047640404129E-2</v>
      </c>
      <c r="Q5" s="290"/>
      <c r="R5" s="252"/>
      <c r="X5" s="182"/>
      <c r="Y5" s="182"/>
    </row>
    <row r="6" spans="1:25" ht="12.75" customHeight="1" thickBot="1" x14ac:dyDescent="0.25">
      <c r="K6"/>
      <c r="L6"/>
      <c r="M6"/>
      <c r="N6"/>
      <c r="X6" s="596"/>
      <c r="Y6" s="182"/>
    </row>
    <row r="7" spans="1:25" ht="13.5" thickBot="1" x14ac:dyDescent="0.25">
      <c r="A7" s="484" t="s">
        <v>361</v>
      </c>
      <c r="B7" s="485"/>
      <c r="C7" s="485"/>
      <c r="D7" s="486"/>
      <c r="F7" s="484" t="s">
        <v>360</v>
      </c>
      <c r="G7" s="485"/>
      <c r="H7" s="485"/>
      <c r="I7" s="486"/>
      <c r="K7" s="484" t="s">
        <v>494</v>
      </c>
      <c r="L7" s="485"/>
      <c r="M7" s="485"/>
      <c r="N7" s="486"/>
      <c r="P7" s="484" t="s">
        <v>437</v>
      </c>
      <c r="Q7" s="485"/>
      <c r="R7" s="485"/>
      <c r="S7" s="486"/>
    </row>
    <row r="8" spans="1:25" ht="13.5" thickBot="1" x14ac:dyDescent="0.25">
      <c r="A8" s="285" t="s">
        <v>207</v>
      </c>
      <c r="B8" s="501" t="s">
        <v>208</v>
      </c>
      <c r="C8" s="502"/>
      <c r="D8" s="270" t="s">
        <v>209</v>
      </c>
      <c r="F8" s="180" t="s">
        <v>207</v>
      </c>
      <c r="G8" s="501" t="s">
        <v>208</v>
      </c>
      <c r="H8" s="570"/>
      <c r="I8" s="302" t="s">
        <v>209</v>
      </c>
      <c r="K8" s="180" t="s">
        <v>207</v>
      </c>
      <c r="L8" s="582" t="s">
        <v>208</v>
      </c>
      <c r="M8" s="583"/>
      <c r="N8" s="267" t="s">
        <v>209</v>
      </c>
      <c r="P8" s="180" t="s">
        <v>207</v>
      </c>
      <c r="Q8" s="501" t="s">
        <v>208</v>
      </c>
      <c r="R8" s="570"/>
      <c r="S8" s="302" t="s">
        <v>209</v>
      </c>
    </row>
    <row r="9" spans="1:25" ht="23.25" customHeight="1" x14ac:dyDescent="0.2">
      <c r="A9" s="560" t="s">
        <v>213</v>
      </c>
      <c r="B9" s="562" t="s">
        <v>214</v>
      </c>
      <c r="C9" s="563"/>
      <c r="D9" s="566">
        <v>722570</v>
      </c>
      <c r="F9" s="573" t="s">
        <v>362</v>
      </c>
      <c r="G9" s="575" t="s">
        <v>370</v>
      </c>
      <c r="H9" s="576"/>
      <c r="I9" s="577">
        <v>244399</v>
      </c>
      <c r="P9" s="562" t="s">
        <v>362</v>
      </c>
      <c r="Q9" s="575" t="s">
        <v>438</v>
      </c>
      <c r="R9" s="576"/>
      <c r="S9" s="318">
        <v>185956</v>
      </c>
    </row>
    <row r="10" spans="1:25" ht="23.25" customHeight="1" thickBot="1" x14ac:dyDescent="0.25">
      <c r="A10" s="561"/>
      <c r="B10" s="564"/>
      <c r="C10" s="565"/>
      <c r="D10" s="567"/>
      <c r="F10" s="574"/>
      <c r="G10" s="568"/>
      <c r="H10" s="569"/>
      <c r="I10" s="578"/>
      <c r="P10" s="564"/>
      <c r="Q10" s="568" t="s">
        <v>405</v>
      </c>
      <c r="R10" s="569"/>
      <c r="S10" s="320">
        <v>244399</v>
      </c>
    </row>
    <row r="11" spans="1:25" ht="36" x14ac:dyDescent="0.2">
      <c r="A11" s="511" t="s">
        <v>292</v>
      </c>
      <c r="B11" s="557" t="s">
        <v>293</v>
      </c>
      <c r="C11" s="291" t="s">
        <v>367</v>
      </c>
      <c r="D11" s="309">
        <f>E11*18</f>
        <v>21374280</v>
      </c>
      <c r="E11" s="391">
        <v>1187460</v>
      </c>
      <c r="F11" s="516" t="s">
        <v>292</v>
      </c>
      <c r="G11" s="527" t="s">
        <v>492</v>
      </c>
      <c r="H11" s="293" t="s">
        <v>429</v>
      </c>
      <c r="I11" s="305">
        <v>1500000</v>
      </c>
      <c r="K11" s="519" t="s">
        <v>292</v>
      </c>
      <c r="L11" s="579" t="s">
        <v>492</v>
      </c>
      <c r="M11" s="383" t="s">
        <v>429</v>
      </c>
      <c r="N11" s="307">
        <v>3000000</v>
      </c>
      <c r="P11" s="389"/>
      <c r="Q11" s="527"/>
      <c r="R11" s="293" t="s">
        <v>429</v>
      </c>
      <c r="S11" s="305">
        <v>1500000</v>
      </c>
    </row>
    <row r="12" spans="1:25" ht="29.25" customHeight="1" thickBot="1" x14ac:dyDescent="0.25">
      <c r="A12" s="512"/>
      <c r="B12" s="558"/>
      <c r="C12" s="292" t="s">
        <v>368</v>
      </c>
      <c r="D12" s="310">
        <f>E11*5</f>
        <v>5937300</v>
      </c>
      <c r="F12" s="517"/>
      <c r="G12" s="527"/>
      <c r="H12" s="293" t="s">
        <v>430</v>
      </c>
      <c r="I12" s="305">
        <v>1500000</v>
      </c>
      <c r="K12" s="520"/>
      <c r="L12" s="580"/>
      <c r="M12" s="382" t="s">
        <v>430</v>
      </c>
      <c r="N12" s="305">
        <v>3000000</v>
      </c>
      <c r="P12" s="389"/>
      <c r="Q12" s="527"/>
      <c r="R12" s="293" t="s">
        <v>430</v>
      </c>
      <c r="S12" s="305">
        <v>1500000</v>
      </c>
    </row>
    <row r="13" spans="1:25" ht="24.75" customHeight="1" thickBot="1" x14ac:dyDescent="0.25">
      <c r="A13" s="513"/>
      <c r="B13" s="514" t="s">
        <v>294</v>
      </c>
      <c r="C13" s="515"/>
      <c r="D13" s="311">
        <v>0</v>
      </c>
      <c r="F13" s="517"/>
      <c r="G13" s="527"/>
      <c r="H13" s="293" t="s">
        <v>431</v>
      </c>
      <c r="I13" s="305">
        <v>500000</v>
      </c>
      <c r="K13" s="520"/>
      <c r="L13" s="581"/>
      <c r="M13" s="382" t="s">
        <v>431</v>
      </c>
      <c r="N13" s="305">
        <v>1500000</v>
      </c>
      <c r="P13" s="389"/>
      <c r="Q13" s="527"/>
      <c r="R13" s="293" t="s">
        <v>431</v>
      </c>
      <c r="S13" s="305">
        <v>500000</v>
      </c>
    </row>
    <row r="14" spans="1:25" ht="22.5" customHeight="1" thickBot="1" x14ac:dyDescent="0.25">
      <c r="A14" s="522" t="s">
        <v>112</v>
      </c>
      <c r="B14" s="523"/>
      <c r="C14" s="559"/>
      <c r="D14" s="312">
        <f>SUM(D9:D12)</f>
        <v>28034150</v>
      </c>
      <c r="F14" s="517"/>
      <c r="G14" s="530" t="s">
        <v>371</v>
      </c>
      <c r="H14" s="531"/>
      <c r="I14" s="305">
        <v>690698</v>
      </c>
      <c r="K14" s="520"/>
      <c r="L14" s="528" t="s">
        <v>371</v>
      </c>
      <c r="M14" s="529"/>
      <c r="N14" s="305">
        <v>690698</v>
      </c>
      <c r="P14" s="389"/>
      <c r="Q14" s="530" t="s">
        <v>371</v>
      </c>
      <c r="R14" s="531"/>
      <c r="S14" s="305">
        <v>690698</v>
      </c>
    </row>
    <row r="15" spans="1:25" ht="25.5" customHeight="1" x14ac:dyDescent="0.2">
      <c r="F15" s="517"/>
      <c r="G15" s="530" t="s">
        <v>373</v>
      </c>
      <c r="H15" s="531"/>
      <c r="I15" s="305">
        <v>690698</v>
      </c>
      <c r="K15" s="520"/>
      <c r="L15" s="528" t="s">
        <v>373</v>
      </c>
      <c r="M15" s="529"/>
      <c r="N15" s="305">
        <v>690698</v>
      </c>
      <c r="P15" s="389"/>
      <c r="Q15" s="530" t="s">
        <v>373</v>
      </c>
      <c r="R15" s="531"/>
      <c r="S15" s="305">
        <v>690698</v>
      </c>
    </row>
    <row r="16" spans="1:25" ht="27.75" customHeight="1" x14ac:dyDescent="0.2">
      <c r="F16" s="517"/>
      <c r="G16" s="530" t="s">
        <v>432</v>
      </c>
      <c r="H16" s="531"/>
      <c r="I16" s="305">
        <v>1500000</v>
      </c>
      <c r="K16" s="520"/>
      <c r="L16" s="528" t="s">
        <v>432</v>
      </c>
      <c r="M16" s="529"/>
      <c r="N16" s="305">
        <v>3000000</v>
      </c>
      <c r="P16" s="389"/>
      <c r="Q16" s="530" t="s">
        <v>432</v>
      </c>
      <c r="R16" s="531"/>
      <c r="S16" s="305">
        <v>1500000</v>
      </c>
    </row>
    <row r="17" spans="6:19" ht="13.5" customHeight="1" x14ac:dyDescent="0.2">
      <c r="F17" s="517"/>
      <c r="G17" s="530" t="s">
        <v>374</v>
      </c>
      <c r="H17" s="531"/>
      <c r="I17" s="305">
        <v>2158430</v>
      </c>
      <c r="K17" s="520"/>
      <c r="L17" s="528" t="s">
        <v>374</v>
      </c>
      <c r="M17" s="529"/>
      <c r="N17" s="305">
        <v>2158430</v>
      </c>
      <c r="P17" s="389"/>
      <c r="Q17" s="530" t="s">
        <v>374</v>
      </c>
      <c r="R17" s="531"/>
      <c r="S17" s="305">
        <v>2158430</v>
      </c>
    </row>
    <row r="18" spans="6:19" ht="13.5" customHeight="1" x14ac:dyDescent="0.2">
      <c r="F18" s="517"/>
      <c r="G18" s="530" t="s">
        <v>375</v>
      </c>
      <c r="H18" s="531"/>
      <c r="I18" s="305">
        <v>1187460</v>
      </c>
      <c r="K18" s="520"/>
      <c r="L18" s="528" t="s">
        <v>375</v>
      </c>
      <c r="M18" s="529"/>
      <c r="N18" s="305">
        <v>1187460</v>
      </c>
      <c r="P18" s="389"/>
      <c r="Q18" s="530" t="s">
        <v>375</v>
      </c>
      <c r="R18" s="531"/>
      <c r="S18" s="305">
        <v>1187460</v>
      </c>
    </row>
    <row r="19" spans="6:19" ht="27" customHeight="1" x14ac:dyDescent="0.2">
      <c r="F19" s="517"/>
      <c r="G19" s="530" t="s">
        <v>433</v>
      </c>
      <c r="H19" s="531"/>
      <c r="I19" s="305">
        <v>1500000</v>
      </c>
      <c r="K19" s="520"/>
      <c r="L19" s="528" t="s">
        <v>433</v>
      </c>
      <c r="M19" s="529"/>
      <c r="N19" s="305">
        <v>2000000</v>
      </c>
      <c r="P19" s="389"/>
      <c r="Q19" s="530" t="s">
        <v>433</v>
      </c>
      <c r="R19" s="531"/>
      <c r="S19" s="305">
        <v>1500000</v>
      </c>
    </row>
    <row r="20" spans="6:19" ht="27" customHeight="1" x14ac:dyDescent="0.2">
      <c r="F20" s="517"/>
      <c r="G20" s="530" t="s">
        <v>434</v>
      </c>
      <c r="H20" s="531"/>
      <c r="I20" s="305">
        <v>1892780</v>
      </c>
      <c r="K20" s="520"/>
      <c r="L20" s="528" t="s">
        <v>434</v>
      </c>
      <c r="M20" s="529"/>
      <c r="N20" s="305">
        <v>1892780</v>
      </c>
      <c r="P20" s="389"/>
      <c r="Q20" s="530" t="s">
        <v>434</v>
      </c>
      <c r="R20" s="531"/>
      <c r="S20" s="305">
        <v>1892780</v>
      </c>
    </row>
    <row r="21" spans="6:19" ht="30" customHeight="1" x14ac:dyDescent="0.2">
      <c r="F21" s="517"/>
      <c r="G21" s="530" t="s">
        <v>435</v>
      </c>
      <c r="H21" s="531"/>
      <c r="I21" s="305">
        <v>500000</v>
      </c>
      <c r="K21" s="520"/>
      <c r="L21" s="528" t="s">
        <v>435</v>
      </c>
      <c r="M21" s="529"/>
      <c r="N21" s="305">
        <v>1000000</v>
      </c>
      <c r="P21" s="389"/>
      <c r="Q21" s="530" t="s">
        <v>435</v>
      </c>
      <c r="R21" s="531"/>
      <c r="S21" s="305">
        <v>500000</v>
      </c>
    </row>
    <row r="22" spans="6:19" ht="17.25" customHeight="1" thickBot="1" x14ac:dyDescent="0.25">
      <c r="F22" s="518"/>
      <c r="G22" s="552" t="s">
        <v>376</v>
      </c>
      <c r="H22" s="553"/>
      <c r="I22" s="306">
        <v>500000</v>
      </c>
      <c r="K22" s="521"/>
      <c r="L22" s="544" t="s">
        <v>376</v>
      </c>
      <c r="M22" s="545"/>
      <c r="N22" s="308">
        <v>500000</v>
      </c>
      <c r="P22" s="390"/>
      <c r="Q22" s="537" t="s">
        <v>376</v>
      </c>
      <c r="R22" s="538"/>
      <c r="S22" s="308">
        <v>500000</v>
      </c>
    </row>
    <row r="23" spans="6:19" ht="13.5" customHeight="1" x14ac:dyDescent="0.2">
      <c r="F23" s="555" t="s">
        <v>377</v>
      </c>
      <c r="G23" s="550" t="s">
        <v>385</v>
      </c>
      <c r="H23" s="551"/>
      <c r="I23" s="307">
        <f>ROUND((H3*10%),0)</f>
        <v>4174205</v>
      </c>
      <c r="K23" s="516" t="s">
        <v>377</v>
      </c>
      <c r="L23" s="546" t="s">
        <v>385</v>
      </c>
      <c r="M23" s="547"/>
      <c r="N23" s="304">
        <f>ROUND((M3*15%),0)</f>
        <v>13575591</v>
      </c>
      <c r="P23" s="532" t="s">
        <v>377</v>
      </c>
      <c r="Q23" s="535" t="s">
        <v>385</v>
      </c>
      <c r="R23" s="536"/>
      <c r="S23" s="304">
        <f>ROUND((R3*15%),0)</f>
        <v>9253049</v>
      </c>
    </row>
    <row r="24" spans="6:19" ht="13.5" customHeight="1" x14ac:dyDescent="0.2">
      <c r="F24" s="555"/>
      <c r="G24" s="530" t="s">
        <v>380</v>
      </c>
      <c r="H24" s="531"/>
      <c r="I24" s="305">
        <v>500000</v>
      </c>
      <c r="K24" s="517"/>
      <c r="L24" s="528" t="s">
        <v>380</v>
      </c>
      <c r="M24" s="529"/>
      <c r="N24" s="305">
        <v>1800000</v>
      </c>
      <c r="P24" s="532"/>
      <c r="Q24" s="530" t="s">
        <v>380</v>
      </c>
      <c r="R24" s="531"/>
      <c r="S24" s="305">
        <v>720000</v>
      </c>
    </row>
    <row r="25" spans="6:19" ht="13.5" customHeight="1" x14ac:dyDescent="0.2">
      <c r="F25" s="555"/>
      <c r="G25" s="530" t="s">
        <v>378</v>
      </c>
      <c r="H25" s="531"/>
      <c r="I25" s="305">
        <v>720000</v>
      </c>
      <c r="K25" s="517"/>
      <c r="L25" s="528" t="s">
        <v>378</v>
      </c>
      <c r="M25" s="529"/>
      <c r="N25" s="305">
        <v>1800000</v>
      </c>
      <c r="P25" s="532"/>
      <c r="Q25" s="530" t="s">
        <v>378</v>
      </c>
      <c r="R25" s="531"/>
      <c r="S25" s="305">
        <v>720000</v>
      </c>
    </row>
    <row r="26" spans="6:19" ht="26.25" customHeight="1" x14ac:dyDescent="0.2">
      <c r="F26" s="555"/>
      <c r="G26" s="530" t="s">
        <v>379</v>
      </c>
      <c r="H26" s="531"/>
      <c r="I26" s="305">
        <v>1000000</v>
      </c>
      <c r="K26" s="517"/>
      <c r="L26" s="528" t="s">
        <v>379</v>
      </c>
      <c r="M26" s="529"/>
      <c r="N26" s="305">
        <v>1800000</v>
      </c>
      <c r="P26" s="532"/>
      <c r="Q26" s="530" t="s">
        <v>379</v>
      </c>
      <c r="R26" s="531"/>
      <c r="S26" s="305">
        <v>720000</v>
      </c>
    </row>
    <row r="27" spans="6:19" ht="19.5" customHeight="1" x14ac:dyDescent="0.2">
      <c r="F27" s="555"/>
      <c r="G27" s="530" t="s">
        <v>436</v>
      </c>
      <c r="H27" s="531"/>
      <c r="I27" s="305">
        <v>720000</v>
      </c>
      <c r="K27" s="517"/>
      <c r="L27" s="528" t="s">
        <v>436</v>
      </c>
      <c r="M27" s="529"/>
      <c r="N27" s="305">
        <v>1800000</v>
      </c>
      <c r="P27" s="532"/>
      <c r="Q27" s="530" t="s">
        <v>436</v>
      </c>
      <c r="R27" s="531"/>
      <c r="S27" s="305">
        <v>720000</v>
      </c>
    </row>
    <row r="28" spans="6:19" ht="23.25" customHeight="1" x14ac:dyDescent="0.2">
      <c r="F28" s="555"/>
      <c r="G28" s="530" t="s">
        <v>391</v>
      </c>
      <c r="H28" s="531"/>
      <c r="I28" s="305">
        <v>720000</v>
      </c>
      <c r="K28" s="517"/>
      <c r="L28" s="528" t="s">
        <v>391</v>
      </c>
      <c r="M28" s="529"/>
      <c r="N28" s="305">
        <v>1800000</v>
      </c>
      <c r="P28" s="532"/>
      <c r="Q28" s="530" t="s">
        <v>391</v>
      </c>
      <c r="R28" s="531"/>
      <c r="S28" s="305">
        <v>720000</v>
      </c>
    </row>
    <row r="29" spans="6:19" ht="13.5" customHeight="1" x14ac:dyDescent="0.2">
      <c r="F29" s="555"/>
      <c r="G29" s="530" t="s">
        <v>392</v>
      </c>
      <c r="H29" s="531"/>
      <c r="I29" s="305">
        <v>720000</v>
      </c>
      <c r="K29" s="517"/>
      <c r="L29" s="528" t="s">
        <v>392</v>
      </c>
      <c r="M29" s="529"/>
      <c r="N29" s="305">
        <v>1800000</v>
      </c>
      <c r="P29" s="532"/>
      <c r="Q29" s="530" t="s">
        <v>392</v>
      </c>
      <c r="R29" s="531"/>
      <c r="S29" s="305">
        <v>720000</v>
      </c>
    </row>
    <row r="30" spans="6:19" ht="28.5" customHeight="1" x14ac:dyDescent="0.2">
      <c r="F30" s="555"/>
      <c r="G30" s="530" t="s">
        <v>215</v>
      </c>
      <c r="H30" s="531"/>
      <c r="I30" s="305">
        <v>244399</v>
      </c>
      <c r="K30" s="517"/>
      <c r="L30" s="528" t="s">
        <v>215</v>
      </c>
      <c r="M30" s="529"/>
      <c r="N30" s="316">
        <v>244399</v>
      </c>
      <c r="P30" s="532"/>
      <c r="Q30" s="530" t="s">
        <v>215</v>
      </c>
      <c r="R30" s="531"/>
      <c r="S30" s="305">
        <v>244399</v>
      </c>
    </row>
    <row r="31" spans="6:19" ht="19.5" customHeight="1" x14ac:dyDescent="0.2">
      <c r="F31" s="555"/>
      <c r="G31" s="530" t="s">
        <v>388</v>
      </c>
      <c r="H31" s="531"/>
      <c r="I31" s="305">
        <v>720000</v>
      </c>
      <c r="K31" s="517"/>
      <c r="L31" s="528" t="s">
        <v>388</v>
      </c>
      <c r="M31" s="529"/>
      <c r="N31" s="305">
        <v>1800000</v>
      </c>
      <c r="P31" s="532"/>
      <c r="Q31" s="530" t="s">
        <v>388</v>
      </c>
      <c r="R31" s="531"/>
      <c r="S31" s="305">
        <v>720000</v>
      </c>
    </row>
    <row r="32" spans="6:19" ht="27" customHeight="1" x14ac:dyDescent="0.2">
      <c r="F32" s="555"/>
      <c r="G32" s="530" t="s">
        <v>393</v>
      </c>
      <c r="H32" s="531"/>
      <c r="I32" s="305">
        <v>720000</v>
      </c>
      <c r="K32" s="517"/>
      <c r="L32" s="528" t="s">
        <v>393</v>
      </c>
      <c r="M32" s="529"/>
      <c r="N32" s="305">
        <v>1800000</v>
      </c>
      <c r="P32" s="532"/>
      <c r="Q32" s="530" t="s">
        <v>393</v>
      </c>
      <c r="R32" s="531"/>
      <c r="S32" s="305">
        <v>720000</v>
      </c>
    </row>
    <row r="33" spans="6:19" ht="19.5" customHeight="1" x14ac:dyDescent="0.2">
      <c r="F33" s="555"/>
      <c r="G33" s="530" t="s">
        <v>216</v>
      </c>
      <c r="H33" s="531"/>
      <c r="I33" s="305">
        <v>720000</v>
      </c>
      <c r="K33" s="517"/>
      <c r="L33" s="528" t="s">
        <v>216</v>
      </c>
      <c r="M33" s="529"/>
      <c r="N33" s="305">
        <v>1800000</v>
      </c>
      <c r="P33" s="532"/>
      <c r="Q33" s="530" t="s">
        <v>216</v>
      </c>
      <c r="R33" s="531"/>
      <c r="S33" s="305">
        <v>720000</v>
      </c>
    </row>
    <row r="34" spans="6:19" ht="27.75" customHeight="1" x14ac:dyDescent="0.2">
      <c r="F34" s="555"/>
      <c r="G34" s="530" t="s">
        <v>387</v>
      </c>
      <c r="H34" s="531"/>
      <c r="I34" s="305">
        <v>720000</v>
      </c>
      <c r="K34" s="517"/>
      <c r="L34" s="528" t="s">
        <v>387</v>
      </c>
      <c r="M34" s="529"/>
      <c r="N34" s="305">
        <v>1800000</v>
      </c>
      <c r="P34" s="532"/>
      <c r="Q34" s="530" t="s">
        <v>387</v>
      </c>
      <c r="R34" s="531"/>
      <c r="S34" s="305">
        <v>720000</v>
      </c>
    </row>
    <row r="35" spans="6:19" ht="19.5" customHeight="1" x14ac:dyDescent="0.2">
      <c r="F35" s="555"/>
      <c r="G35" s="530" t="s">
        <v>394</v>
      </c>
      <c r="H35" s="531"/>
      <c r="I35" s="305">
        <v>244399</v>
      </c>
      <c r="K35" s="517"/>
      <c r="L35" s="528" t="s">
        <v>394</v>
      </c>
      <c r="M35" s="529"/>
      <c r="N35" s="316">
        <v>244399</v>
      </c>
      <c r="P35" s="532"/>
      <c r="Q35" s="530" t="s">
        <v>394</v>
      </c>
      <c r="R35" s="531"/>
      <c r="S35" s="305">
        <v>244399</v>
      </c>
    </row>
    <row r="36" spans="6:19" ht="22.5" customHeight="1" x14ac:dyDescent="0.2">
      <c r="F36" s="555"/>
      <c r="G36" s="530" t="s">
        <v>395</v>
      </c>
      <c r="H36" s="531"/>
      <c r="I36" s="305">
        <v>244399</v>
      </c>
      <c r="K36" s="517"/>
      <c r="L36" s="528" t="s">
        <v>395</v>
      </c>
      <c r="M36" s="529"/>
      <c r="N36" s="316">
        <v>244399</v>
      </c>
      <c r="P36" s="532"/>
      <c r="Q36" s="530" t="s">
        <v>395</v>
      </c>
      <c r="R36" s="531"/>
      <c r="S36" s="305">
        <v>244399</v>
      </c>
    </row>
    <row r="37" spans="6:19" ht="13.5" customHeight="1" x14ac:dyDescent="0.2">
      <c r="F37" s="555"/>
      <c r="G37" s="530" t="s">
        <v>381</v>
      </c>
      <c r="H37" s="531"/>
      <c r="I37" s="305">
        <v>1000000</v>
      </c>
      <c r="K37" s="517"/>
      <c r="L37" s="528" t="s">
        <v>381</v>
      </c>
      <c r="M37" s="529"/>
      <c r="N37" s="305">
        <v>1800000</v>
      </c>
      <c r="P37" s="532"/>
      <c r="Q37" s="530" t="s">
        <v>381</v>
      </c>
      <c r="R37" s="531"/>
      <c r="S37" s="305">
        <v>1220000</v>
      </c>
    </row>
    <row r="38" spans="6:19" ht="19.5" customHeight="1" x14ac:dyDescent="0.2">
      <c r="F38" s="555"/>
      <c r="G38" s="530" t="s">
        <v>389</v>
      </c>
      <c r="H38" s="531"/>
      <c r="I38" s="305">
        <v>244399</v>
      </c>
      <c r="K38" s="517"/>
      <c r="L38" s="528" t="s">
        <v>389</v>
      </c>
      <c r="M38" s="529"/>
      <c r="N38" s="316">
        <v>244399</v>
      </c>
      <c r="P38" s="532"/>
      <c r="Q38" s="530" t="s">
        <v>389</v>
      </c>
      <c r="R38" s="531"/>
      <c r="S38" s="305">
        <v>244399</v>
      </c>
    </row>
    <row r="39" spans="6:19" ht="13.5" customHeight="1" x14ac:dyDescent="0.2">
      <c r="F39" s="555"/>
      <c r="G39" s="530" t="s">
        <v>396</v>
      </c>
      <c r="H39" s="531"/>
      <c r="I39" s="305">
        <v>244399</v>
      </c>
      <c r="K39" s="517"/>
      <c r="L39" s="528" t="s">
        <v>396</v>
      </c>
      <c r="M39" s="529"/>
      <c r="N39" s="316">
        <v>244399</v>
      </c>
      <c r="P39" s="532"/>
      <c r="Q39" s="530" t="s">
        <v>396</v>
      </c>
      <c r="R39" s="531"/>
      <c r="S39" s="305">
        <v>244399</v>
      </c>
    </row>
    <row r="40" spans="6:19" ht="24.75" customHeight="1" x14ac:dyDescent="0.2">
      <c r="F40" s="555"/>
      <c r="G40" s="530" t="s">
        <v>386</v>
      </c>
      <c r="H40" s="531"/>
      <c r="I40" s="305">
        <v>244399</v>
      </c>
      <c r="K40" s="517"/>
      <c r="L40" s="528" t="s">
        <v>386</v>
      </c>
      <c r="M40" s="529"/>
      <c r="N40" s="316">
        <v>244399</v>
      </c>
      <c r="P40" s="532"/>
      <c r="Q40" s="530" t="s">
        <v>386</v>
      </c>
      <c r="R40" s="531"/>
      <c r="S40" s="305">
        <v>244399</v>
      </c>
    </row>
    <row r="41" spans="6:19" ht="19.5" customHeight="1" x14ac:dyDescent="0.2">
      <c r="F41" s="555"/>
      <c r="G41" s="530" t="s">
        <v>397</v>
      </c>
      <c r="H41" s="531"/>
      <c r="I41" s="305">
        <v>244399</v>
      </c>
      <c r="K41" s="517"/>
      <c r="L41" s="528" t="s">
        <v>397</v>
      </c>
      <c r="M41" s="529"/>
      <c r="N41" s="316">
        <v>244399</v>
      </c>
      <c r="P41" s="532"/>
      <c r="Q41" s="530" t="s">
        <v>397</v>
      </c>
      <c r="R41" s="531"/>
      <c r="S41" s="305">
        <v>244399</v>
      </c>
    </row>
    <row r="42" spans="6:19" ht="13.5" customHeight="1" x14ac:dyDescent="0.2">
      <c r="F42" s="555"/>
      <c r="G42" s="530" t="s">
        <v>384</v>
      </c>
      <c r="H42" s="531"/>
      <c r="I42" s="305">
        <v>720000</v>
      </c>
      <c r="K42" s="517"/>
      <c r="L42" s="528" t="s">
        <v>384</v>
      </c>
      <c r="M42" s="529"/>
      <c r="N42" s="305">
        <v>1800000</v>
      </c>
      <c r="P42" s="532"/>
      <c r="Q42" s="530" t="s">
        <v>384</v>
      </c>
      <c r="R42" s="531"/>
      <c r="S42" s="305">
        <v>1220000</v>
      </c>
    </row>
    <row r="43" spans="6:19" ht="13.5" customHeight="1" x14ac:dyDescent="0.2">
      <c r="F43" s="555"/>
      <c r="G43" s="530" t="s">
        <v>383</v>
      </c>
      <c r="H43" s="531"/>
      <c r="I43" s="305">
        <v>720000</v>
      </c>
      <c r="K43" s="517"/>
      <c r="L43" s="528" t="s">
        <v>383</v>
      </c>
      <c r="M43" s="529"/>
      <c r="N43" s="305">
        <v>1800000</v>
      </c>
      <c r="P43" s="532"/>
      <c r="Q43" s="530" t="s">
        <v>383</v>
      </c>
      <c r="R43" s="531"/>
      <c r="S43" s="305">
        <v>1220000</v>
      </c>
    </row>
    <row r="44" spans="6:19" ht="13.5" customHeight="1" x14ac:dyDescent="0.2">
      <c r="F44" s="555"/>
      <c r="G44" s="530" t="s">
        <v>398</v>
      </c>
      <c r="H44" s="531"/>
      <c r="I44" s="305">
        <v>720000</v>
      </c>
      <c r="K44" s="517"/>
      <c r="L44" s="528" t="s">
        <v>398</v>
      </c>
      <c r="M44" s="529"/>
      <c r="N44" s="305">
        <v>1800000</v>
      </c>
      <c r="P44" s="532"/>
      <c r="Q44" s="530" t="s">
        <v>398</v>
      </c>
      <c r="R44" s="531"/>
      <c r="S44" s="305">
        <v>1220000</v>
      </c>
    </row>
    <row r="45" spans="6:19" ht="13.5" customHeight="1" x14ac:dyDescent="0.2">
      <c r="F45" s="555"/>
      <c r="G45" s="530" t="s">
        <v>382</v>
      </c>
      <c r="H45" s="531"/>
      <c r="I45" s="305">
        <v>720000</v>
      </c>
      <c r="K45" s="517"/>
      <c r="L45" s="528" t="s">
        <v>382</v>
      </c>
      <c r="M45" s="529"/>
      <c r="N45" s="305">
        <v>1800000</v>
      </c>
      <c r="P45" s="532"/>
      <c r="Q45" s="530" t="s">
        <v>382</v>
      </c>
      <c r="R45" s="531"/>
      <c r="S45" s="305">
        <v>1220000</v>
      </c>
    </row>
    <row r="46" spans="6:19" ht="21.75" customHeight="1" x14ac:dyDescent="0.2">
      <c r="F46" s="555"/>
      <c r="G46" s="530" t="s">
        <v>399</v>
      </c>
      <c r="H46" s="531"/>
      <c r="I46" s="305">
        <v>500000</v>
      </c>
      <c r="K46" s="517"/>
      <c r="L46" s="528" t="s">
        <v>399</v>
      </c>
      <c r="M46" s="529"/>
      <c r="N46" s="305">
        <v>1800000</v>
      </c>
      <c r="P46" s="532"/>
      <c r="Q46" s="530" t="s">
        <v>399</v>
      </c>
      <c r="R46" s="531"/>
      <c r="S46" s="305">
        <v>1220000</v>
      </c>
    </row>
    <row r="47" spans="6:19" ht="13.5" customHeight="1" thickBot="1" x14ac:dyDescent="0.25">
      <c r="F47" s="555"/>
      <c r="G47" s="552" t="s">
        <v>390</v>
      </c>
      <c r="H47" s="553"/>
      <c r="I47" s="313">
        <v>500000</v>
      </c>
      <c r="K47" s="518"/>
      <c r="L47" s="544" t="s">
        <v>390</v>
      </c>
      <c r="M47" s="545"/>
      <c r="N47" s="306">
        <v>1800000</v>
      </c>
      <c r="P47" s="532"/>
      <c r="Q47" s="537" t="s">
        <v>390</v>
      </c>
      <c r="R47" s="538"/>
      <c r="S47" s="308">
        <v>1220000</v>
      </c>
    </row>
    <row r="48" spans="6:19" ht="21.75" customHeight="1" x14ac:dyDescent="0.2">
      <c r="F48" s="554" t="s">
        <v>217</v>
      </c>
      <c r="G48" s="550" t="s">
        <v>218</v>
      </c>
      <c r="H48" s="551"/>
      <c r="I48" s="314">
        <v>500000</v>
      </c>
      <c r="K48" s="516" t="s">
        <v>217</v>
      </c>
      <c r="L48" s="546" t="s">
        <v>218</v>
      </c>
      <c r="M48" s="547"/>
      <c r="N48" s="384">
        <v>1300000</v>
      </c>
      <c r="P48" s="533" t="s">
        <v>217</v>
      </c>
      <c r="Q48" s="535" t="s">
        <v>218</v>
      </c>
      <c r="R48" s="536"/>
      <c r="S48" s="304">
        <v>1220000</v>
      </c>
    </row>
    <row r="49" spans="6:20" ht="37.5" customHeight="1" x14ac:dyDescent="0.2">
      <c r="F49" s="555"/>
      <c r="G49" s="530" t="s">
        <v>401</v>
      </c>
      <c r="H49" s="531"/>
      <c r="I49" s="315">
        <v>500000</v>
      </c>
      <c r="K49" s="517"/>
      <c r="L49" s="548" t="s">
        <v>401</v>
      </c>
      <c r="M49" s="549"/>
      <c r="N49" s="319">
        <v>1300000</v>
      </c>
      <c r="P49" s="532"/>
      <c r="Q49" s="530" t="s">
        <v>401</v>
      </c>
      <c r="R49" s="531"/>
      <c r="S49" s="305">
        <v>1220000</v>
      </c>
    </row>
    <row r="50" spans="6:20" ht="30.75" customHeight="1" x14ac:dyDescent="0.2">
      <c r="F50" s="555"/>
      <c r="G50" s="530" t="s">
        <v>219</v>
      </c>
      <c r="H50" s="531"/>
      <c r="I50" s="315">
        <v>500000</v>
      </c>
      <c r="K50" s="517"/>
      <c r="L50" s="548" t="s">
        <v>219</v>
      </c>
      <c r="M50" s="549"/>
      <c r="N50" s="319">
        <v>1300000</v>
      </c>
      <c r="P50" s="532"/>
      <c r="Q50" s="530" t="s">
        <v>219</v>
      </c>
      <c r="R50" s="531"/>
      <c r="S50" s="305">
        <v>1220000</v>
      </c>
    </row>
    <row r="51" spans="6:20" ht="21.75" customHeight="1" x14ac:dyDescent="0.2">
      <c r="F51" s="555"/>
      <c r="G51" s="530" t="s">
        <v>220</v>
      </c>
      <c r="H51" s="531"/>
      <c r="I51" s="315">
        <v>500000</v>
      </c>
      <c r="K51" s="517"/>
      <c r="L51" s="528" t="s">
        <v>220</v>
      </c>
      <c r="M51" s="529"/>
      <c r="N51" s="319">
        <v>1300000</v>
      </c>
      <c r="P51" s="532"/>
      <c r="Q51" s="530" t="s">
        <v>220</v>
      </c>
      <c r="R51" s="531"/>
      <c r="S51" s="305">
        <v>1220000</v>
      </c>
    </row>
    <row r="52" spans="6:20" ht="22.5" customHeight="1" x14ac:dyDescent="0.2">
      <c r="F52" s="555"/>
      <c r="G52" s="530" t="s">
        <v>387</v>
      </c>
      <c r="H52" s="531"/>
      <c r="I52" s="315">
        <v>500000</v>
      </c>
      <c r="K52" s="517"/>
      <c r="L52" s="528" t="s">
        <v>387</v>
      </c>
      <c r="M52" s="529"/>
      <c r="N52" s="319">
        <v>1300000</v>
      </c>
      <c r="P52" s="532"/>
      <c r="Q52" s="530" t="s">
        <v>387</v>
      </c>
      <c r="R52" s="531"/>
      <c r="S52" s="305">
        <v>1220000</v>
      </c>
    </row>
    <row r="53" spans="6:20" ht="13.5" customHeight="1" x14ac:dyDescent="0.2">
      <c r="F53" s="555"/>
      <c r="G53" s="530" t="s">
        <v>394</v>
      </c>
      <c r="H53" s="531"/>
      <c r="I53" s="316">
        <v>244399</v>
      </c>
      <c r="K53" s="517"/>
      <c r="L53" s="528" t="s">
        <v>394</v>
      </c>
      <c r="M53" s="529"/>
      <c r="N53" s="319">
        <v>244399</v>
      </c>
      <c r="P53" s="532"/>
      <c r="Q53" s="530" t="s">
        <v>394</v>
      </c>
      <c r="R53" s="531"/>
      <c r="S53" s="319">
        <v>244399</v>
      </c>
    </row>
    <row r="54" spans="6:20" ht="25.5" customHeight="1" x14ac:dyDescent="0.2">
      <c r="F54" s="555"/>
      <c r="G54" s="530" t="s">
        <v>402</v>
      </c>
      <c r="H54" s="531"/>
      <c r="I54" s="316">
        <v>244399</v>
      </c>
      <c r="K54" s="517"/>
      <c r="L54" s="528" t="s">
        <v>402</v>
      </c>
      <c r="M54" s="529"/>
      <c r="N54" s="319">
        <v>244399</v>
      </c>
      <c r="P54" s="532"/>
      <c r="Q54" s="530" t="s">
        <v>402</v>
      </c>
      <c r="R54" s="531"/>
      <c r="S54" s="319">
        <v>244399</v>
      </c>
    </row>
    <row r="55" spans="6:20" ht="23.25" customHeight="1" x14ac:dyDescent="0.2">
      <c r="F55" s="555"/>
      <c r="G55" s="530" t="s">
        <v>403</v>
      </c>
      <c r="H55" s="531"/>
      <c r="I55" s="316">
        <v>244399</v>
      </c>
      <c r="K55" s="517"/>
      <c r="L55" s="528" t="s">
        <v>403</v>
      </c>
      <c r="M55" s="529"/>
      <c r="N55" s="319">
        <v>244399</v>
      </c>
      <c r="P55" s="532"/>
      <c r="Q55" s="530" t="s">
        <v>403</v>
      </c>
      <c r="R55" s="531"/>
      <c r="S55" s="319">
        <v>244399</v>
      </c>
    </row>
    <row r="56" spans="6:20" ht="27.75" customHeight="1" x14ac:dyDescent="0.2">
      <c r="F56" s="555"/>
      <c r="G56" s="530" t="s">
        <v>400</v>
      </c>
      <c r="H56" s="531"/>
      <c r="I56" s="305">
        <v>500000</v>
      </c>
      <c r="K56" s="517"/>
      <c r="L56" s="528" t="s">
        <v>400</v>
      </c>
      <c r="M56" s="529"/>
      <c r="N56" s="319">
        <v>1300000</v>
      </c>
      <c r="P56" s="532"/>
      <c r="Q56" s="530" t="s">
        <v>400</v>
      </c>
      <c r="R56" s="531"/>
      <c r="S56" s="305">
        <v>1220000</v>
      </c>
    </row>
    <row r="57" spans="6:20" ht="25.5" customHeight="1" x14ac:dyDescent="0.2">
      <c r="F57" s="555"/>
      <c r="G57" s="530" t="s">
        <v>383</v>
      </c>
      <c r="H57" s="531"/>
      <c r="I57" s="305">
        <v>500000</v>
      </c>
      <c r="K57" s="517"/>
      <c r="L57" s="528" t="s">
        <v>383</v>
      </c>
      <c r="M57" s="529"/>
      <c r="N57" s="319">
        <v>1300000</v>
      </c>
      <c r="P57" s="532"/>
      <c r="Q57" s="530" t="s">
        <v>383</v>
      </c>
      <c r="R57" s="531"/>
      <c r="S57" s="305">
        <v>1220000</v>
      </c>
    </row>
    <row r="58" spans="6:20" ht="21.75" customHeight="1" x14ac:dyDescent="0.2">
      <c r="F58" s="555"/>
      <c r="G58" s="530" t="s">
        <v>398</v>
      </c>
      <c r="H58" s="531"/>
      <c r="I58" s="305">
        <v>500000</v>
      </c>
      <c r="K58" s="517"/>
      <c r="L58" s="528" t="s">
        <v>398</v>
      </c>
      <c r="M58" s="529"/>
      <c r="N58" s="319">
        <v>1300000</v>
      </c>
      <c r="P58" s="532"/>
      <c r="Q58" s="530" t="s">
        <v>398</v>
      </c>
      <c r="R58" s="531"/>
      <c r="S58" s="305">
        <v>1220000</v>
      </c>
    </row>
    <row r="59" spans="6:20" ht="13.5" customHeight="1" x14ac:dyDescent="0.2">
      <c r="F59" s="555"/>
      <c r="G59" s="530" t="s">
        <v>382</v>
      </c>
      <c r="H59" s="531"/>
      <c r="I59" s="305">
        <v>500000</v>
      </c>
      <c r="K59" s="517"/>
      <c r="L59" s="528" t="s">
        <v>382</v>
      </c>
      <c r="M59" s="529"/>
      <c r="N59" s="319">
        <v>1300000</v>
      </c>
      <c r="P59" s="532"/>
      <c r="Q59" s="530" t="s">
        <v>382</v>
      </c>
      <c r="R59" s="531"/>
      <c r="S59" s="305">
        <v>1220000</v>
      </c>
    </row>
    <row r="60" spans="6:20" ht="24" customHeight="1" x14ac:dyDescent="0.2">
      <c r="F60" s="555"/>
      <c r="G60" s="530" t="s">
        <v>399</v>
      </c>
      <c r="H60" s="531"/>
      <c r="I60" s="305">
        <v>500000</v>
      </c>
      <c r="J60" s="252"/>
      <c r="K60" s="517"/>
      <c r="L60" s="528" t="s">
        <v>399</v>
      </c>
      <c r="M60" s="529"/>
      <c r="N60" s="319">
        <f>1300000-290268</f>
        <v>1009732</v>
      </c>
      <c r="P60" s="532"/>
      <c r="Q60" s="530" t="s">
        <v>399</v>
      </c>
      <c r="R60" s="531"/>
      <c r="S60" s="305">
        <v>1220000</v>
      </c>
    </row>
    <row r="61" spans="6:20" ht="23.25" customHeight="1" thickBot="1" x14ac:dyDescent="0.25">
      <c r="F61" s="556"/>
      <c r="G61" s="552" t="s">
        <v>221</v>
      </c>
      <c r="H61" s="553"/>
      <c r="I61" s="317">
        <v>244399</v>
      </c>
      <c r="K61" s="518"/>
      <c r="L61" s="544" t="s">
        <v>221</v>
      </c>
      <c r="M61" s="545"/>
      <c r="N61" s="319">
        <v>244399</v>
      </c>
      <c r="P61" s="534"/>
      <c r="Q61" s="537" t="s">
        <v>221</v>
      </c>
      <c r="R61" s="538"/>
      <c r="S61" s="320">
        <v>244399</v>
      </c>
    </row>
    <row r="62" spans="6:20" ht="21" customHeight="1" x14ac:dyDescent="0.2">
      <c r="F62" s="554" t="s">
        <v>153</v>
      </c>
      <c r="G62" s="550" t="s">
        <v>222</v>
      </c>
      <c r="H62" s="551"/>
      <c r="I62" s="305">
        <v>500000</v>
      </c>
      <c r="K62" s="392" t="s">
        <v>153</v>
      </c>
      <c r="L62" s="546" t="s">
        <v>222</v>
      </c>
      <c r="M62" s="547"/>
      <c r="N62" s="319">
        <v>1500000</v>
      </c>
      <c r="P62" s="533" t="s">
        <v>153</v>
      </c>
      <c r="Q62" s="535" t="s">
        <v>222</v>
      </c>
      <c r="R62" s="536"/>
      <c r="S62" s="304">
        <v>1000000</v>
      </c>
    </row>
    <row r="63" spans="6:20" ht="21" customHeight="1" x14ac:dyDescent="0.2">
      <c r="F63" s="555"/>
      <c r="G63" s="530" t="s">
        <v>223</v>
      </c>
      <c r="H63" s="531"/>
      <c r="I63" s="305">
        <v>500000</v>
      </c>
      <c r="K63" s="393"/>
      <c r="L63" s="528" t="s">
        <v>223</v>
      </c>
      <c r="M63" s="529"/>
      <c r="N63" s="319">
        <v>1500000</v>
      </c>
      <c r="P63" s="532"/>
      <c r="Q63" s="530" t="s">
        <v>223</v>
      </c>
      <c r="R63" s="531"/>
      <c r="S63" s="305">
        <v>1000000</v>
      </c>
      <c r="T63" s="252"/>
    </row>
    <row r="64" spans="6:20" ht="21" customHeight="1" x14ac:dyDescent="0.2">
      <c r="F64" s="555"/>
      <c r="G64" s="530" t="s">
        <v>224</v>
      </c>
      <c r="H64" s="531"/>
      <c r="I64" s="305">
        <v>500000</v>
      </c>
      <c r="K64" s="393"/>
      <c r="L64" s="528" t="s">
        <v>224</v>
      </c>
      <c r="M64" s="529"/>
      <c r="N64" s="319">
        <v>1500000</v>
      </c>
      <c r="P64" s="532"/>
      <c r="Q64" s="530" t="s">
        <v>224</v>
      </c>
      <c r="R64" s="531"/>
      <c r="S64" s="305">
        <v>1000000</v>
      </c>
    </row>
    <row r="65" spans="6:19" ht="21" customHeight="1" x14ac:dyDescent="0.2">
      <c r="F65" s="555"/>
      <c r="G65" s="530" t="s">
        <v>404</v>
      </c>
      <c r="H65" s="531"/>
      <c r="I65" s="305">
        <v>500000</v>
      </c>
      <c r="K65" s="393"/>
      <c r="L65" s="528" t="s">
        <v>404</v>
      </c>
      <c r="M65" s="529"/>
      <c r="N65" s="319">
        <v>1500000</v>
      </c>
      <c r="P65" s="532"/>
      <c r="Q65" s="530" t="s">
        <v>404</v>
      </c>
      <c r="R65" s="531"/>
      <c r="S65" s="305">
        <v>1000000</v>
      </c>
    </row>
    <row r="66" spans="6:19" ht="21" customHeight="1" x14ac:dyDescent="0.2">
      <c r="F66" s="555"/>
      <c r="G66" s="530" t="s">
        <v>225</v>
      </c>
      <c r="H66" s="531"/>
      <c r="I66" s="305">
        <v>500000</v>
      </c>
      <c r="K66" s="393"/>
      <c r="L66" s="528" t="s">
        <v>225</v>
      </c>
      <c r="M66" s="529"/>
      <c r="N66" s="319">
        <v>1500000</v>
      </c>
      <c r="P66" s="532"/>
      <c r="Q66" s="530" t="s">
        <v>225</v>
      </c>
      <c r="R66" s="531"/>
      <c r="S66" s="305">
        <v>1000000</v>
      </c>
    </row>
    <row r="67" spans="6:19" ht="21" customHeight="1" x14ac:dyDescent="0.2">
      <c r="F67" s="555"/>
      <c r="G67" s="530" t="s">
        <v>226</v>
      </c>
      <c r="H67" s="531"/>
      <c r="I67" s="305">
        <v>500000</v>
      </c>
      <c r="K67" s="393"/>
      <c r="L67" s="528" t="s">
        <v>226</v>
      </c>
      <c r="M67" s="529"/>
      <c r="N67" s="319">
        <v>1500000</v>
      </c>
      <c r="P67" s="532"/>
      <c r="Q67" s="530" t="s">
        <v>226</v>
      </c>
      <c r="R67" s="531"/>
      <c r="S67" s="305">
        <v>1000000</v>
      </c>
    </row>
    <row r="68" spans="6:19" ht="21" customHeight="1" thickBot="1" x14ac:dyDescent="0.25">
      <c r="F68" s="556"/>
      <c r="G68" s="537" t="s">
        <v>227</v>
      </c>
      <c r="H68" s="538"/>
      <c r="I68" s="308">
        <f>720000+56443-373427-28027</f>
        <v>374989</v>
      </c>
      <c r="K68" s="394"/>
      <c r="L68" s="544" t="s">
        <v>227</v>
      </c>
      <c r="M68" s="545"/>
      <c r="N68" s="385">
        <f>1000000+254880+55283</f>
        <v>1310163</v>
      </c>
      <c r="P68" s="534"/>
      <c r="Q68" s="537" t="s">
        <v>227</v>
      </c>
      <c r="R68" s="538"/>
      <c r="S68" s="308">
        <f>1000000-345625+611209-10452</f>
        <v>1255132</v>
      </c>
    </row>
    <row r="69" spans="6:19" ht="13.5" customHeight="1" thickBot="1" x14ac:dyDescent="0.25">
      <c r="F69" s="539" t="s">
        <v>205</v>
      </c>
      <c r="G69" s="540"/>
      <c r="H69" s="540"/>
      <c r="I69" s="396">
        <f>H2</f>
        <v>12771691</v>
      </c>
      <c r="K69" s="541" t="s">
        <v>205</v>
      </c>
      <c r="L69" s="542"/>
      <c r="M69" s="543"/>
      <c r="N69" s="398">
        <f>M2</f>
        <v>24962164</v>
      </c>
      <c r="P69" s="539" t="s">
        <v>205</v>
      </c>
      <c r="Q69" s="540"/>
      <c r="R69" s="540"/>
      <c r="S69" s="396">
        <f>R2</f>
        <v>17757927</v>
      </c>
    </row>
    <row r="70" spans="6:19" ht="13.5" customHeight="1" thickBot="1" x14ac:dyDescent="0.25">
      <c r="F70" s="539" t="s">
        <v>491</v>
      </c>
      <c r="G70" s="540"/>
      <c r="H70" s="540"/>
      <c r="I70" s="396">
        <f>H4</f>
        <v>9344717</v>
      </c>
      <c r="K70" s="541" t="s">
        <v>491</v>
      </c>
      <c r="L70" s="542"/>
      <c r="M70" s="543"/>
      <c r="N70" s="396">
        <f>M4</f>
        <v>9344717</v>
      </c>
      <c r="P70" s="539" t="s">
        <v>491</v>
      </c>
      <c r="Q70" s="540"/>
      <c r="R70" s="540"/>
      <c r="S70" s="396">
        <f>R4</f>
        <v>9344717</v>
      </c>
    </row>
    <row r="71" spans="6:19" ht="13.5" thickBot="1" x14ac:dyDescent="0.25">
      <c r="F71" s="525" t="s">
        <v>112</v>
      </c>
      <c r="G71" s="526"/>
      <c r="H71" s="526"/>
      <c r="I71" s="397">
        <f>SUM(I9:I70)</f>
        <v>63858456</v>
      </c>
      <c r="K71" s="522" t="s">
        <v>112</v>
      </c>
      <c r="L71" s="523"/>
      <c r="M71" s="524"/>
      <c r="N71" s="397">
        <f>SUM(N11:N70)</f>
        <v>124810822</v>
      </c>
      <c r="P71" s="525" t="s">
        <v>112</v>
      </c>
      <c r="Q71" s="526"/>
      <c r="R71" s="526"/>
      <c r="S71" s="397">
        <f>SUM(S9:S70)</f>
        <v>88789635</v>
      </c>
    </row>
    <row r="72" spans="6:19" x14ac:dyDescent="0.2">
      <c r="H72" s="182"/>
      <c r="I72" s="598">
        <f>H1-I71</f>
        <v>0</v>
      </c>
      <c r="J72" s="182"/>
      <c r="N72" s="598">
        <f>M1-N71</f>
        <v>0</v>
      </c>
      <c r="S72" s="598">
        <f>R1-S71</f>
        <v>0</v>
      </c>
    </row>
    <row r="73" spans="6:19" x14ac:dyDescent="0.2">
      <c r="H73" s="182">
        <f>25376443/35</f>
        <v>725041.22857142857</v>
      </c>
      <c r="I73" s="598">
        <f>SUM(I9:I68)</f>
        <v>41742048</v>
      </c>
      <c r="J73" s="182"/>
      <c r="N73" s="598">
        <f>SUM(N9:N68)</f>
        <v>90503941</v>
      </c>
      <c r="S73" s="598">
        <f>SUM(S9:S68)</f>
        <v>61686991</v>
      </c>
    </row>
    <row r="74" spans="6:19" x14ac:dyDescent="0.2">
      <c r="I74" s="598"/>
      <c r="J74" s="182"/>
      <c r="M74" s="300">
        <f>39199897/34</f>
        <v>1152938.1470588236</v>
      </c>
      <c r="N74" s="598"/>
      <c r="S74" s="598"/>
    </row>
    <row r="75" spans="6:19" x14ac:dyDescent="0.2">
      <c r="I75" s="598">
        <f>+I73+I69</f>
        <v>54513739</v>
      </c>
      <c r="J75" s="182"/>
      <c r="N75" s="598">
        <f>+N73+N69</f>
        <v>115466105</v>
      </c>
      <c r="S75" s="598">
        <f>+S73+S69</f>
        <v>79444918</v>
      </c>
    </row>
  </sheetData>
  <mergeCells count="213">
    <mergeCell ref="A1:D1"/>
    <mergeCell ref="U1:V1"/>
    <mergeCell ref="L67:M67"/>
    <mergeCell ref="L68:M68"/>
    <mergeCell ref="K69:M69"/>
    <mergeCell ref="L52:M52"/>
    <mergeCell ref="L53:M53"/>
    <mergeCell ref="L54:M54"/>
    <mergeCell ref="L55:M55"/>
    <mergeCell ref="L56:M56"/>
    <mergeCell ref="L57:M57"/>
    <mergeCell ref="L58:M58"/>
    <mergeCell ref="L59:M59"/>
    <mergeCell ref="L60:M60"/>
    <mergeCell ref="L65:M65"/>
    <mergeCell ref="L66:M66"/>
    <mergeCell ref="P1:Q1"/>
    <mergeCell ref="Q8:R8"/>
    <mergeCell ref="Q9:R9"/>
    <mergeCell ref="Q17:R17"/>
    <mergeCell ref="Q18:R18"/>
    <mergeCell ref="Q19:R19"/>
    <mergeCell ref="Q20:R20"/>
    <mergeCell ref="Q21:R21"/>
    <mergeCell ref="Q56:R56"/>
    <mergeCell ref="F1:G1"/>
    <mergeCell ref="G20:H20"/>
    <mergeCell ref="G21:H21"/>
    <mergeCell ref="F9:F10"/>
    <mergeCell ref="P7:S7"/>
    <mergeCell ref="P9:P10"/>
    <mergeCell ref="G9:H10"/>
    <mergeCell ref="I9:I10"/>
    <mergeCell ref="L11:L13"/>
    <mergeCell ref="L21:M21"/>
    <mergeCell ref="K1:L1"/>
    <mergeCell ref="K7:N7"/>
    <mergeCell ref="L8:M8"/>
    <mergeCell ref="L15:M15"/>
    <mergeCell ref="L16:M16"/>
    <mergeCell ref="L17:M17"/>
    <mergeCell ref="L18:M18"/>
    <mergeCell ref="L19:M19"/>
    <mergeCell ref="L20:M20"/>
    <mergeCell ref="Q25:R25"/>
    <mergeCell ref="Q26:R26"/>
    <mergeCell ref="Q27:R27"/>
    <mergeCell ref="Q28:R28"/>
    <mergeCell ref="Q10:R10"/>
    <mergeCell ref="Q16:R16"/>
    <mergeCell ref="F7:I7"/>
    <mergeCell ref="Q22:R22"/>
    <mergeCell ref="G14:H14"/>
    <mergeCell ref="G15:H15"/>
    <mergeCell ref="G16:H16"/>
    <mergeCell ref="G17:H17"/>
    <mergeCell ref="G18:H18"/>
    <mergeCell ref="G19:H19"/>
    <mergeCell ref="G22:H22"/>
    <mergeCell ref="G8:H8"/>
    <mergeCell ref="G23:H23"/>
    <mergeCell ref="G24:H24"/>
    <mergeCell ref="G25:H25"/>
    <mergeCell ref="G26:H26"/>
    <mergeCell ref="G27:H27"/>
    <mergeCell ref="G28:H28"/>
    <mergeCell ref="F23:F47"/>
    <mergeCell ref="Q47:R47"/>
    <mergeCell ref="Q48:R48"/>
    <mergeCell ref="Q49:R49"/>
    <mergeCell ref="Q50:R50"/>
    <mergeCell ref="Q51:R51"/>
    <mergeCell ref="Q52:R52"/>
    <mergeCell ref="Q53:R53"/>
    <mergeCell ref="Q54:R54"/>
    <mergeCell ref="Q55:R55"/>
    <mergeCell ref="Q39:R39"/>
    <mergeCell ref="Q40:R40"/>
    <mergeCell ref="Q41:R41"/>
    <mergeCell ref="Q42:R42"/>
    <mergeCell ref="Q43:R43"/>
    <mergeCell ref="G68:H68"/>
    <mergeCell ref="A7:D7"/>
    <mergeCell ref="B8:C8"/>
    <mergeCell ref="B11:B12"/>
    <mergeCell ref="A14:C14"/>
    <mergeCell ref="A9:A10"/>
    <mergeCell ref="B9:C10"/>
    <mergeCell ref="D9:D10"/>
    <mergeCell ref="G29:H29"/>
    <mergeCell ref="G31:H31"/>
    <mergeCell ref="G32:H32"/>
    <mergeCell ref="G33:H33"/>
    <mergeCell ref="G34:H34"/>
    <mergeCell ref="G35:H35"/>
    <mergeCell ref="G36:H36"/>
    <mergeCell ref="G37:H37"/>
    <mergeCell ref="G38:H38"/>
    <mergeCell ref="G30:H30"/>
    <mergeCell ref="F48:F61"/>
    <mergeCell ref="F69:H69"/>
    <mergeCell ref="F71:H71"/>
    <mergeCell ref="Q23:R23"/>
    <mergeCell ref="Q24:R24"/>
    <mergeCell ref="G60:H60"/>
    <mergeCell ref="G61:H61"/>
    <mergeCell ref="F62:F68"/>
    <mergeCell ref="G62:H62"/>
    <mergeCell ref="Q29:R29"/>
    <mergeCell ref="Q30:R30"/>
    <mergeCell ref="Q31:R31"/>
    <mergeCell ref="Q32:R32"/>
    <mergeCell ref="Q33:R33"/>
    <mergeCell ref="G66:H66"/>
    <mergeCell ref="G67:H67"/>
    <mergeCell ref="G65:H65"/>
    <mergeCell ref="G63:H63"/>
    <mergeCell ref="G64:H64"/>
    <mergeCell ref="G51:H51"/>
    <mergeCell ref="Q34:R34"/>
    <mergeCell ref="Q35:R35"/>
    <mergeCell ref="Q36:R36"/>
    <mergeCell ref="Q37:R37"/>
    <mergeCell ref="Q38:R38"/>
    <mergeCell ref="L22:M22"/>
    <mergeCell ref="L23:M23"/>
    <mergeCell ref="L24:M24"/>
    <mergeCell ref="L25:M25"/>
    <mergeCell ref="L26:M26"/>
    <mergeCell ref="L27:M27"/>
    <mergeCell ref="L28:M28"/>
    <mergeCell ref="G58:H58"/>
    <mergeCell ref="G59:H59"/>
    <mergeCell ref="L29:M29"/>
    <mergeCell ref="L30:M30"/>
    <mergeCell ref="L31:M31"/>
    <mergeCell ref="L32:M32"/>
    <mergeCell ref="L33:M33"/>
    <mergeCell ref="L34:M34"/>
    <mergeCell ref="L35:M35"/>
    <mergeCell ref="L36:M36"/>
    <mergeCell ref="L37:M37"/>
    <mergeCell ref="L38:M38"/>
    <mergeCell ref="L39:M39"/>
    <mergeCell ref="L40:M40"/>
    <mergeCell ref="G57:H57"/>
    <mergeCell ref="G49:H49"/>
    <mergeCell ref="G50:H50"/>
    <mergeCell ref="G54:H54"/>
    <mergeCell ref="G55:H55"/>
    <mergeCell ref="G56:H56"/>
    <mergeCell ref="G48:H48"/>
    <mergeCell ref="K23:K47"/>
    <mergeCell ref="K48:K61"/>
    <mergeCell ref="G42:H42"/>
    <mergeCell ref="G43:H43"/>
    <mergeCell ref="G44:H44"/>
    <mergeCell ref="G45:H45"/>
    <mergeCell ref="G46:H46"/>
    <mergeCell ref="G47:H47"/>
    <mergeCell ref="G52:H52"/>
    <mergeCell ref="G53:H53"/>
    <mergeCell ref="G39:H39"/>
    <mergeCell ref="G40:H40"/>
    <mergeCell ref="G41:H41"/>
    <mergeCell ref="K70:M70"/>
    <mergeCell ref="P70:R70"/>
    <mergeCell ref="L42:M42"/>
    <mergeCell ref="L43:M43"/>
    <mergeCell ref="L44:M44"/>
    <mergeCell ref="L45:M45"/>
    <mergeCell ref="L61:M61"/>
    <mergeCell ref="L62:M62"/>
    <mergeCell ref="L63:M63"/>
    <mergeCell ref="L64:M64"/>
    <mergeCell ref="L46:M46"/>
    <mergeCell ref="L47:M47"/>
    <mergeCell ref="L48:M48"/>
    <mergeCell ref="L49:M49"/>
    <mergeCell ref="L50:M50"/>
    <mergeCell ref="L51:M51"/>
    <mergeCell ref="Q57:R57"/>
    <mergeCell ref="Q58:R58"/>
    <mergeCell ref="Q59:R59"/>
    <mergeCell ref="Q60:R60"/>
    <mergeCell ref="Q61:R61"/>
    <mergeCell ref="Q44:R44"/>
    <mergeCell ref="Q45:R45"/>
    <mergeCell ref="Q46:R46"/>
    <mergeCell ref="A11:A13"/>
    <mergeCell ref="B13:C13"/>
    <mergeCell ref="F11:F22"/>
    <mergeCell ref="K11:K22"/>
    <mergeCell ref="K71:M71"/>
    <mergeCell ref="P71:R71"/>
    <mergeCell ref="G11:G13"/>
    <mergeCell ref="L14:M14"/>
    <mergeCell ref="Q11:Q13"/>
    <mergeCell ref="Q14:R14"/>
    <mergeCell ref="Q15:R15"/>
    <mergeCell ref="P23:P47"/>
    <mergeCell ref="P48:P61"/>
    <mergeCell ref="P62:P68"/>
    <mergeCell ref="Q62:R62"/>
    <mergeCell ref="Q63:R63"/>
    <mergeCell ref="Q64:R64"/>
    <mergeCell ref="Q65:R65"/>
    <mergeCell ref="Q66:R66"/>
    <mergeCell ref="Q67:R67"/>
    <mergeCell ref="Q68:R68"/>
    <mergeCell ref="P69:R69"/>
    <mergeCell ref="L41:M41"/>
    <mergeCell ref="F70:H70"/>
  </mergeCells>
  <printOptions horizontalCentered="1"/>
  <pageMargins left="0.74803149606299213" right="0.74803149606299213" top="0.98425196850393704" bottom="0.98425196850393704" header="0.51181102362204722" footer="0.51181102362204722"/>
  <pageSetup scale="45" fitToWidth="0" orientation="portrait" r:id="rId1"/>
  <headerFooter alignWithMargins="0">
    <oddHeader>&amp;C&amp;"Arial,Negrita"CUADRO DE ESTIMACIÓN DE ESFUERZO 
SOLUCIONES MÓVILES 4</oddHeader>
    <oddFooter>&amp;L&amp;"Arial,Negrita"&amp;A&amp;C&amp;"Arial,Negrita"&amp;P/&amp;N</oddFooter>
  </headerFooter>
  <rowBreaks count="1" manualBreakCount="1">
    <brk id="34" max="18" man="1"/>
  </rowBreaks>
  <colBreaks count="2" manualBreakCount="2">
    <brk id="9" max="70" man="1"/>
    <brk id="14" max="7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47"/>
  <sheetViews>
    <sheetView view="pageBreakPreview" topLeftCell="A10" zoomScale="60" zoomScaleNormal="80" workbookViewId="0">
      <selection activeCell="J22" sqref="J22"/>
    </sheetView>
  </sheetViews>
  <sheetFormatPr baseColWidth="10" defaultColWidth="9.140625" defaultRowHeight="12.75" x14ac:dyDescent="0.2"/>
  <cols>
    <col min="1" max="1" width="5.7109375" style="27" customWidth="1"/>
    <col min="2" max="2" width="6.140625" style="1" customWidth="1"/>
    <col min="3" max="3" width="19.140625" style="20" customWidth="1"/>
    <col min="4" max="4" width="7" style="2" customWidth="1"/>
    <col min="5" max="5" width="18.5703125" style="1" customWidth="1"/>
    <col min="6" max="6" width="15.42578125" style="58" customWidth="1"/>
    <col min="7" max="7" width="41.28515625" style="3" customWidth="1"/>
    <col min="8" max="8" width="57.85546875" style="27" customWidth="1"/>
    <col min="9" max="9" width="9.140625" style="61" customWidth="1"/>
    <col min="10" max="30" width="9.140625" style="27"/>
    <col min="31" max="16384" width="9.140625" style="1"/>
  </cols>
  <sheetData>
    <row r="1" spans="1:30" s="27" customFormat="1" x14ac:dyDescent="0.2">
      <c r="C1" s="28"/>
      <c r="D1" s="29"/>
      <c r="F1" s="54"/>
      <c r="G1" s="30"/>
      <c r="I1" s="61"/>
    </row>
    <row r="2" spans="1:30" s="27" customFormat="1" ht="19.5" thickBot="1" x14ac:dyDescent="0.35">
      <c r="B2" s="408" t="s">
        <v>78</v>
      </c>
      <c r="C2" s="408"/>
      <c r="D2" s="408"/>
      <c r="E2" s="408"/>
      <c r="F2" s="408"/>
      <c r="G2" s="408"/>
      <c r="H2" s="408"/>
      <c r="I2" s="61"/>
    </row>
    <row r="3" spans="1:30" s="4" customFormat="1" ht="39" thickBot="1" x14ac:dyDescent="0.25">
      <c r="A3" s="34"/>
      <c r="B3" s="404" t="s">
        <v>24</v>
      </c>
      <c r="C3" s="405"/>
      <c r="D3" s="88" t="s">
        <v>60</v>
      </c>
      <c r="E3" s="88" t="s">
        <v>61</v>
      </c>
      <c r="F3" s="88" t="s">
        <v>62</v>
      </c>
      <c r="G3" s="88" t="s">
        <v>12</v>
      </c>
      <c r="H3" s="89" t="s">
        <v>94</v>
      </c>
      <c r="I3" s="62"/>
      <c r="J3" s="34"/>
      <c r="K3" s="34"/>
      <c r="L3" s="34"/>
      <c r="M3" s="34"/>
      <c r="N3" s="34"/>
      <c r="O3" s="34"/>
      <c r="P3" s="34"/>
      <c r="Q3" s="34"/>
      <c r="R3" s="34"/>
      <c r="S3" s="34"/>
      <c r="T3" s="34"/>
      <c r="U3" s="34"/>
      <c r="V3" s="34"/>
      <c r="W3" s="34"/>
      <c r="X3" s="34"/>
      <c r="Y3" s="34"/>
      <c r="Z3" s="34"/>
      <c r="AA3" s="34"/>
      <c r="AB3" s="34"/>
      <c r="AC3" s="34"/>
      <c r="AD3" s="34"/>
    </row>
    <row r="4" spans="1:30" s="4" customFormat="1" ht="149.25" customHeight="1" x14ac:dyDescent="0.2">
      <c r="A4" s="34"/>
      <c r="B4" s="90">
        <v>1</v>
      </c>
      <c r="C4" s="85" t="s">
        <v>15</v>
      </c>
      <c r="D4" s="84">
        <v>2</v>
      </c>
      <c r="E4" s="86">
        <v>3</v>
      </c>
      <c r="F4" s="84">
        <f>+E4*D4</f>
        <v>6</v>
      </c>
      <c r="G4" s="87" t="s">
        <v>48</v>
      </c>
      <c r="H4" s="91" t="s">
        <v>253</v>
      </c>
      <c r="I4" s="63"/>
      <c r="J4" s="34"/>
      <c r="K4" s="34"/>
      <c r="L4" s="34"/>
      <c r="M4" s="34"/>
      <c r="N4" s="34"/>
      <c r="O4" s="34"/>
      <c r="P4" s="34"/>
      <c r="Q4" s="34"/>
      <c r="R4" s="34"/>
      <c r="S4" s="34"/>
      <c r="T4" s="34"/>
      <c r="U4" s="34"/>
      <c r="V4" s="34"/>
      <c r="W4" s="34"/>
      <c r="X4" s="34"/>
      <c r="Y4" s="34"/>
      <c r="Z4" s="34"/>
      <c r="AA4" s="34"/>
      <c r="AB4" s="34"/>
      <c r="AC4" s="34"/>
      <c r="AD4" s="34"/>
    </row>
    <row r="5" spans="1:30" s="4" customFormat="1" ht="198" customHeight="1" x14ac:dyDescent="0.2">
      <c r="A5" s="34"/>
      <c r="B5" s="5">
        <v>2</v>
      </c>
      <c r="C5" s="21" t="s">
        <v>16</v>
      </c>
      <c r="D5" s="6">
        <v>1</v>
      </c>
      <c r="E5" s="22">
        <v>3</v>
      </c>
      <c r="F5" s="6">
        <f t="shared" ref="F5:F16" si="0">+E5*D5</f>
        <v>3</v>
      </c>
      <c r="G5" s="59" t="s">
        <v>254</v>
      </c>
      <c r="H5" s="92" t="s">
        <v>255</v>
      </c>
      <c r="I5" s="63"/>
      <c r="J5" s="34"/>
      <c r="K5" s="34"/>
      <c r="L5" s="34"/>
      <c r="M5" s="34"/>
      <c r="N5" s="34"/>
      <c r="O5" s="34"/>
      <c r="P5" s="34"/>
      <c r="Q5" s="34"/>
      <c r="R5" s="34"/>
      <c r="S5" s="34"/>
      <c r="T5" s="34"/>
      <c r="U5" s="34"/>
      <c r="V5" s="34"/>
      <c r="W5" s="34"/>
      <c r="X5" s="34"/>
      <c r="Y5" s="34"/>
      <c r="Z5" s="34"/>
      <c r="AA5" s="34"/>
      <c r="AB5" s="34"/>
      <c r="AC5" s="34"/>
      <c r="AD5" s="34"/>
    </row>
    <row r="6" spans="1:30" s="4" customFormat="1" ht="76.5" customHeight="1" x14ac:dyDescent="0.2">
      <c r="A6" s="34"/>
      <c r="B6" s="5">
        <v>3</v>
      </c>
      <c r="C6" s="21" t="s">
        <v>27</v>
      </c>
      <c r="D6" s="6">
        <v>1</v>
      </c>
      <c r="E6" s="22">
        <v>4</v>
      </c>
      <c r="F6" s="6">
        <f t="shared" si="0"/>
        <v>4</v>
      </c>
      <c r="G6" s="59" t="s">
        <v>50</v>
      </c>
      <c r="H6" s="93" t="s">
        <v>228</v>
      </c>
      <c r="I6" s="63"/>
      <c r="J6" s="34"/>
      <c r="K6" s="34"/>
      <c r="L6" s="34"/>
      <c r="M6" s="34"/>
      <c r="N6" s="34"/>
      <c r="O6" s="34"/>
      <c r="P6" s="34"/>
      <c r="Q6" s="34"/>
      <c r="R6" s="34"/>
      <c r="S6" s="34"/>
      <c r="T6" s="34"/>
      <c r="U6" s="34"/>
      <c r="V6" s="34"/>
      <c r="W6" s="34"/>
      <c r="X6" s="34"/>
      <c r="Y6" s="34"/>
      <c r="Z6" s="34"/>
      <c r="AA6" s="34"/>
      <c r="AB6" s="34"/>
      <c r="AC6" s="34"/>
      <c r="AD6" s="34"/>
    </row>
    <row r="7" spans="1:30" s="4" customFormat="1" ht="67.5" customHeight="1" x14ac:dyDescent="0.2">
      <c r="A7" s="34"/>
      <c r="B7" s="5">
        <v>4</v>
      </c>
      <c r="C7" s="21" t="s">
        <v>25</v>
      </c>
      <c r="D7" s="6">
        <v>1</v>
      </c>
      <c r="E7" s="22">
        <v>2</v>
      </c>
      <c r="F7" s="6">
        <f t="shared" si="0"/>
        <v>2</v>
      </c>
      <c r="G7" s="59" t="s">
        <v>51</v>
      </c>
      <c r="H7" s="93" t="s">
        <v>101</v>
      </c>
      <c r="I7" s="63"/>
      <c r="J7" s="34"/>
      <c r="K7" s="34"/>
      <c r="L7" s="34"/>
      <c r="M7" s="34"/>
      <c r="N7" s="34"/>
      <c r="O7" s="34"/>
      <c r="P7" s="34"/>
      <c r="Q7" s="34"/>
      <c r="R7" s="34"/>
      <c r="S7" s="34"/>
      <c r="T7" s="34"/>
      <c r="U7" s="34"/>
      <c r="V7" s="34"/>
      <c r="W7" s="34"/>
      <c r="X7" s="34"/>
      <c r="Y7" s="34"/>
      <c r="Z7" s="34"/>
      <c r="AA7" s="34"/>
      <c r="AB7" s="34"/>
      <c r="AC7" s="34"/>
      <c r="AD7" s="34"/>
    </row>
    <row r="8" spans="1:30" s="4" customFormat="1" ht="63.75" x14ac:dyDescent="0.2">
      <c r="A8" s="34"/>
      <c r="B8" s="5">
        <v>5</v>
      </c>
      <c r="C8" s="21" t="s">
        <v>17</v>
      </c>
      <c r="D8" s="6">
        <v>1</v>
      </c>
      <c r="E8" s="22">
        <v>2</v>
      </c>
      <c r="F8" s="6">
        <f t="shared" si="0"/>
        <v>2</v>
      </c>
      <c r="G8" s="59" t="s">
        <v>52</v>
      </c>
      <c r="H8" s="94" t="s">
        <v>256</v>
      </c>
      <c r="I8" s="63"/>
      <c r="J8" s="34"/>
      <c r="K8" s="34"/>
      <c r="L8" s="34"/>
      <c r="M8" s="34"/>
      <c r="N8" s="34"/>
      <c r="O8" s="34"/>
      <c r="P8" s="34"/>
      <c r="Q8" s="34"/>
      <c r="R8" s="34"/>
      <c r="S8" s="34"/>
      <c r="T8" s="34"/>
      <c r="U8" s="34"/>
      <c r="V8" s="34"/>
      <c r="W8" s="34"/>
      <c r="X8" s="34"/>
      <c r="Y8" s="34"/>
      <c r="Z8" s="34"/>
      <c r="AA8" s="34"/>
      <c r="AB8" s="34"/>
      <c r="AC8" s="34"/>
      <c r="AD8" s="34"/>
    </row>
    <row r="9" spans="1:30" s="4" customFormat="1" ht="84" customHeight="1" x14ac:dyDescent="0.2">
      <c r="A9" s="34"/>
      <c r="B9" s="5">
        <v>6</v>
      </c>
      <c r="C9" s="21" t="s">
        <v>18</v>
      </c>
      <c r="D9" s="6">
        <v>0.5</v>
      </c>
      <c r="E9" s="22">
        <v>3</v>
      </c>
      <c r="F9" s="6">
        <f t="shared" si="0"/>
        <v>1.5</v>
      </c>
      <c r="G9" s="59" t="s">
        <v>53</v>
      </c>
      <c r="H9" s="93" t="s">
        <v>257</v>
      </c>
      <c r="I9" s="63"/>
      <c r="J9" s="34"/>
      <c r="K9" s="34"/>
      <c r="L9" s="34"/>
      <c r="M9" s="34"/>
      <c r="N9" s="34"/>
      <c r="O9" s="34"/>
      <c r="P9" s="34"/>
      <c r="Q9" s="34"/>
      <c r="R9" s="34"/>
      <c r="S9" s="34"/>
      <c r="T9" s="34"/>
      <c r="U9" s="34"/>
      <c r="V9" s="34"/>
      <c r="W9" s="34"/>
      <c r="X9" s="34"/>
      <c r="Y9" s="34"/>
      <c r="Z9" s="34"/>
      <c r="AA9" s="34"/>
      <c r="AB9" s="34"/>
      <c r="AC9" s="34"/>
      <c r="AD9" s="34"/>
    </row>
    <row r="10" spans="1:30" s="4" customFormat="1" ht="109.5" customHeight="1" x14ac:dyDescent="0.2">
      <c r="A10" s="34"/>
      <c r="B10" s="5">
        <v>7</v>
      </c>
      <c r="C10" s="21" t="s">
        <v>19</v>
      </c>
      <c r="D10" s="6">
        <v>0.5</v>
      </c>
      <c r="E10" s="22">
        <v>5</v>
      </c>
      <c r="F10" s="6">
        <f t="shared" si="0"/>
        <v>2.5</v>
      </c>
      <c r="G10" s="59" t="s">
        <v>54</v>
      </c>
      <c r="H10" s="92" t="s">
        <v>121</v>
      </c>
      <c r="I10" s="63"/>
      <c r="J10" s="34"/>
      <c r="K10" s="34"/>
      <c r="L10" s="34"/>
      <c r="M10" s="34"/>
      <c r="N10" s="34"/>
      <c r="O10" s="34"/>
      <c r="P10" s="34"/>
      <c r="Q10" s="34"/>
      <c r="R10" s="34"/>
      <c r="S10" s="34"/>
      <c r="T10" s="34"/>
      <c r="U10" s="34"/>
      <c r="V10" s="34"/>
      <c r="W10" s="34"/>
      <c r="X10" s="34"/>
      <c r="Y10" s="34"/>
      <c r="Z10" s="34"/>
      <c r="AA10" s="34"/>
      <c r="AB10" s="34"/>
      <c r="AC10" s="34"/>
      <c r="AD10" s="34"/>
    </row>
    <row r="11" spans="1:30" s="4" customFormat="1" ht="201" customHeight="1" x14ac:dyDescent="0.2">
      <c r="A11" s="34"/>
      <c r="B11" s="5">
        <v>8</v>
      </c>
      <c r="C11" s="21" t="s">
        <v>20</v>
      </c>
      <c r="D11" s="6">
        <v>2</v>
      </c>
      <c r="E11" s="22">
        <v>5</v>
      </c>
      <c r="F11" s="6">
        <f t="shared" si="0"/>
        <v>10</v>
      </c>
      <c r="G11" s="59" t="s">
        <v>55</v>
      </c>
      <c r="H11" s="92" t="s">
        <v>484</v>
      </c>
      <c r="I11" s="63"/>
      <c r="J11" s="34"/>
      <c r="K11" s="34"/>
      <c r="L11" s="34"/>
      <c r="M11" s="34"/>
      <c r="N11" s="34"/>
      <c r="O11" s="34"/>
      <c r="P11" s="34"/>
      <c r="Q11" s="34"/>
      <c r="R11" s="34"/>
      <c r="S11" s="34"/>
      <c r="T11" s="34"/>
      <c r="U11" s="34"/>
      <c r="V11" s="34"/>
      <c r="W11" s="34"/>
      <c r="X11" s="34"/>
      <c r="Y11" s="34"/>
      <c r="Z11" s="34"/>
      <c r="AA11" s="34"/>
      <c r="AB11" s="34"/>
      <c r="AC11" s="34"/>
      <c r="AD11" s="34"/>
    </row>
    <row r="12" spans="1:30" s="4" customFormat="1" ht="162" customHeight="1" x14ac:dyDescent="0.2">
      <c r="A12" s="34"/>
      <c r="B12" s="5">
        <v>9</v>
      </c>
      <c r="C12" s="21" t="s">
        <v>21</v>
      </c>
      <c r="D12" s="6">
        <v>1</v>
      </c>
      <c r="E12" s="22">
        <v>3</v>
      </c>
      <c r="F12" s="6">
        <f t="shared" si="0"/>
        <v>3</v>
      </c>
      <c r="G12" s="59" t="s">
        <v>47</v>
      </c>
      <c r="H12" s="93" t="s">
        <v>258</v>
      </c>
      <c r="I12" s="63"/>
      <c r="J12" s="34"/>
      <c r="K12" s="34"/>
      <c r="L12" s="34"/>
      <c r="M12" s="34"/>
      <c r="N12" s="34"/>
      <c r="O12" s="34"/>
      <c r="P12" s="34"/>
      <c r="Q12" s="34"/>
      <c r="R12" s="34"/>
      <c r="S12" s="34"/>
      <c r="T12" s="34"/>
      <c r="U12" s="34"/>
      <c r="V12" s="34"/>
      <c r="W12" s="34"/>
      <c r="X12" s="34"/>
      <c r="Y12" s="34"/>
      <c r="Z12" s="34"/>
      <c r="AA12" s="34"/>
      <c r="AB12" s="34"/>
      <c r="AC12" s="34"/>
      <c r="AD12" s="34"/>
    </row>
    <row r="13" spans="1:30" s="4" customFormat="1" ht="121.5" customHeight="1" x14ac:dyDescent="0.2">
      <c r="A13" s="34"/>
      <c r="B13" s="5">
        <v>10</v>
      </c>
      <c r="C13" s="21" t="s">
        <v>22</v>
      </c>
      <c r="D13" s="6">
        <v>1</v>
      </c>
      <c r="E13" s="22">
        <v>3</v>
      </c>
      <c r="F13" s="6">
        <f t="shared" si="0"/>
        <v>3</v>
      </c>
      <c r="G13" s="59" t="s">
        <v>56</v>
      </c>
      <c r="H13" s="92" t="s">
        <v>259</v>
      </c>
      <c r="I13" s="63"/>
      <c r="J13" s="34"/>
      <c r="K13" s="34"/>
      <c r="L13" s="34"/>
      <c r="M13" s="34"/>
      <c r="N13" s="34"/>
      <c r="O13" s="34"/>
      <c r="P13" s="34"/>
      <c r="Q13" s="34"/>
      <c r="R13" s="34"/>
      <c r="S13" s="34"/>
      <c r="T13" s="34"/>
      <c r="U13" s="34"/>
      <c r="V13" s="34"/>
      <c r="W13" s="34"/>
      <c r="X13" s="34"/>
      <c r="Y13" s="34"/>
      <c r="Z13" s="34"/>
      <c r="AA13" s="34"/>
      <c r="AB13" s="34"/>
      <c r="AC13" s="34"/>
      <c r="AD13" s="34"/>
    </row>
    <row r="14" spans="1:30" s="4" customFormat="1" ht="112.5" customHeight="1" x14ac:dyDescent="0.2">
      <c r="A14" s="34"/>
      <c r="B14" s="5">
        <v>11</v>
      </c>
      <c r="C14" s="21" t="s">
        <v>63</v>
      </c>
      <c r="D14" s="6">
        <v>1</v>
      </c>
      <c r="E14" s="22">
        <v>3</v>
      </c>
      <c r="F14" s="6">
        <f t="shared" si="0"/>
        <v>3</v>
      </c>
      <c r="G14" s="59" t="s">
        <v>57</v>
      </c>
      <c r="H14" s="93" t="s">
        <v>229</v>
      </c>
      <c r="I14" s="63"/>
      <c r="J14" s="34"/>
      <c r="K14" s="34"/>
      <c r="L14" s="34"/>
      <c r="M14" s="34"/>
      <c r="N14" s="34"/>
      <c r="O14" s="34"/>
      <c r="P14" s="34"/>
      <c r="Q14" s="34"/>
      <c r="R14" s="34"/>
      <c r="S14" s="34"/>
      <c r="T14" s="34"/>
      <c r="U14" s="34"/>
      <c r="V14" s="34"/>
      <c r="W14" s="34"/>
      <c r="X14" s="34"/>
      <c r="Y14" s="34"/>
      <c r="Z14" s="34"/>
      <c r="AA14" s="34"/>
      <c r="AB14" s="34"/>
      <c r="AC14" s="34"/>
      <c r="AD14" s="34"/>
    </row>
    <row r="15" spans="1:30" s="4" customFormat="1" ht="77.25" customHeight="1" x14ac:dyDescent="0.2">
      <c r="A15" s="34"/>
      <c r="B15" s="5">
        <v>12</v>
      </c>
      <c r="C15" s="21" t="s">
        <v>23</v>
      </c>
      <c r="D15" s="6">
        <v>1</v>
      </c>
      <c r="E15" s="22">
        <v>3</v>
      </c>
      <c r="F15" s="6">
        <f t="shared" si="0"/>
        <v>3</v>
      </c>
      <c r="G15" s="59" t="s">
        <v>58</v>
      </c>
      <c r="H15" s="93" t="s">
        <v>230</v>
      </c>
      <c r="I15" s="63"/>
      <c r="J15" s="34"/>
      <c r="K15" s="34"/>
      <c r="L15" s="34"/>
      <c r="M15" s="34"/>
      <c r="N15" s="34"/>
      <c r="O15" s="34"/>
      <c r="P15" s="34"/>
      <c r="Q15" s="34"/>
      <c r="R15" s="34"/>
      <c r="S15" s="34"/>
      <c r="T15" s="34"/>
      <c r="U15" s="34"/>
      <c r="V15" s="34"/>
      <c r="W15" s="34"/>
      <c r="X15" s="34"/>
      <c r="Y15" s="34"/>
      <c r="Z15" s="34"/>
      <c r="AA15" s="34"/>
      <c r="AB15" s="34"/>
      <c r="AC15" s="34"/>
      <c r="AD15" s="34"/>
    </row>
    <row r="16" spans="1:30" s="4" customFormat="1" ht="112.5" customHeight="1" x14ac:dyDescent="0.2">
      <c r="A16" s="34"/>
      <c r="B16" s="5">
        <v>13</v>
      </c>
      <c r="C16" s="21" t="s">
        <v>28</v>
      </c>
      <c r="D16" s="6">
        <v>1</v>
      </c>
      <c r="E16" s="22">
        <v>4</v>
      </c>
      <c r="F16" s="6">
        <f t="shared" si="0"/>
        <v>4</v>
      </c>
      <c r="G16" s="59" t="s">
        <v>59</v>
      </c>
      <c r="H16" s="93" t="s">
        <v>260</v>
      </c>
      <c r="I16" s="63"/>
      <c r="J16" s="34"/>
      <c r="K16" s="34"/>
      <c r="L16" s="34"/>
      <c r="M16" s="34"/>
      <c r="N16" s="34"/>
      <c r="O16" s="34"/>
      <c r="P16" s="34"/>
      <c r="Q16" s="34"/>
      <c r="R16" s="34"/>
      <c r="S16" s="34"/>
      <c r="T16" s="34"/>
      <c r="U16" s="34"/>
      <c r="V16" s="34"/>
      <c r="W16" s="34"/>
      <c r="X16" s="34"/>
      <c r="Y16" s="34"/>
      <c r="Z16" s="34"/>
      <c r="AA16" s="34"/>
      <c r="AB16" s="34"/>
      <c r="AC16" s="34"/>
      <c r="AD16" s="34"/>
    </row>
    <row r="17" spans="2:9" ht="29.25" customHeight="1" thickBot="1" x14ac:dyDescent="0.25">
      <c r="B17" s="406" t="s">
        <v>26</v>
      </c>
      <c r="C17" s="407"/>
      <c r="D17" s="8"/>
      <c r="E17" s="95"/>
      <c r="F17" s="95">
        <f>SUM(F4:F16)</f>
        <v>47</v>
      </c>
      <c r="G17" s="96"/>
      <c r="H17" s="97"/>
      <c r="I17" s="63"/>
    </row>
    <row r="18" spans="2:9" s="27" customFormat="1" x14ac:dyDescent="0.2">
      <c r="C18" s="28"/>
      <c r="D18" s="29"/>
      <c r="F18" s="54"/>
      <c r="G18" s="30"/>
      <c r="I18" s="61"/>
    </row>
    <row r="19" spans="2:9" s="27" customFormat="1" ht="13.5" thickBot="1" x14ac:dyDescent="0.25">
      <c r="C19" s="28"/>
      <c r="D19" s="29"/>
      <c r="E19" s="46">
        <f>0.6+(F17*0.01)</f>
        <v>1.07</v>
      </c>
      <c r="F19" s="55"/>
      <c r="G19" s="31"/>
      <c r="I19" s="61"/>
    </row>
    <row r="20" spans="2:9" s="27" customFormat="1" x14ac:dyDescent="0.2">
      <c r="C20" s="28"/>
      <c r="D20" s="29"/>
      <c r="F20" s="56"/>
      <c r="G20" s="32"/>
      <c r="I20" s="61"/>
    </row>
    <row r="21" spans="2:9" s="27" customFormat="1" x14ac:dyDescent="0.2">
      <c r="C21" s="28"/>
      <c r="D21" s="29"/>
      <c r="F21" s="56"/>
      <c r="G21" s="32"/>
      <c r="I21" s="61"/>
    </row>
    <row r="22" spans="2:9" s="27" customFormat="1" x14ac:dyDescent="0.2">
      <c r="C22" s="28"/>
      <c r="D22" s="29"/>
      <c r="F22" s="57"/>
      <c r="G22" s="33"/>
      <c r="I22" s="61"/>
    </row>
    <row r="23" spans="2:9" s="27" customFormat="1" x14ac:dyDescent="0.2">
      <c r="C23" s="28"/>
      <c r="D23" s="29"/>
      <c r="F23" s="54"/>
      <c r="G23" s="30"/>
      <c r="I23" s="61"/>
    </row>
    <row r="24" spans="2:9" s="27" customFormat="1" x14ac:dyDescent="0.2">
      <c r="C24" s="28"/>
      <c r="D24" s="29"/>
      <c r="F24" s="54"/>
      <c r="G24" s="30"/>
      <c r="I24" s="61"/>
    </row>
    <row r="25" spans="2:9" s="27" customFormat="1" x14ac:dyDescent="0.2">
      <c r="C25" s="28"/>
      <c r="D25" s="29"/>
      <c r="F25" s="54"/>
      <c r="G25" s="30"/>
      <c r="I25" s="61"/>
    </row>
    <row r="26" spans="2:9" s="27" customFormat="1" x14ac:dyDescent="0.2">
      <c r="C26" s="28"/>
      <c r="D26" s="29"/>
      <c r="F26" s="54"/>
      <c r="G26" s="30"/>
      <c r="I26" s="61"/>
    </row>
    <row r="27" spans="2:9" s="27" customFormat="1" x14ac:dyDescent="0.2">
      <c r="C27" s="28"/>
      <c r="D27" s="29"/>
      <c r="F27" s="54"/>
      <c r="G27" s="30"/>
      <c r="I27" s="61"/>
    </row>
    <row r="28" spans="2:9" s="27" customFormat="1" x14ac:dyDescent="0.2">
      <c r="C28" s="28"/>
      <c r="D28" s="29"/>
      <c r="F28" s="54"/>
      <c r="G28" s="30"/>
      <c r="I28" s="61"/>
    </row>
    <row r="29" spans="2:9" s="27" customFormat="1" x14ac:dyDescent="0.2">
      <c r="C29" s="28"/>
      <c r="D29" s="29"/>
      <c r="F29" s="54"/>
      <c r="G29" s="30"/>
      <c r="I29" s="61"/>
    </row>
    <row r="30" spans="2:9" s="27" customFormat="1" x14ac:dyDescent="0.2">
      <c r="C30" s="28"/>
      <c r="D30" s="29"/>
      <c r="F30" s="54"/>
      <c r="G30" s="30"/>
      <c r="I30" s="61"/>
    </row>
    <row r="31" spans="2:9" s="27" customFormat="1" x14ac:dyDescent="0.2">
      <c r="C31" s="28"/>
      <c r="D31" s="29"/>
      <c r="F31" s="54"/>
      <c r="G31" s="30"/>
      <c r="I31" s="61"/>
    </row>
    <row r="32" spans="2:9" s="27" customFormat="1" x14ac:dyDescent="0.2">
      <c r="C32" s="28"/>
      <c r="D32" s="29"/>
      <c r="F32" s="54"/>
      <c r="G32" s="30"/>
      <c r="I32" s="61"/>
    </row>
    <row r="33" spans="3:9" s="27" customFormat="1" x14ac:dyDescent="0.2">
      <c r="C33" s="28"/>
      <c r="D33" s="29"/>
      <c r="F33" s="54"/>
      <c r="G33" s="30"/>
      <c r="I33" s="61"/>
    </row>
    <row r="34" spans="3:9" s="27" customFormat="1" x14ac:dyDescent="0.2">
      <c r="C34" s="28"/>
      <c r="D34" s="29"/>
      <c r="F34" s="54"/>
      <c r="G34" s="30"/>
      <c r="I34" s="61"/>
    </row>
    <row r="35" spans="3:9" s="27" customFormat="1" x14ac:dyDescent="0.2">
      <c r="C35" s="28"/>
      <c r="D35" s="29"/>
      <c r="F35" s="54"/>
      <c r="G35" s="30"/>
      <c r="I35" s="61"/>
    </row>
    <row r="36" spans="3:9" s="27" customFormat="1" x14ac:dyDescent="0.2">
      <c r="C36" s="28"/>
      <c r="D36" s="29"/>
      <c r="F36" s="54"/>
      <c r="G36" s="30"/>
      <c r="I36" s="61"/>
    </row>
    <row r="37" spans="3:9" s="27" customFormat="1" x14ac:dyDescent="0.2">
      <c r="C37" s="28"/>
      <c r="D37" s="29"/>
      <c r="F37" s="54"/>
      <c r="G37" s="30"/>
      <c r="I37" s="61"/>
    </row>
    <row r="38" spans="3:9" s="27" customFormat="1" x14ac:dyDescent="0.2">
      <c r="C38" s="28"/>
      <c r="D38" s="29"/>
      <c r="F38" s="54"/>
      <c r="G38" s="30"/>
      <c r="I38" s="61"/>
    </row>
    <row r="39" spans="3:9" s="27" customFormat="1" x14ac:dyDescent="0.2">
      <c r="C39" s="28"/>
      <c r="D39" s="29"/>
      <c r="F39" s="54"/>
      <c r="G39" s="30"/>
      <c r="I39" s="61"/>
    </row>
    <row r="40" spans="3:9" s="27" customFormat="1" x14ac:dyDescent="0.2">
      <c r="C40" s="28"/>
      <c r="D40" s="29"/>
      <c r="F40" s="54"/>
      <c r="G40" s="30"/>
      <c r="I40" s="61"/>
    </row>
    <row r="41" spans="3:9" s="27" customFormat="1" x14ac:dyDescent="0.2">
      <c r="C41" s="28"/>
      <c r="D41" s="29"/>
      <c r="F41" s="54"/>
      <c r="G41" s="30"/>
      <c r="I41" s="61"/>
    </row>
    <row r="42" spans="3:9" s="27" customFormat="1" x14ac:dyDescent="0.2">
      <c r="C42" s="28"/>
      <c r="D42" s="29"/>
      <c r="F42" s="54"/>
      <c r="G42" s="30"/>
      <c r="I42" s="61"/>
    </row>
    <row r="43" spans="3:9" s="27" customFormat="1" x14ac:dyDescent="0.2">
      <c r="C43" s="28"/>
      <c r="D43" s="29"/>
      <c r="F43" s="54"/>
      <c r="G43" s="30"/>
      <c r="I43" s="61"/>
    </row>
    <row r="44" spans="3:9" s="27" customFormat="1" x14ac:dyDescent="0.2">
      <c r="C44" s="28"/>
      <c r="D44" s="29"/>
      <c r="F44" s="54"/>
      <c r="G44" s="30"/>
      <c r="I44" s="61"/>
    </row>
    <row r="45" spans="3:9" s="27" customFormat="1" x14ac:dyDescent="0.2">
      <c r="C45" s="28"/>
      <c r="D45" s="29"/>
      <c r="F45" s="54"/>
      <c r="G45" s="30"/>
      <c r="I45" s="61"/>
    </row>
    <row r="46" spans="3:9" s="27" customFormat="1" x14ac:dyDescent="0.2">
      <c r="C46" s="28"/>
      <c r="D46" s="29"/>
      <c r="F46" s="54"/>
      <c r="G46" s="30"/>
      <c r="I46" s="61"/>
    </row>
    <row r="47" spans="3:9" s="27" customFormat="1" x14ac:dyDescent="0.2">
      <c r="C47" s="28"/>
      <c r="D47" s="29"/>
      <c r="F47" s="54"/>
      <c r="G47" s="30"/>
      <c r="I47" s="61"/>
    </row>
  </sheetData>
  <mergeCells count="3">
    <mergeCell ref="B3:C3"/>
    <mergeCell ref="B17:C17"/>
    <mergeCell ref="B2:H2"/>
  </mergeCells>
  <phoneticPr fontId="2" type="noConversion"/>
  <printOptions horizontalCentered="1"/>
  <pageMargins left="0.74803149606299213" right="0.74803149606299213" top="0.98425196850393704" bottom="0.98425196850393704" header="0.51181102362204722" footer="0.51181102362204722"/>
  <pageSetup scale="74" fitToHeight="3" orientation="landscape" r:id="rId1"/>
  <headerFooter alignWithMargins="0">
    <oddHeader>&amp;C&amp;"Arial,Negrita"CUADRO DE ESTIMACIÓN DE ESFUERZO 
SOLUCIONES MÓVILES 4</oddHeader>
    <oddFooter>&amp;L&amp;"Arial,Negrita"&amp;A&amp;C&amp;"Arial,Negrita"&amp;P/&amp;N</oddFooter>
  </headerFooter>
  <colBreaks count="1" manualBreakCount="1">
    <brk id="8"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48"/>
  <sheetViews>
    <sheetView view="pageBreakPreview" zoomScale="60" zoomScaleNormal="80" workbookViewId="0">
      <selection activeCell="J22" sqref="J22"/>
    </sheetView>
  </sheetViews>
  <sheetFormatPr baseColWidth="10" defaultColWidth="9.140625" defaultRowHeight="12.75" x14ac:dyDescent="0.2"/>
  <cols>
    <col min="1" max="1" width="5.42578125" style="27" customWidth="1"/>
    <col min="2" max="2" width="9.140625" style="1" customWidth="1"/>
    <col min="3" max="3" width="28.28515625" style="2" customWidth="1"/>
    <col min="4" max="4" width="13.85546875" style="2" bestFit="1" customWidth="1"/>
    <col min="5" max="5" width="17.42578125" style="1" customWidth="1"/>
    <col min="6" max="6" width="15" style="1" customWidth="1"/>
    <col min="7" max="7" width="45.85546875" style="3" customWidth="1"/>
    <col min="8" max="8" width="47.5703125" style="60" customWidth="1"/>
    <col min="9" max="19" width="9.140625" style="27"/>
    <col min="20" max="16384" width="9.140625" style="1"/>
  </cols>
  <sheetData>
    <row r="1" spans="1:19" s="27" customFormat="1" ht="11.25" customHeight="1" x14ac:dyDescent="0.2">
      <c r="C1" s="29"/>
      <c r="D1" s="29"/>
      <c r="G1" s="30"/>
      <c r="H1" s="60"/>
    </row>
    <row r="2" spans="1:19" s="27" customFormat="1" ht="18.75" x14ac:dyDescent="0.3">
      <c r="B2" s="408" t="s">
        <v>79</v>
      </c>
      <c r="C2" s="408"/>
      <c r="D2" s="408"/>
      <c r="E2" s="408"/>
      <c r="F2" s="408"/>
      <c r="G2" s="408"/>
      <c r="H2" s="408"/>
    </row>
    <row r="3" spans="1:19" s="27" customFormat="1" ht="6" customHeight="1" thickBot="1" x14ac:dyDescent="0.25">
      <c r="C3" s="29"/>
      <c r="D3" s="29"/>
      <c r="G3" s="30"/>
      <c r="H3" s="60"/>
    </row>
    <row r="4" spans="1:19" s="4" customFormat="1" ht="39" thickBot="1" x14ac:dyDescent="0.25">
      <c r="A4" s="34"/>
      <c r="B4" s="404" t="s">
        <v>11</v>
      </c>
      <c r="C4" s="405"/>
      <c r="D4" s="88" t="s">
        <v>60</v>
      </c>
      <c r="E4" s="88" t="s">
        <v>61</v>
      </c>
      <c r="F4" s="88" t="s">
        <v>62</v>
      </c>
      <c r="G4" s="88" t="s">
        <v>12</v>
      </c>
      <c r="H4" s="89" t="s">
        <v>94</v>
      </c>
      <c r="I4" s="34"/>
      <c r="J4" s="34"/>
      <c r="K4" s="34"/>
      <c r="L4" s="34"/>
      <c r="M4" s="34"/>
      <c r="N4" s="34"/>
      <c r="O4" s="34"/>
      <c r="P4" s="34"/>
      <c r="Q4" s="34"/>
      <c r="R4" s="34"/>
      <c r="S4" s="34"/>
    </row>
    <row r="5" spans="1:19" s="4" customFormat="1" ht="59.25" customHeight="1" x14ac:dyDescent="0.2">
      <c r="A5" s="34"/>
      <c r="B5" s="90">
        <v>1</v>
      </c>
      <c r="C5" s="111" t="s">
        <v>4</v>
      </c>
      <c r="D5" s="84">
        <v>1.5</v>
      </c>
      <c r="E5" s="86">
        <v>5</v>
      </c>
      <c r="F5" s="84">
        <f>+E5*D5</f>
        <v>7.5</v>
      </c>
      <c r="G5" s="112" t="s">
        <v>68</v>
      </c>
      <c r="H5" s="113" t="s">
        <v>295</v>
      </c>
      <c r="I5" s="34"/>
      <c r="J5" s="34"/>
      <c r="K5" s="34"/>
      <c r="L5" s="34"/>
      <c r="M5" s="34"/>
      <c r="N5" s="34"/>
      <c r="O5" s="34"/>
      <c r="P5" s="34"/>
      <c r="Q5" s="34"/>
      <c r="R5" s="34"/>
      <c r="S5" s="34"/>
    </row>
    <row r="6" spans="1:19" s="4" customFormat="1" ht="48.75" customHeight="1" x14ac:dyDescent="0.2">
      <c r="A6" s="34"/>
      <c r="B6" s="5">
        <v>2</v>
      </c>
      <c r="C6" s="23" t="s">
        <v>5</v>
      </c>
      <c r="D6" s="6">
        <v>0.5</v>
      </c>
      <c r="E6" s="22">
        <v>2</v>
      </c>
      <c r="F6" s="6">
        <f t="shared" ref="F6:F13" si="0">+E6*D6</f>
        <v>1</v>
      </c>
      <c r="G6" s="98" t="s">
        <v>69</v>
      </c>
      <c r="H6" s="99" t="s">
        <v>133</v>
      </c>
      <c r="I6" s="34"/>
      <c r="J6" s="34"/>
      <c r="K6" s="34"/>
      <c r="L6" s="34"/>
      <c r="M6" s="34"/>
      <c r="N6" s="34"/>
      <c r="O6" s="34"/>
      <c r="P6" s="34"/>
      <c r="Q6" s="34"/>
      <c r="R6" s="34"/>
      <c r="S6" s="34"/>
    </row>
    <row r="7" spans="1:19" s="4" customFormat="1" ht="105" customHeight="1" x14ac:dyDescent="0.2">
      <c r="A7" s="34"/>
      <c r="B7" s="5">
        <v>3</v>
      </c>
      <c r="C7" s="23" t="s">
        <v>6</v>
      </c>
      <c r="D7" s="6">
        <v>1</v>
      </c>
      <c r="E7" s="22">
        <v>5</v>
      </c>
      <c r="F7" s="6">
        <f t="shared" si="0"/>
        <v>5</v>
      </c>
      <c r="G7" s="98" t="s">
        <v>70</v>
      </c>
      <c r="H7" s="99" t="s">
        <v>122</v>
      </c>
      <c r="I7" s="34"/>
      <c r="J7" s="34"/>
      <c r="K7" s="34"/>
      <c r="L7" s="34"/>
      <c r="M7" s="34"/>
      <c r="N7" s="34"/>
      <c r="O7" s="34"/>
      <c r="P7" s="34"/>
      <c r="Q7" s="34"/>
      <c r="R7" s="34"/>
      <c r="S7" s="34"/>
    </row>
    <row r="8" spans="1:19" s="4" customFormat="1" ht="68.25" customHeight="1" x14ac:dyDescent="0.2">
      <c r="A8" s="34"/>
      <c r="B8" s="5">
        <v>4</v>
      </c>
      <c r="C8" s="23" t="s">
        <v>13</v>
      </c>
      <c r="D8" s="6">
        <v>0.5</v>
      </c>
      <c r="E8" s="22">
        <v>5</v>
      </c>
      <c r="F8" s="6">
        <f t="shared" si="0"/>
        <v>2.5</v>
      </c>
      <c r="G8" s="98" t="s">
        <v>71</v>
      </c>
      <c r="H8" s="100" t="s">
        <v>123</v>
      </c>
      <c r="I8" s="34"/>
      <c r="J8" s="34"/>
      <c r="K8" s="34"/>
      <c r="L8" s="34"/>
      <c r="M8" s="34"/>
      <c r="N8" s="34"/>
      <c r="O8" s="34"/>
      <c r="P8" s="34"/>
      <c r="Q8" s="34"/>
      <c r="R8" s="34"/>
      <c r="S8" s="34"/>
    </row>
    <row r="9" spans="1:19" s="4" customFormat="1" ht="38.25" x14ac:dyDescent="0.2">
      <c r="A9" s="34"/>
      <c r="B9" s="5">
        <v>5</v>
      </c>
      <c r="C9" s="23" t="s">
        <v>7</v>
      </c>
      <c r="D9" s="6">
        <v>1</v>
      </c>
      <c r="E9" s="22">
        <v>5</v>
      </c>
      <c r="F9" s="6">
        <f t="shared" si="0"/>
        <v>5</v>
      </c>
      <c r="G9" s="98" t="s">
        <v>72</v>
      </c>
      <c r="H9" s="99" t="s">
        <v>103</v>
      </c>
      <c r="I9" s="34"/>
      <c r="J9" s="34"/>
      <c r="K9" s="34"/>
      <c r="L9" s="34"/>
      <c r="M9" s="34"/>
      <c r="N9" s="34"/>
      <c r="O9" s="34"/>
      <c r="P9" s="34"/>
      <c r="Q9" s="34"/>
      <c r="R9" s="34"/>
      <c r="S9" s="34"/>
    </row>
    <row r="10" spans="1:19" s="4" customFormat="1" ht="93.75" customHeight="1" x14ac:dyDescent="0.2">
      <c r="A10" s="34"/>
      <c r="B10" s="5">
        <v>6</v>
      </c>
      <c r="C10" s="23" t="s">
        <v>8</v>
      </c>
      <c r="D10" s="6">
        <v>2</v>
      </c>
      <c r="E10" s="22">
        <v>4</v>
      </c>
      <c r="F10" s="6">
        <f t="shared" si="0"/>
        <v>8</v>
      </c>
      <c r="G10" s="98" t="s">
        <v>93</v>
      </c>
      <c r="H10" s="101" t="s">
        <v>353</v>
      </c>
      <c r="I10" s="83" t="s">
        <v>104</v>
      </c>
      <c r="J10" s="34"/>
      <c r="K10" s="34"/>
      <c r="L10" s="34"/>
      <c r="M10" s="34"/>
      <c r="N10" s="34"/>
      <c r="O10" s="34"/>
      <c r="P10" s="34"/>
      <c r="Q10" s="34"/>
      <c r="R10" s="34"/>
      <c r="S10" s="34"/>
    </row>
    <row r="11" spans="1:19" s="4" customFormat="1" ht="63.75" x14ac:dyDescent="0.2">
      <c r="A11" s="34"/>
      <c r="B11" s="5">
        <v>7</v>
      </c>
      <c r="C11" s="23" t="s">
        <v>9</v>
      </c>
      <c r="D11" s="6">
        <v>-1</v>
      </c>
      <c r="E11" s="22">
        <v>2</v>
      </c>
      <c r="F11" s="6">
        <f t="shared" si="0"/>
        <v>-2</v>
      </c>
      <c r="G11" s="98" t="s">
        <v>73</v>
      </c>
      <c r="H11" s="99" t="s">
        <v>350</v>
      </c>
      <c r="I11" s="34"/>
      <c r="J11" s="34"/>
      <c r="K11" s="34"/>
      <c r="L11" s="34"/>
      <c r="M11" s="34"/>
      <c r="N11" s="34"/>
      <c r="O11" s="34"/>
      <c r="P11" s="34"/>
      <c r="Q11" s="34"/>
      <c r="R11" s="34"/>
      <c r="S11" s="34"/>
    </row>
    <row r="12" spans="1:19" s="4" customFormat="1" ht="54" customHeight="1" x14ac:dyDescent="0.2">
      <c r="A12" s="34"/>
      <c r="B12" s="5">
        <v>8</v>
      </c>
      <c r="C12" s="24" t="s">
        <v>10</v>
      </c>
      <c r="D12" s="15">
        <v>-1</v>
      </c>
      <c r="E12" s="22">
        <v>3</v>
      </c>
      <c r="F12" s="6">
        <f t="shared" si="0"/>
        <v>-3</v>
      </c>
      <c r="G12" s="98" t="s">
        <v>74</v>
      </c>
      <c r="H12" s="99" t="s">
        <v>183</v>
      </c>
      <c r="I12" s="34"/>
      <c r="J12" s="34"/>
      <c r="K12" s="34"/>
      <c r="L12" s="34"/>
      <c r="M12" s="34"/>
      <c r="N12" s="34"/>
      <c r="O12" s="34"/>
      <c r="P12" s="34"/>
      <c r="Q12" s="34"/>
      <c r="R12" s="34"/>
      <c r="S12" s="34"/>
    </row>
    <row r="13" spans="1:19" s="4" customFormat="1" ht="66" customHeight="1" thickBot="1" x14ac:dyDescent="0.25">
      <c r="A13" s="34"/>
      <c r="B13" s="102">
        <v>9</v>
      </c>
      <c r="C13" s="103" t="s">
        <v>38</v>
      </c>
      <c r="D13" s="104">
        <v>1</v>
      </c>
      <c r="E13" s="105">
        <v>5</v>
      </c>
      <c r="F13" s="106">
        <f t="shared" si="0"/>
        <v>5</v>
      </c>
      <c r="G13" s="107" t="s">
        <v>75</v>
      </c>
      <c r="H13" s="108" t="s">
        <v>231</v>
      </c>
      <c r="I13" s="34"/>
      <c r="J13" s="34"/>
      <c r="K13" s="34"/>
      <c r="L13" s="34"/>
      <c r="M13" s="34"/>
      <c r="N13" s="34"/>
      <c r="O13" s="34"/>
      <c r="P13" s="34"/>
      <c r="Q13" s="34"/>
      <c r="R13" s="34"/>
      <c r="S13" s="34"/>
    </row>
    <row r="14" spans="1:19" ht="30" customHeight="1" thickBot="1" x14ac:dyDescent="0.25">
      <c r="B14" s="404" t="s">
        <v>3</v>
      </c>
      <c r="C14" s="405"/>
      <c r="D14" s="405"/>
      <c r="E14" s="405"/>
      <c r="F14" s="109">
        <f>SUM(F5:F13)</f>
        <v>29</v>
      </c>
      <c r="G14" s="109"/>
      <c r="H14" s="110"/>
    </row>
    <row r="15" spans="1:19" s="27" customFormat="1" x14ac:dyDescent="0.2">
      <c r="C15" s="29"/>
      <c r="D15" s="29"/>
      <c r="G15" s="30"/>
      <c r="H15" s="60"/>
    </row>
    <row r="16" spans="1:19" ht="13.5" thickBot="1" x14ac:dyDescent="0.25">
      <c r="B16" s="27"/>
      <c r="C16" s="29"/>
      <c r="D16" s="14">
        <f>1.4-(0.03*F14)</f>
        <v>0.52999999999999992</v>
      </c>
      <c r="E16" s="27"/>
      <c r="F16" s="27"/>
      <c r="G16" s="31"/>
    </row>
    <row r="17" spans="3:8" s="27" customFormat="1" x14ac:dyDescent="0.2">
      <c r="C17" s="29"/>
      <c r="D17" s="29"/>
      <c r="G17" s="32"/>
      <c r="H17" s="60"/>
    </row>
    <row r="18" spans="3:8" s="27" customFormat="1" x14ac:dyDescent="0.2">
      <c r="C18" s="29"/>
      <c r="D18" s="29"/>
      <c r="G18" s="32"/>
      <c r="H18" s="60"/>
    </row>
    <row r="19" spans="3:8" s="27" customFormat="1" x14ac:dyDescent="0.2">
      <c r="C19" s="29"/>
      <c r="D19" s="29"/>
      <c r="G19" s="33"/>
      <c r="H19" s="60"/>
    </row>
    <row r="20" spans="3:8" s="27" customFormat="1" x14ac:dyDescent="0.2">
      <c r="C20" s="29"/>
      <c r="D20" s="29"/>
      <c r="G20" s="30"/>
      <c r="H20" s="60"/>
    </row>
    <row r="21" spans="3:8" s="27" customFormat="1" x14ac:dyDescent="0.2">
      <c r="C21" s="29"/>
      <c r="D21" s="29"/>
      <c r="G21" s="30"/>
      <c r="H21" s="60"/>
    </row>
    <row r="22" spans="3:8" s="27" customFormat="1" x14ac:dyDescent="0.2">
      <c r="C22" s="29"/>
      <c r="D22" s="29"/>
      <c r="G22" s="30"/>
      <c r="H22" s="60"/>
    </row>
    <row r="23" spans="3:8" s="27" customFormat="1" x14ac:dyDescent="0.2">
      <c r="C23" s="29"/>
      <c r="D23" s="29"/>
      <c r="G23" s="30"/>
      <c r="H23" s="60"/>
    </row>
    <row r="24" spans="3:8" s="27" customFormat="1" x14ac:dyDescent="0.2">
      <c r="C24" s="29"/>
      <c r="D24" s="29"/>
      <c r="G24" s="30"/>
      <c r="H24" s="60"/>
    </row>
    <row r="25" spans="3:8" s="27" customFormat="1" x14ac:dyDescent="0.2">
      <c r="C25" s="29"/>
      <c r="D25" s="29"/>
      <c r="G25" s="30"/>
      <c r="H25" s="60"/>
    </row>
    <row r="26" spans="3:8" s="27" customFormat="1" x14ac:dyDescent="0.2">
      <c r="C26" s="29"/>
      <c r="D26" s="29"/>
      <c r="G26" s="30"/>
      <c r="H26" s="60"/>
    </row>
    <row r="27" spans="3:8" s="27" customFormat="1" x14ac:dyDescent="0.2">
      <c r="C27" s="29"/>
      <c r="D27" s="29"/>
      <c r="G27" s="30"/>
      <c r="H27" s="60"/>
    </row>
    <row r="28" spans="3:8" s="27" customFormat="1" x14ac:dyDescent="0.2">
      <c r="C28" s="29"/>
      <c r="D28" s="29"/>
      <c r="G28" s="30"/>
      <c r="H28" s="60"/>
    </row>
    <row r="29" spans="3:8" s="27" customFormat="1" x14ac:dyDescent="0.2">
      <c r="C29" s="29"/>
      <c r="D29" s="29"/>
      <c r="G29" s="30"/>
      <c r="H29" s="60"/>
    </row>
    <row r="30" spans="3:8" s="27" customFormat="1" x14ac:dyDescent="0.2">
      <c r="C30" s="29"/>
      <c r="D30" s="29"/>
      <c r="G30" s="30"/>
      <c r="H30" s="60"/>
    </row>
    <row r="31" spans="3:8" s="27" customFormat="1" x14ac:dyDescent="0.2">
      <c r="C31" s="29"/>
      <c r="D31" s="29"/>
      <c r="G31" s="30"/>
      <c r="H31" s="60"/>
    </row>
    <row r="32" spans="3:8" s="27" customFormat="1" x14ac:dyDescent="0.2">
      <c r="C32" s="29"/>
      <c r="D32" s="29"/>
      <c r="G32" s="30"/>
      <c r="H32" s="60"/>
    </row>
    <row r="33" spans="2:8" s="27" customFormat="1" x14ac:dyDescent="0.2">
      <c r="C33" s="29"/>
      <c r="D33" s="29"/>
      <c r="G33" s="30"/>
      <c r="H33" s="60"/>
    </row>
    <row r="34" spans="2:8" s="27" customFormat="1" x14ac:dyDescent="0.2">
      <c r="C34" s="29"/>
      <c r="D34" s="29"/>
      <c r="G34" s="30"/>
      <c r="H34" s="60"/>
    </row>
    <row r="35" spans="2:8" s="27" customFormat="1" x14ac:dyDescent="0.2">
      <c r="C35" s="29"/>
      <c r="D35" s="29"/>
      <c r="G35" s="30"/>
      <c r="H35" s="60"/>
    </row>
    <row r="36" spans="2:8" s="27" customFormat="1" x14ac:dyDescent="0.2">
      <c r="C36" s="29"/>
      <c r="D36" s="29"/>
      <c r="G36" s="30"/>
      <c r="H36" s="60"/>
    </row>
    <row r="37" spans="2:8" s="27" customFormat="1" x14ac:dyDescent="0.2">
      <c r="C37" s="29"/>
      <c r="D37" s="29"/>
      <c r="G37" s="30"/>
      <c r="H37" s="60"/>
    </row>
    <row r="38" spans="2:8" s="27" customFormat="1" x14ac:dyDescent="0.2">
      <c r="C38" s="29"/>
      <c r="D38" s="29"/>
      <c r="G38" s="30"/>
      <c r="H38" s="60"/>
    </row>
    <row r="39" spans="2:8" s="27" customFormat="1" x14ac:dyDescent="0.2">
      <c r="C39" s="29"/>
      <c r="D39" s="29"/>
      <c r="G39" s="30"/>
      <c r="H39" s="60"/>
    </row>
    <row r="40" spans="2:8" s="27" customFormat="1" x14ac:dyDescent="0.2">
      <c r="C40" s="29"/>
      <c r="D40" s="29"/>
      <c r="G40" s="30"/>
      <c r="H40" s="60"/>
    </row>
    <row r="41" spans="2:8" s="27" customFormat="1" x14ac:dyDescent="0.2">
      <c r="C41" s="29"/>
      <c r="D41" s="29"/>
      <c r="G41" s="30"/>
      <c r="H41" s="60"/>
    </row>
    <row r="42" spans="2:8" s="27" customFormat="1" x14ac:dyDescent="0.2">
      <c r="C42" s="29"/>
      <c r="D42" s="29"/>
      <c r="G42" s="30"/>
      <c r="H42" s="60"/>
    </row>
    <row r="43" spans="2:8" x14ac:dyDescent="0.2">
      <c r="B43" s="27"/>
      <c r="C43" s="29"/>
    </row>
    <row r="44" spans="2:8" x14ac:dyDescent="0.2">
      <c r="B44" s="27"/>
      <c r="C44" s="29"/>
    </row>
    <row r="45" spans="2:8" x14ac:dyDescent="0.2">
      <c r="B45" s="27"/>
      <c r="C45" s="29"/>
    </row>
    <row r="46" spans="2:8" x14ac:dyDescent="0.2">
      <c r="B46" s="27"/>
      <c r="C46" s="29"/>
    </row>
    <row r="47" spans="2:8" x14ac:dyDescent="0.2">
      <c r="B47" s="27"/>
      <c r="C47" s="29"/>
    </row>
    <row r="48" spans="2:8" x14ac:dyDescent="0.2">
      <c r="B48" s="27"/>
      <c r="C48" s="29"/>
    </row>
  </sheetData>
  <mergeCells count="3">
    <mergeCell ref="B4:C4"/>
    <mergeCell ref="B14:E14"/>
    <mergeCell ref="B2:H2"/>
  </mergeCells>
  <phoneticPr fontId="2" type="noConversion"/>
  <printOptions horizontalCentered="1"/>
  <pageMargins left="0.74803149606299213" right="0.74803149606299213" top="0.98425196850393704" bottom="0.98425196850393704" header="0.51181102362204722" footer="0.51181102362204722"/>
  <pageSetup scale="69" fitToHeight="3" orientation="landscape" r:id="rId1"/>
  <headerFooter alignWithMargins="0">
    <oddHeader>&amp;C&amp;"Arial,Negrita"CUADRO DE ESTIMACIÓN DE ESFUERZO 
SOLUCIONES MÓVILES 4</oddHeader>
    <oddFooter>&amp;L&amp;"Arial,Negrita"&amp;A&amp;C&amp;"Arial,Negrita"&amp;P/&amp;N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48"/>
  <sheetViews>
    <sheetView view="pageBreakPreview" topLeftCell="A22" zoomScale="60" zoomScaleNormal="80" workbookViewId="0">
      <selection activeCell="J22" sqref="J22"/>
    </sheetView>
  </sheetViews>
  <sheetFormatPr baseColWidth="10" defaultColWidth="9.140625" defaultRowHeight="12.75" x14ac:dyDescent="0.2"/>
  <cols>
    <col min="1" max="1" width="5.7109375" style="27" customWidth="1"/>
    <col min="2" max="2" width="6.140625" style="1" customWidth="1"/>
    <col min="3" max="3" width="20.7109375" style="20" customWidth="1"/>
    <col min="4" max="4" width="7" style="2" customWidth="1"/>
    <col min="5" max="5" width="20.140625" style="1" bestFit="1" customWidth="1"/>
    <col min="6" max="6" width="16" style="58" bestFit="1" customWidth="1"/>
    <col min="7" max="7" width="55.7109375" style="3" customWidth="1"/>
    <col min="8" max="8" width="57.85546875" style="27" customWidth="1"/>
    <col min="9" max="9" width="9.140625" style="61" customWidth="1"/>
    <col min="10" max="30" width="9.140625" style="27"/>
    <col min="31" max="16384" width="9.140625" style="1"/>
  </cols>
  <sheetData>
    <row r="1" spans="1:30" s="27" customFormat="1" x14ac:dyDescent="0.2">
      <c r="C1" s="28"/>
      <c r="D1" s="29"/>
      <c r="F1" s="54"/>
      <c r="G1" s="30"/>
      <c r="I1" s="61"/>
    </row>
    <row r="2" spans="1:30" s="27" customFormat="1" ht="18.75" x14ac:dyDescent="0.3">
      <c r="B2" s="408" t="s">
        <v>78</v>
      </c>
      <c r="C2" s="408"/>
      <c r="D2" s="408"/>
      <c r="E2" s="408"/>
      <c r="F2" s="408"/>
      <c r="G2" s="408"/>
      <c r="H2" s="408"/>
      <c r="I2" s="61"/>
    </row>
    <row r="3" spans="1:30" s="27" customFormat="1" ht="7.5" customHeight="1" thickBot="1" x14ac:dyDescent="0.25">
      <c r="C3" s="28"/>
      <c r="D3" s="29"/>
      <c r="F3" s="54"/>
      <c r="G3" s="30"/>
      <c r="I3" s="61"/>
    </row>
    <row r="4" spans="1:30" s="4" customFormat="1" ht="26.25" thickBot="1" x14ac:dyDescent="0.25">
      <c r="A4" s="34"/>
      <c r="B4" s="404" t="s">
        <v>24</v>
      </c>
      <c r="C4" s="405"/>
      <c r="D4" s="88" t="s">
        <v>60</v>
      </c>
      <c r="E4" s="88" t="s">
        <v>61</v>
      </c>
      <c r="F4" s="88" t="s">
        <v>62</v>
      </c>
      <c r="G4" s="88" t="s">
        <v>12</v>
      </c>
      <c r="H4" s="89" t="s">
        <v>94</v>
      </c>
      <c r="I4" s="62"/>
      <c r="J4" s="34"/>
      <c r="K4" s="34"/>
      <c r="L4" s="34"/>
      <c r="M4" s="34"/>
      <c r="N4" s="34"/>
      <c r="O4" s="34"/>
      <c r="P4" s="34"/>
      <c r="Q4" s="34"/>
      <c r="R4" s="34"/>
      <c r="S4" s="34"/>
      <c r="T4" s="34"/>
      <c r="U4" s="34"/>
      <c r="V4" s="34"/>
      <c r="W4" s="34"/>
      <c r="X4" s="34"/>
      <c r="Y4" s="34"/>
      <c r="Z4" s="34"/>
      <c r="AA4" s="34"/>
      <c r="AB4" s="34"/>
      <c r="AC4" s="34"/>
      <c r="AD4" s="34"/>
    </row>
    <row r="5" spans="1:30" s="4" customFormat="1" ht="149.25" customHeight="1" x14ac:dyDescent="0.2">
      <c r="A5" s="34"/>
      <c r="B5" s="90">
        <v>1</v>
      </c>
      <c r="C5" s="85" t="s">
        <v>15</v>
      </c>
      <c r="D5" s="84">
        <v>2</v>
      </c>
      <c r="E5" s="86">
        <v>3</v>
      </c>
      <c r="F5" s="84">
        <f>+E5*D5</f>
        <v>6</v>
      </c>
      <c r="G5" s="87" t="s">
        <v>48</v>
      </c>
      <c r="H5" s="91" t="s">
        <v>232</v>
      </c>
      <c r="I5" s="63"/>
      <c r="J5" s="34"/>
      <c r="K5" s="34"/>
      <c r="L5" s="34"/>
      <c r="M5" s="34"/>
      <c r="N5" s="34"/>
      <c r="O5" s="34"/>
      <c r="P5" s="34"/>
      <c r="Q5" s="34"/>
      <c r="R5" s="34"/>
      <c r="S5" s="34"/>
      <c r="T5" s="34"/>
      <c r="U5" s="34"/>
      <c r="V5" s="34"/>
      <c r="W5" s="34"/>
      <c r="X5" s="34"/>
      <c r="Y5" s="34"/>
      <c r="Z5" s="34"/>
      <c r="AA5" s="34"/>
      <c r="AB5" s="34"/>
      <c r="AC5" s="34"/>
      <c r="AD5" s="34"/>
    </row>
    <row r="6" spans="1:30" s="4" customFormat="1" ht="142.5" customHeight="1" x14ac:dyDescent="0.2">
      <c r="A6" s="34"/>
      <c r="B6" s="5">
        <v>2</v>
      </c>
      <c r="C6" s="21" t="s">
        <v>16</v>
      </c>
      <c r="D6" s="6">
        <v>1</v>
      </c>
      <c r="E6" s="22">
        <v>3</v>
      </c>
      <c r="F6" s="6">
        <f t="shared" ref="F6:F17" si="0">+E6*D6</f>
        <v>3</v>
      </c>
      <c r="G6" s="59" t="s">
        <v>49</v>
      </c>
      <c r="H6" s="92" t="s">
        <v>261</v>
      </c>
      <c r="I6" s="63"/>
      <c r="J6" s="34"/>
      <c r="K6" s="34"/>
      <c r="L6" s="34"/>
      <c r="M6" s="34"/>
      <c r="N6" s="34"/>
      <c r="O6" s="34"/>
      <c r="P6" s="34"/>
      <c r="Q6" s="34"/>
      <c r="R6" s="34"/>
      <c r="S6" s="34"/>
      <c r="T6" s="34"/>
      <c r="U6" s="34"/>
      <c r="V6" s="34"/>
      <c r="W6" s="34"/>
      <c r="X6" s="34"/>
      <c r="Y6" s="34"/>
      <c r="Z6" s="34"/>
      <c r="AA6" s="34"/>
      <c r="AB6" s="34"/>
      <c r="AC6" s="34"/>
      <c r="AD6" s="34"/>
    </row>
    <row r="7" spans="1:30" s="4" customFormat="1" ht="76.5" customHeight="1" x14ac:dyDescent="0.2">
      <c r="A7" s="34"/>
      <c r="B7" s="5">
        <v>3</v>
      </c>
      <c r="C7" s="21" t="s">
        <v>27</v>
      </c>
      <c r="D7" s="6">
        <v>1</v>
      </c>
      <c r="E7" s="22">
        <v>3</v>
      </c>
      <c r="F7" s="6">
        <f t="shared" si="0"/>
        <v>3</v>
      </c>
      <c r="G7" s="59" t="s">
        <v>50</v>
      </c>
      <c r="H7" s="93" t="s">
        <v>233</v>
      </c>
      <c r="I7" s="63"/>
      <c r="J7" s="34"/>
      <c r="K7" s="34"/>
      <c r="L7" s="34"/>
      <c r="M7" s="34"/>
      <c r="N7" s="34"/>
      <c r="O7" s="34"/>
      <c r="P7" s="34"/>
      <c r="Q7" s="34"/>
      <c r="R7" s="34"/>
      <c r="S7" s="34"/>
      <c r="T7" s="34"/>
      <c r="U7" s="34"/>
      <c r="V7" s="34"/>
      <c r="W7" s="34"/>
      <c r="X7" s="34"/>
      <c r="Y7" s="34"/>
      <c r="Z7" s="34"/>
      <c r="AA7" s="34"/>
      <c r="AB7" s="34"/>
      <c r="AC7" s="34"/>
      <c r="AD7" s="34"/>
    </row>
    <row r="8" spans="1:30" s="4" customFormat="1" ht="67.5" customHeight="1" x14ac:dyDescent="0.2">
      <c r="A8" s="34"/>
      <c r="B8" s="5">
        <v>4</v>
      </c>
      <c r="C8" s="21" t="s">
        <v>25</v>
      </c>
      <c r="D8" s="6">
        <v>1</v>
      </c>
      <c r="E8" s="22">
        <v>2</v>
      </c>
      <c r="F8" s="6">
        <f t="shared" si="0"/>
        <v>2</v>
      </c>
      <c r="G8" s="59" t="s">
        <v>51</v>
      </c>
      <c r="H8" s="93" t="s">
        <v>298</v>
      </c>
      <c r="I8" s="63"/>
      <c r="J8" s="34"/>
      <c r="K8" s="34"/>
      <c r="L8" s="34"/>
      <c r="M8" s="34"/>
      <c r="N8" s="34"/>
      <c r="O8" s="34"/>
      <c r="P8" s="34"/>
      <c r="Q8" s="34"/>
      <c r="R8" s="34"/>
      <c r="S8" s="34"/>
      <c r="T8" s="34"/>
      <c r="U8" s="34"/>
      <c r="V8" s="34"/>
      <c r="W8" s="34"/>
      <c r="X8" s="34"/>
      <c r="Y8" s="34"/>
      <c r="Z8" s="34"/>
      <c r="AA8" s="34"/>
      <c r="AB8" s="34"/>
      <c r="AC8" s="34"/>
      <c r="AD8" s="34"/>
    </row>
    <row r="9" spans="1:30" s="4" customFormat="1" ht="59.25" customHeight="1" x14ac:dyDescent="0.2">
      <c r="A9" s="34"/>
      <c r="B9" s="5">
        <v>5</v>
      </c>
      <c r="C9" s="21" t="s">
        <v>17</v>
      </c>
      <c r="D9" s="6">
        <v>1</v>
      </c>
      <c r="E9" s="22">
        <v>2</v>
      </c>
      <c r="F9" s="6">
        <f t="shared" si="0"/>
        <v>2</v>
      </c>
      <c r="G9" s="59" t="s">
        <v>52</v>
      </c>
      <c r="H9" s="94" t="s">
        <v>234</v>
      </c>
      <c r="I9" s="63"/>
      <c r="J9" s="34"/>
      <c r="K9" s="34"/>
      <c r="L9" s="34"/>
      <c r="M9" s="34"/>
      <c r="N9" s="34"/>
      <c r="O9" s="34"/>
      <c r="P9" s="34"/>
      <c r="Q9" s="34"/>
      <c r="R9" s="34"/>
      <c r="S9" s="34"/>
      <c r="T9" s="34"/>
      <c r="U9" s="34"/>
      <c r="V9" s="34"/>
      <c r="W9" s="34"/>
      <c r="X9" s="34"/>
      <c r="Y9" s="34"/>
      <c r="Z9" s="34"/>
      <c r="AA9" s="34"/>
      <c r="AB9" s="34"/>
      <c r="AC9" s="34"/>
      <c r="AD9" s="34"/>
    </row>
    <row r="10" spans="1:30" s="4" customFormat="1" ht="114" customHeight="1" x14ac:dyDescent="0.2">
      <c r="A10" s="34"/>
      <c r="B10" s="5">
        <v>6</v>
      </c>
      <c r="C10" s="21" t="s">
        <v>18</v>
      </c>
      <c r="D10" s="6">
        <v>0.5</v>
      </c>
      <c r="E10" s="22">
        <v>3</v>
      </c>
      <c r="F10" s="6">
        <f t="shared" si="0"/>
        <v>1.5</v>
      </c>
      <c r="G10" s="59" t="s">
        <v>53</v>
      </c>
      <c r="H10" s="93" t="s">
        <v>457</v>
      </c>
      <c r="I10" s="63"/>
      <c r="J10" s="34"/>
      <c r="K10" s="34"/>
      <c r="L10" s="34"/>
      <c r="M10" s="34"/>
      <c r="N10" s="34"/>
      <c r="O10" s="34"/>
      <c r="P10" s="34"/>
      <c r="Q10" s="34"/>
      <c r="R10" s="34"/>
      <c r="S10" s="34"/>
      <c r="T10" s="34"/>
      <c r="U10" s="34"/>
      <c r="V10" s="34"/>
      <c r="W10" s="34"/>
      <c r="X10" s="34"/>
      <c r="Y10" s="34"/>
      <c r="Z10" s="34"/>
      <c r="AA10" s="34"/>
      <c r="AB10" s="34"/>
      <c r="AC10" s="34"/>
      <c r="AD10" s="34"/>
    </row>
    <row r="11" spans="1:30" s="4" customFormat="1" ht="144.75" customHeight="1" x14ac:dyDescent="0.2">
      <c r="A11" s="34"/>
      <c r="B11" s="5">
        <v>7</v>
      </c>
      <c r="C11" s="21" t="s">
        <v>19</v>
      </c>
      <c r="D11" s="6">
        <v>0.5</v>
      </c>
      <c r="E11" s="22">
        <v>4</v>
      </c>
      <c r="F11" s="6">
        <f t="shared" si="0"/>
        <v>2</v>
      </c>
      <c r="G11" s="59" t="s">
        <v>54</v>
      </c>
      <c r="H11" s="92" t="s">
        <v>458</v>
      </c>
      <c r="I11" s="63"/>
      <c r="J11" s="34"/>
      <c r="K11" s="34"/>
      <c r="L11" s="34"/>
      <c r="M11" s="34"/>
      <c r="N11" s="34"/>
      <c r="O11" s="34"/>
      <c r="P11" s="34"/>
      <c r="Q11" s="34"/>
      <c r="R11" s="34"/>
      <c r="S11" s="34"/>
      <c r="T11" s="34"/>
      <c r="U11" s="34"/>
      <c r="V11" s="34"/>
      <c r="W11" s="34"/>
      <c r="X11" s="34"/>
      <c r="Y11" s="34"/>
      <c r="Z11" s="34"/>
      <c r="AA11" s="34"/>
      <c r="AB11" s="34"/>
      <c r="AC11" s="34"/>
      <c r="AD11" s="34"/>
    </row>
    <row r="12" spans="1:30" s="4" customFormat="1" ht="133.5" customHeight="1" x14ac:dyDescent="0.2">
      <c r="A12" s="34"/>
      <c r="B12" s="5">
        <v>8</v>
      </c>
      <c r="C12" s="21" t="s">
        <v>20</v>
      </c>
      <c r="D12" s="6">
        <v>2</v>
      </c>
      <c r="E12" s="22">
        <v>3</v>
      </c>
      <c r="F12" s="6">
        <f t="shared" si="0"/>
        <v>6</v>
      </c>
      <c r="G12" s="59" t="s">
        <v>55</v>
      </c>
      <c r="H12" s="93" t="s">
        <v>299</v>
      </c>
      <c r="I12" s="63"/>
      <c r="J12" s="34"/>
      <c r="K12" s="34"/>
      <c r="L12" s="34"/>
      <c r="M12" s="34"/>
      <c r="N12" s="34"/>
      <c r="O12" s="34"/>
      <c r="P12" s="34"/>
      <c r="Q12" s="34"/>
      <c r="R12" s="34"/>
      <c r="S12" s="34"/>
      <c r="T12" s="34"/>
      <c r="U12" s="34"/>
      <c r="V12" s="34"/>
      <c r="W12" s="34"/>
      <c r="X12" s="34"/>
      <c r="Y12" s="34"/>
      <c r="Z12" s="34"/>
      <c r="AA12" s="34"/>
      <c r="AB12" s="34"/>
      <c r="AC12" s="34"/>
      <c r="AD12" s="34"/>
    </row>
    <row r="13" spans="1:30" s="4" customFormat="1" ht="162" customHeight="1" x14ac:dyDescent="0.2">
      <c r="A13" s="34"/>
      <c r="B13" s="5">
        <v>9</v>
      </c>
      <c r="C13" s="21" t="s">
        <v>21</v>
      </c>
      <c r="D13" s="6">
        <v>1</v>
      </c>
      <c r="E13" s="22">
        <v>3</v>
      </c>
      <c r="F13" s="6">
        <f t="shared" si="0"/>
        <v>3</v>
      </c>
      <c r="G13" s="59" t="s">
        <v>47</v>
      </c>
      <c r="H13" s="93" t="s">
        <v>102</v>
      </c>
      <c r="I13" s="63"/>
      <c r="J13" s="34"/>
      <c r="K13" s="34"/>
      <c r="L13" s="34"/>
      <c r="M13" s="34"/>
      <c r="N13" s="34"/>
      <c r="O13" s="34"/>
      <c r="P13" s="34"/>
      <c r="Q13" s="34"/>
      <c r="R13" s="34"/>
      <c r="S13" s="34"/>
      <c r="T13" s="34"/>
      <c r="U13" s="34"/>
      <c r="V13" s="34"/>
      <c r="W13" s="34"/>
      <c r="X13" s="34"/>
      <c r="Y13" s="34"/>
      <c r="Z13" s="34"/>
      <c r="AA13" s="34"/>
      <c r="AB13" s="34"/>
      <c r="AC13" s="34"/>
      <c r="AD13" s="34"/>
    </row>
    <row r="14" spans="1:30" s="4" customFormat="1" ht="121.5" customHeight="1" x14ac:dyDescent="0.2">
      <c r="A14" s="34"/>
      <c r="B14" s="5">
        <v>10</v>
      </c>
      <c r="C14" s="21" t="s">
        <v>22</v>
      </c>
      <c r="D14" s="6">
        <v>1</v>
      </c>
      <c r="E14" s="22">
        <v>3</v>
      </c>
      <c r="F14" s="6">
        <f t="shared" si="0"/>
        <v>3</v>
      </c>
      <c r="G14" s="59" t="s">
        <v>56</v>
      </c>
      <c r="H14" s="92" t="s">
        <v>235</v>
      </c>
      <c r="I14" s="63"/>
      <c r="J14" s="34"/>
      <c r="K14" s="34"/>
      <c r="L14" s="34"/>
      <c r="M14" s="34"/>
      <c r="N14" s="34"/>
      <c r="O14" s="34"/>
      <c r="P14" s="34"/>
      <c r="Q14" s="34"/>
      <c r="R14" s="34"/>
      <c r="S14" s="34"/>
      <c r="T14" s="34"/>
      <c r="U14" s="34"/>
      <c r="V14" s="34"/>
      <c r="W14" s="34"/>
      <c r="X14" s="34"/>
      <c r="Y14" s="34"/>
      <c r="Z14" s="34"/>
      <c r="AA14" s="34"/>
      <c r="AB14" s="34"/>
      <c r="AC14" s="34"/>
      <c r="AD14" s="34"/>
    </row>
    <row r="15" spans="1:30" s="4" customFormat="1" ht="153" customHeight="1" x14ac:dyDescent="0.2">
      <c r="A15" s="34"/>
      <c r="B15" s="5">
        <v>11</v>
      </c>
      <c r="C15" s="21" t="s">
        <v>63</v>
      </c>
      <c r="D15" s="6">
        <v>1</v>
      </c>
      <c r="E15" s="22">
        <v>3</v>
      </c>
      <c r="F15" s="6">
        <f t="shared" si="0"/>
        <v>3</v>
      </c>
      <c r="G15" s="59" t="s">
        <v>57</v>
      </c>
      <c r="H15" s="93" t="s">
        <v>262</v>
      </c>
      <c r="I15" s="63"/>
      <c r="J15" s="34"/>
      <c r="K15" s="34"/>
      <c r="L15" s="34"/>
      <c r="M15" s="34"/>
      <c r="N15" s="34"/>
      <c r="O15" s="34"/>
      <c r="P15" s="34"/>
      <c r="Q15" s="34"/>
      <c r="R15" s="34"/>
      <c r="S15" s="34"/>
      <c r="T15" s="34"/>
      <c r="U15" s="34"/>
      <c r="V15" s="34"/>
      <c r="W15" s="34"/>
      <c r="X15" s="34"/>
      <c r="Y15" s="34"/>
      <c r="Z15" s="34"/>
      <c r="AA15" s="34"/>
      <c r="AB15" s="34"/>
      <c r="AC15" s="34"/>
      <c r="AD15" s="34"/>
    </row>
    <row r="16" spans="1:30" s="4" customFormat="1" ht="77.25" customHeight="1" x14ac:dyDescent="0.2">
      <c r="A16" s="34"/>
      <c r="B16" s="5">
        <v>12</v>
      </c>
      <c r="C16" s="21" t="s">
        <v>23</v>
      </c>
      <c r="D16" s="6">
        <v>1</v>
      </c>
      <c r="E16" s="22">
        <v>1</v>
      </c>
      <c r="F16" s="6">
        <f t="shared" si="0"/>
        <v>1</v>
      </c>
      <c r="G16" s="59" t="s">
        <v>58</v>
      </c>
      <c r="H16" s="93" t="s">
        <v>236</v>
      </c>
      <c r="I16" s="63"/>
      <c r="J16" s="34"/>
      <c r="K16" s="34"/>
      <c r="L16" s="34"/>
      <c r="M16" s="34"/>
      <c r="N16" s="34"/>
      <c r="O16" s="34"/>
      <c r="P16" s="34"/>
      <c r="Q16" s="34"/>
      <c r="R16" s="34"/>
      <c r="S16" s="34"/>
      <c r="T16" s="34"/>
      <c r="U16" s="34"/>
      <c r="V16" s="34"/>
      <c r="W16" s="34"/>
      <c r="X16" s="34"/>
      <c r="Y16" s="34"/>
      <c r="Z16" s="34"/>
      <c r="AA16" s="34"/>
      <c r="AB16" s="34"/>
      <c r="AC16" s="34"/>
      <c r="AD16" s="34"/>
    </row>
    <row r="17" spans="1:30" s="4" customFormat="1" ht="112.5" customHeight="1" x14ac:dyDescent="0.2">
      <c r="A17" s="34"/>
      <c r="B17" s="5">
        <v>13</v>
      </c>
      <c r="C17" s="21" t="s">
        <v>28</v>
      </c>
      <c r="D17" s="6">
        <v>1</v>
      </c>
      <c r="E17" s="22">
        <v>4</v>
      </c>
      <c r="F17" s="6">
        <f t="shared" si="0"/>
        <v>4</v>
      </c>
      <c r="G17" s="59" t="s">
        <v>59</v>
      </c>
      <c r="H17" s="93" t="s">
        <v>263</v>
      </c>
      <c r="I17" s="63"/>
      <c r="J17" s="34"/>
      <c r="K17" s="34"/>
      <c r="L17" s="34"/>
      <c r="M17" s="34"/>
      <c r="N17" s="34"/>
      <c r="O17" s="34"/>
      <c r="P17" s="34"/>
      <c r="Q17" s="34"/>
      <c r="R17" s="34"/>
      <c r="S17" s="34"/>
      <c r="T17" s="34"/>
      <c r="U17" s="34"/>
      <c r="V17" s="34"/>
      <c r="W17" s="34"/>
      <c r="X17" s="34"/>
      <c r="Y17" s="34"/>
      <c r="Z17" s="34"/>
      <c r="AA17" s="34"/>
      <c r="AB17" s="34"/>
      <c r="AC17" s="34"/>
      <c r="AD17" s="34"/>
    </row>
    <row r="18" spans="1:30" ht="29.25" customHeight="1" thickBot="1" x14ac:dyDescent="0.25">
      <c r="B18" s="406" t="s">
        <v>26</v>
      </c>
      <c r="C18" s="407"/>
      <c r="D18" s="8"/>
      <c r="E18" s="95"/>
      <c r="F18" s="95">
        <f>SUM(F5:F17)</f>
        <v>39.5</v>
      </c>
      <c r="G18" s="96"/>
      <c r="H18" s="97"/>
      <c r="I18" s="63"/>
    </row>
    <row r="19" spans="1:30" s="27" customFormat="1" x14ac:dyDescent="0.2">
      <c r="C19" s="28"/>
      <c r="D19" s="29"/>
      <c r="F19" s="54"/>
      <c r="G19" s="30"/>
      <c r="I19" s="61"/>
    </row>
    <row r="20" spans="1:30" s="27" customFormat="1" ht="13.5" thickBot="1" x14ac:dyDescent="0.25">
      <c r="C20" s="28"/>
      <c r="D20" s="29"/>
      <c r="E20" s="46">
        <f>0.6+(F18*0.01)</f>
        <v>0.995</v>
      </c>
      <c r="F20" s="55"/>
      <c r="G20" s="31"/>
      <c r="I20" s="61"/>
    </row>
    <row r="21" spans="1:30" s="27" customFormat="1" x14ac:dyDescent="0.2">
      <c r="C21" s="28"/>
      <c r="D21" s="29"/>
      <c r="F21" s="56"/>
      <c r="G21" s="32"/>
      <c r="I21" s="61"/>
    </row>
    <row r="22" spans="1:30" s="27" customFormat="1" x14ac:dyDescent="0.2">
      <c r="C22" s="28"/>
      <c r="D22" s="29"/>
      <c r="F22" s="56"/>
      <c r="G22" s="32"/>
      <c r="I22" s="61"/>
    </row>
    <row r="23" spans="1:30" s="27" customFormat="1" x14ac:dyDescent="0.2">
      <c r="C23" s="28"/>
      <c r="D23" s="29"/>
      <c r="F23" s="57"/>
      <c r="G23" s="33"/>
      <c r="I23" s="61"/>
    </row>
    <row r="24" spans="1:30" s="27" customFormat="1" x14ac:dyDescent="0.2">
      <c r="C24" s="28"/>
      <c r="D24" s="29"/>
      <c r="F24" s="54"/>
      <c r="G24" s="30"/>
      <c r="I24" s="61"/>
    </row>
    <row r="25" spans="1:30" s="27" customFormat="1" x14ac:dyDescent="0.2">
      <c r="C25" s="28"/>
      <c r="D25" s="29"/>
      <c r="F25" s="54"/>
      <c r="G25" s="30"/>
      <c r="I25" s="61"/>
    </row>
    <row r="26" spans="1:30" s="27" customFormat="1" x14ac:dyDescent="0.2">
      <c r="C26" s="28"/>
      <c r="D26" s="29"/>
      <c r="F26" s="54"/>
      <c r="G26" s="30"/>
      <c r="I26" s="61"/>
    </row>
    <row r="27" spans="1:30" s="27" customFormat="1" x14ac:dyDescent="0.2">
      <c r="C27" s="28"/>
      <c r="D27" s="29"/>
      <c r="F27" s="54"/>
      <c r="G27" s="30"/>
      <c r="I27" s="61"/>
    </row>
    <row r="28" spans="1:30" s="27" customFormat="1" x14ac:dyDescent="0.2">
      <c r="C28" s="28"/>
      <c r="D28" s="29"/>
      <c r="F28" s="54"/>
      <c r="G28" s="30"/>
      <c r="I28" s="61"/>
    </row>
    <row r="29" spans="1:30" s="27" customFormat="1" x14ac:dyDescent="0.2">
      <c r="C29" s="28"/>
      <c r="D29" s="29"/>
      <c r="F29" s="54"/>
      <c r="G29" s="30"/>
      <c r="I29" s="61"/>
    </row>
    <row r="30" spans="1:30" s="27" customFormat="1" x14ac:dyDescent="0.2">
      <c r="C30" s="28"/>
      <c r="D30" s="29"/>
      <c r="F30" s="54"/>
      <c r="G30" s="30"/>
      <c r="I30" s="61"/>
    </row>
    <row r="31" spans="1:30" s="27" customFormat="1" x14ac:dyDescent="0.2">
      <c r="C31" s="28"/>
      <c r="D31" s="29"/>
      <c r="F31" s="54"/>
      <c r="G31" s="30"/>
      <c r="I31" s="61"/>
    </row>
    <row r="32" spans="1:30" s="27" customFormat="1" x14ac:dyDescent="0.2">
      <c r="C32" s="28"/>
      <c r="D32" s="29"/>
      <c r="F32" s="54"/>
      <c r="G32" s="30"/>
      <c r="I32" s="61"/>
    </row>
    <row r="33" spans="3:9" s="27" customFormat="1" x14ac:dyDescent="0.2">
      <c r="C33" s="28"/>
      <c r="D33" s="29"/>
      <c r="F33" s="54"/>
      <c r="G33" s="30"/>
      <c r="I33" s="61"/>
    </row>
    <row r="34" spans="3:9" s="27" customFormat="1" x14ac:dyDescent="0.2">
      <c r="C34" s="28"/>
      <c r="D34" s="29"/>
      <c r="F34" s="54"/>
      <c r="G34" s="30"/>
      <c r="I34" s="61"/>
    </row>
    <row r="35" spans="3:9" s="27" customFormat="1" x14ac:dyDescent="0.2">
      <c r="C35" s="28"/>
      <c r="D35" s="29"/>
      <c r="F35" s="54"/>
      <c r="G35" s="30"/>
      <c r="I35" s="61"/>
    </row>
    <row r="36" spans="3:9" s="27" customFormat="1" x14ac:dyDescent="0.2">
      <c r="C36" s="28"/>
      <c r="D36" s="29"/>
      <c r="F36" s="54"/>
      <c r="G36" s="30"/>
      <c r="I36" s="61"/>
    </row>
    <row r="37" spans="3:9" s="27" customFormat="1" x14ac:dyDescent="0.2">
      <c r="C37" s="28"/>
      <c r="D37" s="29"/>
      <c r="F37" s="54"/>
      <c r="G37" s="30"/>
      <c r="I37" s="61"/>
    </row>
    <row r="38" spans="3:9" s="27" customFormat="1" x14ac:dyDescent="0.2">
      <c r="C38" s="28"/>
      <c r="D38" s="29"/>
      <c r="F38" s="54"/>
      <c r="G38" s="30"/>
      <c r="I38" s="61"/>
    </row>
    <row r="39" spans="3:9" s="27" customFormat="1" x14ac:dyDescent="0.2">
      <c r="C39" s="28"/>
      <c r="D39" s="29"/>
      <c r="F39" s="54"/>
      <c r="G39" s="30"/>
      <c r="I39" s="61"/>
    </row>
    <row r="40" spans="3:9" s="27" customFormat="1" x14ac:dyDescent="0.2">
      <c r="C40" s="28"/>
      <c r="D40" s="29"/>
      <c r="F40" s="54"/>
      <c r="G40" s="30"/>
      <c r="I40" s="61"/>
    </row>
    <row r="41" spans="3:9" s="27" customFormat="1" x14ac:dyDescent="0.2">
      <c r="C41" s="28"/>
      <c r="D41" s="29"/>
      <c r="F41" s="54"/>
      <c r="G41" s="30"/>
      <c r="I41" s="61"/>
    </row>
    <row r="42" spans="3:9" s="27" customFormat="1" x14ac:dyDescent="0.2">
      <c r="C42" s="28"/>
      <c r="D42" s="29"/>
      <c r="F42" s="54"/>
      <c r="G42" s="30"/>
      <c r="I42" s="61"/>
    </row>
    <row r="43" spans="3:9" s="27" customFormat="1" x14ac:dyDescent="0.2">
      <c r="C43" s="28"/>
      <c r="D43" s="29"/>
      <c r="F43" s="54"/>
      <c r="G43" s="30"/>
      <c r="I43" s="61"/>
    </row>
    <row r="44" spans="3:9" s="27" customFormat="1" x14ac:dyDescent="0.2">
      <c r="C44" s="28"/>
      <c r="D44" s="29"/>
      <c r="F44" s="54"/>
      <c r="G44" s="30"/>
      <c r="I44" s="61"/>
    </row>
    <row r="45" spans="3:9" s="27" customFormat="1" x14ac:dyDescent="0.2">
      <c r="C45" s="28"/>
      <c r="D45" s="29"/>
      <c r="F45" s="54"/>
      <c r="G45" s="30"/>
      <c r="I45" s="61"/>
    </row>
    <row r="46" spans="3:9" s="27" customFormat="1" x14ac:dyDescent="0.2">
      <c r="C46" s="28"/>
      <c r="D46" s="29"/>
      <c r="F46" s="54"/>
      <c r="G46" s="30"/>
      <c r="I46" s="61"/>
    </row>
    <row r="47" spans="3:9" s="27" customFormat="1" x14ac:dyDescent="0.2">
      <c r="C47" s="28"/>
      <c r="D47" s="29"/>
      <c r="F47" s="54"/>
      <c r="G47" s="30"/>
      <c r="I47" s="61"/>
    </row>
    <row r="48" spans="3:9" s="27" customFormat="1" x14ac:dyDescent="0.2">
      <c r="C48" s="28"/>
      <c r="D48" s="29"/>
      <c r="F48" s="54"/>
      <c r="G48" s="30"/>
      <c r="I48" s="61"/>
    </row>
  </sheetData>
  <mergeCells count="3">
    <mergeCell ref="B2:H2"/>
    <mergeCell ref="B4:C4"/>
    <mergeCell ref="B18:C18"/>
  </mergeCells>
  <printOptions horizontalCentered="1"/>
  <pageMargins left="0.74803149606299213" right="0.74803149606299213" top="0.98425196850393704" bottom="0.98425196850393704" header="0.51181102362204722" footer="0.51181102362204722"/>
  <pageSetup scale="67" fitToHeight="3" orientation="landscape" r:id="rId1"/>
  <headerFooter alignWithMargins="0">
    <oddHeader>&amp;C&amp;"Arial,Negrita"CUADRO DE ESTIMACIÓN DE ESFUERZO 
SOLUCIONES MÓVILES 4</oddHeader>
    <oddFooter>&amp;L&amp;"Arial,Negrita"&amp;A&amp;C&amp;"Arial,Negrita"&amp;P/&amp;N</oddFooter>
  </headerFooter>
  <colBreaks count="1" manualBreakCount="1">
    <brk id="8"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48"/>
  <sheetViews>
    <sheetView view="pageBreakPreview" zoomScale="60" zoomScaleNormal="80" workbookViewId="0">
      <selection activeCell="J22" sqref="J22"/>
    </sheetView>
  </sheetViews>
  <sheetFormatPr baseColWidth="10" defaultColWidth="9.140625" defaultRowHeight="12.75" x14ac:dyDescent="0.2"/>
  <cols>
    <col min="1" max="1" width="5.42578125" style="27" customWidth="1"/>
    <col min="2" max="2" width="9.140625" style="1" customWidth="1"/>
    <col min="3" max="3" width="28.28515625" style="2" customWidth="1"/>
    <col min="4" max="4" width="13.85546875" style="2" bestFit="1" customWidth="1"/>
    <col min="5" max="5" width="17.42578125" style="1" customWidth="1"/>
    <col min="6" max="6" width="15" style="1" customWidth="1"/>
    <col min="7" max="7" width="45.85546875" style="3" customWidth="1"/>
    <col min="8" max="8" width="47.5703125" style="60" customWidth="1"/>
    <col min="9" max="19" width="9.140625" style="27"/>
    <col min="20" max="16384" width="9.140625" style="1"/>
  </cols>
  <sheetData>
    <row r="1" spans="1:19" s="27" customFormat="1" ht="12.75" customHeight="1" x14ac:dyDescent="0.2">
      <c r="C1" s="29"/>
      <c r="D1" s="29"/>
      <c r="G1" s="30"/>
      <c r="H1" s="60"/>
    </row>
    <row r="2" spans="1:19" s="27" customFormat="1" ht="18.75" x14ac:dyDescent="0.3">
      <c r="B2" s="408" t="s">
        <v>79</v>
      </c>
      <c r="C2" s="408"/>
      <c r="D2" s="408"/>
      <c r="E2" s="408"/>
      <c r="F2" s="408"/>
      <c r="G2" s="408"/>
      <c r="H2" s="408"/>
    </row>
    <row r="3" spans="1:19" s="27" customFormat="1" ht="9.75" customHeight="1" thickBot="1" x14ac:dyDescent="0.25">
      <c r="C3" s="29"/>
      <c r="D3" s="29"/>
      <c r="G3" s="30"/>
      <c r="H3" s="60"/>
    </row>
    <row r="4" spans="1:19" s="4" customFormat="1" ht="39" thickBot="1" x14ac:dyDescent="0.25">
      <c r="A4" s="34"/>
      <c r="B4" s="404" t="s">
        <v>11</v>
      </c>
      <c r="C4" s="405"/>
      <c r="D4" s="88" t="s">
        <v>60</v>
      </c>
      <c r="E4" s="88" t="s">
        <v>61</v>
      </c>
      <c r="F4" s="88" t="s">
        <v>62</v>
      </c>
      <c r="G4" s="88" t="s">
        <v>12</v>
      </c>
      <c r="H4" s="89" t="s">
        <v>94</v>
      </c>
      <c r="I4" s="34"/>
      <c r="J4" s="34"/>
      <c r="K4" s="34"/>
      <c r="L4" s="34"/>
      <c r="M4" s="34"/>
      <c r="N4" s="34"/>
      <c r="O4" s="34"/>
      <c r="P4" s="34"/>
      <c r="Q4" s="34"/>
      <c r="R4" s="34"/>
      <c r="S4" s="34"/>
    </row>
    <row r="5" spans="1:19" s="4" customFormat="1" ht="59.25" customHeight="1" x14ac:dyDescent="0.2">
      <c r="A5" s="34"/>
      <c r="B5" s="90">
        <v>1</v>
      </c>
      <c r="C5" s="111" t="s">
        <v>4</v>
      </c>
      <c r="D5" s="84">
        <v>1.5</v>
      </c>
      <c r="E5" s="86">
        <v>5</v>
      </c>
      <c r="F5" s="84">
        <f>+E5*D5</f>
        <v>7.5</v>
      </c>
      <c r="G5" s="112" t="s">
        <v>68</v>
      </c>
      <c r="H5" s="113" t="s">
        <v>264</v>
      </c>
      <c r="I5" s="34"/>
      <c r="J5" s="34"/>
      <c r="K5" s="34"/>
      <c r="L5" s="34"/>
      <c r="M5" s="34"/>
      <c r="N5" s="34"/>
      <c r="O5" s="34"/>
      <c r="P5" s="34"/>
      <c r="Q5" s="34"/>
      <c r="R5" s="34"/>
      <c r="S5" s="34"/>
    </row>
    <row r="6" spans="1:19" s="4" customFormat="1" ht="63.75" x14ac:dyDescent="0.2">
      <c r="A6" s="34"/>
      <c r="B6" s="5">
        <v>2</v>
      </c>
      <c r="C6" s="23" t="s">
        <v>5</v>
      </c>
      <c r="D6" s="6">
        <v>0.5</v>
      </c>
      <c r="E6" s="22">
        <v>3</v>
      </c>
      <c r="F6" s="6">
        <f t="shared" ref="F6:F13" si="0">+E6*D6</f>
        <v>1.5</v>
      </c>
      <c r="G6" s="98" t="s">
        <v>69</v>
      </c>
      <c r="H6" s="99" t="s">
        <v>459</v>
      </c>
      <c r="I6" s="34"/>
      <c r="J6" s="34"/>
      <c r="K6" s="34"/>
      <c r="L6" s="34"/>
      <c r="M6" s="34"/>
      <c r="N6" s="34"/>
      <c r="O6" s="34"/>
      <c r="P6" s="34"/>
      <c r="Q6" s="34"/>
      <c r="R6" s="34"/>
      <c r="S6" s="34"/>
    </row>
    <row r="7" spans="1:19" s="4" customFormat="1" ht="105" customHeight="1" x14ac:dyDescent="0.2">
      <c r="A7" s="34"/>
      <c r="B7" s="5">
        <v>3</v>
      </c>
      <c r="C7" s="23" t="s">
        <v>6</v>
      </c>
      <c r="D7" s="6">
        <v>1</v>
      </c>
      <c r="E7" s="22">
        <v>5</v>
      </c>
      <c r="F7" s="6">
        <f t="shared" si="0"/>
        <v>5</v>
      </c>
      <c r="G7" s="98" t="s">
        <v>70</v>
      </c>
      <c r="H7" s="99" t="s">
        <v>265</v>
      </c>
      <c r="I7" s="34"/>
      <c r="J7" s="34"/>
      <c r="K7" s="34"/>
      <c r="L7" s="34"/>
      <c r="M7" s="34"/>
      <c r="N7" s="34"/>
      <c r="O7" s="34"/>
      <c r="P7" s="34"/>
      <c r="Q7" s="34"/>
      <c r="R7" s="34"/>
      <c r="S7" s="34"/>
    </row>
    <row r="8" spans="1:19" s="4" customFormat="1" ht="68.25" customHeight="1" x14ac:dyDescent="0.2">
      <c r="A8" s="34"/>
      <c r="B8" s="5">
        <v>4</v>
      </c>
      <c r="C8" s="23" t="s">
        <v>13</v>
      </c>
      <c r="D8" s="6">
        <v>0.5</v>
      </c>
      <c r="E8" s="22">
        <v>5</v>
      </c>
      <c r="F8" s="6">
        <f t="shared" si="0"/>
        <v>2.5</v>
      </c>
      <c r="G8" s="98" t="s">
        <v>71</v>
      </c>
      <c r="H8" s="100" t="s">
        <v>266</v>
      </c>
      <c r="I8" s="34"/>
      <c r="J8" s="34"/>
      <c r="K8" s="34"/>
      <c r="L8" s="34"/>
      <c r="M8" s="34"/>
      <c r="N8" s="34"/>
      <c r="O8" s="34"/>
      <c r="P8" s="34"/>
      <c r="Q8" s="34"/>
      <c r="R8" s="34"/>
      <c r="S8" s="34"/>
    </row>
    <row r="9" spans="1:19" s="4" customFormat="1" ht="38.25" x14ac:dyDescent="0.2">
      <c r="A9" s="34"/>
      <c r="B9" s="5">
        <v>5</v>
      </c>
      <c r="C9" s="23" t="s">
        <v>7</v>
      </c>
      <c r="D9" s="6">
        <v>1</v>
      </c>
      <c r="E9" s="22">
        <v>5</v>
      </c>
      <c r="F9" s="6">
        <f t="shared" si="0"/>
        <v>5</v>
      </c>
      <c r="G9" s="98" t="s">
        <v>72</v>
      </c>
      <c r="H9" s="99" t="s">
        <v>103</v>
      </c>
      <c r="I9" s="34"/>
      <c r="J9" s="34"/>
      <c r="K9" s="34"/>
      <c r="L9" s="34"/>
      <c r="M9" s="34"/>
      <c r="N9" s="34"/>
      <c r="O9" s="34"/>
      <c r="P9" s="34"/>
      <c r="Q9" s="34"/>
      <c r="R9" s="34"/>
      <c r="S9" s="34"/>
    </row>
    <row r="10" spans="1:19" s="4" customFormat="1" ht="93.75" customHeight="1" x14ac:dyDescent="0.2">
      <c r="A10" s="34"/>
      <c r="B10" s="5">
        <v>6</v>
      </c>
      <c r="C10" s="23" t="s">
        <v>8</v>
      </c>
      <c r="D10" s="6">
        <v>2</v>
      </c>
      <c r="E10" s="22">
        <v>3</v>
      </c>
      <c r="F10" s="6">
        <f t="shared" si="0"/>
        <v>6</v>
      </c>
      <c r="G10" s="98" t="s">
        <v>93</v>
      </c>
      <c r="H10" s="101" t="s">
        <v>456</v>
      </c>
      <c r="I10" s="83" t="s">
        <v>104</v>
      </c>
      <c r="J10" s="34"/>
      <c r="K10" s="34"/>
      <c r="L10" s="34"/>
      <c r="M10" s="34"/>
      <c r="N10" s="34"/>
      <c r="O10" s="34"/>
      <c r="P10" s="34"/>
      <c r="Q10" s="34"/>
      <c r="R10" s="34"/>
      <c r="S10" s="34"/>
    </row>
    <row r="11" spans="1:19" s="4" customFormat="1" ht="63.75" x14ac:dyDescent="0.2">
      <c r="A11" s="34"/>
      <c r="B11" s="5">
        <v>7</v>
      </c>
      <c r="C11" s="23" t="s">
        <v>9</v>
      </c>
      <c r="D11" s="6">
        <v>-1</v>
      </c>
      <c r="E11" s="22">
        <v>2</v>
      </c>
      <c r="F11" s="6">
        <f t="shared" si="0"/>
        <v>-2</v>
      </c>
      <c r="G11" s="98" t="s">
        <v>73</v>
      </c>
      <c r="H11" s="99" t="s">
        <v>267</v>
      </c>
      <c r="I11" s="34"/>
      <c r="J11" s="34"/>
      <c r="K11" s="34"/>
      <c r="L11" s="34"/>
      <c r="M11" s="34"/>
      <c r="N11" s="34"/>
      <c r="O11" s="34"/>
      <c r="P11" s="34"/>
      <c r="Q11" s="34"/>
      <c r="R11" s="34"/>
      <c r="S11" s="34"/>
    </row>
    <row r="12" spans="1:19" s="4" customFormat="1" ht="55.5" customHeight="1" x14ac:dyDescent="0.2">
      <c r="A12" s="34"/>
      <c r="B12" s="5">
        <v>8</v>
      </c>
      <c r="C12" s="24" t="s">
        <v>10</v>
      </c>
      <c r="D12" s="15">
        <v>-1</v>
      </c>
      <c r="E12" s="22">
        <v>2</v>
      </c>
      <c r="F12" s="6">
        <f t="shared" si="0"/>
        <v>-2</v>
      </c>
      <c r="G12" s="98" t="s">
        <v>74</v>
      </c>
      <c r="H12" s="99" t="s">
        <v>460</v>
      </c>
      <c r="I12" s="34"/>
      <c r="J12" s="34"/>
      <c r="K12" s="34"/>
      <c r="L12" s="34"/>
      <c r="M12" s="34"/>
      <c r="N12" s="34"/>
      <c r="O12" s="34"/>
      <c r="P12" s="34"/>
      <c r="Q12" s="34"/>
      <c r="R12" s="34"/>
      <c r="S12" s="34"/>
    </row>
    <row r="13" spans="1:19" s="4" customFormat="1" ht="39" thickBot="1" x14ac:dyDescent="0.25">
      <c r="A13" s="34"/>
      <c r="B13" s="102">
        <v>9</v>
      </c>
      <c r="C13" s="103" t="s">
        <v>38</v>
      </c>
      <c r="D13" s="104">
        <v>1</v>
      </c>
      <c r="E13" s="105">
        <v>5</v>
      </c>
      <c r="F13" s="106">
        <f t="shared" si="0"/>
        <v>5</v>
      </c>
      <c r="G13" s="107" t="s">
        <v>75</v>
      </c>
      <c r="H13" s="108" t="s">
        <v>268</v>
      </c>
      <c r="I13" s="34"/>
      <c r="J13" s="34"/>
      <c r="K13" s="34"/>
      <c r="L13" s="34"/>
      <c r="M13" s="34"/>
      <c r="N13" s="34"/>
      <c r="O13" s="34"/>
      <c r="P13" s="34"/>
      <c r="Q13" s="34"/>
      <c r="R13" s="34"/>
      <c r="S13" s="34"/>
    </row>
    <row r="14" spans="1:19" ht="30" customHeight="1" thickBot="1" x14ac:dyDescent="0.25">
      <c r="B14" s="404" t="s">
        <v>3</v>
      </c>
      <c r="C14" s="405"/>
      <c r="D14" s="405"/>
      <c r="E14" s="405"/>
      <c r="F14" s="171">
        <f>SUM(F5:F13)</f>
        <v>28.5</v>
      </c>
      <c r="G14" s="171"/>
      <c r="H14" s="110"/>
    </row>
    <row r="15" spans="1:19" s="27" customFormat="1" x14ac:dyDescent="0.2">
      <c r="C15" s="29"/>
      <c r="D15" s="29"/>
      <c r="G15" s="30"/>
      <c r="H15" s="60"/>
    </row>
    <row r="16" spans="1:19" ht="13.5" thickBot="1" x14ac:dyDescent="0.25">
      <c r="B16" s="27"/>
      <c r="C16" s="29"/>
      <c r="D16" s="172">
        <f>1.4-(0.03*F14)</f>
        <v>0.54499999999999993</v>
      </c>
      <c r="E16" s="27"/>
      <c r="F16" s="27"/>
      <c r="G16" s="31"/>
    </row>
    <row r="17" spans="3:8" s="27" customFormat="1" x14ac:dyDescent="0.2">
      <c r="C17" s="29"/>
      <c r="D17" s="29"/>
      <c r="G17" s="32"/>
      <c r="H17" s="60"/>
    </row>
    <row r="18" spans="3:8" s="27" customFormat="1" x14ac:dyDescent="0.2">
      <c r="C18" s="29"/>
      <c r="D18" s="29"/>
      <c r="G18" s="32"/>
      <c r="H18" s="60"/>
    </row>
    <row r="19" spans="3:8" s="27" customFormat="1" x14ac:dyDescent="0.2">
      <c r="C19" s="29"/>
      <c r="D19" s="29"/>
      <c r="G19" s="33"/>
      <c r="H19" s="60"/>
    </row>
    <row r="20" spans="3:8" s="27" customFormat="1" x14ac:dyDescent="0.2">
      <c r="C20" s="29"/>
      <c r="D20" s="29"/>
      <c r="G20" s="30"/>
      <c r="H20" s="60"/>
    </row>
    <row r="21" spans="3:8" s="27" customFormat="1" x14ac:dyDescent="0.2">
      <c r="C21" s="29"/>
      <c r="D21" s="29"/>
      <c r="G21" s="30"/>
      <c r="H21" s="60"/>
    </row>
    <row r="22" spans="3:8" s="27" customFormat="1" x14ac:dyDescent="0.2">
      <c r="C22" s="29"/>
      <c r="D22" s="29"/>
      <c r="G22" s="30"/>
      <c r="H22" s="60"/>
    </row>
    <row r="23" spans="3:8" s="27" customFormat="1" x14ac:dyDescent="0.2">
      <c r="C23" s="29"/>
      <c r="D23" s="29"/>
      <c r="G23" s="30"/>
      <c r="H23" s="60"/>
    </row>
    <row r="24" spans="3:8" s="27" customFormat="1" x14ac:dyDescent="0.2">
      <c r="C24" s="29"/>
      <c r="D24" s="29"/>
      <c r="G24" s="30"/>
      <c r="H24" s="60"/>
    </row>
    <row r="25" spans="3:8" s="27" customFormat="1" x14ac:dyDescent="0.2">
      <c r="C25" s="29"/>
      <c r="D25" s="29"/>
      <c r="G25" s="30"/>
      <c r="H25" s="60"/>
    </row>
    <row r="26" spans="3:8" s="27" customFormat="1" x14ac:dyDescent="0.2">
      <c r="C26" s="29"/>
      <c r="D26" s="29"/>
      <c r="G26" s="30"/>
      <c r="H26" s="60"/>
    </row>
    <row r="27" spans="3:8" s="27" customFormat="1" x14ac:dyDescent="0.2">
      <c r="C27" s="29"/>
      <c r="D27" s="29"/>
      <c r="G27" s="30"/>
      <c r="H27" s="60"/>
    </row>
    <row r="28" spans="3:8" s="27" customFormat="1" x14ac:dyDescent="0.2">
      <c r="C28" s="29"/>
      <c r="D28" s="29"/>
      <c r="G28" s="30"/>
      <c r="H28" s="60"/>
    </row>
    <row r="29" spans="3:8" s="27" customFormat="1" x14ac:dyDescent="0.2">
      <c r="C29" s="29"/>
      <c r="D29" s="29"/>
      <c r="G29" s="30"/>
      <c r="H29" s="60"/>
    </row>
    <row r="30" spans="3:8" s="27" customFormat="1" x14ac:dyDescent="0.2">
      <c r="C30" s="29"/>
      <c r="D30" s="29"/>
      <c r="G30" s="30"/>
      <c r="H30" s="60"/>
    </row>
    <row r="31" spans="3:8" s="27" customFormat="1" x14ac:dyDescent="0.2">
      <c r="C31" s="29"/>
      <c r="D31" s="29"/>
      <c r="G31" s="30"/>
      <c r="H31" s="60"/>
    </row>
    <row r="32" spans="3:8" s="27" customFormat="1" x14ac:dyDescent="0.2">
      <c r="C32" s="29"/>
      <c r="D32" s="29"/>
      <c r="G32" s="30"/>
      <c r="H32" s="60"/>
    </row>
    <row r="33" spans="2:8" s="27" customFormat="1" x14ac:dyDescent="0.2">
      <c r="C33" s="29"/>
      <c r="D33" s="29"/>
      <c r="G33" s="30"/>
      <c r="H33" s="60"/>
    </row>
    <row r="34" spans="2:8" s="27" customFormat="1" x14ac:dyDescent="0.2">
      <c r="C34" s="29"/>
      <c r="D34" s="29"/>
      <c r="G34" s="30"/>
      <c r="H34" s="60"/>
    </row>
    <row r="35" spans="2:8" s="27" customFormat="1" x14ac:dyDescent="0.2">
      <c r="C35" s="29"/>
      <c r="D35" s="29"/>
      <c r="G35" s="30"/>
      <c r="H35" s="60"/>
    </row>
    <row r="36" spans="2:8" s="27" customFormat="1" x14ac:dyDescent="0.2">
      <c r="C36" s="29"/>
      <c r="D36" s="29"/>
      <c r="G36" s="30"/>
      <c r="H36" s="60"/>
    </row>
    <row r="37" spans="2:8" s="27" customFormat="1" x14ac:dyDescent="0.2">
      <c r="C37" s="29"/>
      <c r="D37" s="29"/>
      <c r="G37" s="30"/>
      <c r="H37" s="60"/>
    </row>
    <row r="38" spans="2:8" s="27" customFormat="1" x14ac:dyDescent="0.2">
      <c r="C38" s="29"/>
      <c r="D38" s="29"/>
      <c r="G38" s="30"/>
      <c r="H38" s="60"/>
    </row>
    <row r="39" spans="2:8" s="27" customFormat="1" x14ac:dyDescent="0.2">
      <c r="C39" s="29"/>
      <c r="D39" s="29"/>
      <c r="G39" s="30"/>
      <c r="H39" s="60"/>
    </row>
    <row r="40" spans="2:8" s="27" customFormat="1" x14ac:dyDescent="0.2">
      <c r="C40" s="29"/>
      <c r="D40" s="29"/>
      <c r="G40" s="30"/>
      <c r="H40" s="60"/>
    </row>
    <row r="41" spans="2:8" s="27" customFormat="1" x14ac:dyDescent="0.2">
      <c r="C41" s="29"/>
      <c r="D41" s="29"/>
      <c r="G41" s="30"/>
      <c r="H41" s="60"/>
    </row>
    <row r="42" spans="2:8" s="27" customFormat="1" x14ac:dyDescent="0.2">
      <c r="C42" s="29"/>
      <c r="D42" s="29"/>
      <c r="G42" s="30"/>
      <c r="H42" s="60"/>
    </row>
    <row r="43" spans="2:8" x14ac:dyDescent="0.2">
      <c r="B43" s="27"/>
      <c r="C43" s="29"/>
    </row>
    <row r="44" spans="2:8" x14ac:dyDescent="0.2">
      <c r="B44" s="27"/>
      <c r="C44" s="29"/>
    </row>
    <row r="45" spans="2:8" x14ac:dyDescent="0.2">
      <c r="B45" s="27"/>
      <c r="C45" s="29"/>
    </row>
    <row r="46" spans="2:8" x14ac:dyDescent="0.2">
      <c r="B46" s="27"/>
      <c r="C46" s="29"/>
    </row>
    <row r="47" spans="2:8" x14ac:dyDescent="0.2">
      <c r="B47" s="27"/>
      <c r="C47" s="29"/>
    </row>
    <row r="48" spans="2:8" x14ac:dyDescent="0.2">
      <c r="B48" s="27"/>
      <c r="C48" s="29"/>
    </row>
  </sheetData>
  <mergeCells count="3">
    <mergeCell ref="B2:H2"/>
    <mergeCell ref="B4:C4"/>
    <mergeCell ref="B14:E14"/>
  </mergeCells>
  <printOptions horizontalCentered="1"/>
  <pageMargins left="0.74803149606299213" right="0.74803149606299213" top="0.98425196850393704" bottom="0.98425196850393704" header="0.51181102362204722" footer="0.51181102362204722"/>
  <pageSetup scale="69" fitToHeight="3" orientation="landscape" r:id="rId1"/>
  <headerFooter alignWithMargins="0">
    <oddHeader>&amp;C&amp;"Arial,Negrita"CUADRO DE ESTIMACIÓN DE ESFUERZO 
SOLUCIONES MÓVILES 4</oddHeader>
    <oddFooter>&amp;L&amp;"Arial,Negrita"&amp;A&amp;C&amp;"Arial,Negrita"&amp;P/&amp;N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41"/>
  <sheetViews>
    <sheetView view="pageBreakPreview" zoomScale="60" zoomScaleNormal="90" workbookViewId="0">
      <selection activeCell="J22" sqref="J22"/>
    </sheetView>
  </sheetViews>
  <sheetFormatPr baseColWidth="10" defaultColWidth="9.140625" defaultRowHeight="15" x14ac:dyDescent="0.25"/>
  <cols>
    <col min="1" max="1" width="5.7109375" style="38" customWidth="1"/>
    <col min="2" max="2" width="3.140625" style="19" customWidth="1"/>
    <col min="3" max="3" width="6.5703125" style="19" customWidth="1"/>
    <col min="4" max="4" width="57.85546875" style="25" customWidth="1"/>
    <col min="5" max="5" width="17.140625" style="19" bestFit="1" customWidth="1"/>
    <col min="6" max="6" width="0" style="38" hidden="1" customWidth="1"/>
    <col min="7" max="7" width="0" style="19" hidden="1" customWidth="1"/>
    <col min="8" max="8" width="17.5703125" style="19" hidden="1" customWidth="1"/>
    <col min="9" max="9" width="6.7109375" style="19" customWidth="1"/>
    <col min="10" max="10" width="11.28515625" style="19" customWidth="1"/>
    <col min="11" max="11" width="16" style="19" customWidth="1"/>
    <col min="12" max="12" width="53.7109375" style="38" bestFit="1" customWidth="1"/>
    <col min="13" max="13" width="12.7109375" style="38" bestFit="1" customWidth="1"/>
    <col min="14" max="28" width="9.140625" style="38"/>
    <col min="29" max="16384" width="9.140625" style="19"/>
  </cols>
  <sheetData>
    <row r="1" spans="1:28" s="38" customFormat="1" ht="93.75" customHeight="1" x14ac:dyDescent="0.25">
      <c r="D1" s="39"/>
    </row>
    <row r="2" spans="1:28" s="38" customFormat="1" x14ac:dyDescent="0.25">
      <c r="D2" s="39"/>
    </row>
    <row r="3" spans="1:28" s="38" customFormat="1" x14ac:dyDescent="0.25">
      <c r="B3" s="426" t="s">
        <v>80</v>
      </c>
      <c r="C3" s="426"/>
      <c r="D3" s="426"/>
      <c r="E3" s="426"/>
      <c r="F3" s="426"/>
      <c r="G3" s="426"/>
      <c r="H3" s="426"/>
      <c r="I3" s="426"/>
      <c r="J3" s="426"/>
      <c r="K3" s="426"/>
      <c r="L3" s="426"/>
      <c r="M3" s="426"/>
    </row>
    <row r="4" spans="1:28" s="38" customFormat="1" x14ac:dyDescent="0.25">
      <c r="B4" s="399"/>
      <c r="C4" s="399"/>
      <c r="D4" s="399"/>
      <c r="E4" s="399"/>
      <c r="F4" s="399"/>
      <c r="G4" s="399"/>
      <c r="H4" s="399"/>
      <c r="I4" s="399"/>
      <c r="J4" s="399"/>
      <c r="K4" s="399"/>
      <c r="L4" s="399"/>
      <c r="M4" s="399"/>
    </row>
    <row r="5" spans="1:28" s="38" customFormat="1" ht="15.75" thickBot="1" x14ac:dyDescent="0.3">
      <c r="B5" s="254" t="s">
        <v>247</v>
      </c>
      <c r="D5" s="39"/>
      <c r="J5" s="254" t="s">
        <v>451</v>
      </c>
    </row>
    <row r="6" spans="1:28" ht="15.75" thickBot="1" x14ac:dyDescent="0.3">
      <c r="B6" s="418" t="s">
        <v>32</v>
      </c>
      <c r="C6" s="419"/>
      <c r="D6" s="419"/>
      <c r="E6" s="420"/>
      <c r="G6" s="38"/>
      <c r="H6" s="38"/>
      <c r="I6" s="38"/>
      <c r="J6" s="418" t="s">
        <v>32</v>
      </c>
      <c r="K6" s="419"/>
      <c r="L6" s="419"/>
      <c r="M6" s="420"/>
    </row>
    <row r="7" spans="1:28" x14ac:dyDescent="0.25">
      <c r="B7" s="421" t="s">
        <v>0</v>
      </c>
      <c r="C7" s="422"/>
      <c r="D7" s="40" t="s">
        <v>14</v>
      </c>
      <c r="E7" s="41">
        <f>FactoresTecnicosMovil!E19</f>
        <v>1.07</v>
      </c>
      <c r="G7" s="38"/>
      <c r="H7" s="38"/>
      <c r="I7" s="38"/>
      <c r="J7" s="421" t="s">
        <v>0</v>
      </c>
      <c r="K7" s="422"/>
      <c r="L7" s="40" t="s">
        <v>14</v>
      </c>
      <c r="M7" s="41">
        <f>FactoresTecnicosWeb!$E$20</f>
        <v>0.995</v>
      </c>
    </row>
    <row r="8" spans="1:28" x14ac:dyDescent="0.25">
      <c r="B8" s="412" t="s">
        <v>67</v>
      </c>
      <c r="C8" s="413"/>
      <c r="D8" s="37" t="s">
        <v>64</v>
      </c>
      <c r="E8" s="35">
        <f>FactoresAmbientalesMovil!D16</f>
        <v>0.52999999999999992</v>
      </c>
      <c r="G8" s="38"/>
      <c r="H8" s="38"/>
      <c r="I8" s="38"/>
      <c r="J8" s="412" t="s">
        <v>67</v>
      </c>
      <c r="K8" s="413"/>
      <c r="L8" s="37" t="s">
        <v>64</v>
      </c>
      <c r="M8" s="35">
        <f>FactoresAmbientalesWeb!D16</f>
        <v>0.54499999999999993</v>
      </c>
    </row>
    <row r="9" spans="1:28" x14ac:dyDescent="0.25">
      <c r="A9" s="19"/>
      <c r="B9" s="412" t="s">
        <v>66</v>
      </c>
      <c r="C9" s="413"/>
      <c r="D9" s="37" t="s">
        <v>136</v>
      </c>
      <c r="E9" s="35">
        <f>Complejidad!F30</f>
        <v>140</v>
      </c>
      <c r="G9" s="38"/>
      <c r="H9" s="38"/>
      <c r="I9" s="38"/>
      <c r="J9" s="412" t="s">
        <v>66</v>
      </c>
      <c r="K9" s="413"/>
      <c r="L9" s="37" t="s">
        <v>137</v>
      </c>
      <c r="M9" s="35">
        <f>Complejidad!F45</f>
        <v>205</v>
      </c>
      <c r="N9" s="19"/>
      <c r="O9" s="19"/>
      <c r="P9" s="19"/>
      <c r="Q9" s="19"/>
      <c r="R9" s="19"/>
      <c r="S9" s="19"/>
      <c r="T9" s="19"/>
      <c r="U9" s="19"/>
      <c r="V9" s="19"/>
      <c r="W9" s="19"/>
      <c r="X9" s="19"/>
      <c r="Y9" s="19"/>
      <c r="Z9" s="19"/>
      <c r="AA9" s="19"/>
      <c r="AB9" s="19"/>
    </row>
    <row r="10" spans="1:28" x14ac:dyDescent="0.25">
      <c r="A10" s="19"/>
      <c r="B10" s="412" t="s">
        <v>42</v>
      </c>
      <c r="C10" s="413"/>
      <c r="D10" s="37" t="s">
        <v>134</v>
      </c>
      <c r="E10" s="36">
        <f>Complejidad!F8</f>
        <v>10</v>
      </c>
      <c r="G10" s="38"/>
      <c r="H10" s="38"/>
      <c r="I10" s="38"/>
      <c r="J10" s="412" t="s">
        <v>42</v>
      </c>
      <c r="K10" s="413"/>
      <c r="L10" s="37" t="s">
        <v>135</v>
      </c>
      <c r="M10" s="115">
        <f>Complejidad!F22</f>
        <v>3</v>
      </c>
      <c r="N10" s="19"/>
      <c r="O10" s="19"/>
      <c r="P10" s="19"/>
      <c r="Q10" s="19"/>
      <c r="R10" s="19"/>
      <c r="S10" s="19"/>
      <c r="T10" s="19"/>
      <c r="U10" s="19"/>
      <c r="V10" s="19"/>
      <c r="W10" s="19"/>
      <c r="X10" s="19"/>
      <c r="Y10" s="19"/>
      <c r="Z10" s="19"/>
      <c r="AA10" s="19"/>
      <c r="AB10" s="19"/>
    </row>
    <row r="11" spans="1:28" ht="15.75" thickBot="1" x14ac:dyDescent="0.3">
      <c r="A11" s="19"/>
      <c r="B11" s="414" t="s">
        <v>1</v>
      </c>
      <c r="C11" s="411"/>
      <c r="D11" s="42" t="s">
        <v>140</v>
      </c>
      <c r="E11" s="139">
        <f>E9+E10</f>
        <v>150</v>
      </c>
      <c r="G11" s="38"/>
      <c r="H11" s="38"/>
      <c r="I11" s="38"/>
      <c r="J11" s="414" t="s">
        <v>1</v>
      </c>
      <c r="K11" s="411"/>
      <c r="L11" s="42" t="s">
        <v>141</v>
      </c>
      <c r="M11" s="303">
        <f>M10+M9</f>
        <v>208</v>
      </c>
      <c r="N11" s="19"/>
      <c r="O11" s="19"/>
      <c r="P11" s="19"/>
      <c r="Q11" s="19"/>
      <c r="R11" s="19"/>
      <c r="S11" s="19"/>
      <c r="T11" s="19"/>
      <c r="U11" s="19"/>
      <c r="V11" s="19"/>
      <c r="W11" s="19"/>
      <c r="X11" s="19"/>
      <c r="Y11" s="19"/>
      <c r="Z11" s="19"/>
      <c r="AA11" s="19"/>
      <c r="AB11" s="19"/>
    </row>
    <row r="12" spans="1:28" x14ac:dyDescent="0.25">
      <c r="A12" s="19"/>
      <c r="B12" s="415" t="s">
        <v>65</v>
      </c>
      <c r="C12" s="416"/>
      <c r="D12" s="416"/>
      <c r="E12" s="417"/>
      <c r="G12" s="38"/>
      <c r="H12" s="38"/>
      <c r="I12" s="38"/>
      <c r="J12" s="415" t="s">
        <v>65</v>
      </c>
      <c r="K12" s="416"/>
      <c r="L12" s="416"/>
      <c r="M12" s="417"/>
      <c r="N12" s="19"/>
      <c r="O12" s="19"/>
      <c r="P12" s="19"/>
      <c r="Q12" s="19"/>
      <c r="R12" s="19"/>
      <c r="S12" s="19"/>
      <c r="T12" s="19"/>
      <c r="U12" s="19"/>
      <c r="V12" s="19"/>
      <c r="W12" s="19"/>
      <c r="X12" s="19"/>
      <c r="Y12" s="19"/>
      <c r="Z12" s="19"/>
      <c r="AA12" s="19"/>
      <c r="AB12" s="19"/>
    </row>
    <row r="13" spans="1:28" ht="15.75" thickBot="1" x14ac:dyDescent="0.3">
      <c r="A13" s="19"/>
      <c r="B13" s="412" t="s">
        <v>81</v>
      </c>
      <c r="C13" s="413"/>
      <c r="D13" s="26" t="s">
        <v>142</v>
      </c>
      <c r="E13" s="114">
        <f>ROUND(E11*E7*E8,0)</f>
        <v>85</v>
      </c>
      <c r="G13" s="47"/>
      <c r="H13" s="38"/>
      <c r="I13" s="38"/>
      <c r="J13" s="412" t="s">
        <v>81</v>
      </c>
      <c r="K13" s="413"/>
      <c r="L13" s="26" t="s">
        <v>143</v>
      </c>
      <c r="M13" s="114">
        <f>ROUND(M11*M7*M8,0)</f>
        <v>113</v>
      </c>
      <c r="N13" s="19"/>
      <c r="O13" s="19"/>
      <c r="P13" s="19"/>
      <c r="Q13" s="19"/>
      <c r="R13" s="19"/>
      <c r="S13" s="19"/>
      <c r="T13" s="19"/>
      <c r="U13" s="19"/>
      <c r="V13" s="19"/>
      <c r="W13" s="19"/>
      <c r="X13" s="19"/>
      <c r="Y13" s="19"/>
      <c r="Z13" s="19"/>
      <c r="AA13" s="19"/>
      <c r="AB13" s="19"/>
    </row>
    <row r="14" spans="1:28" x14ac:dyDescent="0.25">
      <c r="A14" s="19"/>
      <c r="B14" s="423" t="s">
        <v>31</v>
      </c>
      <c r="C14" s="424"/>
      <c r="D14" s="424"/>
      <c r="E14" s="425"/>
      <c r="G14" s="47"/>
      <c r="H14" s="38"/>
      <c r="I14" s="38"/>
      <c r="J14" s="423" t="s">
        <v>31</v>
      </c>
      <c r="K14" s="424"/>
      <c r="L14" s="424"/>
      <c r="M14" s="425"/>
      <c r="N14" s="19"/>
      <c r="O14" s="19"/>
      <c r="P14" s="19"/>
      <c r="Q14" s="19"/>
      <c r="R14" s="19"/>
      <c r="S14" s="19"/>
      <c r="T14" s="19"/>
      <c r="U14" s="19"/>
      <c r="V14" s="19"/>
      <c r="W14" s="19"/>
      <c r="X14" s="19"/>
      <c r="Y14" s="19"/>
      <c r="Z14" s="19"/>
      <c r="AA14" s="19"/>
      <c r="AB14" s="19"/>
    </row>
    <row r="15" spans="1:28" x14ac:dyDescent="0.25">
      <c r="A15" s="19"/>
      <c r="B15" s="412" t="s">
        <v>2</v>
      </c>
      <c r="C15" s="413"/>
      <c r="D15" s="26" t="s">
        <v>127</v>
      </c>
      <c r="E15" s="115">
        <v>15</v>
      </c>
      <c r="G15" s="38"/>
      <c r="H15" s="50"/>
      <c r="I15" s="38"/>
      <c r="J15" s="412" t="s">
        <v>2</v>
      </c>
      <c r="K15" s="413"/>
      <c r="L15" s="26" t="s">
        <v>127</v>
      </c>
      <c r="M15" s="115">
        <v>15</v>
      </c>
      <c r="N15" s="19"/>
      <c r="O15" s="19"/>
      <c r="P15" s="19"/>
      <c r="Q15" s="19"/>
      <c r="R15" s="19"/>
      <c r="S15" s="19"/>
      <c r="T15" s="19"/>
      <c r="U15" s="19"/>
      <c r="V15" s="19"/>
      <c r="W15" s="19"/>
      <c r="X15" s="19"/>
      <c r="Y15" s="19"/>
      <c r="Z15" s="19"/>
      <c r="AA15" s="19"/>
      <c r="AB15" s="19"/>
    </row>
    <row r="16" spans="1:28" ht="15.75" thickBot="1" x14ac:dyDescent="0.3">
      <c r="A16" s="19"/>
      <c r="B16" s="409" t="s">
        <v>138</v>
      </c>
      <c r="C16" s="410"/>
      <c r="D16" s="411"/>
      <c r="E16" s="128">
        <f>E13*E15</f>
        <v>1275</v>
      </c>
      <c r="G16" s="38"/>
      <c r="H16" s="38"/>
      <c r="I16" s="38"/>
      <c r="J16" s="409" t="s">
        <v>139</v>
      </c>
      <c r="K16" s="410"/>
      <c r="L16" s="411"/>
      <c r="M16" s="128">
        <f>M13*M15</f>
        <v>1695</v>
      </c>
      <c r="N16" s="19"/>
      <c r="O16" s="19"/>
      <c r="P16" s="19"/>
      <c r="Q16" s="19"/>
      <c r="R16" s="19"/>
      <c r="S16" s="19"/>
      <c r="T16" s="19"/>
      <c r="U16" s="19"/>
      <c r="V16" s="19"/>
      <c r="W16" s="19"/>
      <c r="X16" s="19"/>
      <c r="Y16" s="19"/>
      <c r="Z16" s="19"/>
      <c r="AA16" s="19"/>
      <c r="AB16" s="19"/>
    </row>
    <row r="17" spans="1:28" ht="15.75" thickBot="1" x14ac:dyDescent="0.3">
      <c r="A17" s="19"/>
      <c r="B17" s="38"/>
      <c r="C17" s="38"/>
      <c r="D17" s="39"/>
      <c r="E17" s="38"/>
      <c r="G17" s="38"/>
      <c r="H17" s="38"/>
      <c r="I17" s="38"/>
      <c r="J17" s="38"/>
      <c r="K17" s="38"/>
      <c r="N17" s="19"/>
      <c r="O17" s="19"/>
      <c r="P17" s="19"/>
      <c r="Q17" s="19"/>
      <c r="R17" s="19"/>
      <c r="S17" s="19"/>
      <c r="T17" s="19"/>
      <c r="U17" s="19"/>
      <c r="V17" s="19"/>
      <c r="W17" s="19"/>
      <c r="X17" s="19"/>
      <c r="Y17" s="19"/>
      <c r="Z17" s="19"/>
      <c r="AA17" s="19"/>
      <c r="AB17" s="19"/>
    </row>
    <row r="18" spans="1:28" x14ac:dyDescent="0.25">
      <c r="A18" s="19"/>
      <c r="B18" s="38"/>
      <c r="C18" s="38"/>
      <c r="D18" s="117" t="s">
        <v>269</v>
      </c>
      <c r="E18" s="118">
        <f>'Cronograma (2)'!J42+'Cronograma (2)'!K42</f>
        <v>264</v>
      </c>
      <c r="G18" s="38"/>
      <c r="H18" s="38"/>
      <c r="I18" s="38"/>
      <c r="J18" s="38"/>
      <c r="K18" s="38"/>
      <c r="L18" s="117" t="s">
        <v>269</v>
      </c>
      <c r="M18" s="118">
        <f>'Cronograma (2)'!B27+'Cronograma (2)'!C27</f>
        <v>356</v>
      </c>
      <c r="N18" s="19"/>
      <c r="O18" s="19"/>
      <c r="P18" s="19"/>
      <c r="Q18" s="19"/>
      <c r="R18" s="19"/>
      <c r="S18" s="19"/>
      <c r="T18" s="19"/>
      <c r="U18" s="19"/>
      <c r="V18" s="19"/>
      <c r="W18" s="19"/>
      <c r="X18" s="19"/>
      <c r="Y18" s="19"/>
      <c r="Z18" s="19"/>
      <c r="AA18" s="19"/>
      <c r="AB18" s="19"/>
    </row>
    <row r="19" spans="1:28" ht="30" x14ac:dyDescent="0.25">
      <c r="A19" s="19"/>
      <c r="B19" s="38"/>
      <c r="C19" s="38"/>
      <c r="D19" s="119" t="s">
        <v>82</v>
      </c>
      <c r="E19" s="127">
        <f>E16</f>
        <v>1275</v>
      </c>
      <c r="G19" s="38"/>
      <c r="H19" s="38"/>
      <c r="I19" s="38"/>
      <c r="J19" s="38"/>
      <c r="K19" s="38"/>
      <c r="L19" s="119" t="s">
        <v>82</v>
      </c>
      <c r="M19" s="127">
        <f>M16</f>
        <v>1695</v>
      </c>
      <c r="N19" s="19"/>
      <c r="O19" s="19"/>
      <c r="P19" s="19"/>
      <c r="Q19" s="19"/>
      <c r="R19" s="19"/>
      <c r="S19" s="19"/>
      <c r="T19" s="19"/>
      <c r="U19" s="19"/>
      <c r="V19" s="19"/>
      <c r="W19" s="19"/>
      <c r="X19" s="19"/>
      <c r="Y19" s="19"/>
      <c r="Z19" s="19"/>
      <c r="AA19" s="19"/>
      <c r="AB19" s="19"/>
    </row>
    <row r="20" spans="1:28" ht="15.75" thickBot="1" x14ac:dyDescent="0.3">
      <c r="A20" s="19"/>
      <c r="B20" s="38"/>
      <c r="C20" s="38"/>
      <c r="D20" s="120" t="s">
        <v>83</v>
      </c>
      <c r="E20" s="121">
        <f>E18+E19</f>
        <v>1539</v>
      </c>
      <c r="G20" s="38"/>
      <c r="H20" s="38"/>
      <c r="I20" s="38"/>
      <c r="J20" s="38"/>
      <c r="K20" s="38"/>
      <c r="L20" s="120" t="s">
        <v>83</v>
      </c>
      <c r="M20" s="121">
        <f>M18+M19</f>
        <v>2051</v>
      </c>
      <c r="N20" s="19"/>
      <c r="O20" s="19"/>
      <c r="P20" s="19"/>
      <c r="Q20" s="19"/>
      <c r="R20" s="19"/>
      <c r="S20" s="19"/>
      <c r="T20" s="19"/>
      <c r="U20" s="19"/>
      <c r="V20" s="19"/>
      <c r="W20" s="19"/>
      <c r="X20" s="19"/>
      <c r="Y20" s="19"/>
      <c r="Z20" s="19"/>
      <c r="AA20" s="19"/>
      <c r="AB20" s="19"/>
    </row>
    <row r="21" spans="1:28" ht="15.75" thickBot="1" x14ac:dyDescent="0.3">
      <c r="A21" s="19"/>
      <c r="B21" s="38"/>
      <c r="C21" s="38"/>
      <c r="D21" s="39"/>
      <c r="E21" s="38"/>
      <c r="G21" s="38"/>
      <c r="H21" s="38"/>
      <c r="I21" s="38"/>
      <c r="J21" s="38"/>
      <c r="K21" s="38"/>
      <c r="N21" s="19"/>
      <c r="O21" s="19"/>
      <c r="P21" s="19"/>
      <c r="Q21" s="19"/>
      <c r="R21" s="19"/>
      <c r="S21" s="19"/>
      <c r="T21" s="19"/>
      <c r="U21" s="19"/>
      <c r="V21" s="19"/>
      <c r="W21" s="19"/>
      <c r="X21" s="19"/>
      <c r="Y21" s="19"/>
      <c r="Z21" s="19"/>
      <c r="AA21" s="19"/>
      <c r="AB21" s="19"/>
    </row>
    <row r="22" spans="1:28" ht="15.75" thickBot="1" x14ac:dyDescent="0.3">
      <c r="A22" s="19"/>
      <c r="B22" s="38"/>
      <c r="C22" s="279" t="s">
        <v>88</v>
      </c>
      <c r="D22" s="280" t="s">
        <v>89</v>
      </c>
      <c r="E22" s="281" t="s">
        <v>90</v>
      </c>
      <c r="G22" s="38"/>
      <c r="H22" s="38"/>
      <c r="I22" s="38"/>
      <c r="J22" s="38"/>
      <c r="K22" s="255" t="s">
        <v>88</v>
      </c>
      <c r="L22" s="256" t="s">
        <v>89</v>
      </c>
      <c r="M22" s="257" t="s">
        <v>90</v>
      </c>
      <c r="N22" s="19"/>
      <c r="O22" s="19"/>
      <c r="P22" s="19"/>
      <c r="Q22" s="19"/>
      <c r="R22" s="19"/>
      <c r="S22" s="19"/>
      <c r="T22" s="19"/>
      <c r="U22" s="19"/>
      <c r="V22" s="19"/>
      <c r="W22" s="19"/>
      <c r="X22" s="19"/>
      <c r="Y22" s="19"/>
      <c r="Z22" s="19"/>
      <c r="AA22" s="19"/>
      <c r="AB22" s="19"/>
    </row>
    <row r="23" spans="1:28" x14ac:dyDescent="0.25">
      <c r="A23" s="19"/>
      <c r="B23" s="38"/>
      <c r="C23" s="282">
        <f>ROUND(E13*0.08,0)</f>
        <v>7</v>
      </c>
      <c r="D23" s="283" t="s">
        <v>84</v>
      </c>
      <c r="E23" s="284">
        <f>ROUND(($C$23*5%),0)</f>
        <v>0</v>
      </c>
      <c r="G23" s="38"/>
      <c r="H23" s="38"/>
      <c r="I23" s="38"/>
      <c r="J23" s="38"/>
      <c r="K23" s="122">
        <f>ROUND((M13)*0.08,0)</f>
        <v>9</v>
      </c>
      <c r="L23" s="48" t="s">
        <v>84</v>
      </c>
      <c r="M23" s="114">
        <f>$K$23*5%</f>
        <v>0.45</v>
      </c>
      <c r="N23" s="19"/>
      <c r="O23" s="19"/>
      <c r="P23" s="19"/>
      <c r="Q23" s="19"/>
      <c r="R23" s="19"/>
      <c r="S23" s="19"/>
      <c r="T23" s="19"/>
      <c r="U23" s="19"/>
      <c r="V23" s="19"/>
      <c r="W23" s="19"/>
      <c r="X23" s="19"/>
      <c r="Y23" s="19"/>
      <c r="Z23" s="19"/>
      <c r="AA23" s="19"/>
      <c r="AB23" s="19"/>
    </row>
    <row r="24" spans="1:28" x14ac:dyDescent="0.25">
      <c r="A24" s="19"/>
      <c r="B24" s="38"/>
      <c r="C24" s="123"/>
      <c r="D24" s="48" t="s">
        <v>85</v>
      </c>
      <c r="E24" s="114">
        <f>ROUND(($C$23*5%),0)</f>
        <v>0</v>
      </c>
      <c r="G24" s="38"/>
      <c r="H24" s="38"/>
      <c r="I24" s="38"/>
      <c r="J24" s="38"/>
      <c r="K24" s="123"/>
      <c r="L24" s="48" t="s">
        <v>85</v>
      </c>
      <c r="M24" s="114">
        <f>$K$23*5%</f>
        <v>0.45</v>
      </c>
      <c r="N24" s="19"/>
      <c r="O24" s="19"/>
      <c r="P24" s="19"/>
      <c r="Q24" s="19"/>
      <c r="R24" s="19"/>
      <c r="S24" s="19"/>
      <c r="T24" s="19"/>
      <c r="U24" s="19"/>
      <c r="V24" s="19"/>
      <c r="W24" s="19"/>
      <c r="X24" s="19"/>
      <c r="Y24" s="19"/>
      <c r="Z24" s="19"/>
      <c r="AA24" s="19"/>
      <c r="AB24" s="19"/>
    </row>
    <row r="25" spans="1:28" x14ac:dyDescent="0.25">
      <c r="A25" s="19"/>
      <c r="B25" s="38"/>
      <c r="C25" s="123"/>
      <c r="D25" s="48" t="s">
        <v>86</v>
      </c>
      <c r="E25" s="114">
        <v>4</v>
      </c>
      <c r="G25" s="38"/>
      <c r="H25" s="38"/>
      <c r="I25" s="38"/>
      <c r="J25" s="38"/>
      <c r="K25" s="123"/>
      <c r="L25" s="48" t="s">
        <v>86</v>
      </c>
      <c r="M25" s="114">
        <f>$K$23*40%</f>
        <v>3.6</v>
      </c>
      <c r="N25" s="19"/>
      <c r="O25" s="19"/>
      <c r="P25" s="19"/>
      <c r="Q25" s="19"/>
      <c r="R25" s="19"/>
      <c r="S25" s="19"/>
      <c r="T25" s="19"/>
      <c r="U25" s="19"/>
      <c r="V25" s="19"/>
      <c r="W25" s="19"/>
      <c r="X25" s="19"/>
      <c r="Y25" s="19"/>
      <c r="Z25" s="19"/>
      <c r="AA25" s="19"/>
      <c r="AB25" s="19"/>
    </row>
    <row r="26" spans="1:28" ht="15.75" thickBot="1" x14ac:dyDescent="0.3">
      <c r="A26" s="19"/>
      <c r="B26" s="38"/>
      <c r="C26" s="124"/>
      <c r="D26" s="125" t="s">
        <v>87</v>
      </c>
      <c r="E26" s="126">
        <f>ROUND(($C$23*50%),0)</f>
        <v>4</v>
      </c>
      <c r="G26" s="38"/>
      <c r="H26" s="38"/>
      <c r="I26" s="38"/>
      <c r="J26" s="38"/>
      <c r="K26" s="124"/>
      <c r="L26" s="125" t="s">
        <v>87</v>
      </c>
      <c r="M26" s="114">
        <f>$K$23*50%</f>
        <v>4.5</v>
      </c>
      <c r="N26" s="19"/>
      <c r="O26" s="19"/>
      <c r="P26" s="19"/>
      <c r="Q26" s="19"/>
      <c r="R26" s="19"/>
      <c r="S26" s="19"/>
      <c r="T26" s="19"/>
      <c r="U26" s="19"/>
      <c r="V26" s="19"/>
      <c r="W26" s="19"/>
      <c r="X26" s="19"/>
      <c r="Y26" s="19"/>
      <c r="Z26" s="19"/>
      <c r="AA26" s="19"/>
      <c r="AB26" s="19"/>
    </row>
    <row r="27" spans="1:28" x14ac:dyDescent="0.25">
      <c r="A27" s="19"/>
      <c r="B27" s="38"/>
      <c r="C27" s="38"/>
      <c r="D27" s="39"/>
      <c r="E27" s="38"/>
      <c r="G27" s="38"/>
      <c r="H27" s="38"/>
      <c r="I27" s="38"/>
      <c r="J27" s="38"/>
      <c r="K27" s="38"/>
      <c r="N27" s="19"/>
      <c r="O27" s="19"/>
      <c r="P27" s="19"/>
      <c r="Q27" s="19"/>
      <c r="R27" s="19"/>
      <c r="S27" s="19"/>
      <c r="T27" s="19"/>
      <c r="U27" s="19"/>
      <c r="V27" s="19"/>
      <c r="W27" s="19"/>
      <c r="X27" s="19"/>
      <c r="Y27" s="19"/>
      <c r="Z27" s="19"/>
      <c r="AA27" s="19"/>
      <c r="AB27" s="19"/>
    </row>
    <row r="28" spans="1:28" x14ac:dyDescent="0.25">
      <c r="A28" s="19"/>
      <c r="B28" s="38"/>
      <c r="C28" s="38"/>
      <c r="D28" s="39"/>
      <c r="E28" s="38"/>
      <c r="G28" s="38"/>
      <c r="H28" s="38"/>
      <c r="I28" s="38"/>
      <c r="J28" s="38"/>
      <c r="K28" s="38"/>
      <c r="N28" s="19"/>
      <c r="O28" s="19"/>
      <c r="P28" s="19"/>
      <c r="Q28" s="19"/>
      <c r="R28" s="19"/>
      <c r="S28" s="19"/>
      <c r="T28" s="19"/>
      <c r="U28" s="19"/>
      <c r="V28" s="19"/>
      <c r="W28" s="19"/>
      <c r="X28" s="19"/>
      <c r="Y28" s="19"/>
      <c r="Z28" s="19"/>
      <c r="AA28" s="19"/>
      <c r="AB28" s="19"/>
    </row>
    <row r="29" spans="1:28" ht="15.75" thickBot="1" x14ac:dyDescent="0.3">
      <c r="A29" s="19"/>
      <c r="B29" s="254" t="s">
        <v>250</v>
      </c>
      <c r="C29" s="38"/>
      <c r="D29" s="39"/>
      <c r="E29" s="38"/>
      <c r="G29" s="38"/>
      <c r="H29" s="38"/>
      <c r="I29" s="38"/>
      <c r="N29" s="19"/>
      <c r="O29" s="19"/>
      <c r="P29" s="19"/>
      <c r="Q29" s="19"/>
      <c r="R29" s="19"/>
      <c r="S29" s="19"/>
      <c r="T29" s="19"/>
      <c r="U29" s="19"/>
      <c r="V29" s="19"/>
      <c r="W29" s="19"/>
      <c r="X29" s="19"/>
      <c r="Y29" s="19"/>
      <c r="Z29" s="19"/>
      <c r="AA29" s="19"/>
      <c r="AB29" s="19"/>
    </row>
    <row r="30" spans="1:28" ht="15.75" thickBot="1" x14ac:dyDescent="0.3">
      <c r="A30" s="19"/>
      <c r="B30" s="418" t="s">
        <v>32</v>
      </c>
      <c r="C30" s="419"/>
      <c r="D30" s="419"/>
      <c r="E30" s="420"/>
      <c r="N30" s="19"/>
      <c r="O30" s="19"/>
      <c r="P30" s="19"/>
      <c r="Q30" s="19"/>
      <c r="R30" s="19"/>
      <c r="S30" s="19"/>
      <c r="T30" s="19"/>
      <c r="U30" s="19"/>
      <c r="V30" s="19"/>
      <c r="W30" s="19"/>
      <c r="X30" s="19"/>
      <c r="Y30" s="19"/>
      <c r="Z30" s="19"/>
      <c r="AA30" s="19"/>
      <c r="AB30" s="19"/>
    </row>
    <row r="31" spans="1:28" x14ac:dyDescent="0.25">
      <c r="A31" s="19"/>
      <c r="B31" s="421" t="s">
        <v>0</v>
      </c>
      <c r="C31" s="422"/>
      <c r="D31" s="40" t="s">
        <v>14</v>
      </c>
      <c r="E31" s="41">
        <f>FactoresTecnicosMovil!E19</f>
        <v>1.07</v>
      </c>
      <c r="N31" s="19"/>
      <c r="O31" s="19"/>
      <c r="P31" s="19"/>
      <c r="Q31" s="19"/>
      <c r="R31" s="19"/>
      <c r="S31" s="19"/>
      <c r="T31" s="19"/>
      <c r="U31" s="19"/>
      <c r="V31" s="19"/>
      <c r="W31" s="19"/>
      <c r="X31" s="19"/>
      <c r="Y31" s="19"/>
      <c r="Z31" s="19"/>
      <c r="AA31" s="19"/>
      <c r="AB31" s="19"/>
    </row>
    <row r="32" spans="1:28" x14ac:dyDescent="0.25">
      <c r="A32" s="19"/>
      <c r="B32" s="412" t="s">
        <v>67</v>
      </c>
      <c r="C32" s="413"/>
      <c r="D32" s="37" t="s">
        <v>64</v>
      </c>
      <c r="E32" s="35">
        <f>FactoresAmbientalesMovil!D16</f>
        <v>0.52999999999999992</v>
      </c>
      <c r="J32" s="38"/>
      <c r="K32" s="38"/>
      <c r="N32" s="19"/>
      <c r="O32" s="19"/>
      <c r="P32" s="19"/>
      <c r="Q32" s="19"/>
      <c r="R32" s="19"/>
      <c r="S32" s="19"/>
      <c r="T32" s="19"/>
      <c r="U32" s="19"/>
      <c r="V32" s="19"/>
      <c r="W32" s="19"/>
      <c r="X32" s="19"/>
      <c r="Y32" s="19"/>
      <c r="Z32" s="19"/>
      <c r="AA32" s="19"/>
      <c r="AB32" s="19"/>
    </row>
    <row r="33" spans="2:10" s="38" customFormat="1" x14ac:dyDescent="0.25">
      <c r="B33" s="412" t="s">
        <v>66</v>
      </c>
      <c r="C33" s="413"/>
      <c r="D33" s="37" t="s">
        <v>136</v>
      </c>
      <c r="E33" s="35">
        <f>Complejidad!F37</f>
        <v>100</v>
      </c>
    </row>
    <row r="34" spans="2:10" s="38" customFormat="1" x14ac:dyDescent="0.25">
      <c r="B34" s="412" t="s">
        <v>42</v>
      </c>
      <c r="C34" s="413"/>
      <c r="D34" s="37" t="s">
        <v>134</v>
      </c>
      <c r="E34" s="36">
        <f>Complejidad!F15</f>
        <v>10</v>
      </c>
    </row>
    <row r="35" spans="2:10" s="38" customFormat="1" ht="15.75" thickBot="1" x14ac:dyDescent="0.3">
      <c r="B35" s="414" t="s">
        <v>1</v>
      </c>
      <c r="C35" s="411"/>
      <c r="D35" s="42" t="s">
        <v>140</v>
      </c>
      <c r="E35" s="139">
        <f>E33+E34</f>
        <v>110</v>
      </c>
    </row>
    <row r="36" spans="2:10" s="38" customFormat="1" x14ac:dyDescent="0.25">
      <c r="B36" s="415" t="s">
        <v>65</v>
      </c>
      <c r="C36" s="416"/>
      <c r="D36" s="416"/>
      <c r="E36" s="417"/>
    </row>
    <row r="37" spans="2:10" s="38" customFormat="1" ht="15.75" thickBot="1" x14ac:dyDescent="0.3">
      <c r="B37" s="412" t="s">
        <v>81</v>
      </c>
      <c r="C37" s="413"/>
      <c r="D37" s="26" t="s">
        <v>142</v>
      </c>
      <c r="E37" s="114">
        <f>ROUND(E35*E31*E32,0)</f>
        <v>62</v>
      </c>
    </row>
    <row r="38" spans="2:10" s="38" customFormat="1" x14ac:dyDescent="0.25">
      <c r="B38" s="423" t="s">
        <v>31</v>
      </c>
      <c r="C38" s="424"/>
      <c r="D38" s="424"/>
      <c r="E38" s="425"/>
    </row>
    <row r="39" spans="2:10" s="38" customFormat="1" x14ac:dyDescent="0.25">
      <c r="B39" s="412" t="s">
        <v>2</v>
      </c>
      <c r="C39" s="413"/>
      <c r="D39" s="26" t="s">
        <v>127</v>
      </c>
      <c r="E39" s="115">
        <v>15</v>
      </c>
    </row>
    <row r="40" spans="2:10" s="38" customFormat="1" ht="15.75" thickBot="1" x14ac:dyDescent="0.3">
      <c r="B40" s="409" t="s">
        <v>138</v>
      </c>
      <c r="C40" s="410"/>
      <c r="D40" s="411"/>
      <c r="E40" s="128">
        <f>E37*E39</f>
        <v>930</v>
      </c>
    </row>
    <row r="41" spans="2:10" s="38" customFormat="1" ht="15.75" thickBot="1" x14ac:dyDescent="0.3"/>
    <row r="42" spans="2:10" s="38" customFormat="1" x14ac:dyDescent="0.25">
      <c r="D42" s="117" t="s">
        <v>269</v>
      </c>
      <c r="E42" s="118">
        <f>'Cronograma (2)'!B12</f>
        <v>148</v>
      </c>
    </row>
    <row r="43" spans="2:10" s="38" customFormat="1" ht="30" x14ac:dyDescent="0.25">
      <c r="D43" s="119" t="s">
        <v>82</v>
      </c>
      <c r="E43" s="127">
        <f>E40</f>
        <v>930</v>
      </c>
      <c r="I43" s="53"/>
      <c r="J43" s="162"/>
    </row>
    <row r="44" spans="2:10" s="38" customFormat="1" ht="15.75" thickBot="1" x14ac:dyDescent="0.3">
      <c r="D44" s="120" t="s">
        <v>83</v>
      </c>
      <c r="E44" s="121">
        <f>E42+E43</f>
        <v>1078</v>
      </c>
      <c r="H44" s="19"/>
      <c r="I44" s="19"/>
    </row>
    <row r="45" spans="2:10" s="38" customFormat="1" ht="15.75" thickBot="1" x14ac:dyDescent="0.3">
      <c r="D45" s="39"/>
      <c r="H45" s="19"/>
      <c r="I45" s="19"/>
    </row>
    <row r="46" spans="2:10" s="38" customFormat="1" x14ac:dyDescent="0.25">
      <c r="C46" s="255" t="s">
        <v>88</v>
      </c>
      <c r="D46" s="256" t="s">
        <v>89</v>
      </c>
      <c r="E46" s="257" t="s">
        <v>90</v>
      </c>
      <c r="H46" s="19"/>
      <c r="I46" s="19"/>
    </row>
    <row r="47" spans="2:10" s="38" customFormat="1" x14ac:dyDescent="0.25">
      <c r="C47" s="122">
        <f>ROUND((E37)*0.08,0)</f>
        <v>5</v>
      </c>
      <c r="D47" s="48" t="s">
        <v>84</v>
      </c>
      <c r="E47" s="114">
        <f>$C$47*5%</f>
        <v>0.25</v>
      </c>
    </row>
    <row r="48" spans="2:10" s="38" customFormat="1" x14ac:dyDescent="0.25">
      <c r="C48" s="123"/>
      <c r="D48" s="48" t="s">
        <v>85</v>
      </c>
      <c r="E48" s="114">
        <f>$C$47*5%</f>
        <v>0.25</v>
      </c>
    </row>
    <row r="49" spans="3:6" s="38" customFormat="1" x14ac:dyDescent="0.25">
      <c r="C49" s="123"/>
      <c r="D49" s="49" t="s">
        <v>86</v>
      </c>
      <c r="E49" s="114">
        <v>3</v>
      </c>
    </row>
    <row r="50" spans="3:6" s="38" customFormat="1" ht="15.75" thickBot="1" x14ac:dyDescent="0.3">
      <c r="C50" s="124"/>
      <c r="D50" s="125" t="s">
        <v>87</v>
      </c>
      <c r="E50" s="126">
        <f>$C$47*50%</f>
        <v>2.5</v>
      </c>
      <c r="F50" s="53"/>
    </row>
    <row r="51" spans="3:6" s="38" customFormat="1" x14ac:dyDescent="0.25">
      <c r="D51" s="39"/>
    </row>
    <row r="52" spans="3:6" s="38" customFormat="1" x14ac:dyDescent="0.25">
      <c r="D52" s="39"/>
    </row>
    <row r="53" spans="3:6" s="38" customFormat="1" x14ac:dyDescent="0.25">
      <c r="D53" s="39"/>
    </row>
    <row r="54" spans="3:6" s="38" customFormat="1" x14ac:dyDescent="0.25">
      <c r="D54" s="39"/>
    </row>
    <row r="55" spans="3:6" s="38" customFormat="1" x14ac:dyDescent="0.25">
      <c r="D55" s="39"/>
    </row>
    <row r="56" spans="3:6" s="38" customFormat="1" x14ac:dyDescent="0.25">
      <c r="D56" s="39"/>
    </row>
    <row r="57" spans="3:6" s="38" customFormat="1" x14ac:dyDescent="0.25">
      <c r="D57" s="39"/>
    </row>
    <row r="58" spans="3:6" s="38" customFormat="1" x14ac:dyDescent="0.25">
      <c r="D58" s="39"/>
    </row>
    <row r="59" spans="3:6" s="38" customFormat="1" x14ac:dyDescent="0.25">
      <c r="D59" s="39"/>
    </row>
    <row r="60" spans="3:6" s="38" customFormat="1" x14ac:dyDescent="0.25">
      <c r="D60" s="39"/>
    </row>
    <row r="61" spans="3:6" s="38" customFormat="1" x14ac:dyDescent="0.25">
      <c r="D61" s="39"/>
    </row>
    <row r="62" spans="3:6" s="38" customFormat="1" x14ac:dyDescent="0.25">
      <c r="D62" s="39"/>
    </row>
    <row r="63" spans="3:6" s="38" customFormat="1" x14ac:dyDescent="0.25">
      <c r="D63" s="39"/>
    </row>
    <row r="64" spans="3:6" s="38" customFormat="1" x14ac:dyDescent="0.25">
      <c r="D64" s="39"/>
    </row>
    <row r="65" spans="4:4" s="38" customFormat="1" x14ac:dyDescent="0.25">
      <c r="D65" s="39"/>
    </row>
    <row r="66" spans="4:4" s="38" customFormat="1" x14ac:dyDescent="0.25">
      <c r="D66" s="39"/>
    </row>
    <row r="67" spans="4:4" s="38" customFormat="1" x14ac:dyDescent="0.25">
      <c r="D67" s="39"/>
    </row>
    <row r="68" spans="4:4" s="38" customFormat="1" x14ac:dyDescent="0.25">
      <c r="D68" s="39"/>
    </row>
    <row r="69" spans="4:4" s="38" customFormat="1" x14ac:dyDescent="0.25">
      <c r="D69" s="39"/>
    </row>
    <row r="70" spans="4:4" s="38" customFormat="1" x14ac:dyDescent="0.25">
      <c r="D70" s="39"/>
    </row>
    <row r="71" spans="4:4" s="38" customFormat="1" x14ac:dyDescent="0.25">
      <c r="D71" s="39"/>
    </row>
    <row r="72" spans="4:4" s="38" customFormat="1" x14ac:dyDescent="0.25">
      <c r="D72" s="39"/>
    </row>
    <row r="73" spans="4:4" s="38" customFormat="1" x14ac:dyDescent="0.25">
      <c r="D73" s="39"/>
    </row>
    <row r="74" spans="4:4" s="38" customFormat="1" x14ac:dyDescent="0.25">
      <c r="D74" s="39"/>
    </row>
    <row r="75" spans="4:4" s="38" customFormat="1" x14ac:dyDescent="0.25">
      <c r="D75" s="39"/>
    </row>
    <row r="76" spans="4:4" s="38" customFormat="1" x14ac:dyDescent="0.25">
      <c r="D76" s="39"/>
    </row>
    <row r="77" spans="4:4" s="38" customFormat="1" x14ac:dyDescent="0.25">
      <c r="D77" s="39"/>
    </row>
    <row r="78" spans="4:4" s="38" customFormat="1" x14ac:dyDescent="0.25">
      <c r="D78" s="39"/>
    </row>
    <row r="79" spans="4:4" s="38" customFormat="1" x14ac:dyDescent="0.25">
      <c r="D79" s="39"/>
    </row>
    <row r="80" spans="4:4" s="38" customFormat="1" x14ac:dyDescent="0.25">
      <c r="D80" s="39"/>
    </row>
    <row r="81" spans="4:4" s="38" customFormat="1" x14ac:dyDescent="0.25">
      <c r="D81" s="39"/>
    </row>
    <row r="82" spans="4:4" s="38" customFormat="1" x14ac:dyDescent="0.25">
      <c r="D82" s="39"/>
    </row>
    <row r="83" spans="4:4" s="38" customFormat="1" x14ac:dyDescent="0.25">
      <c r="D83" s="39"/>
    </row>
    <row r="84" spans="4:4" s="38" customFormat="1" x14ac:dyDescent="0.25">
      <c r="D84" s="39"/>
    </row>
    <row r="85" spans="4:4" s="38" customFormat="1" x14ac:dyDescent="0.25">
      <c r="D85" s="39"/>
    </row>
    <row r="86" spans="4:4" s="38" customFormat="1" x14ac:dyDescent="0.25">
      <c r="D86" s="39"/>
    </row>
    <row r="87" spans="4:4" s="38" customFormat="1" x14ac:dyDescent="0.25">
      <c r="D87" s="39"/>
    </row>
    <row r="88" spans="4:4" s="38" customFormat="1" x14ac:dyDescent="0.25">
      <c r="D88" s="39"/>
    </row>
    <row r="89" spans="4:4" s="38" customFormat="1" x14ac:dyDescent="0.25">
      <c r="D89" s="39"/>
    </row>
    <row r="90" spans="4:4" s="38" customFormat="1" x14ac:dyDescent="0.25">
      <c r="D90" s="39"/>
    </row>
    <row r="91" spans="4:4" s="38" customFormat="1" x14ac:dyDescent="0.25">
      <c r="D91" s="39"/>
    </row>
    <row r="92" spans="4:4" s="38" customFormat="1" x14ac:dyDescent="0.25">
      <c r="D92" s="39"/>
    </row>
    <row r="93" spans="4:4" s="38" customFormat="1" x14ac:dyDescent="0.25">
      <c r="D93" s="39"/>
    </row>
    <row r="94" spans="4:4" s="38" customFormat="1" x14ac:dyDescent="0.25">
      <c r="D94" s="39"/>
    </row>
    <row r="95" spans="4:4" s="38" customFormat="1" x14ac:dyDescent="0.25">
      <c r="D95" s="39"/>
    </row>
    <row r="96" spans="4:4" s="38" customFormat="1" x14ac:dyDescent="0.25">
      <c r="D96" s="39"/>
    </row>
    <row r="97" spans="4:4" s="38" customFormat="1" x14ac:dyDescent="0.25">
      <c r="D97" s="39"/>
    </row>
    <row r="98" spans="4:4" s="38" customFormat="1" x14ac:dyDescent="0.25">
      <c r="D98" s="39"/>
    </row>
    <row r="99" spans="4:4" s="38" customFormat="1" x14ac:dyDescent="0.25">
      <c r="D99" s="39"/>
    </row>
    <row r="100" spans="4:4" s="38" customFormat="1" x14ac:dyDescent="0.25">
      <c r="D100" s="39"/>
    </row>
    <row r="101" spans="4:4" s="38" customFormat="1" x14ac:dyDescent="0.25">
      <c r="D101" s="39"/>
    </row>
    <row r="102" spans="4:4" s="38" customFormat="1" x14ac:dyDescent="0.25">
      <c r="D102" s="39"/>
    </row>
    <row r="103" spans="4:4" s="38" customFormat="1" x14ac:dyDescent="0.25">
      <c r="D103" s="39"/>
    </row>
    <row r="104" spans="4:4" s="38" customFormat="1" x14ac:dyDescent="0.25">
      <c r="D104" s="39"/>
    </row>
    <row r="105" spans="4:4" s="38" customFormat="1" x14ac:dyDescent="0.25">
      <c r="D105" s="39"/>
    </row>
    <row r="106" spans="4:4" s="38" customFormat="1" x14ac:dyDescent="0.25">
      <c r="D106" s="39"/>
    </row>
    <row r="107" spans="4:4" s="38" customFormat="1" x14ac:dyDescent="0.25">
      <c r="D107" s="39"/>
    </row>
    <row r="108" spans="4:4" s="38" customFormat="1" x14ac:dyDescent="0.25">
      <c r="D108" s="39"/>
    </row>
    <row r="109" spans="4:4" s="38" customFormat="1" x14ac:dyDescent="0.25">
      <c r="D109" s="39"/>
    </row>
    <row r="110" spans="4:4" s="38" customFormat="1" x14ac:dyDescent="0.25">
      <c r="D110" s="39"/>
    </row>
    <row r="111" spans="4:4" s="38" customFormat="1" x14ac:dyDescent="0.25">
      <c r="D111" s="39"/>
    </row>
    <row r="112" spans="4:4" s="38" customFormat="1" x14ac:dyDescent="0.25">
      <c r="D112" s="39"/>
    </row>
    <row r="113" spans="4:4" s="38" customFormat="1" x14ac:dyDescent="0.25">
      <c r="D113" s="39"/>
    </row>
    <row r="114" spans="4:4" s="38" customFormat="1" x14ac:dyDescent="0.25">
      <c r="D114" s="39"/>
    </row>
    <row r="115" spans="4:4" s="38" customFormat="1" x14ac:dyDescent="0.25">
      <c r="D115" s="39"/>
    </row>
    <row r="116" spans="4:4" s="38" customFormat="1" x14ac:dyDescent="0.25">
      <c r="D116" s="39"/>
    </row>
    <row r="117" spans="4:4" s="38" customFormat="1" x14ac:dyDescent="0.25">
      <c r="D117" s="39"/>
    </row>
    <row r="118" spans="4:4" s="38" customFormat="1" x14ac:dyDescent="0.25">
      <c r="D118" s="39"/>
    </row>
    <row r="119" spans="4:4" s="38" customFormat="1" x14ac:dyDescent="0.25">
      <c r="D119" s="39"/>
    </row>
    <row r="120" spans="4:4" s="38" customFormat="1" x14ac:dyDescent="0.25">
      <c r="D120" s="39"/>
    </row>
    <row r="121" spans="4:4" s="38" customFormat="1" x14ac:dyDescent="0.25">
      <c r="D121" s="39"/>
    </row>
    <row r="122" spans="4:4" s="38" customFormat="1" x14ac:dyDescent="0.25">
      <c r="D122" s="39"/>
    </row>
    <row r="123" spans="4:4" s="38" customFormat="1" x14ac:dyDescent="0.25">
      <c r="D123" s="39"/>
    </row>
    <row r="124" spans="4:4" s="38" customFormat="1" x14ac:dyDescent="0.25">
      <c r="D124" s="39"/>
    </row>
    <row r="125" spans="4:4" s="38" customFormat="1" x14ac:dyDescent="0.25">
      <c r="D125" s="39"/>
    </row>
    <row r="126" spans="4:4" s="38" customFormat="1" x14ac:dyDescent="0.25">
      <c r="D126" s="39"/>
    </row>
    <row r="127" spans="4:4" s="38" customFormat="1" x14ac:dyDescent="0.25">
      <c r="D127" s="39"/>
    </row>
    <row r="128" spans="4:4" s="38" customFormat="1" x14ac:dyDescent="0.25">
      <c r="D128" s="39"/>
    </row>
    <row r="129" spans="2:11" s="38" customFormat="1" x14ac:dyDescent="0.25">
      <c r="D129" s="39"/>
    </row>
    <row r="130" spans="2:11" s="38" customFormat="1" x14ac:dyDescent="0.25">
      <c r="D130" s="39"/>
      <c r="E130" s="19"/>
    </row>
    <row r="131" spans="2:11" s="38" customFormat="1" x14ac:dyDescent="0.25">
      <c r="D131" s="39"/>
      <c r="E131" s="19"/>
      <c r="J131" s="19"/>
      <c r="K131" s="19"/>
    </row>
    <row r="132" spans="2:11" s="38" customFormat="1" x14ac:dyDescent="0.25">
      <c r="D132" s="39"/>
      <c r="E132" s="19"/>
      <c r="J132" s="19"/>
      <c r="K132" s="19"/>
    </row>
    <row r="133" spans="2:11" s="38" customFormat="1" x14ac:dyDescent="0.25">
      <c r="D133" s="39"/>
      <c r="E133" s="19"/>
      <c r="J133" s="19"/>
      <c r="K133" s="19"/>
    </row>
    <row r="134" spans="2:11" s="38" customFormat="1" x14ac:dyDescent="0.25">
      <c r="D134" s="39"/>
      <c r="E134" s="19"/>
      <c r="J134" s="19"/>
      <c r="K134" s="19"/>
    </row>
    <row r="135" spans="2:11" s="38" customFormat="1" x14ac:dyDescent="0.25">
      <c r="D135" s="39"/>
      <c r="E135" s="19"/>
      <c r="J135" s="19"/>
      <c r="K135" s="19"/>
    </row>
    <row r="136" spans="2:11" s="38" customFormat="1" x14ac:dyDescent="0.25">
      <c r="B136" s="19"/>
      <c r="C136" s="19"/>
      <c r="D136" s="25"/>
      <c r="E136" s="19"/>
      <c r="G136" s="19"/>
      <c r="H136" s="19"/>
      <c r="I136" s="19"/>
      <c r="J136" s="19"/>
      <c r="K136" s="19"/>
    </row>
    <row r="137" spans="2:11" s="38" customFormat="1" x14ac:dyDescent="0.25">
      <c r="B137" s="19"/>
      <c r="C137" s="19"/>
      <c r="D137" s="25"/>
      <c r="E137" s="19"/>
      <c r="G137" s="19"/>
      <c r="H137" s="19"/>
      <c r="I137" s="19"/>
      <c r="J137" s="19"/>
      <c r="K137" s="19"/>
    </row>
    <row r="138" spans="2:11" s="38" customFormat="1" x14ac:dyDescent="0.25">
      <c r="B138" s="19"/>
      <c r="C138" s="19"/>
      <c r="D138" s="25"/>
      <c r="E138" s="19"/>
      <c r="G138" s="19"/>
      <c r="H138" s="19"/>
      <c r="I138" s="19"/>
      <c r="J138" s="19"/>
      <c r="K138" s="19"/>
    </row>
    <row r="139" spans="2:11" s="38" customFormat="1" x14ac:dyDescent="0.25">
      <c r="B139" s="19"/>
      <c r="C139" s="19"/>
      <c r="D139" s="25"/>
      <c r="E139" s="19"/>
      <c r="G139" s="19"/>
      <c r="H139" s="19"/>
      <c r="I139" s="19"/>
      <c r="J139" s="19"/>
      <c r="K139" s="19"/>
    </row>
    <row r="140" spans="2:11" s="38" customFormat="1" x14ac:dyDescent="0.25">
      <c r="B140" s="19"/>
      <c r="C140" s="19"/>
      <c r="D140" s="25"/>
      <c r="E140" s="19"/>
      <c r="G140" s="19"/>
      <c r="H140" s="19"/>
      <c r="I140" s="19"/>
      <c r="J140" s="19"/>
      <c r="K140" s="19"/>
    </row>
    <row r="141" spans="2:11" s="38" customFormat="1" x14ac:dyDescent="0.25">
      <c r="B141" s="19"/>
      <c r="C141" s="19"/>
      <c r="D141" s="25"/>
      <c r="E141" s="19"/>
      <c r="G141" s="19"/>
      <c r="H141" s="19"/>
      <c r="I141" s="19"/>
      <c r="J141" s="19"/>
      <c r="K141" s="19"/>
    </row>
  </sheetData>
  <mergeCells count="34">
    <mergeCell ref="B39:C39"/>
    <mergeCell ref="B40:D40"/>
    <mergeCell ref="B35:C35"/>
    <mergeCell ref="B36:E36"/>
    <mergeCell ref="B37:C37"/>
    <mergeCell ref="B38:E38"/>
    <mergeCell ref="B30:E30"/>
    <mergeCell ref="B31:C31"/>
    <mergeCell ref="B32:C32"/>
    <mergeCell ref="B33:C33"/>
    <mergeCell ref="B34:C34"/>
    <mergeCell ref="B13:C13"/>
    <mergeCell ref="B16:D16"/>
    <mergeCell ref="B8:C8"/>
    <mergeCell ref="B15:C15"/>
    <mergeCell ref="B10:C10"/>
    <mergeCell ref="B6:E6"/>
    <mergeCell ref="B12:E12"/>
    <mergeCell ref="B14:E14"/>
    <mergeCell ref="B7:C7"/>
    <mergeCell ref="B9:C9"/>
    <mergeCell ref="B11:C11"/>
    <mergeCell ref="B3:M3"/>
    <mergeCell ref="J6:M6"/>
    <mergeCell ref="J7:K7"/>
    <mergeCell ref="J8:K8"/>
    <mergeCell ref="J14:M14"/>
    <mergeCell ref="J15:K15"/>
    <mergeCell ref="J16:L16"/>
    <mergeCell ref="J9:K9"/>
    <mergeCell ref="J10:K10"/>
    <mergeCell ref="J11:K11"/>
    <mergeCell ref="J12:M12"/>
    <mergeCell ref="J13:K13"/>
  </mergeCells>
  <phoneticPr fontId="2" type="noConversion"/>
  <printOptions horizontalCentered="1"/>
  <pageMargins left="0.74803149606299213" right="0.74803149606299213" top="0.98425196850393704" bottom="0.98425196850393704" header="0.51181102362204722" footer="0.51181102362204722"/>
  <pageSetup scale="66" fitToHeight="2" orientation="landscape" r:id="rId1"/>
  <headerFooter alignWithMargins="0">
    <oddHeader>&amp;C&amp;"Arial,Negrita"CUADRO DE ESTIMACIÓN DE ESFUERZO 
SOLUCIONES MÓVILES 4</oddHeader>
    <oddFooter>&amp;L&amp;"Arial,Negrita"&amp;A&amp;C&amp;"Arial,Negrita"&amp;P/&amp;N</oddFooter>
  </headerFooter>
  <rowBreaks count="1" manualBreakCount="1">
    <brk id="28" min="1" max="12"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86"/>
  <sheetViews>
    <sheetView view="pageBreakPreview" zoomScale="60" zoomScaleNormal="90" workbookViewId="0">
      <selection activeCell="J22" sqref="J22"/>
    </sheetView>
  </sheetViews>
  <sheetFormatPr baseColWidth="10" defaultColWidth="11.42578125" defaultRowHeight="12.75" x14ac:dyDescent="0.2"/>
  <cols>
    <col min="1" max="1" width="19.28515625" style="79" customWidth="1"/>
    <col min="2" max="2" width="41.28515625" style="79" customWidth="1"/>
    <col min="3" max="3" width="20.5703125" style="163" customWidth="1"/>
    <col min="4" max="4" width="51.7109375" style="79" customWidth="1"/>
    <col min="5" max="5" width="19.85546875" style="163" customWidth="1"/>
    <col min="6" max="6" width="34.42578125" style="79" customWidth="1"/>
    <col min="7" max="16384" width="11.42578125" style="79"/>
  </cols>
  <sheetData>
    <row r="1" spans="1:6" s="80" customFormat="1" ht="30.75" thickBot="1" x14ac:dyDescent="0.3">
      <c r="A1" s="164" t="s">
        <v>124</v>
      </c>
      <c r="B1" s="165" t="s">
        <v>125</v>
      </c>
      <c r="C1" s="165" t="s">
        <v>126</v>
      </c>
      <c r="D1" s="165" t="s">
        <v>105</v>
      </c>
      <c r="E1" s="260" t="s">
        <v>339</v>
      </c>
      <c r="F1" s="166" t="s">
        <v>345</v>
      </c>
    </row>
    <row r="2" spans="1:6" s="80" customFormat="1" ht="147" customHeight="1" x14ac:dyDescent="0.2">
      <c r="A2" s="323" t="s">
        <v>499</v>
      </c>
      <c r="B2" s="324" t="s">
        <v>364</v>
      </c>
      <c r="C2" s="325" t="s">
        <v>132</v>
      </c>
      <c r="D2" s="323" t="s">
        <v>446</v>
      </c>
      <c r="E2" s="325" t="s">
        <v>340</v>
      </c>
      <c r="F2" s="323" t="s">
        <v>440</v>
      </c>
    </row>
    <row r="3" spans="1:6" ht="301.5" customHeight="1" x14ac:dyDescent="0.2">
      <c r="A3" s="338" t="s">
        <v>499</v>
      </c>
      <c r="B3" s="339" t="s">
        <v>442</v>
      </c>
      <c r="C3" s="340" t="s">
        <v>131</v>
      </c>
      <c r="D3" s="338" t="s">
        <v>447</v>
      </c>
      <c r="E3" s="340" t="s">
        <v>341</v>
      </c>
      <c r="F3" s="338" t="s">
        <v>440</v>
      </c>
    </row>
    <row r="4" spans="1:6" ht="264.75" customHeight="1" x14ac:dyDescent="0.2">
      <c r="A4" s="326" t="s">
        <v>499</v>
      </c>
      <c r="B4" s="327" t="s">
        <v>363</v>
      </c>
      <c r="C4" s="328" t="s">
        <v>131</v>
      </c>
      <c r="D4" s="326" t="s">
        <v>443</v>
      </c>
      <c r="E4" s="329" t="s">
        <v>340</v>
      </c>
      <c r="F4" s="323" t="s">
        <v>444</v>
      </c>
    </row>
    <row r="5" spans="1:6" ht="191.25" x14ac:dyDescent="0.2">
      <c r="A5" s="341" t="s">
        <v>499</v>
      </c>
      <c r="B5" s="342" t="s">
        <v>448</v>
      </c>
      <c r="C5" s="343" t="s">
        <v>132</v>
      </c>
      <c r="D5" s="338" t="s">
        <v>450</v>
      </c>
      <c r="E5" s="344" t="s">
        <v>341</v>
      </c>
      <c r="F5" s="338" t="s">
        <v>449</v>
      </c>
    </row>
    <row r="6" spans="1:6" ht="66" customHeight="1" x14ac:dyDescent="0.2">
      <c r="A6" s="326" t="s">
        <v>499</v>
      </c>
      <c r="B6" s="327" t="s">
        <v>365</v>
      </c>
      <c r="C6" s="328" t="s">
        <v>130</v>
      </c>
      <c r="D6" s="326" t="s">
        <v>445</v>
      </c>
      <c r="E6" s="329" t="s">
        <v>340</v>
      </c>
      <c r="F6" s="330"/>
    </row>
    <row r="7" spans="1:6" ht="76.5" x14ac:dyDescent="0.2">
      <c r="A7" s="326" t="s">
        <v>499</v>
      </c>
      <c r="B7" s="327" t="s">
        <v>413</v>
      </c>
      <c r="C7" s="328" t="s">
        <v>132</v>
      </c>
      <c r="D7" s="326" t="s">
        <v>300</v>
      </c>
      <c r="E7" s="329" t="s">
        <v>340</v>
      </c>
      <c r="F7" s="330"/>
    </row>
    <row r="8" spans="1:6" ht="51" x14ac:dyDescent="0.2">
      <c r="A8" s="326" t="s">
        <v>499</v>
      </c>
      <c r="B8" s="327" t="s">
        <v>441</v>
      </c>
      <c r="C8" s="328" t="s">
        <v>132</v>
      </c>
      <c r="D8" s="326" t="s">
        <v>346</v>
      </c>
      <c r="E8" s="329" t="s">
        <v>340</v>
      </c>
      <c r="F8" s="330"/>
    </row>
    <row r="9" spans="1:6" ht="79.5" customHeight="1" x14ac:dyDescent="0.2">
      <c r="A9" s="326" t="s">
        <v>499</v>
      </c>
      <c r="B9" s="327" t="s">
        <v>366</v>
      </c>
      <c r="C9" s="328" t="s">
        <v>130</v>
      </c>
      <c r="D9" s="326" t="s">
        <v>237</v>
      </c>
      <c r="E9" s="329" t="s">
        <v>340</v>
      </c>
      <c r="F9" s="330"/>
    </row>
    <row r="10" spans="1:6" ht="84" customHeight="1" x14ac:dyDescent="0.2">
      <c r="A10" s="326" t="s">
        <v>499</v>
      </c>
      <c r="B10" s="327" t="s">
        <v>414</v>
      </c>
      <c r="C10" s="328" t="s">
        <v>130</v>
      </c>
      <c r="D10" s="326" t="s">
        <v>301</v>
      </c>
      <c r="E10" s="329" t="s">
        <v>340</v>
      </c>
      <c r="F10" s="330"/>
    </row>
    <row r="11" spans="1:6" ht="51" x14ac:dyDescent="0.2">
      <c r="A11" s="326" t="s">
        <v>499</v>
      </c>
      <c r="B11" s="327" t="s">
        <v>415</v>
      </c>
      <c r="C11" s="328" t="s">
        <v>130</v>
      </c>
      <c r="D11" s="326" t="s">
        <v>302</v>
      </c>
      <c r="E11" s="329" t="s">
        <v>340</v>
      </c>
      <c r="F11" s="330"/>
    </row>
    <row r="12" spans="1:6" ht="120.75" customHeight="1" x14ac:dyDescent="0.2">
      <c r="A12" s="326" t="s">
        <v>499</v>
      </c>
      <c r="B12" s="327" t="s">
        <v>439</v>
      </c>
      <c r="C12" s="328" t="s">
        <v>132</v>
      </c>
      <c r="D12" s="326" t="s">
        <v>464</v>
      </c>
      <c r="E12" s="329" t="s">
        <v>340</v>
      </c>
      <c r="F12" s="330"/>
    </row>
    <row r="13" spans="1:6" ht="93.75" customHeight="1" x14ac:dyDescent="0.2">
      <c r="A13" s="326" t="s">
        <v>499</v>
      </c>
      <c r="B13" s="331" t="s">
        <v>148</v>
      </c>
      <c r="C13" s="328" t="s">
        <v>130</v>
      </c>
      <c r="D13" s="326" t="s">
        <v>303</v>
      </c>
      <c r="E13" s="329" t="s">
        <v>340</v>
      </c>
      <c r="F13" s="330"/>
    </row>
    <row r="14" spans="1:6" ht="51" customHeight="1" x14ac:dyDescent="0.2">
      <c r="A14" s="326" t="s">
        <v>499</v>
      </c>
      <c r="B14" s="332" t="s">
        <v>466</v>
      </c>
      <c r="C14" s="328" t="s">
        <v>130</v>
      </c>
      <c r="D14" s="326" t="s">
        <v>467</v>
      </c>
      <c r="E14" s="329" t="s">
        <v>340</v>
      </c>
      <c r="F14" s="330"/>
    </row>
    <row r="15" spans="1:6" s="258" customFormat="1" ht="131.25" customHeight="1" x14ac:dyDescent="0.2">
      <c r="A15" s="326" t="s">
        <v>499</v>
      </c>
      <c r="B15" s="331" t="s">
        <v>238</v>
      </c>
      <c r="C15" s="328" t="s">
        <v>132</v>
      </c>
      <c r="D15" s="326" t="s">
        <v>304</v>
      </c>
      <c r="E15" s="329" t="s">
        <v>340</v>
      </c>
      <c r="F15" s="330"/>
    </row>
    <row r="16" spans="1:6" ht="25.5" x14ac:dyDescent="0.2">
      <c r="A16" s="333" t="s">
        <v>499</v>
      </c>
      <c r="B16" s="334" t="s">
        <v>185</v>
      </c>
      <c r="C16" s="335" t="s">
        <v>130</v>
      </c>
      <c r="D16" s="333" t="s">
        <v>305</v>
      </c>
      <c r="E16" s="336" t="s">
        <v>340</v>
      </c>
      <c r="F16" s="337"/>
    </row>
    <row r="17" spans="1:6" s="258" customFormat="1" ht="38.25" customHeight="1" x14ac:dyDescent="0.2">
      <c r="A17" s="326" t="s">
        <v>499</v>
      </c>
      <c r="B17" s="331" t="s">
        <v>186</v>
      </c>
      <c r="C17" s="328" t="s">
        <v>130</v>
      </c>
      <c r="D17" s="326" t="s">
        <v>306</v>
      </c>
      <c r="E17" s="329" t="s">
        <v>340</v>
      </c>
      <c r="F17" s="330"/>
    </row>
    <row r="18" spans="1:6" ht="51" customHeight="1" x14ac:dyDescent="0.2">
      <c r="A18" s="326" t="s">
        <v>499</v>
      </c>
      <c r="B18" s="331" t="s">
        <v>187</v>
      </c>
      <c r="C18" s="328" t="s">
        <v>130</v>
      </c>
      <c r="D18" s="326" t="s">
        <v>307</v>
      </c>
      <c r="E18" s="329" t="s">
        <v>340</v>
      </c>
      <c r="F18" s="330"/>
    </row>
    <row r="19" spans="1:6" s="258" customFormat="1" ht="38.25" customHeight="1" x14ac:dyDescent="0.2">
      <c r="A19" s="326" t="s">
        <v>499</v>
      </c>
      <c r="B19" s="331" t="s">
        <v>188</v>
      </c>
      <c r="C19" s="328" t="s">
        <v>130</v>
      </c>
      <c r="D19" s="326" t="s">
        <v>308</v>
      </c>
      <c r="E19" s="329" t="s">
        <v>340</v>
      </c>
      <c r="F19" s="330"/>
    </row>
    <row r="20" spans="1:6" ht="25.5" customHeight="1" x14ac:dyDescent="0.2">
      <c r="A20" s="326" t="s">
        <v>499</v>
      </c>
      <c r="B20" s="331" t="s">
        <v>189</v>
      </c>
      <c r="C20" s="328" t="s">
        <v>130</v>
      </c>
      <c r="D20" s="326" t="s">
        <v>309</v>
      </c>
      <c r="E20" s="329" t="s">
        <v>340</v>
      </c>
      <c r="F20" s="330"/>
    </row>
    <row r="21" spans="1:6" ht="45.75" customHeight="1" x14ac:dyDescent="0.2">
      <c r="A21" s="326" t="s">
        <v>499</v>
      </c>
      <c r="B21" s="331" t="s">
        <v>190</v>
      </c>
      <c r="C21" s="328" t="s">
        <v>130</v>
      </c>
      <c r="D21" s="326" t="s">
        <v>310</v>
      </c>
      <c r="E21" s="329" t="s">
        <v>340</v>
      </c>
      <c r="F21" s="330"/>
    </row>
    <row r="22" spans="1:6" ht="45.75" customHeight="1" x14ac:dyDescent="0.2">
      <c r="A22" s="326" t="s">
        <v>499</v>
      </c>
      <c r="B22" s="331" t="s">
        <v>191</v>
      </c>
      <c r="C22" s="328" t="s">
        <v>130</v>
      </c>
      <c r="D22" s="326" t="s">
        <v>311</v>
      </c>
      <c r="E22" s="329" t="s">
        <v>340</v>
      </c>
      <c r="F22" s="330"/>
    </row>
    <row r="23" spans="1:6" ht="45.75" customHeight="1" x14ac:dyDescent="0.2">
      <c r="A23" s="326" t="s">
        <v>499</v>
      </c>
      <c r="B23" s="331" t="s">
        <v>192</v>
      </c>
      <c r="C23" s="328" t="s">
        <v>130</v>
      </c>
      <c r="D23" s="326" t="s">
        <v>312</v>
      </c>
      <c r="E23" s="329" t="s">
        <v>340</v>
      </c>
      <c r="F23" s="330"/>
    </row>
    <row r="24" spans="1:6" ht="45.75" customHeight="1" x14ac:dyDescent="0.2">
      <c r="A24" s="326" t="s">
        <v>499</v>
      </c>
      <c r="B24" s="331" t="s">
        <v>193</v>
      </c>
      <c r="C24" s="328" t="s">
        <v>130</v>
      </c>
      <c r="D24" s="326" t="s">
        <v>312</v>
      </c>
      <c r="E24" s="329" t="s">
        <v>340</v>
      </c>
      <c r="F24" s="330"/>
    </row>
    <row r="25" spans="1:6" ht="25.5" customHeight="1" x14ac:dyDescent="0.2">
      <c r="A25" s="326" t="s">
        <v>499</v>
      </c>
      <c r="B25" s="331" t="s">
        <v>194</v>
      </c>
      <c r="C25" s="328" t="s">
        <v>130</v>
      </c>
      <c r="D25" s="326" t="s">
        <v>313</v>
      </c>
      <c r="E25" s="329" t="s">
        <v>340</v>
      </c>
      <c r="F25" s="330"/>
    </row>
    <row r="26" spans="1:6" ht="60" customHeight="1" x14ac:dyDescent="0.2">
      <c r="A26" s="345" t="s">
        <v>499</v>
      </c>
      <c r="B26" s="346" t="s">
        <v>407</v>
      </c>
      <c r="C26" s="347" t="s">
        <v>130</v>
      </c>
      <c r="D26" s="345" t="s">
        <v>408</v>
      </c>
      <c r="E26" s="348" t="s">
        <v>341</v>
      </c>
      <c r="F26" s="349"/>
    </row>
    <row r="27" spans="1:6" ht="25.5" customHeight="1" x14ac:dyDescent="0.2">
      <c r="A27" s="345" t="s">
        <v>499</v>
      </c>
      <c r="B27" s="346" t="s">
        <v>409</v>
      </c>
      <c r="C27" s="347" t="s">
        <v>130</v>
      </c>
      <c r="D27" s="350" t="s">
        <v>342</v>
      </c>
      <c r="E27" s="348" t="s">
        <v>341</v>
      </c>
      <c r="F27" s="349"/>
    </row>
    <row r="28" spans="1:6" ht="78.75" customHeight="1" x14ac:dyDescent="0.2">
      <c r="A28" s="345" t="s">
        <v>499</v>
      </c>
      <c r="B28" s="346" t="s">
        <v>410</v>
      </c>
      <c r="C28" s="347" t="s">
        <v>132</v>
      </c>
      <c r="D28" s="345" t="s">
        <v>343</v>
      </c>
      <c r="E28" s="347" t="s">
        <v>341</v>
      </c>
      <c r="F28" s="349"/>
    </row>
    <row r="29" spans="1:6" ht="66" customHeight="1" x14ac:dyDescent="0.2">
      <c r="A29" s="345" t="s">
        <v>499</v>
      </c>
      <c r="B29" s="346" t="s">
        <v>411</v>
      </c>
      <c r="C29" s="347" t="s">
        <v>130</v>
      </c>
      <c r="D29" s="345" t="s">
        <v>412</v>
      </c>
      <c r="E29" s="348" t="s">
        <v>341</v>
      </c>
      <c r="F29" s="349"/>
    </row>
    <row r="30" spans="1:6" ht="38.25" x14ac:dyDescent="0.2">
      <c r="A30" s="326" t="s">
        <v>499</v>
      </c>
      <c r="B30" s="331" t="s">
        <v>336</v>
      </c>
      <c r="C30" s="328" t="s">
        <v>130</v>
      </c>
      <c r="D30" s="326" t="s">
        <v>344</v>
      </c>
      <c r="E30" s="329" t="s">
        <v>340</v>
      </c>
      <c r="F30" s="330"/>
    </row>
    <row r="31" spans="1:6" ht="43.5" customHeight="1" x14ac:dyDescent="0.2">
      <c r="A31" s="345" t="s">
        <v>499</v>
      </c>
      <c r="B31" s="346" t="s">
        <v>337</v>
      </c>
      <c r="C31" s="347" t="s">
        <v>130</v>
      </c>
      <c r="D31" s="345" t="s">
        <v>338</v>
      </c>
      <c r="E31" s="348" t="s">
        <v>341</v>
      </c>
      <c r="F31" s="349"/>
    </row>
    <row r="32" spans="1:6" ht="76.5" customHeight="1" x14ac:dyDescent="0.2">
      <c r="A32" s="351" t="s">
        <v>129</v>
      </c>
      <c r="B32" s="352" t="s">
        <v>416</v>
      </c>
      <c r="C32" s="353" t="s">
        <v>130</v>
      </c>
      <c r="D32" s="354" t="s">
        <v>181</v>
      </c>
      <c r="E32" s="355" t="s">
        <v>340</v>
      </c>
      <c r="F32" s="356"/>
    </row>
    <row r="33" spans="1:6" ht="270.75" customHeight="1" x14ac:dyDescent="0.2">
      <c r="A33" s="351" t="s">
        <v>129</v>
      </c>
      <c r="B33" s="352" t="s">
        <v>417</v>
      </c>
      <c r="C33" s="355" t="s">
        <v>131</v>
      </c>
      <c r="D33" s="357" t="s">
        <v>314</v>
      </c>
      <c r="E33" s="355" t="s">
        <v>340</v>
      </c>
      <c r="F33" s="358"/>
    </row>
    <row r="34" spans="1:6" ht="63.75" customHeight="1" x14ac:dyDescent="0.2">
      <c r="A34" s="351" t="s">
        <v>129</v>
      </c>
      <c r="B34" s="352" t="s">
        <v>418</v>
      </c>
      <c r="C34" s="355" t="s">
        <v>130</v>
      </c>
      <c r="D34" s="354" t="s">
        <v>315</v>
      </c>
      <c r="E34" s="355" t="s">
        <v>340</v>
      </c>
      <c r="F34" s="358"/>
    </row>
    <row r="35" spans="1:6" ht="63.75" customHeight="1" x14ac:dyDescent="0.2">
      <c r="A35" s="351" t="s">
        <v>129</v>
      </c>
      <c r="B35" s="352" t="s">
        <v>419</v>
      </c>
      <c r="C35" s="355" t="s">
        <v>130</v>
      </c>
      <c r="D35" s="354" t="s">
        <v>316</v>
      </c>
      <c r="E35" s="355" t="s">
        <v>340</v>
      </c>
      <c r="F35" s="358"/>
    </row>
    <row r="36" spans="1:6" ht="127.5" customHeight="1" x14ac:dyDescent="0.2">
      <c r="A36" s="351" t="s">
        <v>129</v>
      </c>
      <c r="B36" s="352" t="s">
        <v>420</v>
      </c>
      <c r="C36" s="355" t="s">
        <v>132</v>
      </c>
      <c r="D36" s="354" t="s">
        <v>317</v>
      </c>
      <c r="E36" s="355" t="s">
        <v>340</v>
      </c>
      <c r="F36" s="358"/>
    </row>
    <row r="37" spans="1:6" ht="174" customHeight="1" x14ac:dyDescent="0.2">
      <c r="A37" s="351" t="s">
        <v>129</v>
      </c>
      <c r="B37" s="352" t="s">
        <v>421</v>
      </c>
      <c r="C37" s="355" t="s">
        <v>131</v>
      </c>
      <c r="D37" s="354" t="s">
        <v>462</v>
      </c>
      <c r="E37" s="355" t="s">
        <v>340</v>
      </c>
      <c r="F37" s="354" t="s">
        <v>347</v>
      </c>
    </row>
    <row r="38" spans="1:6" ht="153" customHeight="1" x14ac:dyDescent="0.2">
      <c r="A38" s="351" t="s">
        <v>129</v>
      </c>
      <c r="B38" s="352" t="s">
        <v>422</v>
      </c>
      <c r="C38" s="355" t="s">
        <v>132</v>
      </c>
      <c r="D38" s="354" t="s">
        <v>463</v>
      </c>
      <c r="E38" s="355" t="s">
        <v>340</v>
      </c>
      <c r="F38" s="358"/>
    </row>
    <row r="39" spans="1:6" ht="63.75" customHeight="1" x14ac:dyDescent="0.2">
      <c r="A39" s="351" t="s">
        <v>129</v>
      </c>
      <c r="B39" s="352" t="s">
        <v>423</v>
      </c>
      <c r="C39" s="355" t="s">
        <v>130</v>
      </c>
      <c r="D39" s="354" t="s">
        <v>318</v>
      </c>
      <c r="E39" s="355" t="s">
        <v>340</v>
      </c>
      <c r="F39" s="358"/>
    </row>
    <row r="40" spans="1:6" ht="51" customHeight="1" x14ac:dyDescent="0.2">
      <c r="A40" s="351" t="s">
        <v>129</v>
      </c>
      <c r="B40" s="352" t="s">
        <v>424</v>
      </c>
      <c r="C40" s="355" t="s">
        <v>130</v>
      </c>
      <c r="D40" s="354" t="s">
        <v>319</v>
      </c>
      <c r="E40" s="355" t="s">
        <v>340</v>
      </c>
      <c r="F40" s="358"/>
    </row>
    <row r="41" spans="1:6" ht="51" customHeight="1" x14ac:dyDescent="0.2">
      <c r="A41" s="351" t="s">
        <v>129</v>
      </c>
      <c r="B41" s="352" t="s">
        <v>425</v>
      </c>
      <c r="C41" s="355" t="s">
        <v>132</v>
      </c>
      <c r="D41" s="354" t="s">
        <v>320</v>
      </c>
      <c r="E41" s="355" t="s">
        <v>340</v>
      </c>
      <c r="F41" s="358"/>
    </row>
    <row r="42" spans="1:6" ht="127.5" customHeight="1" x14ac:dyDescent="0.2">
      <c r="A42" s="351" t="s">
        <v>129</v>
      </c>
      <c r="B42" s="352" t="s">
        <v>163</v>
      </c>
      <c r="C42" s="355" t="s">
        <v>131</v>
      </c>
      <c r="D42" s="354" t="s">
        <v>164</v>
      </c>
      <c r="E42" s="355" t="s">
        <v>340</v>
      </c>
      <c r="F42" s="358"/>
    </row>
    <row r="43" spans="1:6" ht="153" customHeight="1" x14ac:dyDescent="0.2">
      <c r="A43" s="359" t="s">
        <v>165</v>
      </c>
      <c r="B43" s="359" t="s">
        <v>176</v>
      </c>
      <c r="C43" s="360" t="s">
        <v>131</v>
      </c>
      <c r="D43" s="361" t="s">
        <v>321</v>
      </c>
      <c r="E43" s="362" t="s">
        <v>341</v>
      </c>
      <c r="F43" s="363"/>
    </row>
    <row r="44" spans="1:6" ht="25.5" customHeight="1" x14ac:dyDescent="0.2">
      <c r="A44" s="359" t="s">
        <v>165</v>
      </c>
      <c r="B44" s="364" t="s">
        <v>170</v>
      </c>
      <c r="C44" s="360" t="s">
        <v>130</v>
      </c>
      <c r="D44" s="361" t="s">
        <v>322</v>
      </c>
      <c r="E44" s="362" t="s">
        <v>341</v>
      </c>
      <c r="F44" s="363"/>
    </row>
    <row r="45" spans="1:6" ht="102" customHeight="1" x14ac:dyDescent="0.2">
      <c r="A45" s="359" t="s">
        <v>165</v>
      </c>
      <c r="B45" s="359" t="s">
        <v>166</v>
      </c>
      <c r="C45" s="360" t="s">
        <v>132</v>
      </c>
      <c r="D45" s="361" t="s">
        <v>323</v>
      </c>
      <c r="E45" s="362" t="s">
        <v>341</v>
      </c>
      <c r="F45" s="363"/>
    </row>
    <row r="46" spans="1:6" ht="25.5" customHeight="1" x14ac:dyDescent="0.2">
      <c r="A46" s="359" t="s">
        <v>165</v>
      </c>
      <c r="B46" s="359" t="s">
        <v>177</v>
      </c>
      <c r="C46" s="360" t="s">
        <v>130</v>
      </c>
      <c r="D46" s="361" t="s">
        <v>324</v>
      </c>
      <c r="E46" s="362" t="s">
        <v>341</v>
      </c>
      <c r="F46" s="363"/>
    </row>
    <row r="47" spans="1:6" ht="89.25" customHeight="1" x14ac:dyDescent="0.2">
      <c r="A47" s="359" t="s">
        <v>165</v>
      </c>
      <c r="B47" s="359" t="s">
        <v>167</v>
      </c>
      <c r="C47" s="360" t="s">
        <v>130</v>
      </c>
      <c r="D47" s="361" t="s">
        <v>180</v>
      </c>
      <c r="E47" s="362" t="s">
        <v>341</v>
      </c>
      <c r="F47" s="363"/>
    </row>
    <row r="48" spans="1:6" ht="25.5" customHeight="1" x14ac:dyDescent="0.2">
      <c r="A48" s="359" t="s">
        <v>165</v>
      </c>
      <c r="B48" s="359" t="s">
        <v>178</v>
      </c>
      <c r="C48" s="360" t="s">
        <v>130</v>
      </c>
      <c r="D48" s="361" t="s">
        <v>325</v>
      </c>
      <c r="E48" s="362" t="s">
        <v>341</v>
      </c>
      <c r="F48" s="363"/>
    </row>
    <row r="49" spans="1:6" ht="231.75" customHeight="1" x14ac:dyDescent="0.2">
      <c r="A49" s="359" t="s">
        <v>165</v>
      </c>
      <c r="B49" s="359" t="s">
        <v>179</v>
      </c>
      <c r="C49" s="360" t="s">
        <v>132</v>
      </c>
      <c r="D49" s="361" t="s">
        <v>326</v>
      </c>
      <c r="E49" s="362" t="s">
        <v>341</v>
      </c>
      <c r="F49" s="363"/>
    </row>
    <row r="50" spans="1:6" ht="51" customHeight="1" x14ac:dyDescent="0.2">
      <c r="A50" s="359" t="s">
        <v>165</v>
      </c>
      <c r="B50" s="359" t="s">
        <v>168</v>
      </c>
      <c r="C50" s="360" t="s">
        <v>130</v>
      </c>
      <c r="D50" s="361" t="s">
        <v>327</v>
      </c>
      <c r="E50" s="362" t="s">
        <v>341</v>
      </c>
      <c r="F50" s="363"/>
    </row>
    <row r="51" spans="1:6" ht="102" customHeight="1" x14ac:dyDescent="0.2">
      <c r="A51" s="359" t="s">
        <v>165</v>
      </c>
      <c r="B51" s="359" t="s">
        <v>169</v>
      </c>
      <c r="C51" s="360" t="s">
        <v>131</v>
      </c>
      <c r="D51" s="361" t="s">
        <v>328</v>
      </c>
      <c r="E51" s="362" t="s">
        <v>341</v>
      </c>
      <c r="F51" s="363"/>
    </row>
    <row r="52" spans="1:6" ht="76.5" customHeight="1" x14ac:dyDescent="0.2">
      <c r="A52" s="359" t="s">
        <v>165</v>
      </c>
      <c r="B52" s="359" t="s">
        <v>465</v>
      </c>
      <c r="C52" s="360" t="s">
        <v>130</v>
      </c>
      <c r="D52" s="361" t="s">
        <v>329</v>
      </c>
      <c r="E52" s="362" t="s">
        <v>341</v>
      </c>
      <c r="F52" s="363"/>
    </row>
    <row r="53" spans="1:6" ht="51" customHeight="1" x14ac:dyDescent="0.2">
      <c r="A53" s="359" t="s">
        <v>165</v>
      </c>
      <c r="B53" s="364" t="s">
        <v>171</v>
      </c>
      <c r="C53" s="360" t="s">
        <v>132</v>
      </c>
      <c r="D53" s="361" t="s">
        <v>330</v>
      </c>
      <c r="E53" s="362" t="s">
        <v>341</v>
      </c>
      <c r="F53" s="363"/>
    </row>
    <row r="54" spans="1:6" ht="63.75" customHeight="1" x14ac:dyDescent="0.2">
      <c r="A54" s="359" t="s">
        <v>165</v>
      </c>
      <c r="B54" s="359" t="s">
        <v>172</v>
      </c>
      <c r="C54" s="360" t="s">
        <v>132</v>
      </c>
      <c r="D54" s="361" t="s">
        <v>331</v>
      </c>
      <c r="E54" s="362" t="s">
        <v>341</v>
      </c>
      <c r="F54" s="363"/>
    </row>
    <row r="55" spans="1:6" ht="38.25" customHeight="1" x14ac:dyDescent="0.2">
      <c r="A55" s="359" t="s">
        <v>165</v>
      </c>
      <c r="B55" s="364" t="s">
        <v>173</v>
      </c>
      <c r="C55" s="360" t="s">
        <v>130</v>
      </c>
      <c r="D55" s="361" t="s">
        <v>332</v>
      </c>
      <c r="E55" s="362" t="s">
        <v>341</v>
      </c>
      <c r="F55" s="363"/>
    </row>
    <row r="56" spans="1:6" ht="51" customHeight="1" x14ac:dyDescent="0.2">
      <c r="A56" s="359" t="s">
        <v>165</v>
      </c>
      <c r="B56" s="364" t="s">
        <v>174</v>
      </c>
      <c r="C56" s="360" t="s">
        <v>132</v>
      </c>
      <c r="D56" s="361" t="s">
        <v>333</v>
      </c>
      <c r="E56" s="362" t="s">
        <v>341</v>
      </c>
      <c r="F56" s="363"/>
    </row>
    <row r="57" spans="1:6" ht="38.25" customHeight="1" x14ac:dyDescent="0.2">
      <c r="A57" s="359" t="s">
        <v>165</v>
      </c>
      <c r="B57" s="359" t="s">
        <v>175</v>
      </c>
      <c r="C57" s="360" t="s">
        <v>130</v>
      </c>
      <c r="D57" s="361" t="s">
        <v>334</v>
      </c>
      <c r="E57" s="362" t="s">
        <v>341</v>
      </c>
      <c r="F57" s="363"/>
    </row>
    <row r="58" spans="1:6" ht="51" customHeight="1" x14ac:dyDescent="0.2">
      <c r="A58" s="359" t="s">
        <v>165</v>
      </c>
      <c r="B58" s="359" t="s">
        <v>182</v>
      </c>
      <c r="C58" s="360" t="s">
        <v>130</v>
      </c>
      <c r="D58" s="361" t="s">
        <v>335</v>
      </c>
      <c r="E58" s="362" t="s">
        <v>341</v>
      </c>
      <c r="F58" s="363"/>
    </row>
    <row r="59" spans="1:6" ht="38.25" customHeight="1" x14ac:dyDescent="0.2">
      <c r="A59" s="359" t="s">
        <v>165</v>
      </c>
      <c r="B59" s="364" t="s">
        <v>163</v>
      </c>
      <c r="C59" s="360" t="s">
        <v>131</v>
      </c>
      <c r="D59" s="361" t="s">
        <v>239</v>
      </c>
      <c r="E59" s="362" t="s">
        <v>341</v>
      </c>
      <c r="F59" s="363"/>
    </row>
    <row r="61" spans="1:6" s="258" customFormat="1" x14ac:dyDescent="0.2">
      <c r="C61" s="259"/>
      <c r="E61" s="259"/>
    </row>
    <row r="65" spans="1:1" x14ac:dyDescent="0.2">
      <c r="A65" s="248"/>
    </row>
    <row r="66" spans="1:1" ht="13.5" x14ac:dyDescent="0.2">
      <c r="A66" s="249"/>
    </row>
    <row r="67" spans="1:1" ht="13.5" x14ac:dyDescent="0.2">
      <c r="A67" s="249"/>
    </row>
    <row r="68" spans="1:1" ht="13.5" x14ac:dyDescent="0.2">
      <c r="A68" s="249"/>
    </row>
    <row r="69" spans="1:1" ht="13.5" x14ac:dyDescent="0.2">
      <c r="A69" s="249"/>
    </row>
    <row r="70" spans="1:1" ht="13.5" x14ac:dyDescent="0.2">
      <c r="A70" s="249"/>
    </row>
    <row r="71" spans="1:1" ht="13.5" x14ac:dyDescent="0.2">
      <c r="A71" s="249"/>
    </row>
    <row r="72" spans="1:1" ht="13.5" x14ac:dyDescent="0.2">
      <c r="A72" s="249"/>
    </row>
    <row r="73" spans="1:1" ht="13.5" x14ac:dyDescent="0.2">
      <c r="A73" s="249"/>
    </row>
    <row r="74" spans="1:1" x14ac:dyDescent="0.2">
      <c r="A74" s="250"/>
    </row>
    <row r="75" spans="1:1" x14ac:dyDescent="0.2">
      <c r="A75" s="248"/>
    </row>
    <row r="76" spans="1:1" ht="13.5" x14ac:dyDescent="0.2">
      <c r="A76" s="249"/>
    </row>
    <row r="77" spans="1:1" ht="13.5" x14ac:dyDescent="0.2">
      <c r="A77" s="249"/>
    </row>
    <row r="78" spans="1:1" ht="13.5" x14ac:dyDescent="0.2">
      <c r="A78" s="249"/>
    </row>
    <row r="79" spans="1:1" ht="13.5" x14ac:dyDescent="0.2">
      <c r="A79" s="249"/>
    </row>
    <row r="80" spans="1:1" ht="13.5" x14ac:dyDescent="0.2">
      <c r="A80" s="249"/>
    </row>
    <row r="81" spans="1:1" ht="13.5" x14ac:dyDescent="0.2">
      <c r="A81" s="249"/>
    </row>
    <row r="82" spans="1:1" x14ac:dyDescent="0.2">
      <c r="A82" s="251"/>
    </row>
    <row r="83" spans="1:1" x14ac:dyDescent="0.2">
      <c r="A83" s="248"/>
    </row>
    <row r="84" spans="1:1" ht="13.5" x14ac:dyDescent="0.2">
      <c r="A84" s="249"/>
    </row>
    <row r="85" spans="1:1" ht="13.5" x14ac:dyDescent="0.2">
      <c r="A85" s="249"/>
    </row>
    <row r="86" spans="1:1" x14ac:dyDescent="0.2">
      <c r="A86" s="135"/>
    </row>
  </sheetData>
  <sortState ref="A2:F29">
    <sortCondition ref="E1"/>
  </sortState>
  <dataConsolidate/>
  <printOptions horizontalCentered="1"/>
  <pageMargins left="0.74803149606299213" right="0.74803149606299213" top="0.98425196850393704" bottom="0.98425196850393704" header="0.51181102362204722" footer="0.51181102362204722"/>
  <pageSetup scale="66" fitToHeight="8" orientation="landscape" r:id="rId1"/>
  <headerFooter alignWithMargins="0">
    <oddHeader>&amp;C&amp;"Arial,Negrita"CUADRO DE ESTIMACIÓN DE ESFUERZO 
SOLUCIONES MÓVILES 4</oddHeader>
    <oddFooter>&amp;L&amp;"Arial,Negrita"&amp;A&amp;C&amp;"Arial,Negrita"&amp;P/&amp;N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88"/>
  <sheetViews>
    <sheetView view="pageBreakPreview" topLeftCell="A43" zoomScale="60" zoomScaleNormal="70" workbookViewId="0">
      <selection activeCell="J22" sqref="J22"/>
    </sheetView>
  </sheetViews>
  <sheetFormatPr baseColWidth="10" defaultColWidth="11.42578125" defaultRowHeight="12.75" x14ac:dyDescent="0.2"/>
  <cols>
    <col min="1" max="1" width="26.140625" customWidth="1"/>
    <col min="2" max="5" width="6.140625" customWidth="1"/>
    <col min="6" max="8" width="4.85546875" customWidth="1"/>
    <col min="9" max="12" width="5.140625" customWidth="1"/>
    <col min="13" max="13" width="8" bestFit="1" customWidth="1"/>
    <col min="15" max="15" width="8.85546875" customWidth="1"/>
    <col min="16" max="17" width="9.28515625" customWidth="1"/>
    <col min="18" max="18" width="14.42578125" bestFit="1" customWidth="1"/>
    <col min="19" max="19" width="7.28515625" customWidth="1"/>
    <col min="20" max="20" width="7.5703125" customWidth="1"/>
    <col min="21" max="23" width="8.28515625" customWidth="1"/>
    <col min="24" max="24" width="12.28515625" bestFit="1" customWidth="1"/>
    <col min="25" max="25" width="11.85546875" bestFit="1" customWidth="1"/>
    <col min="26" max="26" width="17.85546875" bestFit="1" customWidth="1"/>
    <col min="27" max="27" width="13.28515625" bestFit="1" customWidth="1"/>
  </cols>
  <sheetData>
    <row r="1" spans="1:31" ht="42" customHeight="1" thickBot="1" x14ac:dyDescent="0.25">
      <c r="B1" s="217">
        <v>41593</v>
      </c>
      <c r="C1" s="218">
        <v>41600</v>
      </c>
      <c r="D1" s="218">
        <v>41607</v>
      </c>
      <c r="E1" s="218">
        <v>41614</v>
      </c>
      <c r="F1" s="218">
        <v>41621</v>
      </c>
      <c r="G1" s="218">
        <v>41628</v>
      </c>
      <c r="H1" s="218">
        <v>41638</v>
      </c>
      <c r="I1" s="218">
        <v>41645</v>
      </c>
      <c r="J1" s="218">
        <v>41652</v>
      </c>
    </row>
    <row r="2" spans="1:31" ht="39.75" customHeight="1" thickBot="1" x14ac:dyDescent="0.25">
      <c r="A2" s="216" t="s">
        <v>202</v>
      </c>
      <c r="B2" s="233" t="s">
        <v>351</v>
      </c>
      <c r="C2" s="452" t="s">
        <v>348</v>
      </c>
      <c r="D2" s="452"/>
      <c r="E2" s="452"/>
      <c r="F2" s="451"/>
      <c r="G2" s="216" t="s">
        <v>352</v>
      </c>
      <c r="H2" s="261" t="s">
        <v>151</v>
      </c>
      <c r="I2" s="186" t="s">
        <v>152</v>
      </c>
      <c r="J2" s="450" t="s">
        <v>426</v>
      </c>
      <c r="K2" s="452"/>
      <c r="L2" s="452"/>
      <c r="M2" s="451"/>
    </row>
    <row r="3" spans="1:31" ht="21" customHeight="1" thickBot="1" x14ac:dyDescent="0.25">
      <c r="A3" s="253" t="s">
        <v>95</v>
      </c>
      <c r="B3" s="233">
        <v>1</v>
      </c>
      <c r="C3" s="186">
        <v>2</v>
      </c>
      <c r="D3" s="116">
        <v>3</v>
      </c>
      <c r="E3" s="116">
        <v>4</v>
      </c>
      <c r="F3" s="116">
        <v>5</v>
      </c>
      <c r="G3" s="253">
        <v>6</v>
      </c>
      <c r="H3" s="253">
        <v>7</v>
      </c>
      <c r="I3" s="253">
        <v>8</v>
      </c>
      <c r="J3" s="253">
        <v>9</v>
      </c>
      <c r="K3" s="253">
        <v>10</v>
      </c>
      <c r="L3" s="253">
        <v>11</v>
      </c>
      <c r="M3" s="233">
        <v>12</v>
      </c>
      <c r="X3" s="184" t="s">
        <v>154</v>
      </c>
      <c r="Y3" s="193" t="s">
        <v>199</v>
      </c>
      <c r="Z3" s="185" t="s">
        <v>200</v>
      </c>
    </row>
    <row r="4" spans="1:31" s="141" customFormat="1" ht="16.5" x14ac:dyDescent="0.2">
      <c r="A4" s="262" t="s">
        <v>146</v>
      </c>
      <c r="B4" s="263">
        <v>20</v>
      </c>
      <c r="C4" s="264">
        <v>16</v>
      </c>
      <c r="D4" s="264">
        <v>16</v>
      </c>
      <c r="E4" s="264">
        <v>16</v>
      </c>
      <c r="F4" s="264">
        <v>16</v>
      </c>
      <c r="G4" s="264">
        <v>16</v>
      </c>
      <c r="H4" s="264">
        <v>16</v>
      </c>
      <c r="I4" s="264">
        <v>16</v>
      </c>
      <c r="J4" s="264"/>
      <c r="K4" s="264"/>
      <c r="L4" s="264"/>
      <c r="M4" s="265"/>
      <c r="N4"/>
      <c r="O4"/>
      <c r="P4"/>
      <c r="Q4"/>
      <c r="R4"/>
      <c r="S4"/>
      <c r="T4"/>
      <c r="U4"/>
      <c r="V4"/>
      <c r="W4"/>
      <c r="X4" s="142">
        <f t="shared" ref="X4:X11" si="0">SUM(B4:M4)</f>
        <v>132</v>
      </c>
      <c r="Y4" s="158">
        <v>78343</v>
      </c>
      <c r="Z4" s="169">
        <f>Y4*X4</f>
        <v>10341276</v>
      </c>
      <c r="AA4"/>
      <c r="AB4"/>
      <c r="AC4"/>
      <c r="AD4"/>
      <c r="AE4"/>
    </row>
    <row r="5" spans="1:31" s="141" customFormat="1" ht="16.5" x14ac:dyDescent="0.2">
      <c r="A5" s="226" t="s">
        <v>197</v>
      </c>
      <c r="B5" s="202">
        <v>20</v>
      </c>
      <c r="C5" s="200">
        <v>16</v>
      </c>
      <c r="D5" s="200">
        <v>16</v>
      </c>
      <c r="E5" s="200">
        <v>16</v>
      </c>
      <c r="F5" s="200">
        <v>16</v>
      </c>
      <c r="G5" s="200">
        <v>16</v>
      </c>
      <c r="H5" s="200">
        <v>16</v>
      </c>
      <c r="I5" s="200">
        <v>16</v>
      </c>
      <c r="J5" s="146"/>
      <c r="K5" s="146"/>
      <c r="L5" s="146"/>
      <c r="M5" s="227"/>
      <c r="N5"/>
      <c r="O5"/>
      <c r="P5"/>
      <c r="Q5"/>
      <c r="R5"/>
      <c r="S5"/>
      <c r="T5"/>
      <c r="U5"/>
      <c r="V5"/>
      <c r="W5"/>
      <c r="X5" s="142">
        <f t="shared" si="0"/>
        <v>132</v>
      </c>
      <c r="Y5" s="158">
        <v>30732</v>
      </c>
      <c r="Z5" s="169">
        <f t="shared" ref="Z5:Z11" si="1">Y5*X5</f>
        <v>4056624</v>
      </c>
      <c r="AA5"/>
      <c r="AB5"/>
      <c r="AC5"/>
      <c r="AD5"/>
      <c r="AE5"/>
    </row>
    <row r="6" spans="1:31" s="141" customFormat="1" ht="16.5" x14ac:dyDescent="0.2">
      <c r="A6" s="226" t="s">
        <v>145</v>
      </c>
      <c r="B6" s="202">
        <v>16</v>
      </c>
      <c r="C6" s="200">
        <v>16</v>
      </c>
      <c r="D6" s="146">
        <v>16</v>
      </c>
      <c r="E6" s="146">
        <v>16</v>
      </c>
      <c r="F6" s="146">
        <v>16</v>
      </c>
      <c r="G6" s="146">
        <v>16</v>
      </c>
      <c r="H6" s="146"/>
      <c r="I6" s="146"/>
      <c r="J6" s="146"/>
      <c r="K6" s="146"/>
      <c r="L6" s="146"/>
      <c r="M6" s="227"/>
      <c r="N6"/>
      <c r="O6"/>
      <c r="P6"/>
      <c r="Q6"/>
      <c r="R6"/>
      <c r="S6"/>
      <c r="T6"/>
      <c r="U6"/>
      <c r="V6"/>
      <c r="W6"/>
      <c r="X6" s="142">
        <f t="shared" si="0"/>
        <v>96</v>
      </c>
      <c r="Y6" s="158">
        <v>99620</v>
      </c>
      <c r="Z6" s="169">
        <f t="shared" si="1"/>
        <v>9563520</v>
      </c>
      <c r="AA6"/>
      <c r="AB6"/>
      <c r="AC6"/>
      <c r="AD6"/>
      <c r="AE6"/>
    </row>
    <row r="7" spans="1:31" s="141" customFormat="1" ht="25.5" x14ac:dyDescent="0.2">
      <c r="A7" s="228" t="s">
        <v>99</v>
      </c>
      <c r="B7" s="202">
        <v>36</v>
      </c>
      <c r="C7" s="200">
        <v>36</v>
      </c>
      <c r="D7" s="200">
        <v>36</v>
      </c>
      <c r="E7" s="200">
        <v>36</v>
      </c>
      <c r="F7" s="200">
        <v>36</v>
      </c>
      <c r="G7" s="200">
        <v>36</v>
      </c>
      <c r="H7" s="146">
        <v>32</v>
      </c>
      <c r="I7" s="146">
        <v>32</v>
      </c>
      <c r="J7" s="146">
        <v>5</v>
      </c>
      <c r="K7" s="146"/>
      <c r="L7" s="146"/>
      <c r="M7" s="227"/>
      <c r="N7"/>
      <c r="O7"/>
      <c r="P7"/>
      <c r="Q7"/>
      <c r="R7"/>
      <c r="S7"/>
      <c r="T7"/>
      <c r="U7"/>
      <c r="V7"/>
      <c r="W7"/>
      <c r="X7" s="142">
        <f t="shared" si="0"/>
        <v>285</v>
      </c>
      <c r="Y7" s="158">
        <v>58348</v>
      </c>
      <c r="Z7" s="169">
        <f t="shared" si="1"/>
        <v>16629180</v>
      </c>
      <c r="AA7"/>
      <c r="AB7"/>
      <c r="AC7"/>
      <c r="AD7"/>
      <c r="AE7"/>
    </row>
    <row r="8" spans="1:31" s="141" customFormat="1" ht="25.5" x14ac:dyDescent="0.2">
      <c r="A8" s="228" t="s">
        <v>99</v>
      </c>
      <c r="B8" s="202">
        <v>36</v>
      </c>
      <c r="C8" s="200">
        <v>36</v>
      </c>
      <c r="D8" s="200">
        <v>36</v>
      </c>
      <c r="E8" s="200">
        <v>36</v>
      </c>
      <c r="F8" s="200">
        <v>36</v>
      </c>
      <c r="G8" s="200">
        <v>36</v>
      </c>
      <c r="H8" s="146">
        <v>32</v>
      </c>
      <c r="I8" s="146">
        <v>32</v>
      </c>
      <c r="J8" s="146">
        <v>5</v>
      </c>
      <c r="K8" s="146"/>
      <c r="L8" s="146"/>
      <c r="M8" s="227"/>
      <c r="N8"/>
      <c r="O8"/>
      <c r="P8"/>
      <c r="Q8"/>
      <c r="R8"/>
      <c r="S8"/>
      <c r="T8"/>
      <c r="U8"/>
      <c r="V8"/>
      <c r="W8"/>
      <c r="X8" s="142">
        <f t="shared" si="0"/>
        <v>285</v>
      </c>
      <c r="Y8" s="158">
        <v>58348</v>
      </c>
      <c r="Z8" s="169">
        <f t="shared" si="1"/>
        <v>16629180</v>
      </c>
      <c r="AA8"/>
      <c r="AB8"/>
      <c r="AC8"/>
      <c r="AD8"/>
      <c r="AE8"/>
    </row>
    <row r="9" spans="1:31" s="141" customFormat="1" ht="16.5" hidden="1" x14ac:dyDescent="0.2">
      <c r="A9" s="229" t="s">
        <v>195</v>
      </c>
      <c r="B9" s="202"/>
      <c r="C9" s="200"/>
      <c r="D9" s="146"/>
      <c r="E9" s="146"/>
      <c r="F9" s="146"/>
      <c r="G9" s="146"/>
      <c r="H9" s="146"/>
      <c r="I9" s="146"/>
      <c r="J9" s="146"/>
      <c r="K9" s="146"/>
      <c r="L9" s="146"/>
      <c r="M9" s="227"/>
      <c r="N9"/>
      <c r="O9"/>
      <c r="P9"/>
      <c r="Q9"/>
      <c r="R9"/>
      <c r="S9"/>
      <c r="T9"/>
      <c r="U9"/>
      <c r="V9"/>
      <c r="W9"/>
      <c r="X9" s="142">
        <f t="shared" si="0"/>
        <v>0</v>
      </c>
      <c r="Y9" s="158">
        <v>44072</v>
      </c>
      <c r="Z9" s="169">
        <f t="shared" si="1"/>
        <v>0</v>
      </c>
      <c r="AA9"/>
      <c r="AB9"/>
      <c r="AC9"/>
      <c r="AD9"/>
      <c r="AE9"/>
    </row>
    <row r="10" spans="1:31" s="141" customFormat="1" ht="16.5" x14ac:dyDescent="0.2">
      <c r="A10" s="229" t="s">
        <v>100</v>
      </c>
      <c r="B10" s="202"/>
      <c r="C10" s="200"/>
      <c r="D10" s="146"/>
      <c r="E10" s="146"/>
      <c r="F10" s="146"/>
      <c r="G10" s="146">
        <v>20</v>
      </c>
      <c r="H10" s="146">
        <v>20</v>
      </c>
      <c r="I10" s="146">
        <v>12</v>
      </c>
      <c r="J10" s="146">
        <v>5</v>
      </c>
      <c r="K10" s="146"/>
      <c r="L10" s="146"/>
      <c r="M10" s="227"/>
      <c r="N10"/>
      <c r="O10"/>
      <c r="P10"/>
      <c r="Q10"/>
      <c r="R10"/>
      <c r="S10"/>
      <c r="T10"/>
      <c r="U10"/>
      <c r="V10"/>
      <c r="W10"/>
      <c r="X10" s="142">
        <f t="shared" si="0"/>
        <v>57</v>
      </c>
      <c r="Y10" s="158">
        <v>46489</v>
      </c>
      <c r="Z10" s="169">
        <f t="shared" si="1"/>
        <v>2649873</v>
      </c>
      <c r="AA10"/>
      <c r="AB10"/>
      <c r="AC10"/>
      <c r="AD10"/>
      <c r="AE10"/>
    </row>
    <row r="11" spans="1:31" s="141" customFormat="1" ht="17.25" thickBot="1" x14ac:dyDescent="0.25">
      <c r="A11" s="230" t="s">
        <v>98</v>
      </c>
      <c r="B11" s="203">
        <v>20</v>
      </c>
      <c r="C11" s="201">
        <v>20</v>
      </c>
      <c r="D11" s="147">
        <v>20</v>
      </c>
      <c r="E11" s="147">
        <v>20</v>
      </c>
      <c r="F11" s="147">
        <v>11</v>
      </c>
      <c r="G11" s="147"/>
      <c r="H11" s="147"/>
      <c r="I11" s="147"/>
      <c r="J11" s="147"/>
      <c r="K11" s="147"/>
      <c r="L11" s="147"/>
      <c r="M11" s="231"/>
      <c r="N11"/>
      <c r="O11"/>
      <c r="P11"/>
      <c r="Q11"/>
      <c r="R11"/>
      <c r="S11"/>
      <c r="T11"/>
      <c r="U11"/>
      <c r="V11"/>
      <c r="W11"/>
      <c r="X11" s="142">
        <f t="shared" si="0"/>
        <v>91</v>
      </c>
      <c r="Y11" s="196">
        <v>43833</v>
      </c>
      <c r="Z11" s="197">
        <f t="shared" si="1"/>
        <v>3988803</v>
      </c>
      <c r="AA11"/>
      <c r="AB11"/>
      <c r="AC11"/>
      <c r="AD11"/>
      <c r="AE11"/>
    </row>
    <row r="12" spans="1:31" s="145" customFormat="1" ht="17.25" thickBot="1" x14ac:dyDescent="0.25">
      <c r="A12" s="198" t="s">
        <v>157</v>
      </c>
      <c r="B12" s="232">
        <f>SUM(B4:B11)</f>
        <v>148</v>
      </c>
      <c r="C12" s="473">
        <f>SUM(C4:M11)</f>
        <v>930</v>
      </c>
      <c r="D12" s="473"/>
      <c r="E12" s="473"/>
      <c r="F12" s="473"/>
      <c r="G12" s="473"/>
      <c r="H12" s="473"/>
      <c r="I12" s="473"/>
      <c r="J12" s="473"/>
      <c r="K12" s="473"/>
      <c r="L12" s="473"/>
      <c r="M12" s="474"/>
      <c r="N12"/>
      <c r="O12"/>
      <c r="P12"/>
      <c r="Q12"/>
      <c r="R12"/>
      <c r="S12"/>
      <c r="T12"/>
      <c r="U12"/>
      <c r="V12"/>
      <c r="W12"/>
      <c r="X12" s="591">
        <f>SUM(X4:X11)</f>
        <v>1078</v>
      </c>
      <c r="Y12" s="591"/>
      <c r="Z12" s="592">
        <f>SUM(Z4:Z11)</f>
        <v>63858456</v>
      </c>
      <c r="AA12"/>
      <c r="AB12"/>
      <c r="AC12"/>
      <c r="AD12"/>
      <c r="AE12"/>
    </row>
    <row r="13" spans="1:31" ht="17.25" customHeight="1" thickBot="1" x14ac:dyDescent="0.25">
      <c r="K13" s="584">
        <f>+J1+7</f>
        <v>41659</v>
      </c>
      <c r="L13" s="584">
        <f>+K13+7</f>
        <v>41666</v>
      </c>
      <c r="M13" s="584">
        <f t="shared" ref="M13:R13" si="2">+L13+7</f>
        <v>41673</v>
      </c>
      <c r="N13" s="584">
        <f t="shared" si="2"/>
        <v>41680</v>
      </c>
      <c r="O13" s="584">
        <f t="shared" si="2"/>
        <v>41687</v>
      </c>
      <c r="P13" s="584">
        <f t="shared" si="2"/>
        <v>41694</v>
      </c>
      <c r="Q13" s="584">
        <f t="shared" si="2"/>
        <v>41701</v>
      </c>
      <c r="R13" s="584">
        <f t="shared" si="2"/>
        <v>41708</v>
      </c>
    </row>
    <row r="14" spans="1:31" ht="17.25" customHeight="1" thickBot="1" x14ac:dyDescent="0.25">
      <c r="B14" s="484" t="s">
        <v>355</v>
      </c>
      <c r="C14" s="485"/>
      <c r="D14" s="485"/>
      <c r="E14" s="485"/>
      <c r="F14" s="485"/>
      <c r="G14" s="485"/>
      <c r="H14" s="486"/>
      <c r="I14" s="484" t="s">
        <v>354</v>
      </c>
      <c r="J14" s="485"/>
      <c r="K14" s="485"/>
      <c r="L14" s="485"/>
      <c r="M14" s="485"/>
      <c r="N14" s="485"/>
      <c r="O14" s="485"/>
      <c r="P14" s="485"/>
      <c r="Q14" s="485"/>
      <c r="R14" s="486"/>
    </row>
    <row r="15" spans="1:31" ht="52.5" customHeight="1" thickBot="1" x14ac:dyDescent="0.25">
      <c r="A15" s="193" t="s">
        <v>498</v>
      </c>
      <c r="B15" s="269" t="s">
        <v>149</v>
      </c>
      <c r="C15" s="270" t="s">
        <v>348</v>
      </c>
      <c r="D15" s="478" t="s">
        <v>349</v>
      </c>
      <c r="E15" s="479"/>
      <c r="F15" s="479"/>
      <c r="G15" s="267" t="s">
        <v>150</v>
      </c>
      <c r="H15" s="269" t="s">
        <v>358</v>
      </c>
      <c r="I15" s="478" t="s">
        <v>356</v>
      </c>
      <c r="J15" s="479"/>
      <c r="K15" s="480"/>
      <c r="L15" s="267" t="s">
        <v>352</v>
      </c>
      <c r="M15" s="268" t="s">
        <v>151</v>
      </c>
      <c r="N15" s="269" t="s">
        <v>357</v>
      </c>
      <c r="O15" s="478" t="s">
        <v>427</v>
      </c>
      <c r="P15" s="479"/>
      <c r="Q15" s="479"/>
      <c r="R15" s="480"/>
    </row>
    <row r="16" spans="1:31" ht="32.25" customHeight="1" thickBot="1" x14ac:dyDescent="0.25">
      <c r="A16" s="253" t="s">
        <v>95</v>
      </c>
      <c r="B16" s="116">
        <v>1</v>
      </c>
      <c r="C16" s="233">
        <v>2</v>
      </c>
      <c r="D16" s="186">
        <v>3</v>
      </c>
      <c r="E16" s="116">
        <v>4</v>
      </c>
      <c r="F16" s="253">
        <v>5</v>
      </c>
      <c r="G16" s="233">
        <v>6</v>
      </c>
      <c r="H16" s="116">
        <v>7</v>
      </c>
      <c r="I16" s="233">
        <v>8</v>
      </c>
      <c r="J16" s="186">
        <v>9</v>
      </c>
      <c r="K16" s="116">
        <v>10</v>
      </c>
      <c r="L16" s="233">
        <v>11</v>
      </c>
      <c r="M16" s="186">
        <v>12</v>
      </c>
      <c r="N16" s="116">
        <v>13</v>
      </c>
      <c r="O16" s="233">
        <v>14</v>
      </c>
      <c r="P16" s="186">
        <v>15</v>
      </c>
      <c r="Q16" s="116">
        <v>16</v>
      </c>
      <c r="R16" s="233">
        <v>17</v>
      </c>
      <c r="X16" s="184" t="s">
        <v>154</v>
      </c>
      <c r="Y16" s="184" t="s">
        <v>199</v>
      </c>
      <c r="Z16" s="184" t="s">
        <v>200</v>
      </c>
    </row>
    <row r="17" spans="1:26" ht="16.5" x14ac:dyDescent="0.2">
      <c r="A17" s="271" t="s">
        <v>146</v>
      </c>
      <c r="B17" s="204">
        <v>20</v>
      </c>
      <c r="C17" s="152">
        <v>20</v>
      </c>
      <c r="D17" s="152">
        <v>20</v>
      </c>
      <c r="E17" s="152">
        <v>20</v>
      </c>
      <c r="F17" s="152">
        <v>20</v>
      </c>
      <c r="G17" s="152">
        <v>20</v>
      </c>
      <c r="H17" s="152">
        <v>20</v>
      </c>
      <c r="I17" s="152">
        <v>20</v>
      </c>
      <c r="J17" s="152">
        <v>20</v>
      </c>
      <c r="K17" s="152">
        <v>20</v>
      </c>
      <c r="L17" s="152">
        <v>8</v>
      </c>
      <c r="M17" s="152">
        <v>20</v>
      </c>
      <c r="N17" s="152">
        <v>10</v>
      </c>
      <c r="O17" s="152">
        <v>8</v>
      </c>
      <c r="P17" s="152">
        <v>8</v>
      </c>
      <c r="Q17" s="152">
        <v>4</v>
      </c>
      <c r="R17" s="208">
        <v>4</v>
      </c>
      <c r="X17" s="586">
        <f t="shared" ref="X17:X26" si="3">SUM(B17:R17)</f>
        <v>262</v>
      </c>
      <c r="Y17" s="158">
        <v>78343</v>
      </c>
      <c r="Z17" s="138">
        <f>Y17*X17</f>
        <v>20525866</v>
      </c>
    </row>
    <row r="18" spans="1:26" ht="16.5" x14ac:dyDescent="0.2">
      <c r="A18" s="272" t="s">
        <v>197</v>
      </c>
      <c r="B18" s="205">
        <v>20</v>
      </c>
      <c r="C18" s="153">
        <v>20</v>
      </c>
      <c r="D18" s="153">
        <v>20</v>
      </c>
      <c r="E18" s="153">
        <v>20</v>
      </c>
      <c r="F18" s="153">
        <v>20</v>
      </c>
      <c r="G18" s="153">
        <v>20</v>
      </c>
      <c r="H18" s="153">
        <v>20</v>
      </c>
      <c r="I18" s="153">
        <v>20</v>
      </c>
      <c r="J18" s="153">
        <v>16</v>
      </c>
      <c r="K18" s="153">
        <v>16</v>
      </c>
      <c r="L18" s="153">
        <v>8</v>
      </c>
      <c r="M18" s="153">
        <v>20</v>
      </c>
      <c r="N18" s="153">
        <v>10</v>
      </c>
      <c r="O18" s="153">
        <v>8</v>
      </c>
      <c r="P18" s="153">
        <v>8</v>
      </c>
      <c r="Q18" s="153">
        <v>4</v>
      </c>
      <c r="R18" s="209">
        <v>4</v>
      </c>
      <c r="X18" s="586">
        <f t="shared" si="3"/>
        <v>254</v>
      </c>
      <c r="Y18" s="158">
        <v>30732</v>
      </c>
      <c r="Z18" s="138">
        <f t="shared" ref="Z18:Z26" si="4">Y18*X18</f>
        <v>7805928</v>
      </c>
    </row>
    <row r="19" spans="1:26" ht="16.5" x14ac:dyDescent="0.2">
      <c r="A19" s="272" t="s">
        <v>145</v>
      </c>
      <c r="B19" s="205">
        <v>20</v>
      </c>
      <c r="C19" s="153">
        <v>20</v>
      </c>
      <c r="D19" s="153">
        <v>20</v>
      </c>
      <c r="E19" s="153">
        <v>20</v>
      </c>
      <c r="F19" s="153">
        <v>20</v>
      </c>
      <c r="G19" s="153">
        <v>20</v>
      </c>
      <c r="H19" s="153">
        <v>20</v>
      </c>
      <c r="I19" s="153">
        <v>20</v>
      </c>
      <c r="J19" s="153">
        <v>16</v>
      </c>
      <c r="K19" s="153">
        <v>16</v>
      </c>
      <c r="L19" s="153">
        <v>8</v>
      </c>
      <c r="M19" s="153">
        <v>24</v>
      </c>
      <c r="N19" s="153">
        <v>12</v>
      </c>
      <c r="O19" s="153"/>
      <c r="P19" s="153"/>
      <c r="Q19" s="153"/>
      <c r="R19" s="209"/>
      <c r="X19" s="586">
        <f t="shared" si="3"/>
        <v>236</v>
      </c>
      <c r="Y19" s="158">
        <v>99620</v>
      </c>
      <c r="Z19" s="138">
        <f t="shared" si="4"/>
        <v>23510320</v>
      </c>
    </row>
    <row r="20" spans="1:26" ht="16.5" x14ac:dyDescent="0.2">
      <c r="A20" s="273" t="s">
        <v>147</v>
      </c>
      <c r="B20" s="205"/>
      <c r="C20" s="153">
        <v>40</v>
      </c>
      <c r="D20" s="153">
        <v>40</v>
      </c>
      <c r="E20" s="153">
        <v>40</v>
      </c>
      <c r="F20" s="153">
        <v>40</v>
      </c>
      <c r="G20" s="153">
        <v>40</v>
      </c>
      <c r="H20" s="153">
        <v>20</v>
      </c>
      <c r="I20" s="153">
        <v>40</v>
      </c>
      <c r="J20" s="153">
        <v>40</v>
      </c>
      <c r="K20" s="153">
        <v>40</v>
      </c>
      <c r="L20" s="153">
        <v>4</v>
      </c>
      <c r="M20" s="153">
        <v>40</v>
      </c>
      <c r="N20" s="153">
        <v>20</v>
      </c>
      <c r="O20" s="153"/>
      <c r="P20" s="153"/>
      <c r="Q20" s="153"/>
      <c r="R20" s="209"/>
      <c r="X20" s="586">
        <f t="shared" si="3"/>
        <v>404</v>
      </c>
      <c r="Y20" s="158">
        <v>59772</v>
      </c>
      <c r="Z20" s="138">
        <f t="shared" si="4"/>
        <v>24147888</v>
      </c>
    </row>
    <row r="21" spans="1:26" ht="16.5" x14ac:dyDescent="0.2">
      <c r="A21" s="273" t="s">
        <v>195</v>
      </c>
      <c r="B21" s="205"/>
      <c r="C21" s="153">
        <v>20</v>
      </c>
      <c r="D21" s="153">
        <v>20</v>
      </c>
      <c r="E21" s="153">
        <v>20</v>
      </c>
      <c r="F21" s="153">
        <v>20</v>
      </c>
      <c r="G21" s="153">
        <v>20</v>
      </c>
      <c r="H21" s="153">
        <v>20</v>
      </c>
      <c r="I21" s="153">
        <v>20</v>
      </c>
      <c r="J21" s="153">
        <v>20</v>
      </c>
      <c r="K21" s="153">
        <v>20</v>
      </c>
      <c r="L21" s="153">
        <v>40</v>
      </c>
      <c r="M21" s="153">
        <v>40</v>
      </c>
      <c r="N21" s="153">
        <v>19</v>
      </c>
      <c r="O21" s="153"/>
      <c r="P21" s="153"/>
      <c r="Q21" s="153"/>
      <c r="R21" s="209"/>
      <c r="X21" s="586">
        <f t="shared" si="3"/>
        <v>279</v>
      </c>
      <c r="Y21" s="158">
        <v>44072</v>
      </c>
      <c r="Z21" s="138">
        <f t="shared" si="4"/>
        <v>12296088</v>
      </c>
    </row>
    <row r="22" spans="1:26" ht="16.5" x14ac:dyDescent="0.2">
      <c r="A22" s="273" t="s">
        <v>241</v>
      </c>
      <c r="B22" s="205"/>
      <c r="C22" s="153">
        <v>40</v>
      </c>
      <c r="D22" s="153"/>
      <c r="E22" s="153"/>
      <c r="F22" s="153">
        <v>40</v>
      </c>
      <c r="G22" s="153">
        <v>40</v>
      </c>
      <c r="H22" s="153">
        <v>16</v>
      </c>
      <c r="I22" s="153">
        <v>16</v>
      </c>
      <c r="J22" s="153">
        <v>20</v>
      </c>
      <c r="K22" s="153">
        <v>20</v>
      </c>
      <c r="L22" s="153">
        <v>20</v>
      </c>
      <c r="M22" s="153">
        <v>40</v>
      </c>
      <c r="N22" s="153">
        <v>12</v>
      </c>
      <c r="O22" s="153"/>
      <c r="P22" s="153"/>
      <c r="Q22" s="153"/>
      <c r="R22" s="209"/>
      <c r="X22" s="586">
        <f t="shared" si="3"/>
        <v>264</v>
      </c>
      <c r="Y22" s="158">
        <v>59772</v>
      </c>
      <c r="Z22" s="138">
        <f t="shared" si="4"/>
        <v>15779808</v>
      </c>
    </row>
    <row r="23" spans="1:26" ht="16.5" x14ac:dyDescent="0.2">
      <c r="A23" s="273" t="s">
        <v>240</v>
      </c>
      <c r="B23" s="205">
        <v>40</v>
      </c>
      <c r="C23" s="153">
        <v>40</v>
      </c>
      <c r="D23" s="153"/>
      <c r="E23" s="153"/>
      <c r="F23" s="153"/>
      <c r="G23" s="153"/>
      <c r="H23" s="153"/>
      <c r="I23" s="153">
        <v>20</v>
      </c>
      <c r="J23" s="153"/>
      <c r="K23" s="153"/>
      <c r="L23" s="153"/>
      <c r="M23" s="153"/>
      <c r="N23" s="153"/>
      <c r="O23" s="153"/>
      <c r="P23" s="153"/>
      <c r="Q23" s="153"/>
      <c r="R23" s="209"/>
      <c r="X23" s="586">
        <f t="shared" si="3"/>
        <v>100</v>
      </c>
      <c r="Y23" s="158">
        <v>44072</v>
      </c>
      <c r="Z23" s="138">
        <f t="shared" si="4"/>
        <v>4407200</v>
      </c>
    </row>
    <row r="24" spans="1:26" ht="16.5" x14ac:dyDescent="0.2">
      <c r="A24" s="274" t="s">
        <v>98</v>
      </c>
      <c r="B24" s="205">
        <v>20</v>
      </c>
      <c r="C24" s="153">
        <v>20</v>
      </c>
      <c r="D24" s="153">
        <v>20</v>
      </c>
      <c r="E24" s="153">
        <v>20</v>
      </c>
      <c r="F24" s="153">
        <v>10</v>
      </c>
      <c r="G24" s="153">
        <v>10</v>
      </c>
      <c r="H24" s="153"/>
      <c r="I24" s="153">
        <v>16</v>
      </c>
      <c r="J24" s="153">
        <v>12</v>
      </c>
      <c r="K24" s="153">
        <v>12</v>
      </c>
      <c r="L24" s="153"/>
      <c r="M24" s="153"/>
      <c r="N24" s="153"/>
      <c r="O24" s="153"/>
      <c r="P24" s="153"/>
      <c r="Q24" s="153"/>
      <c r="R24" s="209"/>
      <c r="X24" s="586">
        <f t="shared" si="3"/>
        <v>140</v>
      </c>
      <c r="Y24" s="158">
        <v>43833</v>
      </c>
      <c r="Z24" s="138">
        <f t="shared" si="4"/>
        <v>6136620</v>
      </c>
    </row>
    <row r="25" spans="1:26" ht="16.5" x14ac:dyDescent="0.2">
      <c r="A25" s="273" t="s">
        <v>155</v>
      </c>
      <c r="B25" s="205"/>
      <c r="C25" s="153"/>
      <c r="D25" s="153"/>
      <c r="E25" s="153"/>
      <c r="F25" s="153"/>
      <c r="G25" s="153">
        <v>16</v>
      </c>
      <c r="H25" s="153">
        <v>8</v>
      </c>
      <c r="I25" s="153"/>
      <c r="J25" s="153"/>
      <c r="K25" s="153"/>
      <c r="L25" s="153"/>
      <c r="M25" s="153">
        <v>16</v>
      </c>
      <c r="N25" s="153">
        <v>8</v>
      </c>
      <c r="O25" s="153"/>
      <c r="P25" s="153"/>
      <c r="Q25" s="153"/>
      <c r="R25" s="209"/>
      <c r="X25" s="586">
        <f t="shared" si="3"/>
        <v>48</v>
      </c>
      <c r="Y25" s="158">
        <v>92979</v>
      </c>
      <c r="Z25" s="138">
        <f t="shared" si="4"/>
        <v>4462992</v>
      </c>
    </row>
    <row r="26" spans="1:26" ht="17.25" thickBot="1" x14ac:dyDescent="0.25">
      <c r="A26" s="275" t="s">
        <v>156</v>
      </c>
      <c r="B26" s="206"/>
      <c r="C26" s="154">
        <v>16</v>
      </c>
      <c r="D26" s="154"/>
      <c r="E26" s="154"/>
      <c r="F26" s="154"/>
      <c r="G26" s="154">
        <v>16</v>
      </c>
      <c r="H26" s="154">
        <v>8</v>
      </c>
      <c r="I26" s="154"/>
      <c r="J26" s="154"/>
      <c r="K26" s="154"/>
      <c r="L26" s="154"/>
      <c r="M26" s="154">
        <v>16</v>
      </c>
      <c r="N26" s="154">
        <v>8</v>
      </c>
      <c r="O26" s="154"/>
      <c r="P26" s="154"/>
      <c r="Q26" s="154"/>
      <c r="R26" s="210"/>
      <c r="X26" s="587">
        <f t="shared" si="3"/>
        <v>64</v>
      </c>
      <c r="Y26" s="158">
        <v>89658</v>
      </c>
      <c r="Z26" s="195">
        <f t="shared" si="4"/>
        <v>5738112</v>
      </c>
    </row>
    <row r="27" spans="1:26" s="150" customFormat="1" ht="13.5" thickBot="1" x14ac:dyDescent="0.25">
      <c r="A27" s="266" t="s">
        <v>159</v>
      </c>
      <c r="B27" s="277">
        <f>SUM(B17:B26)</f>
        <v>120</v>
      </c>
      <c r="C27" s="278">
        <f>SUM(C17:C26)</f>
        <v>236</v>
      </c>
      <c r="D27" s="481">
        <f>SUM(D17:R26)</f>
        <v>1695</v>
      </c>
      <c r="E27" s="482"/>
      <c r="F27" s="482"/>
      <c r="G27" s="482"/>
      <c r="H27" s="482"/>
      <c r="I27" s="482"/>
      <c r="J27" s="482"/>
      <c r="K27" s="482"/>
      <c r="L27" s="482"/>
      <c r="M27" s="482"/>
      <c r="N27" s="482"/>
      <c r="O27" s="482"/>
      <c r="P27" s="482"/>
      <c r="Q27" s="482"/>
      <c r="R27" s="483"/>
      <c r="S27" s="189"/>
      <c r="T27" s="189"/>
      <c r="U27" s="194"/>
      <c r="X27" s="588">
        <f>SUM(X17:X26)</f>
        <v>2051</v>
      </c>
      <c r="Y27" s="589"/>
      <c r="Z27" s="590">
        <f>SUM(Z17:Z26)</f>
        <v>124810822</v>
      </c>
    </row>
    <row r="28" spans="1:26" s="150" customFormat="1" x14ac:dyDescent="0.2">
      <c r="A28" s="187"/>
      <c r="B28" s="188"/>
      <c r="C28" s="188"/>
      <c r="D28" s="188"/>
      <c r="E28" s="188"/>
      <c r="F28" s="188"/>
      <c r="G28" s="188"/>
      <c r="H28" s="188"/>
      <c r="I28" s="188"/>
      <c r="J28" s="188"/>
      <c r="K28" s="188"/>
      <c r="L28" s="188"/>
      <c r="M28" s="188"/>
      <c r="N28" s="188"/>
      <c r="O28" s="188"/>
      <c r="P28" s="188"/>
      <c r="Q28" s="188"/>
      <c r="R28" s="188"/>
      <c r="S28" s="189"/>
      <c r="U28" s="156"/>
    </row>
    <row r="29" spans="1:26" s="150" customFormat="1" ht="13.5" thickBot="1" x14ac:dyDescent="0.25">
      <c r="A29" s="187"/>
      <c r="B29" s="276">
        <v>164</v>
      </c>
      <c r="C29" s="276">
        <v>260</v>
      </c>
      <c r="D29" s="276">
        <v>1215</v>
      </c>
      <c r="E29" s="276"/>
      <c r="F29" s="276"/>
      <c r="G29" s="276"/>
      <c r="H29" s="276"/>
      <c r="I29" s="276"/>
      <c r="J29" s="276"/>
      <c r="K29" s="276"/>
      <c r="L29" s="276"/>
      <c r="M29" s="276"/>
      <c r="N29" s="276">
        <v>315</v>
      </c>
      <c r="O29" s="188"/>
      <c r="P29" s="188"/>
      <c r="Q29" s="188"/>
      <c r="R29" s="585">
        <f>+R13</f>
        <v>41708</v>
      </c>
      <c r="S29" s="584">
        <f t="shared" ref="S29:W29" si="5">+R29+7</f>
        <v>41715</v>
      </c>
      <c r="T29" s="584">
        <f t="shared" si="5"/>
        <v>41722</v>
      </c>
      <c r="U29" s="584">
        <f t="shared" si="5"/>
        <v>41729</v>
      </c>
      <c r="V29" s="584">
        <f t="shared" si="5"/>
        <v>41736</v>
      </c>
      <c r="W29" s="584">
        <f t="shared" si="5"/>
        <v>41743</v>
      </c>
    </row>
    <row r="30" spans="1:26" ht="39.75" customHeight="1" thickBot="1" x14ac:dyDescent="0.25">
      <c r="A30" s="216" t="s">
        <v>203</v>
      </c>
      <c r="B30" s="475"/>
      <c r="C30" s="476"/>
      <c r="D30" s="476"/>
      <c r="E30" s="476"/>
      <c r="F30" s="476"/>
      <c r="G30" s="476"/>
      <c r="H30" s="476"/>
      <c r="I30" s="477"/>
      <c r="J30" s="487" t="s">
        <v>149</v>
      </c>
      <c r="K30" s="488"/>
      <c r="L30" s="450" t="s">
        <v>348</v>
      </c>
      <c r="M30" s="452"/>
      <c r="N30" s="452"/>
      <c r="O30" s="451"/>
      <c r="P30" s="216" t="s">
        <v>352</v>
      </c>
      <c r="Q30" s="450" t="s">
        <v>151</v>
      </c>
      <c r="R30" s="451"/>
      <c r="S30" s="116" t="s">
        <v>152</v>
      </c>
      <c r="T30" s="450" t="s">
        <v>426</v>
      </c>
      <c r="U30" s="452"/>
      <c r="V30" s="452"/>
      <c r="W30" s="451"/>
    </row>
    <row r="31" spans="1:26" x14ac:dyDescent="0.2">
      <c r="A31" s="140" t="s">
        <v>95</v>
      </c>
      <c r="B31" s="246"/>
      <c r="C31" s="247"/>
      <c r="D31" s="247"/>
      <c r="E31" s="247"/>
      <c r="F31" s="247"/>
      <c r="G31" s="247"/>
      <c r="H31" s="247"/>
      <c r="I31" s="369"/>
      <c r="J31" s="372">
        <v>9</v>
      </c>
      <c r="K31" s="207">
        <v>10</v>
      </c>
      <c r="L31" s="241">
        <v>11</v>
      </c>
      <c r="M31" s="184">
        <v>12</v>
      </c>
      <c r="N31" s="241">
        <v>13</v>
      </c>
      <c r="O31" s="184">
        <v>14</v>
      </c>
      <c r="P31" s="241">
        <v>15</v>
      </c>
      <c r="Q31" s="184">
        <v>16</v>
      </c>
      <c r="R31" s="241">
        <v>17</v>
      </c>
      <c r="S31" s="184">
        <v>18</v>
      </c>
      <c r="T31" s="241">
        <v>19</v>
      </c>
      <c r="U31" s="184">
        <v>20</v>
      </c>
      <c r="V31" s="241">
        <v>21</v>
      </c>
      <c r="W31" s="184">
        <v>22</v>
      </c>
      <c r="X31" s="136" t="s">
        <v>246</v>
      </c>
      <c r="Y31" s="184" t="s">
        <v>199</v>
      </c>
      <c r="Z31" s="184" t="s">
        <v>200</v>
      </c>
    </row>
    <row r="32" spans="1:26" s="141" customFormat="1" ht="16.5" x14ac:dyDescent="0.2">
      <c r="A32" s="237" t="s">
        <v>146</v>
      </c>
      <c r="B32" s="242"/>
      <c r="C32" s="190"/>
      <c r="D32" s="190"/>
      <c r="E32" s="190"/>
      <c r="F32" s="190"/>
      <c r="G32" s="190"/>
      <c r="H32" s="190"/>
      <c r="I32" s="370"/>
      <c r="J32" s="373">
        <v>16</v>
      </c>
      <c r="K32" s="213">
        <v>16</v>
      </c>
      <c r="L32" s="211">
        <v>16</v>
      </c>
      <c r="M32" s="148">
        <v>16</v>
      </c>
      <c r="N32" s="148">
        <v>16</v>
      </c>
      <c r="O32" s="148">
        <v>16</v>
      </c>
      <c r="P32" s="148">
        <v>20</v>
      </c>
      <c r="Q32" s="148">
        <v>16</v>
      </c>
      <c r="R32" s="148">
        <v>12</v>
      </c>
      <c r="S32" s="148">
        <v>12</v>
      </c>
      <c r="T32" s="148">
        <v>12</v>
      </c>
      <c r="U32" s="148">
        <v>8</v>
      </c>
      <c r="V32" s="148">
        <v>8</v>
      </c>
      <c r="W32" s="213">
        <v>8</v>
      </c>
      <c r="X32" s="142">
        <f t="shared" ref="X32:X41" si="6">SUM(G32:W32)</f>
        <v>192</v>
      </c>
      <c r="Y32" s="158">
        <v>78343</v>
      </c>
      <c r="Z32" s="169">
        <f>X32*Y32</f>
        <v>15041856</v>
      </c>
    </row>
    <row r="33" spans="1:27" s="141" customFormat="1" ht="16.5" x14ac:dyDescent="0.2">
      <c r="A33" s="237" t="s">
        <v>197</v>
      </c>
      <c r="B33" s="242"/>
      <c r="C33" s="190"/>
      <c r="D33" s="190"/>
      <c r="E33" s="190"/>
      <c r="F33" s="190"/>
      <c r="G33" s="190"/>
      <c r="H33" s="190"/>
      <c r="I33" s="370"/>
      <c r="J33" s="373">
        <v>20</v>
      </c>
      <c r="K33" s="213">
        <v>20</v>
      </c>
      <c r="L33" s="211">
        <v>20</v>
      </c>
      <c r="M33" s="148">
        <v>20</v>
      </c>
      <c r="N33" s="148">
        <v>20</v>
      </c>
      <c r="O33" s="148"/>
      <c r="P33" s="148">
        <v>12</v>
      </c>
      <c r="Q33" s="148">
        <v>12</v>
      </c>
      <c r="R33" s="148">
        <v>12</v>
      </c>
      <c r="S33" s="148">
        <v>16</v>
      </c>
      <c r="T33" s="148">
        <v>12</v>
      </c>
      <c r="U33" s="148">
        <v>8</v>
      </c>
      <c r="V33" s="148">
        <v>8</v>
      </c>
      <c r="W33" s="213">
        <v>8</v>
      </c>
      <c r="X33" s="142">
        <f t="shared" si="6"/>
        <v>188</v>
      </c>
      <c r="Y33" s="158">
        <v>30732</v>
      </c>
      <c r="Z33" s="169">
        <f t="shared" ref="Z33:Z41" si="7">X33*Y33</f>
        <v>5777616</v>
      </c>
    </row>
    <row r="34" spans="1:27" s="141" customFormat="1" ht="16.5" x14ac:dyDescent="0.2">
      <c r="A34" s="237" t="s">
        <v>145</v>
      </c>
      <c r="B34" s="242"/>
      <c r="C34" s="190"/>
      <c r="D34" s="190"/>
      <c r="E34" s="190"/>
      <c r="F34" s="190"/>
      <c r="G34" s="190"/>
      <c r="H34" s="190"/>
      <c r="I34" s="370"/>
      <c r="J34" s="373">
        <v>16</v>
      </c>
      <c r="K34" s="213">
        <v>16</v>
      </c>
      <c r="L34" s="211">
        <v>16</v>
      </c>
      <c r="M34" s="148">
        <v>16</v>
      </c>
      <c r="N34" s="148">
        <v>16</v>
      </c>
      <c r="O34" s="148"/>
      <c r="P34" s="148">
        <v>8</v>
      </c>
      <c r="Q34" s="148">
        <v>8</v>
      </c>
      <c r="R34" s="148">
        <v>8</v>
      </c>
      <c r="S34" s="148">
        <v>8</v>
      </c>
      <c r="T34" s="148"/>
      <c r="U34" s="148"/>
      <c r="V34" s="148"/>
      <c r="W34" s="213"/>
      <c r="X34" s="142">
        <f t="shared" si="6"/>
        <v>112</v>
      </c>
      <c r="Y34" s="158">
        <v>99620</v>
      </c>
      <c r="Z34" s="169">
        <f t="shared" si="7"/>
        <v>11157440</v>
      </c>
    </row>
    <row r="35" spans="1:27" s="141" customFormat="1" ht="25.5" x14ac:dyDescent="0.2">
      <c r="A35" s="238" t="s">
        <v>99</v>
      </c>
      <c r="B35" s="242"/>
      <c r="C35" s="190"/>
      <c r="D35" s="190"/>
      <c r="E35" s="190"/>
      <c r="F35" s="190"/>
      <c r="G35" s="190"/>
      <c r="H35" s="190"/>
      <c r="I35" s="370"/>
      <c r="J35" s="373">
        <v>20</v>
      </c>
      <c r="K35" s="213">
        <v>20</v>
      </c>
      <c r="L35" s="211">
        <v>40</v>
      </c>
      <c r="M35" s="148">
        <v>40</v>
      </c>
      <c r="N35" s="148">
        <v>40</v>
      </c>
      <c r="O35" s="148">
        <v>40</v>
      </c>
      <c r="P35" s="148">
        <v>40</v>
      </c>
      <c r="Q35" s="148">
        <v>40</v>
      </c>
      <c r="R35" s="148">
        <v>40</v>
      </c>
      <c r="S35" s="148">
        <v>16</v>
      </c>
      <c r="T35" s="148">
        <v>4</v>
      </c>
      <c r="U35" s="148"/>
      <c r="V35" s="148"/>
      <c r="W35" s="213"/>
      <c r="X35" s="142">
        <f t="shared" si="6"/>
        <v>340</v>
      </c>
      <c r="Y35" s="158">
        <v>58348</v>
      </c>
      <c r="Z35" s="169">
        <f t="shared" si="7"/>
        <v>19838320</v>
      </c>
    </row>
    <row r="36" spans="1:27" s="141" customFormat="1" ht="25.5" x14ac:dyDescent="0.2">
      <c r="A36" s="238" t="s">
        <v>99</v>
      </c>
      <c r="B36" s="242"/>
      <c r="C36" s="190"/>
      <c r="D36" s="190"/>
      <c r="E36" s="190"/>
      <c r="F36" s="190"/>
      <c r="G36" s="190"/>
      <c r="H36" s="190"/>
      <c r="I36" s="370"/>
      <c r="J36" s="373"/>
      <c r="K36" s="213"/>
      <c r="L36" s="211">
        <v>40</v>
      </c>
      <c r="M36" s="148">
        <v>40</v>
      </c>
      <c r="N36" s="148">
        <v>40</v>
      </c>
      <c r="O36" s="148">
        <v>40</v>
      </c>
      <c r="P36" s="148">
        <v>40</v>
      </c>
      <c r="Q36" s="148">
        <v>40</v>
      </c>
      <c r="R36" s="148">
        <v>40</v>
      </c>
      <c r="S36" s="148">
        <v>16</v>
      </c>
      <c r="T36" s="148">
        <v>4</v>
      </c>
      <c r="U36" s="148"/>
      <c r="V36" s="148"/>
      <c r="W36" s="213"/>
      <c r="X36" s="142">
        <f t="shared" si="6"/>
        <v>300</v>
      </c>
      <c r="Y36" s="158">
        <v>58348</v>
      </c>
      <c r="Z36" s="169">
        <f t="shared" si="7"/>
        <v>17504400</v>
      </c>
    </row>
    <row r="37" spans="1:27" s="141" customFormat="1" ht="16.5" x14ac:dyDescent="0.2">
      <c r="A37" s="239" t="s">
        <v>195</v>
      </c>
      <c r="B37" s="242"/>
      <c r="C37" s="190"/>
      <c r="D37" s="190"/>
      <c r="E37" s="190"/>
      <c r="F37" s="190"/>
      <c r="G37" s="190"/>
      <c r="H37" s="190"/>
      <c r="I37" s="370"/>
      <c r="J37" s="373"/>
      <c r="K37" s="213"/>
      <c r="L37" s="211"/>
      <c r="M37" s="148"/>
      <c r="N37" s="148"/>
      <c r="O37" s="148"/>
      <c r="P37" s="148"/>
      <c r="Q37" s="148"/>
      <c r="R37" s="148"/>
      <c r="S37" s="148"/>
      <c r="T37" s="148"/>
      <c r="U37" s="148"/>
      <c r="V37" s="148"/>
      <c r="W37" s="213"/>
      <c r="X37" s="142">
        <f t="shared" si="6"/>
        <v>0</v>
      </c>
      <c r="Y37" s="158">
        <v>44072</v>
      </c>
      <c r="Z37" s="169">
        <f t="shared" si="7"/>
        <v>0</v>
      </c>
    </row>
    <row r="38" spans="1:27" s="141" customFormat="1" ht="16.5" x14ac:dyDescent="0.2">
      <c r="A38" s="239" t="s">
        <v>100</v>
      </c>
      <c r="B38" s="242"/>
      <c r="C38" s="190"/>
      <c r="D38" s="190"/>
      <c r="E38" s="190"/>
      <c r="F38" s="190"/>
      <c r="G38" s="190"/>
      <c r="H38" s="190"/>
      <c r="I38" s="370"/>
      <c r="J38" s="373"/>
      <c r="K38" s="213"/>
      <c r="L38" s="211"/>
      <c r="M38" s="148"/>
      <c r="N38" s="148"/>
      <c r="O38" s="148"/>
      <c r="P38" s="148">
        <v>40</v>
      </c>
      <c r="Q38" s="148">
        <v>40</v>
      </c>
      <c r="R38" s="148">
        <v>27</v>
      </c>
      <c r="S38" s="148">
        <v>16</v>
      </c>
      <c r="T38" s="148">
        <v>4</v>
      </c>
      <c r="U38" s="148"/>
      <c r="V38" s="148"/>
      <c r="W38" s="213"/>
      <c r="X38" s="142">
        <f t="shared" si="6"/>
        <v>127</v>
      </c>
      <c r="Y38" s="158">
        <v>46489</v>
      </c>
      <c r="Z38" s="169">
        <f t="shared" si="7"/>
        <v>5904103</v>
      </c>
    </row>
    <row r="39" spans="1:27" s="141" customFormat="1" ht="16.5" x14ac:dyDescent="0.2">
      <c r="A39" s="239" t="s">
        <v>156</v>
      </c>
      <c r="B39" s="243"/>
      <c r="C39" s="191"/>
      <c r="D39" s="191"/>
      <c r="E39" s="191"/>
      <c r="F39" s="191"/>
      <c r="G39" s="191"/>
      <c r="H39" s="191"/>
      <c r="I39" s="371"/>
      <c r="J39" s="373"/>
      <c r="K39" s="213"/>
      <c r="L39" s="212"/>
      <c r="M39" s="149"/>
      <c r="N39" s="149">
        <v>8</v>
      </c>
      <c r="O39" s="149"/>
      <c r="P39" s="149"/>
      <c r="Q39" s="149"/>
      <c r="R39" s="149">
        <v>8</v>
      </c>
      <c r="S39" s="149">
        <v>8</v>
      </c>
      <c r="T39" s="149">
        <v>4</v>
      </c>
      <c r="U39" s="149"/>
      <c r="V39" s="149"/>
      <c r="W39" s="214"/>
      <c r="X39" s="142">
        <f t="shared" si="6"/>
        <v>28</v>
      </c>
      <c r="Y39" s="158">
        <v>89658</v>
      </c>
      <c r="Z39" s="169">
        <f t="shared" si="7"/>
        <v>2510424</v>
      </c>
    </row>
    <row r="40" spans="1:27" s="141" customFormat="1" ht="16.5" x14ac:dyDescent="0.2">
      <c r="A40" s="239" t="s">
        <v>240</v>
      </c>
      <c r="B40" s="243"/>
      <c r="C40" s="191"/>
      <c r="D40" s="191"/>
      <c r="E40" s="191"/>
      <c r="F40" s="191"/>
      <c r="G40" s="191"/>
      <c r="H40" s="191"/>
      <c r="I40" s="371"/>
      <c r="J40" s="373">
        <v>20</v>
      </c>
      <c r="K40" s="213">
        <v>20</v>
      </c>
      <c r="L40" s="212"/>
      <c r="M40" s="149"/>
      <c r="N40" s="149"/>
      <c r="O40" s="149"/>
      <c r="P40" s="149"/>
      <c r="Q40" s="149"/>
      <c r="R40" s="149"/>
      <c r="S40" s="149"/>
      <c r="T40" s="149"/>
      <c r="U40" s="149"/>
      <c r="V40" s="149"/>
      <c r="W40" s="214"/>
      <c r="X40" s="142">
        <f t="shared" si="6"/>
        <v>40</v>
      </c>
      <c r="Y40" s="158">
        <v>44072</v>
      </c>
      <c r="Z40" s="169">
        <f t="shared" si="7"/>
        <v>1762880</v>
      </c>
    </row>
    <row r="41" spans="1:27" s="181" customFormat="1" ht="17.25" thickBot="1" x14ac:dyDescent="0.25">
      <c r="A41" s="240" t="s">
        <v>98</v>
      </c>
      <c r="B41" s="243"/>
      <c r="C41" s="191"/>
      <c r="D41" s="191"/>
      <c r="E41" s="191"/>
      <c r="F41" s="191"/>
      <c r="G41" s="191"/>
      <c r="H41" s="191"/>
      <c r="I41" s="371"/>
      <c r="J41" s="374">
        <v>40</v>
      </c>
      <c r="K41" s="235">
        <v>40</v>
      </c>
      <c r="L41" s="212">
        <v>16</v>
      </c>
      <c r="M41" s="149">
        <v>16</v>
      </c>
      <c r="N41" s="149">
        <v>16</v>
      </c>
      <c r="O41" s="149">
        <v>16</v>
      </c>
      <c r="P41" s="149">
        <v>12</v>
      </c>
      <c r="Q41" s="149">
        <v>28</v>
      </c>
      <c r="R41" s="149">
        <v>28</v>
      </c>
      <c r="S41" s="149"/>
      <c r="T41" s="234"/>
      <c r="U41" s="234"/>
      <c r="V41" s="234"/>
      <c r="W41" s="235"/>
      <c r="X41" s="142">
        <f t="shared" si="6"/>
        <v>212</v>
      </c>
      <c r="Y41" s="158">
        <v>43833</v>
      </c>
      <c r="Z41" s="158">
        <f t="shared" si="7"/>
        <v>9292596</v>
      </c>
    </row>
    <row r="42" spans="1:27" s="145" customFormat="1" ht="17.25" thickBot="1" x14ac:dyDescent="0.25">
      <c r="A42" s="192" t="s">
        <v>158</v>
      </c>
      <c r="B42" s="244"/>
      <c r="C42" s="236"/>
      <c r="D42" s="236"/>
      <c r="E42" s="236"/>
      <c r="F42" s="236"/>
      <c r="G42" s="236"/>
      <c r="H42" s="236"/>
      <c r="I42" s="245"/>
      <c r="J42" s="464">
        <f>SUM(J32:K41)</f>
        <v>264</v>
      </c>
      <c r="K42" s="465"/>
      <c r="L42" s="447">
        <f>SUM(L32:W41)</f>
        <v>1275</v>
      </c>
      <c r="M42" s="448"/>
      <c r="N42" s="448"/>
      <c r="O42" s="448"/>
      <c r="P42" s="448"/>
      <c r="Q42" s="448"/>
      <c r="R42" s="448"/>
      <c r="S42" s="448"/>
      <c r="T42" s="448"/>
      <c r="U42" s="448"/>
      <c r="V42" s="448"/>
      <c r="W42" s="449"/>
      <c r="X42" s="151">
        <f>SUM(X32:X41)</f>
        <v>1539</v>
      </c>
      <c r="Y42"/>
      <c r="Z42" s="159">
        <f>SUM(Z32:Z41)</f>
        <v>88789635</v>
      </c>
      <c r="AA42"/>
    </row>
    <row r="43" spans="1:27" s="150" customFormat="1" x14ac:dyDescent="0.2">
      <c r="A43" s="187"/>
      <c r="B43" s="188"/>
      <c r="C43" s="188"/>
      <c r="D43" s="188"/>
      <c r="E43" s="188"/>
      <c r="F43" s="188"/>
      <c r="G43" s="188"/>
      <c r="H43" s="188"/>
      <c r="I43" s="188"/>
      <c r="J43" s="188"/>
      <c r="K43" s="188"/>
      <c r="L43" s="188"/>
      <c r="M43" s="188"/>
      <c r="N43" s="188"/>
      <c r="O43" s="188"/>
      <c r="P43" s="188"/>
      <c r="Q43" s="188"/>
      <c r="R43" s="188"/>
      <c r="S43" s="189"/>
      <c r="U43" s="156"/>
    </row>
    <row r="44" spans="1:27" ht="13.5" thickBot="1" x14ac:dyDescent="0.25">
      <c r="A44" s="135"/>
    </row>
    <row r="45" spans="1:27" ht="13.5" thickBot="1" x14ac:dyDescent="0.25">
      <c r="A45" s="233" t="s">
        <v>204</v>
      </c>
      <c r="B45" s="450" t="s">
        <v>482</v>
      </c>
      <c r="C45" s="452"/>
      <c r="D45" s="452"/>
      <c r="E45" s="452"/>
      <c r="F45" s="452"/>
      <c r="G45" s="452"/>
      <c r="H45" s="452"/>
      <c r="I45" s="452"/>
      <c r="J45" s="452"/>
      <c r="K45" s="452"/>
      <c r="L45" s="452"/>
      <c r="M45" s="452"/>
      <c r="N45" s="452"/>
      <c r="O45" s="452"/>
      <c r="P45" s="452"/>
      <c r="Q45" s="452"/>
      <c r="R45" s="452"/>
      <c r="S45" s="452"/>
      <c r="T45" s="452"/>
      <c r="U45" s="452"/>
      <c r="V45" s="452"/>
      <c r="W45" s="452"/>
      <c r="X45" s="452"/>
      <c r="Y45" s="452"/>
      <c r="Z45" s="451"/>
    </row>
    <row r="46" spans="1:27" ht="13.5" thickBot="1" x14ac:dyDescent="0.25">
      <c r="A46" s="116" t="s">
        <v>95</v>
      </c>
      <c r="B46" s="116">
        <v>1</v>
      </c>
      <c r="C46" s="116">
        <v>2</v>
      </c>
      <c r="D46" s="116">
        <v>3</v>
      </c>
      <c r="E46" s="116">
        <v>4</v>
      </c>
      <c r="F46" s="116">
        <v>5</v>
      </c>
      <c r="G46" s="116">
        <v>6</v>
      </c>
      <c r="H46" s="116">
        <v>7</v>
      </c>
      <c r="I46" s="116">
        <v>8</v>
      </c>
      <c r="J46" s="116">
        <v>9</v>
      </c>
      <c r="K46" s="116">
        <v>10</v>
      </c>
      <c r="L46" s="116">
        <v>11</v>
      </c>
      <c r="M46" s="116">
        <v>12</v>
      </c>
      <c r="N46" s="116">
        <v>13</v>
      </c>
      <c r="O46" s="116">
        <v>14</v>
      </c>
      <c r="P46" s="116">
        <v>15</v>
      </c>
      <c r="Q46" s="116">
        <v>16</v>
      </c>
      <c r="R46" s="116">
        <v>17</v>
      </c>
      <c r="S46" s="116">
        <v>18</v>
      </c>
      <c r="T46" s="116">
        <v>19</v>
      </c>
      <c r="U46" s="116">
        <v>20</v>
      </c>
      <c r="V46" s="116">
        <v>21</v>
      </c>
      <c r="W46" s="116">
        <v>22</v>
      </c>
      <c r="X46" s="136" t="s">
        <v>246</v>
      </c>
      <c r="Y46" s="184" t="s">
        <v>199</v>
      </c>
      <c r="Z46" s="184" t="s">
        <v>200</v>
      </c>
    </row>
    <row r="47" spans="1:27" x14ac:dyDescent="0.2">
      <c r="A47" s="134" t="s">
        <v>146</v>
      </c>
      <c r="B47" s="137">
        <f>SUM(B4+B17+B32)</f>
        <v>40</v>
      </c>
      <c r="C47" s="137">
        <f>SUM(C4+C17+C32)</f>
        <v>36</v>
      </c>
      <c r="D47" s="137">
        <f>SUM(D4+D17+D32)</f>
        <v>36</v>
      </c>
      <c r="E47" s="137">
        <f>SUM(E4+E17+E32)</f>
        <v>36</v>
      </c>
      <c r="F47" s="137">
        <f>SUM(F4+F17+F32)</f>
        <v>36</v>
      </c>
      <c r="G47" s="137">
        <f>SUM(G4+G17+G32)</f>
        <v>36</v>
      </c>
      <c r="H47" s="137">
        <f>SUM(H4+H17+H32)</f>
        <v>36</v>
      </c>
      <c r="I47" s="137">
        <f>SUM(I4+I17+I32)</f>
        <v>36</v>
      </c>
      <c r="J47" s="137">
        <f>SUM(J4+J17+J32)</f>
        <v>36</v>
      </c>
      <c r="K47" s="137">
        <f>SUM(K4+K17+K32)</f>
        <v>36</v>
      </c>
      <c r="L47" s="137">
        <f>SUM(L4+L17+L32)</f>
        <v>24</v>
      </c>
      <c r="M47" s="137">
        <f>SUM(M4+M17+M32)</f>
        <v>36</v>
      </c>
      <c r="N47" s="137">
        <f>SUM(N4+N17+N32)</f>
        <v>26</v>
      </c>
      <c r="O47" s="137">
        <f>SUM(O4+O17+O32)</f>
        <v>24</v>
      </c>
      <c r="P47" s="137">
        <f>SUM(P4+P17+P32)</f>
        <v>28</v>
      </c>
      <c r="Q47" s="137">
        <f>SUM(Q4+Q17+Q32)</f>
        <v>20</v>
      </c>
      <c r="R47" s="137">
        <f>SUM(R4+R17+R32)</f>
        <v>16</v>
      </c>
      <c r="S47" s="137">
        <f>SUM(S4+S17+S32)</f>
        <v>12</v>
      </c>
      <c r="T47" s="137">
        <f>SUM(T4+T17+T32)</f>
        <v>12</v>
      </c>
      <c r="U47" s="137">
        <f>SUM(U4+U17+U32)</f>
        <v>8</v>
      </c>
      <c r="V47" s="137">
        <f>SUM(V4+V17+V32)</f>
        <v>8</v>
      </c>
      <c r="W47" s="137">
        <f>SUM(W4+W17+W32)</f>
        <v>8</v>
      </c>
      <c r="X47" s="199">
        <f>SUM(B47:W47)</f>
        <v>586</v>
      </c>
      <c r="Y47" s="158">
        <v>78343</v>
      </c>
      <c r="Z47" s="138">
        <f>X47*Y47</f>
        <v>45908998</v>
      </c>
      <c r="AA47" s="160" t="s">
        <v>201</v>
      </c>
    </row>
    <row r="48" spans="1:27" x14ac:dyDescent="0.2">
      <c r="A48" s="134" t="s">
        <v>197</v>
      </c>
      <c r="B48" s="170">
        <f>B5+B18+B33</f>
        <v>40</v>
      </c>
      <c r="C48" s="170">
        <f>C5+C18+C33</f>
        <v>36</v>
      </c>
      <c r="D48" s="170">
        <f>D5+D18+D33</f>
        <v>36</v>
      </c>
      <c r="E48" s="170">
        <f>E5+E18+E33</f>
        <v>36</v>
      </c>
      <c r="F48" s="170">
        <f>F5+F18+F33</f>
        <v>36</v>
      </c>
      <c r="G48" s="170">
        <f>G5+G18+G33</f>
        <v>36</v>
      </c>
      <c r="H48" s="170">
        <f>H5+H18+H33</f>
        <v>36</v>
      </c>
      <c r="I48" s="170">
        <f>I5+I18+I33</f>
        <v>36</v>
      </c>
      <c r="J48" s="170">
        <f>J5+J18+J33</f>
        <v>36</v>
      </c>
      <c r="K48" s="170">
        <f>K5+K18+K33</f>
        <v>36</v>
      </c>
      <c r="L48" s="170">
        <f>L5+L18+L33</f>
        <v>28</v>
      </c>
      <c r="M48" s="170">
        <f>M5+M18+M33</f>
        <v>40</v>
      </c>
      <c r="N48" s="170">
        <f>N5+N18+N33</f>
        <v>30</v>
      </c>
      <c r="O48" s="170">
        <f>O5+O18+O33</f>
        <v>8</v>
      </c>
      <c r="P48" s="170">
        <f>P5+P18+P33</f>
        <v>20</v>
      </c>
      <c r="Q48" s="170">
        <f>Q5+Q18+Q33</f>
        <v>16</v>
      </c>
      <c r="R48" s="170">
        <f>R5+R18+R33</f>
        <v>16</v>
      </c>
      <c r="S48" s="170">
        <f>S5+S18+S33</f>
        <v>16</v>
      </c>
      <c r="T48" s="170">
        <f>T5+T18+T33</f>
        <v>12</v>
      </c>
      <c r="U48" s="170">
        <f>U5+U18+U33</f>
        <v>8</v>
      </c>
      <c r="V48" s="170">
        <f>V5+V18+V33</f>
        <v>8</v>
      </c>
      <c r="W48" s="170">
        <f>W5+W18+W33</f>
        <v>8</v>
      </c>
      <c r="X48" s="199">
        <f>SUM(B48:W48)</f>
        <v>574</v>
      </c>
      <c r="Y48" s="138">
        <v>30732</v>
      </c>
      <c r="Z48" s="138">
        <f t="shared" ref="Z48:Z59" si="8">X48*Y48</f>
        <v>17640168</v>
      </c>
      <c r="AA48" s="160"/>
    </row>
    <row r="49" spans="1:27" ht="25.5" x14ac:dyDescent="0.2">
      <c r="A49" s="134" t="s">
        <v>244</v>
      </c>
      <c r="B49" s="137">
        <f>B7+B35</f>
        <v>36</v>
      </c>
      <c r="C49" s="137">
        <f>C7+C35</f>
        <v>36</v>
      </c>
      <c r="D49" s="137">
        <f>D7+D35</f>
        <v>36</v>
      </c>
      <c r="E49" s="137">
        <f>E7+E35</f>
        <v>36</v>
      </c>
      <c r="F49" s="137">
        <f>F7+F35</f>
        <v>36</v>
      </c>
      <c r="G49" s="137">
        <f>G7+G35</f>
        <v>36</v>
      </c>
      <c r="H49" s="137">
        <f>H7+H35</f>
        <v>32</v>
      </c>
      <c r="I49" s="137">
        <f>I7+I35</f>
        <v>32</v>
      </c>
      <c r="J49" s="137">
        <f>J7+J35</f>
        <v>25</v>
      </c>
      <c r="K49" s="137">
        <f>K7+K35</f>
        <v>20</v>
      </c>
      <c r="L49" s="137">
        <f>L7+L35</f>
        <v>40</v>
      </c>
      <c r="M49" s="137">
        <f>M7+M35</f>
        <v>40</v>
      </c>
      <c r="N49" s="137">
        <f>N7+N35</f>
        <v>40</v>
      </c>
      <c r="O49" s="137">
        <f>O7+O35</f>
        <v>40</v>
      </c>
      <c r="P49" s="137">
        <f>P7+P35</f>
        <v>40</v>
      </c>
      <c r="Q49" s="137">
        <f>Q7+Q35</f>
        <v>40</v>
      </c>
      <c r="R49" s="137">
        <f>R7+R35</f>
        <v>40</v>
      </c>
      <c r="S49" s="137">
        <f>S7+S35</f>
        <v>16</v>
      </c>
      <c r="T49" s="137">
        <f>T7+T35</f>
        <v>4</v>
      </c>
      <c r="U49" s="137">
        <f>U7+U35</f>
        <v>0</v>
      </c>
      <c r="V49" s="137">
        <f>V7+V35</f>
        <v>0</v>
      </c>
      <c r="W49" s="137">
        <f>W7+W35</f>
        <v>0</v>
      </c>
      <c r="X49" s="199">
        <f>SUM(B49:W49)</f>
        <v>625</v>
      </c>
      <c r="Y49" s="158">
        <v>58348</v>
      </c>
      <c r="Z49" s="138">
        <f t="shared" si="8"/>
        <v>36467500</v>
      </c>
      <c r="AA49" s="160"/>
    </row>
    <row r="50" spans="1:27" ht="25.5" x14ac:dyDescent="0.2">
      <c r="A50" s="134" t="s">
        <v>245</v>
      </c>
      <c r="B50" s="137">
        <f>B8+B36</f>
        <v>36</v>
      </c>
      <c r="C50" s="137">
        <f>C8+C36</f>
        <v>36</v>
      </c>
      <c r="D50" s="137">
        <f>D8+D36</f>
        <v>36</v>
      </c>
      <c r="E50" s="137">
        <f>E8+E36</f>
        <v>36</v>
      </c>
      <c r="F50" s="137">
        <f>F8+F36</f>
        <v>36</v>
      </c>
      <c r="G50" s="137">
        <f>G8+G36</f>
        <v>36</v>
      </c>
      <c r="H50" s="137">
        <f>H8+H36</f>
        <v>32</v>
      </c>
      <c r="I50" s="137">
        <f>I8+I36</f>
        <v>32</v>
      </c>
      <c r="J50" s="137">
        <f>J8+J36</f>
        <v>5</v>
      </c>
      <c r="K50" s="137">
        <f>K8+K36</f>
        <v>0</v>
      </c>
      <c r="L50" s="137">
        <f>L8+L36</f>
        <v>40</v>
      </c>
      <c r="M50" s="137">
        <f>M8+M36</f>
        <v>40</v>
      </c>
      <c r="N50" s="137">
        <f>N8+N36</f>
        <v>40</v>
      </c>
      <c r="O50" s="137">
        <f>O8+O36</f>
        <v>40</v>
      </c>
      <c r="P50" s="137">
        <f>P8+P36</f>
        <v>40</v>
      </c>
      <c r="Q50" s="137">
        <f>Q8+Q36</f>
        <v>40</v>
      </c>
      <c r="R50" s="137">
        <f>R8+R36</f>
        <v>40</v>
      </c>
      <c r="S50" s="137">
        <f>S8+S36</f>
        <v>16</v>
      </c>
      <c r="T50" s="137">
        <f>T8+T36</f>
        <v>4</v>
      </c>
      <c r="U50" s="137">
        <f>U8+U36</f>
        <v>0</v>
      </c>
      <c r="V50" s="137">
        <f>V8+V36</f>
        <v>0</v>
      </c>
      <c r="W50" s="137">
        <f>W8+W36</f>
        <v>0</v>
      </c>
      <c r="X50" s="199">
        <f>SUM(B50:W50)</f>
        <v>585</v>
      </c>
      <c r="Y50" s="158">
        <v>58348</v>
      </c>
      <c r="Z50" s="138">
        <f t="shared" si="8"/>
        <v>34133580</v>
      </c>
      <c r="AA50" s="160"/>
    </row>
    <row r="51" spans="1:27" ht="25.5" x14ac:dyDescent="0.2">
      <c r="A51" s="134" t="s">
        <v>242</v>
      </c>
      <c r="B51" s="170">
        <f>B10+B38</f>
        <v>0</v>
      </c>
      <c r="C51" s="170">
        <f>C10+C38</f>
        <v>0</v>
      </c>
      <c r="D51" s="170">
        <f>D10+D38</f>
        <v>0</v>
      </c>
      <c r="E51" s="170">
        <f>E10+E38</f>
        <v>0</v>
      </c>
      <c r="F51" s="170">
        <f>F10+F38</f>
        <v>0</v>
      </c>
      <c r="G51" s="170">
        <f>G10+G38</f>
        <v>20</v>
      </c>
      <c r="H51" s="170">
        <f>H10+H38</f>
        <v>20</v>
      </c>
      <c r="I51" s="170">
        <f>I10+I38</f>
        <v>12</v>
      </c>
      <c r="J51" s="170">
        <f>J10+J38</f>
        <v>5</v>
      </c>
      <c r="K51" s="170">
        <f>K10+K38</f>
        <v>0</v>
      </c>
      <c r="L51" s="170">
        <f>L10+L38</f>
        <v>0</v>
      </c>
      <c r="M51" s="170">
        <f>M10+M38</f>
        <v>0</v>
      </c>
      <c r="N51" s="170">
        <f>N10+N38</f>
        <v>0</v>
      </c>
      <c r="O51" s="170">
        <f>O10+O38</f>
        <v>0</v>
      </c>
      <c r="P51" s="170">
        <f>P10+P38</f>
        <v>40</v>
      </c>
      <c r="Q51" s="170">
        <f>Q10+Q38</f>
        <v>40</v>
      </c>
      <c r="R51" s="170">
        <f>R10+R38</f>
        <v>27</v>
      </c>
      <c r="S51" s="170">
        <f>S10+S38</f>
        <v>16</v>
      </c>
      <c r="T51" s="170">
        <f>T10+T38</f>
        <v>4</v>
      </c>
      <c r="U51" s="170">
        <f>U10+U38</f>
        <v>0</v>
      </c>
      <c r="V51" s="170">
        <f>V10+V38</f>
        <v>0</v>
      </c>
      <c r="W51" s="170">
        <f>W10+W38</f>
        <v>0</v>
      </c>
      <c r="X51" s="137">
        <f>X10+X38</f>
        <v>184</v>
      </c>
      <c r="Y51" s="158">
        <v>46489</v>
      </c>
      <c r="Z51" s="138">
        <f t="shared" si="8"/>
        <v>8553976</v>
      </c>
      <c r="AA51" s="161"/>
    </row>
    <row r="52" spans="1:27" ht="25.5" x14ac:dyDescent="0.2">
      <c r="A52" s="134" t="s">
        <v>243</v>
      </c>
      <c r="B52" s="137">
        <f>B22</f>
        <v>0</v>
      </c>
      <c r="C52" s="137">
        <f>C22</f>
        <v>40</v>
      </c>
      <c r="D52" s="137">
        <f>D22</f>
        <v>0</v>
      </c>
      <c r="E52" s="137">
        <f>E22</f>
        <v>0</v>
      </c>
      <c r="F52" s="137">
        <f>F22</f>
        <v>40</v>
      </c>
      <c r="G52" s="137">
        <f>G22</f>
        <v>40</v>
      </c>
      <c r="H52" s="137">
        <f>H22</f>
        <v>16</v>
      </c>
      <c r="I52" s="137">
        <f>I22</f>
        <v>16</v>
      </c>
      <c r="J52" s="137">
        <f>J22</f>
        <v>20</v>
      </c>
      <c r="K52" s="137">
        <f>K22</f>
        <v>20</v>
      </c>
      <c r="L52" s="137">
        <f>L22</f>
        <v>20</v>
      </c>
      <c r="M52" s="137">
        <f>M22</f>
        <v>40</v>
      </c>
      <c r="N52" s="137">
        <f>N22</f>
        <v>12</v>
      </c>
      <c r="O52" s="137">
        <f>O22</f>
        <v>0</v>
      </c>
      <c r="P52" s="137">
        <f>P22</f>
        <v>0</v>
      </c>
      <c r="Q52" s="137">
        <f>Q22</f>
        <v>0</v>
      </c>
      <c r="R52" s="137">
        <f>R22</f>
        <v>0</v>
      </c>
      <c r="S52" s="137">
        <f>S22</f>
        <v>0</v>
      </c>
      <c r="T52" s="137">
        <f>T22</f>
        <v>0</v>
      </c>
      <c r="U52" s="137">
        <f>U22</f>
        <v>0</v>
      </c>
      <c r="V52" s="137">
        <f>V22</f>
        <v>0</v>
      </c>
      <c r="W52" s="137">
        <f>W22</f>
        <v>0</v>
      </c>
      <c r="X52" s="199">
        <f t="shared" ref="X52:X59" si="9">SUM(B52:W52)</f>
        <v>264</v>
      </c>
      <c r="Y52" s="138">
        <v>59772</v>
      </c>
      <c r="Z52" s="138">
        <f t="shared" si="8"/>
        <v>15779808</v>
      </c>
      <c r="AA52" s="160"/>
    </row>
    <row r="53" spans="1:27" x14ac:dyDescent="0.2">
      <c r="A53" s="134" t="s">
        <v>98</v>
      </c>
      <c r="B53" s="137">
        <f>B11+B24+B41</f>
        <v>40</v>
      </c>
      <c r="C53" s="137">
        <f t="shared" ref="C53:W53" si="10">C11+C24+C41</f>
        <v>40</v>
      </c>
      <c r="D53" s="137">
        <f t="shared" si="10"/>
        <v>40</v>
      </c>
      <c r="E53" s="137">
        <f t="shared" si="10"/>
        <v>40</v>
      </c>
      <c r="F53" s="137">
        <f t="shared" si="10"/>
        <v>21</v>
      </c>
      <c r="G53" s="137">
        <f t="shared" si="10"/>
        <v>10</v>
      </c>
      <c r="H53" s="137">
        <f t="shared" si="10"/>
        <v>0</v>
      </c>
      <c r="I53" s="137">
        <f t="shared" si="10"/>
        <v>16</v>
      </c>
      <c r="J53" s="137">
        <f t="shared" si="10"/>
        <v>52</v>
      </c>
      <c r="K53" s="137">
        <f t="shared" si="10"/>
        <v>52</v>
      </c>
      <c r="L53" s="137">
        <f t="shared" si="10"/>
        <v>16</v>
      </c>
      <c r="M53" s="137">
        <f t="shared" si="10"/>
        <v>16</v>
      </c>
      <c r="N53" s="137">
        <f t="shared" si="10"/>
        <v>16</v>
      </c>
      <c r="O53" s="137">
        <f t="shared" si="10"/>
        <v>16</v>
      </c>
      <c r="P53" s="137">
        <f t="shared" si="10"/>
        <v>12</v>
      </c>
      <c r="Q53" s="137">
        <f t="shared" si="10"/>
        <v>28</v>
      </c>
      <c r="R53" s="137">
        <f t="shared" si="10"/>
        <v>28</v>
      </c>
      <c r="S53" s="137">
        <f t="shared" si="10"/>
        <v>0</v>
      </c>
      <c r="T53" s="137">
        <f t="shared" si="10"/>
        <v>0</v>
      </c>
      <c r="U53" s="137">
        <f t="shared" si="10"/>
        <v>0</v>
      </c>
      <c r="V53" s="137">
        <f t="shared" si="10"/>
        <v>0</v>
      </c>
      <c r="W53" s="137">
        <f t="shared" si="10"/>
        <v>0</v>
      </c>
      <c r="X53" s="199">
        <f t="shared" si="9"/>
        <v>443</v>
      </c>
      <c r="Y53" s="158">
        <v>43833</v>
      </c>
      <c r="Z53" s="138">
        <f t="shared" si="8"/>
        <v>19418019</v>
      </c>
      <c r="AA53" s="160"/>
    </row>
    <row r="54" spans="1:27" ht="16.5" x14ac:dyDescent="0.2">
      <c r="A54" s="144" t="s">
        <v>145</v>
      </c>
      <c r="B54" s="137">
        <f>B34+B19+B6</f>
        <v>36</v>
      </c>
      <c r="C54" s="137">
        <f t="shared" ref="C54:W54" si="11">C34+C19+C6</f>
        <v>36</v>
      </c>
      <c r="D54" s="137">
        <f t="shared" si="11"/>
        <v>36</v>
      </c>
      <c r="E54" s="137">
        <f t="shared" si="11"/>
        <v>36</v>
      </c>
      <c r="F54" s="137">
        <f t="shared" si="11"/>
        <v>36</v>
      </c>
      <c r="G54" s="137">
        <f t="shared" si="11"/>
        <v>36</v>
      </c>
      <c r="H54" s="137">
        <f t="shared" si="11"/>
        <v>20</v>
      </c>
      <c r="I54" s="137">
        <f t="shared" si="11"/>
        <v>20</v>
      </c>
      <c r="J54" s="137">
        <f t="shared" si="11"/>
        <v>32</v>
      </c>
      <c r="K54" s="379">
        <f t="shared" si="11"/>
        <v>32</v>
      </c>
      <c r="L54" s="137">
        <f t="shared" si="11"/>
        <v>24</v>
      </c>
      <c r="M54" s="137">
        <f t="shared" si="11"/>
        <v>40</v>
      </c>
      <c r="N54" s="137">
        <f t="shared" si="11"/>
        <v>28</v>
      </c>
      <c r="O54" s="137">
        <f t="shared" si="11"/>
        <v>0</v>
      </c>
      <c r="P54" s="137">
        <f t="shared" si="11"/>
        <v>8</v>
      </c>
      <c r="Q54" s="137">
        <f t="shared" si="11"/>
        <v>8</v>
      </c>
      <c r="R54" s="137">
        <f t="shared" si="11"/>
        <v>8</v>
      </c>
      <c r="S54" s="137">
        <f t="shared" si="11"/>
        <v>8</v>
      </c>
      <c r="T54" s="137">
        <f t="shared" si="11"/>
        <v>0</v>
      </c>
      <c r="U54" s="137">
        <f t="shared" si="11"/>
        <v>0</v>
      </c>
      <c r="V54" s="137">
        <f t="shared" si="11"/>
        <v>0</v>
      </c>
      <c r="W54" s="137">
        <f t="shared" si="11"/>
        <v>0</v>
      </c>
      <c r="X54" s="199">
        <f t="shared" si="9"/>
        <v>444</v>
      </c>
      <c r="Y54" s="158">
        <v>99620</v>
      </c>
      <c r="Z54" s="138">
        <f t="shared" si="8"/>
        <v>44231280</v>
      </c>
      <c r="AA54" s="160"/>
    </row>
    <row r="55" spans="1:27" ht="16.5" x14ac:dyDescent="0.2">
      <c r="A55" s="144" t="s">
        <v>240</v>
      </c>
      <c r="B55" s="137">
        <f>B23+B40</f>
        <v>40</v>
      </c>
      <c r="C55" s="137">
        <f t="shared" ref="C55:W55" si="12">C23+C40</f>
        <v>40</v>
      </c>
      <c r="D55" s="137">
        <f t="shared" si="12"/>
        <v>0</v>
      </c>
      <c r="E55" s="137">
        <f t="shared" si="12"/>
        <v>0</v>
      </c>
      <c r="F55" s="137">
        <f t="shared" si="12"/>
        <v>0</v>
      </c>
      <c r="G55" s="137">
        <f t="shared" si="12"/>
        <v>0</v>
      </c>
      <c r="H55" s="137">
        <f t="shared" si="12"/>
        <v>0</v>
      </c>
      <c r="I55" s="137">
        <f t="shared" si="12"/>
        <v>20</v>
      </c>
      <c r="J55" s="137">
        <f t="shared" si="12"/>
        <v>20</v>
      </c>
      <c r="K55" s="137">
        <f t="shared" si="12"/>
        <v>20</v>
      </c>
      <c r="L55" s="137">
        <f t="shared" si="12"/>
        <v>0</v>
      </c>
      <c r="M55" s="137">
        <f t="shared" si="12"/>
        <v>0</v>
      </c>
      <c r="N55" s="137">
        <f t="shared" si="12"/>
        <v>0</v>
      </c>
      <c r="O55" s="137">
        <f t="shared" si="12"/>
        <v>0</v>
      </c>
      <c r="P55" s="137">
        <f t="shared" si="12"/>
        <v>0</v>
      </c>
      <c r="Q55" s="137">
        <f t="shared" si="12"/>
        <v>0</v>
      </c>
      <c r="R55" s="137">
        <f t="shared" si="12"/>
        <v>0</v>
      </c>
      <c r="S55" s="137">
        <f t="shared" si="12"/>
        <v>0</v>
      </c>
      <c r="T55" s="137">
        <f t="shared" si="12"/>
        <v>0</v>
      </c>
      <c r="U55" s="137">
        <f t="shared" si="12"/>
        <v>0</v>
      </c>
      <c r="V55" s="137">
        <f t="shared" si="12"/>
        <v>0</v>
      </c>
      <c r="W55" s="137">
        <f t="shared" si="12"/>
        <v>0</v>
      </c>
      <c r="X55" s="199">
        <f t="shared" si="9"/>
        <v>140</v>
      </c>
      <c r="Y55" s="158">
        <v>44072</v>
      </c>
      <c r="Z55" s="138">
        <f t="shared" si="8"/>
        <v>6170080</v>
      </c>
      <c r="AA55" s="160"/>
    </row>
    <row r="56" spans="1:27" x14ac:dyDescent="0.2">
      <c r="A56" s="134" t="s">
        <v>147</v>
      </c>
      <c r="B56" s="137">
        <f>B20</f>
        <v>0</v>
      </c>
      <c r="C56" s="137">
        <f t="shared" ref="C56:W56" si="13">C20</f>
        <v>40</v>
      </c>
      <c r="D56" s="137">
        <f t="shared" si="13"/>
        <v>40</v>
      </c>
      <c r="E56" s="137">
        <f t="shared" si="13"/>
        <v>40</v>
      </c>
      <c r="F56" s="137">
        <f t="shared" si="13"/>
        <v>40</v>
      </c>
      <c r="G56" s="137">
        <f t="shared" si="13"/>
        <v>40</v>
      </c>
      <c r="H56" s="137">
        <f t="shared" si="13"/>
        <v>20</v>
      </c>
      <c r="I56" s="137">
        <f t="shared" si="13"/>
        <v>40</v>
      </c>
      <c r="J56" s="137">
        <f t="shared" si="13"/>
        <v>40</v>
      </c>
      <c r="K56" s="137">
        <f t="shared" si="13"/>
        <v>40</v>
      </c>
      <c r="L56" s="137">
        <f t="shared" si="13"/>
        <v>4</v>
      </c>
      <c r="M56" s="137">
        <f t="shared" si="13"/>
        <v>40</v>
      </c>
      <c r="N56" s="137">
        <f t="shared" si="13"/>
        <v>20</v>
      </c>
      <c r="O56" s="137">
        <f t="shared" si="13"/>
        <v>0</v>
      </c>
      <c r="P56" s="137">
        <f t="shared" si="13"/>
        <v>0</v>
      </c>
      <c r="Q56" s="137">
        <f t="shared" si="13"/>
        <v>0</v>
      </c>
      <c r="R56" s="137">
        <f t="shared" si="13"/>
        <v>0</v>
      </c>
      <c r="S56" s="137">
        <f t="shared" si="13"/>
        <v>0</v>
      </c>
      <c r="T56" s="137">
        <f t="shared" si="13"/>
        <v>0</v>
      </c>
      <c r="U56" s="137">
        <f t="shared" si="13"/>
        <v>0</v>
      </c>
      <c r="V56" s="137">
        <f t="shared" si="13"/>
        <v>0</v>
      </c>
      <c r="W56" s="137">
        <f t="shared" si="13"/>
        <v>0</v>
      </c>
      <c r="X56" s="199">
        <f t="shared" si="9"/>
        <v>404</v>
      </c>
      <c r="Y56" s="158">
        <v>59772</v>
      </c>
      <c r="Z56" s="138">
        <f t="shared" si="8"/>
        <v>24147888</v>
      </c>
      <c r="AA56" s="160"/>
    </row>
    <row r="57" spans="1:27" x14ac:dyDescent="0.2">
      <c r="A57" s="134" t="s">
        <v>196</v>
      </c>
      <c r="B57" s="137">
        <f>B21</f>
        <v>0</v>
      </c>
      <c r="C57" s="137">
        <f t="shared" ref="C57:W57" si="14">C21</f>
        <v>20</v>
      </c>
      <c r="D57" s="137">
        <f t="shared" si="14"/>
        <v>20</v>
      </c>
      <c r="E57" s="137">
        <f t="shared" si="14"/>
        <v>20</v>
      </c>
      <c r="F57" s="137">
        <f t="shared" si="14"/>
        <v>20</v>
      </c>
      <c r="G57" s="137">
        <f t="shared" si="14"/>
        <v>20</v>
      </c>
      <c r="H57" s="137">
        <f t="shared" si="14"/>
        <v>20</v>
      </c>
      <c r="I57" s="137">
        <f t="shared" si="14"/>
        <v>20</v>
      </c>
      <c r="J57" s="137">
        <f t="shared" si="14"/>
        <v>20</v>
      </c>
      <c r="K57" s="137">
        <f t="shared" si="14"/>
        <v>20</v>
      </c>
      <c r="L57" s="137">
        <f t="shared" si="14"/>
        <v>40</v>
      </c>
      <c r="M57" s="137">
        <f t="shared" si="14"/>
        <v>40</v>
      </c>
      <c r="N57" s="137">
        <f t="shared" si="14"/>
        <v>19</v>
      </c>
      <c r="O57" s="137">
        <f t="shared" si="14"/>
        <v>0</v>
      </c>
      <c r="P57" s="137">
        <f t="shared" si="14"/>
        <v>0</v>
      </c>
      <c r="Q57" s="137">
        <f t="shared" si="14"/>
        <v>0</v>
      </c>
      <c r="R57" s="137">
        <f t="shared" si="14"/>
        <v>0</v>
      </c>
      <c r="S57" s="137">
        <f t="shared" si="14"/>
        <v>0</v>
      </c>
      <c r="T57" s="137">
        <f t="shared" si="14"/>
        <v>0</v>
      </c>
      <c r="U57" s="137">
        <f t="shared" si="14"/>
        <v>0</v>
      </c>
      <c r="V57" s="137">
        <f t="shared" si="14"/>
        <v>0</v>
      </c>
      <c r="W57" s="137">
        <f t="shared" si="14"/>
        <v>0</v>
      </c>
      <c r="X57" s="199">
        <f t="shared" si="9"/>
        <v>279</v>
      </c>
      <c r="Y57" s="158">
        <v>44072</v>
      </c>
      <c r="Z57" s="138">
        <f t="shared" si="8"/>
        <v>12296088</v>
      </c>
      <c r="AA57" s="160"/>
    </row>
    <row r="58" spans="1:27" x14ac:dyDescent="0.2">
      <c r="A58" s="134" t="s">
        <v>155</v>
      </c>
      <c r="B58" s="137">
        <f>B25</f>
        <v>0</v>
      </c>
      <c r="C58" s="137">
        <f t="shared" ref="C58:W58" si="15">C25</f>
        <v>0</v>
      </c>
      <c r="D58" s="137">
        <f t="shared" si="15"/>
        <v>0</v>
      </c>
      <c r="E58" s="137">
        <f t="shared" si="15"/>
        <v>0</v>
      </c>
      <c r="F58" s="137">
        <f t="shared" si="15"/>
        <v>0</v>
      </c>
      <c r="G58" s="137">
        <f t="shared" si="15"/>
        <v>16</v>
      </c>
      <c r="H58" s="137">
        <f t="shared" si="15"/>
        <v>8</v>
      </c>
      <c r="I58" s="137">
        <f t="shared" si="15"/>
        <v>0</v>
      </c>
      <c r="J58" s="137">
        <f t="shared" si="15"/>
        <v>0</v>
      </c>
      <c r="K58" s="137">
        <f t="shared" si="15"/>
        <v>0</v>
      </c>
      <c r="L58" s="137">
        <f t="shared" si="15"/>
        <v>0</v>
      </c>
      <c r="M58" s="137">
        <f t="shared" si="15"/>
        <v>16</v>
      </c>
      <c r="N58" s="137">
        <f t="shared" si="15"/>
        <v>8</v>
      </c>
      <c r="O58" s="137">
        <f t="shared" si="15"/>
        <v>0</v>
      </c>
      <c r="P58" s="137">
        <f t="shared" si="15"/>
        <v>0</v>
      </c>
      <c r="Q58" s="137">
        <f t="shared" si="15"/>
        <v>0</v>
      </c>
      <c r="R58" s="137">
        <f t="shared" si="15"/>
        <v>0</v>
      </c>
      <c r="S58" s="137">
        <f t="shared" si="15"/>
        <v>0</v>
      </c>
      <c r="T58" s="137">
        <f t="shared" si="15"/>
        <v>0</v>
      </c>
      <c r="U58" s="137">
        <f t="shared" si="15"/>
        <v>0</v>
      </c>
      <c r="V58" s="137">
        <f t="shared" si="15"/>
        <v>0</v>
      </c>
      <c r="W58" s="137">
        <f t="shared" si="15"/>
        <v>0</v>
      </c>
      <c r="X58" s="199">
        <f t="shared" si="9"/>
        <v>48</v>
      </c>
      <c r="Y58" s="158">
        <v>92979</v>
      </c>
      <c r="Z58" s="138">
        <f t="shared" si="8"/>
        <v>4462992</v>
      </c>
      <c r="AA58" s="160"/>
    </row>
    <row r="59" spans="1:27" x14ac:dyDescent="0.2">
      <c r="A59" s="143" t="s">
        <v>156</v>
      </c>
      <c r="B59" s="137">
        <f>B26+B39</f>
        <v>0</v>
      </c>
      <c r="C59" s="137">
        <f t="shared" ref="C59:W59" si="16">C26+C39</f>
        <v>16</v>
      </c>
      <c r="D59" s="137">
        <f t="shared" si="16"/>
        <v>0</v>
      </c>
      <c r="E59" s="137">
        <f t="shared" si="16"/>
        <v>0</v>
      </c>
      <c r="F59" s="137">
        <f t="shared" si="16"/>
        <v>0</v>
      </c>
      <c r="G59" s="137">
        <f t="shared" si="16"/>
        <v>16</v>
      </c>
      <c r="H59" s="137">
        <f t="shared" si="16"/>
        <v>8</v>
      </c>
      <c r="I59" s="137">
        <f t="shared" si="16"/>
        <v>0</v>
      </c>
      <c r="J59" s="137">
        <f t="shared" si="16"/>
        <v>0</v>
      </c>
      <c r="K59" s="137">
        <f t="shared" si="16"/>
        <v>0</v>
      </c>
      <c r="L59" s="137">
        <f t="shared" si="16"/>
        <v>0</v>
      </c>
      <c r="M59" s="137">
        <f t="shared" si="16"/>
        <v>16</v>
      </c>
      <c r="N59" s="137">
        <f t="shared" si="16"/>
        <v>16</v>
      </c>
      <c r="O59" s="137">
        <f t="shared" si="16"/>
        <v>0</v>
      </c>
      <c r="P59" s="137">
        <f t="shared" si="16"/>
        <v>0</v>
      </c>
      <c r="Q59" s="137">
        <f t="shared" si="16"/>
        <v>0</v>
      </c>
      <c r="R59" s="137">
        <f t="shared" si="16"/>
        <v>8</v>
      </c>
      <c r="S59" s="137">
        <f t="shared" si="16"/>
        <v>8</v>
      </c>
      <c r="T59" s="137">
        <f t="shared" si="16"/>
        <v>4</v>
      </c>
      <c r="U59" s="137">
        <f t="shared" si="16"/>
        <v>0</v>
      </c>
      <c r="V59" s="137">
        <f t="shared" si="16"/>
        <v>0</v>
      </c>
      <c r="W59" s="137">
        <f t="shared" si="16"/>
        <v>0</v>
      </c>
      <c r="X59" s="199">
        <f t="shared" si="9"/>
        <v>92</v>
      </c>
      <c r="Y59" s="158">
        <v>89658</v>
      </c>
      <c r="Z59" s="138">
        <f t="shared" si="8"/>
        <v>8248536</v>
      </c>
      <c r="AA59" s="160"/>
    </row>
    <row r="60" spans="1:27" x14ac:dyDescent="0.2">
      <c r="X60" s="155">
        <f>SUM(X47:X59)</f>
        <v>4668</v>
      </c>
      <c r="Z60" s="159">
        <f>SUM(Z47:Z59)</f>
        <v>277458913</v>
      </c>
      <c r="AA60" s="64"/>
    </row>
    <row r="61" spans="1:27" x14ac:dyDescent="0.2">
      <c r="AA61" s="64"/>
    </row>
    <row r="62" spans="1:27" ht="25.5" customHeight="1" thickBot="1" x14ac:dyDescent="0.25">
      <c r="A62" s="472" t="s">
        <v>468</v>
      </c>
      <c r="B62" s="472"/>
      <c r="C62" s="472"/>
      <c r="D62" s="472"/>
      <c r="Z62" s="64"/>
    </row>
    <row r="63" spans="1:27" ht="26.25" customHeight="1" thickBot="1" x14ac:dyDescent="0.25">
      <c r="A63" s="365" t="s">
        <v>202</v>
      </c>
      <c r="B63" s="365" t="s">
        <v>351</v>
      </c>
      <c r="C63" s="453" t="s">
        <v>469</v>
      </c>
      <c r="D63" s="454"/>
      <c r="E63" s="454"/>
      <c r="F63" s="454"/>
      <c r="G63" s="454"/>
      <c r="H63" s="454"/>
      <c r="I63" s="454"/>
      <c r="J63" s="454"/>
      <c r="K63" s="454"/>
      <c r="L63" s="455"/>
      <c r="Q63" s="157">
        <f>R63/$Z$60</f>
        <v>0.2301546391483196</v>
      </c>
      <c r="R63" s="64">
        <f>Z12</f>
        <v>63858456</v>
      </c>
      <c r="S63" s="135" t="s">
        <v>160</v>
      </c>
    </row>
    <row r="64" spans="1:27" ht="13.5" thickBot="1" x14ac:dyDescent="0.25">
      <c r="A64" s="365" t="s">
        <v>95</v>
      </c>
      <c r="B64" s="365">
        <v>1</v>
      </c>
      <c r="C64" s="456"/>
      <c r="D64" s="457"/>
      <c r="E64" s="457"/>
      <c r="F64" s="457"/>
      <c r="G64" s="457"/>
      <c r="H64" s="457"/>
      <c r="I64" s="457"/>
      <c r="J64" s="457"/>
      <c r="K64" s="457"/>
      <c r="L64" s="458"/>
      <c r="Q64" s="157">
        <f>R64/$Z$60</f>
        <v>0.32001002973726778</v>
      </c>
      <c r="R64" s="64">
        <f>Z42</f>
        <v>88789635</v>
      </c>
      <c r="S64" s="135" t="s">
        <v>161</v>
      </c>
    </row>
    <row r="65" spans="1:19" ht="92.25" customHeight="1" thickBot="1" x14ac:dyDescent="0.25">
      <c r="A65" s="262" t="s">
        <v>146</v>
      </c>
      <c r="B65" s="262">
        <v>20</v>
      </c>
      <c r="C65" s="459" t="s">
        <v>470</v>
      </c>
      <c r="D65" s="460"/>
      <c r="E65" s="460"/>
      <c r="F65" s="460"/>
      <c r="G65" s="460"/>
      <c r="H65" s="460"/>
      <c r="I65" s="460"/>
      <c r="J65" s="460"/>
      <c r="K65" s="460"/>
      <c r="L65" s="461"/>
      <c r="Q65" s="593">
        <f>R65/$Z$60</f>
        <v>0.4498353311144126</v>
      </c>
      <c r="R65" s="594">
        <f>Z27</f>
        <v>124810822</v>
      </c>
      <c r="S65" s="251" t="s">
        <v>162</v>
      </c>
    </row>
    <row r="66" spans="1:19" ht="96.75" customHeight="1" x14ac:dyDescent="0.2">
      <c r="A66" s="226" t="s">
        <v>197</v>
      </c>
      <c r="B66" s="226">
        <v>20</v>
      </c>
      <c r="C66" s="444" t="s">
        <v>471</v>
      </c>
      <c r="D66" s="462"/>
      <c r="E66" s="462"/>
      <c r="F66" s="462"/>
      <c r="G66" s="462"/>
      <c r="H66" s="462"/>
      <c r="I66" s="462"/>
      <c r="J66" s="462"/>
      <c r="K66" s="462"/>
      <c r="L66" s="463"/>
    </row>
    <row r="67" spans="1:19" ht="79.5" customHeight="1" x14ac:dyDescent="0.2">
      <c r="A67" s="226" t="s">
        <v>145</v>
      </c>
      <c r="B67" s="226">
        <v>16</v>
      </c>
      <c r="C67" s="427" t="s">
        <v>472</v>
      </c>
      <c r="D67" s="428"/>
      <c r="E67" s="428"/>
      <c r="F67" s="428"/>
      <c r="G67" s="428"/>
      <c r="H67" s="428"/>
      <c r="I67" s="428"/>
      <c r="J67" s="428"/>
      <c r="K67" s="428"/>
      <c r="L67" s="429"/>
    </row>
    <row r="68" spans="1:19" ht="141.75" customHeight="1" x14ac:dyDescent="0.2">
      <c r="A68" s="228" t="s">
        <v>99</v>
      </c>
      <c r="B68" s="226">
        <v>36</v>
      </c>
      <c r="C68" s="427" t="s">
        <v>473</v>
      </c>
      <c r="D68" s="428"/>
      <c r="E68" s="428"/>
      <c r="F68" s="428"/>
      <c r="G68" s="428"/>
      <c r="H68" s="428"/>
      <c r="I68" s="428"/>
      <c r="J68" s="428"/>
      <c r="K68" s="428"/>
      <c r="L68" s="429"/>
    </row>
    <row r="69" spans="1:19" ht="114.75" customHeight="1" x14ac:dyDescent="0.2">
      <c r="A69" s="228" t="s">
        <v>99</v>
      </c>
      <c r="B69" s="226">
        <v>36</v>
      </c>
      <c r="C69" s="427" t="s">
        <v>474</v>
      </c>
      <c r="D69" s="428"/>
      <c r="E69" s="428"/>
      <c r="F69" s="428"/>
      <c r="G69" s="428"/>
      <c r="H69" s="428"/>
      <c r="I69" s="428"/>
      <c r="J69" s="428"/>
      <c r="K69" s="428"/>
      <c r="L69" s="429"/>
    </row>
    <row r="70" spans="1:19" ht="16.5" x14ac:dyDescent="0.2">
      <c r="A70" s="229" t="s">
        <v>195</v>
      </c>
      <c r="B70" s="226"/>
      <c r="C70" s="427"/>
      <c r="D70" s="428"/>
      <c r="E70" s="428"/>
      <c r="F70" s="428"/>
      <c r="G70" s="428"/>
      <c r="H70" s="428"/>
      <c r="I70" s="428"/>
      <c r="J70" s="428"/>
      <c r="K70" s="428"/>
      <c r="L70" s="429"/>
    </row>
    <row r="71" spans="1:19" ht="16.5" x14ac:dyDescent="0.2">
      <c r="A71" s="229" t="s">
        <v>100</v>
      </c>
      <c r="B71" s="226"/>
      <c r="C71" s="427"/>
      <c r="D71" s="428"/>
      <c r="E71" s="428"/>
      <c r="F71" s="428"/>
      <c r="G71" s="428"/>
      <c r="H71" s="428"/>
      <c r="I71" s="428"/>
      <c r="J71" s="428"/>
      <c r="K71" s="428"/>
      <c r="L71" s="429"/>
    </row>
    <row r="72" spans="1:19" ht="66" customHeight="1" thickBot="1" x14ac:dyDescent="0.25">
      <c r="A72" s="230" t="s">
        <v>98</v>
      </c>
      <c r="B72" s="367">
        <v>20</v>
      </c>
      <c r="C72" s="466" t="s">
        <v>475</v>
      </c>
      <c r="D72" s="467"/>
      <c r="E72" s="467"/>
      <c r="F72" s="467"/>
      <c r="G72" s="467"/>
      <c r="H72" s="467"/>
      <c r="I72" s="467"/>
      <c r="J72" s="467"/>
      <c r="K72" s="467"/>
      <c r="L72" s="468"/>
    </row>
    <row r="73" spans="1:19" ht="27.75" customHeight="1" thickBot="1" x14ac:dyDescent="0.25">
      <c r="A73" s="198" t="s">
        <v>157</v>
      </c>
      <c r="B73" s="368">
        <f>SUM(B65:B72)</f>
        <v>148</v>
      </c>
      <c r="C73" s="469"/>
      <c r="D73" s="470"/>
      <c r="E73" s="470"/>
      <c r="F73" s="470"/>
      <c r="G73" s="470"/>
      <c r="H73" s="470"/>
      <c r="I73" s="470"/>
      <c r="J73" s="470"/>
      <c r="K73" s="470"/>
      <c r="L73" s="471"/>
    </row>
    <row r="75" spans="1:19" ht="13.5" thickBot="1" x14ac:dyDescent="0.25"/>
    <row r="76" spans="1:19" ht="26.25" thickBot="1" x14ac:dyDescent="0.25">
      <c r="A76" s="193" t="s">
        <v>498</v>
      </c>
      <c r="B76" s="375" t="s">
        <v>149</v>
      </c>
      <c r="C76" s="438" t="s">
        <v>476</v>
      </c>
      <c r="D76" s="439"/>
      <c r="E76" s="439"/>
      <c r="F76" s="439"/>
      <c r="G76" s="439"/>
      <c r="H76" s="439"/>
      <c r="I76" s="439"/>
      <c r="J76" s="439"/>
      <c r="K76" s="439"/>
      <c r="L76" s="440"/>
    </row>
    <row r="77" spans="1:19" ht="13.5" thickBot="1" x14ac:dyDescent="0.25">
      <c r="A77" s="365" t="s">
        <v>95</v>
      </c>
      <c r="B77" s="365">
        <v>1</v>
      </c>
      <c r="C77" s="441"/>
      <c r="D77" s="442"/>
      <c r="E77" s="442"/>
      <c r="F77" s="442"/>
      <c r="G77" s="442"/>
      <c r="H77" s="442"/>
      <c r="I77" s="442"/>
      <c r="J77" s="442"/>
      <c r="K77" s="442"/>
      <c r="L77" s="443"/>
    </row>
    <row r="78" spans="1:19" ht="80.25" customHeight="1" x14ac:dyDescent="0.2">
      <c r="A78" s="271" t="s">
        <v>146</v>
      </c>
      <c r="B78" s="376">
        <v>20</v>
      </c>
      <c r="C78" s="444" t="s">
        <v>477</v>
      </c>
      <c r="D78" s="445"/>
      <c r="E78" s="445"/>
      <c r="F78" s="445"/>
      <c r="G78" s="445"/>
      <c r="H78" s="445"/>
      <c r="I78" s="445"/>
      <c r="J78" s="445"/>
      <c r="K78" s="445"/>
      <c r="L78" s="446"/>
    </row>
    <row r="79" spans="1:19" ht="63.75" customHeight="1" x14ac:dyDescent="0.2">
      <c r="A79" s="272" t="s">
        <v>197</v>
      </c>
      <c r="B79" s="377">
        <v>20</v>
      </c>
      <c r="C79" s="427" t="s">
        <v>478</v>
      </c>
      <c r="D79" s="436"/>
      <c r="E79" s="436"/>
      <c r="F79" s="436"/>
      <c r="G79" s="436"/>
      <c r="H79" s="436"/>
      <c r="I79" s="436"/>
      <c r="J79" s="436"/>
      <c r="K79" s="436"/>
      <c r="L79" s="437"/>
    </row>
    <row r="80" spans="1:19" ht="76.5" customHeight="1" x14ac:dyDescent="0.2">
      <c r="A80" s="272" t="s">
        <v>145</v>
      </c>
      <c r="B80" s="377">
        <v>20</v>
      </c>
      <c r="C80" s="427" t="s">
        <v>479</v>
      </c>
      <c r="D80" s="436"/>
      <c r="E80" s="436"/>
      <c r="F80" s="436"/>
      <c r="G80" s="436"/>
      <c r="H80" s="436"/>
      <c r="I80" s="436"/>
      <c r="J80" s="436"/>
      <c r="K80" s="436"/>
      <c r="L80" s="437"/>
    </row>
    <row r="81" spans="1:12" ht="16.5" x14ac:dyDescent="0.2">
      <c r="A81" s="273" t="s">
        <v>147</v>
      </c>
      <c r="B81" s="377"/>
      <c r="C81" s="430"/>
      <c r="D81" s="431"/>
      <c r="E81" s="431"/>
      <c r="F81" s="431"/>
      <c r="G81" s="431"/>
      <c r="H81" s="431"/>
      <c r="I81" s="431"/>
      <c r="J81" s="431"/>
      <c r="K81" s="431"/>
      <c r="L81" s="432"/>
    </row>
    <row r="82" spans="1:12" ht="16.5" x14ac:dyDescent="0.2">
      <c r="A82" s="273" t="s">
        <v>195</v>
      </c>
      <c r="B82" s="377"/>
      <c r="C82" s="430"/>
      <c r="D82" s="431"/>
      <c r="E82" s="431"/>
      <c r="F82" s="431"/>
      <c r="G82" s="431"/>
      <c r="H82" s="431"/>
      <c r="I82" s="431"/>
      <c r="J82" s="431"/>
      <c r="K82" s="431"/>
      <c r="L82" s="432"/>
    </row>
    <row r="83" spans="1:12" ht="16.5" x14ac:dyDescent="0.2">
      <c r="A83" s="273" t="s">
        <v>241</v>
      </c>
      <c r="B83" s="377"/>
      <c r="C83" s="430"/>
      <c r="D83" s="431"/>
      <c r="E83" s="431"/>
      <c r="F83" s="431"/>
      <c r="G83" s="431"/>
      <c r="H83" s="431"/>
      <c r="I83" s="431"/>
      <c r="J83" s="431"/>
      <c r="K83" s="431"/>
      <c r="L83" s="432"/>
    </row>
    <row r="84" spans="1:12" ht="66" customHeight="1" x14ac:dyDescent="0.2">
      <c r="A84" s="273" t="s">
        <v>240</v>
      </c>
      <c r="B84" s="377">
        <v>40</v>
      </c>
      <c r="C84" s="427" t="s">
        <v>480</v>
      </c>
      <c r="D84" s="436"/>
      <c r="E84" s="436"/>
      <c r="F84" s="436"/>
      <c r="G84" s="436"/>
      <c r="H84" s="436"/>
      <c r="I84" s="436"/>
      <c r="J84" s="436"/>
      <c r="K84" s="436"/>
      <c r="L84" s="437"/>
    </row>
    <row r="85" spans="1:12" ht="68.25" customHeight="1" x14ac:dyDescent="0.2">
      <c r="A85" s="274" t="s">
        <v>98</v>
      </c>
      <c r="B85" s="377">
        <v>20</v>
      </c>
      <c r="C85" s="427" t="s">
        <v>481</v>
      </c>
      <c r="D85" s="436"/>
      <c r="E85" s="436"/>
      <c r="F85" s="436"/>
      <c r="G85" s="436"/>
      <c r="H85" s="436"/>
      <c r="I85" s="436"/>
      <c r="J85" s="436"/>
      <c r="K85" s="436"/>
      <c r="L85" s="437"/>
    </row>
    <row r="86" spans="1:12" ht="16.5" x14ac:dyDescent="0.2">
      <c r="A86" s="273" t="s">
        <v>155</v>
      </c>
      <c r="B86" s="377"/>
      <c r="C86" s="430"/>
      <c r="D86" s="431"/>
      <c r="E86" s="431"/>
      <c r="F86" s="431"/>
      <c r="G86" s="431"/>
      <c r="H86" s="431"/>
      <c r="I86" s="431"/>
      <c r="J86" s="431"/>
      <c r="K86" s="431"/>
      <c r="L86" s="432"/>
    </row>
    <row r="87" spans="1:12" ht="17.25" thickBot="1" x14ac:dyDescent="0.25">
      <c r="A87" s="275" t="s">
        <v>156</v>
      </c>
      <c r="B87" s="378"/>
      <c r="C87" s="430"/>
      <c r="D87" s="431"/>
      <c r="E87" s="431"/>
      <c r="F87" s="431"/>
      <c r="G87" s="431"/>
      <c r="H87" s="431"/>
      <c r="I87" s="431"/>
      <c r="J87" s="431"/>
      <c r="K87" s="431"/>
      <c r="L87" s="432"/>
    </row>
    <row r="88" spans="1:12" ht="13.5" thickBot="1" x14ac:dyDescent="0.25">
      <c r="A88" s="266" t="s">
        <v>159</v>
      </c>
      <c r="B88" s="366">
        <f>SUM(B78:B87)</f>
        <v>120</v>
      </c>
      <c r="C88" s="433"/>
      <c r="D88" s="434"/>
      <c r="E88" s="434"/>
      <c r="F88" s="434"/>
      <c r="G88" s="434"/>
      <c r="H88" s="434"/>
      <c r="I88" s="434"/>
      <c r="J88" s="434"/>
      <c r="K88" s="434"/>
      <c r="L88" s="435"/>
    </row>
  </sheetData>
  <mergeCells count="40">
    <mergeCell ref="J2:M2"/>
    <mergeCell ref="C2:F2"/>
    <mergeCell ref="J42:K42"/>
    <mergeCell ref="C72:L72"/>
    <mergeCell ref="C73:L73"/>
    <mergeCell ref="A62:D62"/>
    <mergeCell ref="C12:M12"/>
    <mergeCell ref="B30:I30"/>
    <mergeCell ref="D15:F15"/>
    <mergeCell ref="I15:K15"/>
    <mergeCell ref="D27:R27"/>
    <mergeCell ref="I14:R14"/>
    <mergeCell ref="O15:R15"/>
    <mergeCell ref="B14:H14"/>
    <mergeCell ref="L30:O30"/>
    <mergeCell ref="J30:K30"/>
    <mergeCell ref="L42:W42"/>
    <mergeCell ref="Q30:R30"/>
    <mergeCell ref="T30:W30"/>
    <mergeCell ref="C67:L67"/>
    <mergeCell ref="C68:L68"/>
    <mergeCell ref="B45:Z45"/>
    <mergeCell ref="C63:L64"/>
    <mergeCell ref="C65:L65"/>
    <mergeCell ref="C66:L66"/>
    <mergeCell ref="C69:L69"/>
    <mergeCell ref="C70:L70"/>
    <mergeCell ref="C71:L71"/>
    <mergeCell ref="C87:L87"/>
    <mergeCell ref="C88:L88"/>
    <mergeCell ref="C82:L82"/>
    <mergeCell ref="C83:L83"/>
    <mergeCell ref="C84:L84"/>
    <mergeCell ref="C85:L85"/>
    <mergeCell ref="C86:L86"/>
    <mergeCell ref="C76:L77"/>
    <mergeCell ref="C78:L78"/>
    <mergeCell ref="C79:L79"/>
    <mergeCell ref="C80:L80"/>
    <mergeCell ref="C81:L81"/>
  </mergeCells>
  <printOptions horizontalCentered="1"/>
  <pageMargins left="0.74803149606299213" right="0.74803149606299213" top="0.98425196850393704" bottom="0.98425196850393704" header="0.51181102362204722" footer="0.51181102362204722"/>
  <pageSetup scale="54" fitToHeight="5" orientation="landscape" r:id="rId1"/>
  <headerFooter alignWithMargins="0">
    <oddHeader>&amp;C&amp;"Arial,Negrita"CUADRO DE ESTIMACIÓN DE ESFUERZO 
SOLUCIONES MÓVILES 4</oddHeader>
    <oddFooter>&amp;L&amp;"Arial,Negrita"&amp;A&amp;C&amp;"Arial,Negrita"&amp;P/&amp;N</oddFooter>
  </headerFooter>
  <rowBreaks count="3" manualBreakCount="3">
    <brk id="28" max="25" man="1"/>
    <brk id="60" max="25" man="1"/>
    <brk id="74" max="25" man="1"/>
  </rowBreaks>
  <ignoredErrors>
    <ignoredError sqref="B27:C27"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view="pageBreakPreview" zoomScale="60" zoomScaleNormal="80" workbookViewId="0">
      <selection activeCell="J22" sqref="J22"/>
    </sheetView>
  </sheetViews>
  <sheetFormatPr baseColWidth="10" defaultColWidth="11.42578125" defaultRowHeight="12.75" x14ac:dyDescent="0.2"/>
  <cols>
    <col min="1" max="1" width="45.85546875" customWidth="1"/>
    <col min="2" max="2" width="28" bestFit="1" customWidth="1"/>
    <col min="3" max="3" width="19.140625" bestFit="1" customWidth="1"/>
    <col min="4" max="4" width="28.7109375" bestFit="1" customWidth="1"/>
    <col min="5" max="5" width="20.5703125" bestFit="1" customWidth="1"/>
    <col min="6" max="6" width="19.5703125" customWidth="1"/>
    <col min="7" max="7" width="12.28515625" bestFit="1" customWidth="1"/>
  </cols>
  <sheetData>
    <row r="1" spans="1:6" ht="25.5" x14ac:dyDescent="0.2">
      <c r="A1" s="65" t="s">
        <v>106</v>
      </c>
      <c r="B1" s="65" t="s">
        <v>165</v>
      </c>
      <c r="C1" s="65" t="s">
        <v>270</v>
      </c>
      <c r="D1" s="65" t="s">
        <v>497</v>
      </c>
      <c r="E1" s="215" t="s">
        <v>112</v>
      </c>
    </row>
    <row r="2" spans="1:6" x14ac:dyDescent="0.2">
      <c r="B2" s="66">
        <f>'Cronograma (2)'!Z42</f>
        <v>88789635</v>
      </c>
      <c r="C2" s="138">
        <f>'Cronograma (2)'!Z12</f>
        <v>63858456</v>
      </c>
      <c r="D2" s="138">
        <f>'Cronograma (2)'!Z27</f>
        <v>124810822</v>
      </c>
      <c r="E2" s="138">
        <f>SUM(B2:D2)</f>
        <v>277458913</v>
      </c>
    </row>
    <row r="3" spans="1:6" x14ac:dyDescent="0.2">
      <c r="B3" s="224"/>
      <c r="C3" s="225"/>
      <c r="D3" s="225"/>
      <c r="E3" s="225"/>
    </row>
    <row r="4" spans="1:6" x14ac:dyDescent="0.2">
      <c r="A4" s="65" t="s">
        <v>198</v>
      </c>
      <c r="B4" s="381" t="s">
        <v>284</v>
      </c>
      <c r="C4" s="65" t="s">
        <v>284</v>
      </c>
      <c r="D4" s="65" t="s">
        <v>284</v>
      </c>
      <c r="E4" s="65" t="s">
        <v>112</v>
      </c>
      <c r="F4" s="65" t="s">
        <v>489</v>
      </c>
    </row>
    <row r="5" spans="1:6" x14ac:dyDescent="0.2">
      <c r="A5" s="170" t="s">
        <v>485</v>
      </c>
      <c r="B5" s="380">
        <f>25*F5</f>
        <v>50000</v>
      </c>
      <c r="C5" s="380"/>
      <c r="D5" s="380"/>
      <c r="E5" s="380"/>
      <c r="F5" s="137">
        <v>2000</v>
      </c>
    </row>
    <row r="6" spans="1:6" x14ac:dyDescent="0.2">
      <c r="A6" s="170" t="s">
        <v>486</v>
      </c>
      <c r="B6" s="68">
        <f>99*F5</f>
        <v>198000</v>
      </c>
      <c r="C6" s="395"/>
      <c r="D6" s="395"/>
      <c r="E6" s="395"/>
    </row>
    <row r="7" spans="1:6" x14ac:dyDescent="0.2">
      <c r="A7" s="170" t="s">
        <v>487</v>
      </c>
      <c r="B7" s="68">
        <f>25*$F$5</f>
        <v>50000</v>
      </c>
      <c r="C7" s="68"/>
      <c r="D7" s="68"/>
      <c r="E7" s="68"/>
    </row>
    <row r="8" spans="1:6" x14ac:dyDescent="0.2">
      <c r="A8" s="170" t="s">
        <v>488</v>
      </c>
      <c r="B8" s="68">
        <f>99*$F$5</f>
        <v>198000</v>
      </c>
      <c r="C8" s="68"/>
      <c r="D8" s="68"/>
      <c r="E8" s="68"/>
    </row>
    <row r="9" spans="1:6" x14ac:dyDescent="0.2">
      <c r="A9" s="170" t="s">
        <v>283</v>
      </c>
      <c r="B9" s="68">
        <v>2200000</v>
      </c>
      <c r="C9" s="68"/>
      <c r="D9" s="68"/>
      <c r="E9" s="68"/>
    </row>
    <row r="10" spans="1:6" x14ac:dyDescent="0.2">
      <c r="A10" s="155" t="s">
        <v>112</v>
      </c>
      <c r="B10" s="159">
        <f>SUM(B5:B9)</f>
        <v>2696000</v>
      </c>
      <c r="C10" s="159">
        <f t="shared" ref="C10:D10" si="0">SUM(C5:C9)</f>
        <v>0</v>
      </c>
      <c r="D10" s="159">
        <f t="shared" si="0"/>
        <v>0</v>
      </c>
      <c r="E10" s="159">
        <f>SUM(B10:D10)</f>
        <v>2696000</v>
      </c>
    </row>
    <row r="11" spans="1:6" x14ac:dyDescent="0.2">
      <c r="B11" s="224"/>
      <c r="C11" s="225"/>
      <c r="D11" s="225"/>
      <c r="E11" s="225"/>
    </row>
    <row r="12" spans="1:6" x14ac:dyDescent="0.2">
      <c r="A12" s="135" t="s">
        <v>483</v>
      </c>
    </row>
    <row r="14" spans="1:6" ht="38.25" x14ac:dyDescent="0.2">
      <c r="A14" s="65" t="s">
        <v>96</v>
      </c>
      <c r="B14" s="65" t="s">
        <v>271</v>
      </c>
      <c r="C14" s="65" t="s">
        <v>272</v>
      </c>
      <c r="D14" s="65" t="s">
        <v>496</v>
      </c>
      <c r="E14" s="65" t="s">
        <v>273</v>
      </c>
    </row>
    <row r="15" spans="1:6" x14ac:dyDescent="0.2">
      <c r="A15" s="65"/>
      <c r="B15" s="65"/>
      <c r="C15" s="65"/>
      <c r="D15" s="65"/>
      <c r="E15" s="65"/>
    </row>
    <row r="16" spans="1:6" x14ac:dyDescent="0.2">
      <c r="A16" s="67" t="s">
        <v>107</v>
      </c>
      <c r="B16" s="68">
        <f>ROUND($B$2*15%,0)</f>
        <v>13318445</v>
      </c>
      <c r="C16" s="68">
        <f>ROUND($C$2*15%,0)</f>
        <v>9578768</v>
      </c>
      <c r="D16" s="68">
        <f>ROUND($D$2*15%,0)</f>
        <v>18721623</v>
      </c>
      <c r="E16" s="68">
        <f>SUM(B16:D16)</f>
        <v>41618836</v>
      </c>
    </row>
    <row r="17" spans="1:7" x14ac:dyDescent="0.2">
      <c r="A17" s="67" t="s">
        <v>108</v>
      </c>
      <c r="B17" s="68">
        <f>ROUND($B$2*12%,0)</f>
        <v>10654756</v>
      </c>
      <c r="C17" s="68">
        <f>ROUND($C$2*12%,0)</f>
        <v>7663015</v>
      </c>
      <c r="D17" s="68">
        <f>ROUND($D$2*12%,0)</f>
        <v>14977299</v>
      </c>
      <c r="E17" s="68">
        <f t="shared" ref="E17:E24" si="1">SUM(B17:D17)</f>
        <v>33295070</v>
      </c>
    </row>
    <row r="18" spans="1:7" x14ac:dyDescent="0.2">
      <c r="A18" s="67" t="s">
        <v>109</v>
      </c>
      <c r="B18" s="68">
        <f>ROUND($B$2*13.6%,0)</f>
        <v>12075390</v>
      </c>
      <c r="C18" s="68">
        <f>ROUND($C$2*13.6%,0)</f>
        <v>8684750</v>
      </c>
      <c r="D18" s="68">
        <f>ROUND($D$2*13.6%,0)</f>
        <v>16974272</v>
      </c>
      <c r="E18" s="68">
        <f t="shared" si="1"/>
        <v>37734412</v>
      </c>
    </row>
    <row r="19" spans="1:7" x14ac:dyDescent="0.2">
      <c r="A19" s="67" t="s">
        <v>110</v>
      </c>
      <c r="B19" s="68">
        <f>ROUND($B$2*3%,0)</f>
        <v>2663689</v>
      </c>
      <c r="C19" s="68">
        <f>ROUND($C$2*3%,0)</f>
        <v>1915754</v>
      </c>
      <c r="D19" s="68">
        <f>ROUND($D$2*3%,0)</f>
        <v>3744325</v>
      </c>
      <c r="E19" s="68">
        <f t="shared" si="1"/>
        <v>8323768</v>
      </c>
    </row>
    <row r="20" spans="1:7" x14ac:dyDescent="0.2">
      <c r="A20" s="67" t="s">
        <v>291</v>
      </c>
      <c r="B20" s="68">
        <f>B10*15%</f>
        <v>404400</v>
      </c>
      <c r="C20" s="68">
        <f>C10*15%</f>
        <v>0</v>
      </c>
      <c r="D20" s="68">
        <f>D10*15%</f>
        <v>0</v>
      </c>
      <c r="E20" s="68">
        <f>SUM(B20:D20)</f>
        <v>404400</v>
      </c>
    </row>
    <row r="21" spans="1:7" x14ac:dyDescent="0.2">
      <c r="A21" s="69" t="s">
        <v>111</v>
      </c>
      <c r="B21" s="223">
        <f>SUM(B16:B20)</f>
        <v>39116680</v>
      </c>
      <c r="C21" s="223">
        <f>SUM(C16:C19)</f>
        <v>27842287</v>
      </c>
      <c r="D21" s="223">
        <f>SUM(D16:D19)</f>
        <v>54417519</v>
      </c>
      <c r="E21" s="68">
        <f t="shared" si="1"/>
        <v>121376486</v>
      </c>
    </row>
    <row r="22" spans="1:7" ht="29.25" customHeight="1" x14ac:dyDescent="0.2">
      <c r="A22" s="69" t="s">
        <v>490</v>
      </c>
      <c r="B22" s="70">
        <f>B2+B10+B21</f>
        <v>130602315</v>
      </c>
      <c r="C22" s="70">
        <f>C2+C21+C10</f>
        <v>91700743</v>
      </c>
      <c r="D22" s="70">
        <f>D2+D21+D10</f>
        <v>179228341</v>
      </c>
      <c r="E22" s="222">
        <f t="shared" si="1"/>
        <v>401531399</v>
      </c>
    </row>
    <row r="23" spans="1:7" x14ac:dyDescent="0.2">
      <c r="A23" s="69" t="s">
        <v>97</v>
      </c>
      <c r="B23" s="223">
        <f>ROUND(B22*0.16,0)</f>
        <v>20896370</v>
      </c>
      <c r="C23" s="223">
        <f t="shared" ref="C23:D23" si="2">ROUND(C22*0.16,0)</f>
        <v>14672119</v>
      </c>
      <c r="D23" s="223">
        <f t="shared" si="2"/>
        <v>28676535</v>
      </c>
      <c r="E23" s="68">
        <f t="shared" si="1"/>
        <v>64245024</v>
      </c>
    </row>
    <row r="24" spans="1:7" x14ac:dyDescent="0.2">
      <c r="A24" s="69" t="s">
        <v>288</v>
      </c>
      <c r="B24" s="70">
        <f>B22+B23</f>
        <v>151498685</v>
      </c>
      <c r="C24" s="70">
        <f t="shared" ref="C24:D24" si="3">C22+C23</f>
        <v>106372862</v>
      </c>
      <c r="D24" s="70">
        <f t="shared" si="3"/>
        <v>207904876</v>
      </c>
      <c r="E24" s="222">
        <f t="shared" si="1"/>
        <v>465776423</v>
      </c>
    </row>
    <row r="26" spans="1:7" x14ac:dyDescent="0.2">
      <c r="A26" s="221"/>
    </row>
    <row r="27" spans="1:7" x14ac:dyDescent="0.2">
      <c r="A27" s="65" t="s">
        <v>286</v>
      </c>
      <c r="B27" s="65" t="s">
        <v>113</v>
      </c>
      <c r="C27" s="65" t="s">
        <v>114</v>
      </c>
      <c r="D27" s="65" t="s">
        <v>97</v>
      </c>
      <c r="E27" s="65" t="s">
        <v>115</v>
      </c>
      <c r="F27" s="182" t="s">
        <v>274</v>
      </c>
      <c r="G27" s="182" t="s">
        <v>275</v>
      </c>
    </row>
    <row r="28" spans="1:7" ht="25.5" x14ac:dyDescent="0.2">
      <c r="A28" s="71" t="s">
        <v>116</v>
      </c>
      <c r="B28" s="72" t="s">
        <v>117</v>
      </c>
      <c r="C28" s="73">
        <f>ROUND(B22*0.33,0)-680000</f>
        <v>42418764</v>
      </c>
      <c r="D28" s="73">
        <f>ROUND(C28*16%,0)</f>
        <v>6787002</v>
      </c>
      <c r="E28" s="73">
        <f>C28+D28</f>
        <v>49205766</v>
      </c>
      <c r="F28" s="182">
        <f>ROUND(SUM($B$2+$B$21)*33%,0)</f>
        <v>42209084</v>
      </c>
      <c r="G28" s="182">
        <f>C28-F28</f>
        <v>209680</v>
      </c>
    </row>
    <row r="29" spans="1:7" ht="38.25" x14ac:dyDescent="0.2">
      <c r="A29" s="75" t="s">
        <v>118</v>
      </c>
      <c r="B29" s="72" t="s">
        <v>285</v>
      </c>
      <c r="C29" s="73">
        <f>ROUND(B22*0.33,0)+340000</f>
        <v>43438764</v>
      </c>
      <c r="D29" s="74">
        <f>ROUND(C29*16%,0)</f>
        <v>6950202</v>
      </c>
      <c r="E29" s="74">
        <f>C29+D29</f>
        <v>50388966</v>
      </c>
    </row>
    <row r="30" spans="1:7" ht="51" x14ac:dyDescent="0.2">
      <c r="A30" s="75" t="s">
        <v>119</v>
      </c>
      <c r="B30" s="72" t="s">
        <v>289</v>
      </c>
      <c r="C30" s="74">
        <f>B22-(C29+C28)+340000</f>
        <v>45084787</v>
      </c>
      <c r="D30" s="74">
        <f>B23-(D28+D29)</f>
        <v>7159166</v>
      </c>
      <c r="E30" s="74">
        <f>C30+D30</f>
        <v>52243953</v>
      </c>
    </row>
    <row r="31" spans="1:7" x14ac:dyDescent="0.2">
      <c r="A31" s="76" t="s">
        <v>120</v>
      </c>
      <c r="B31" s="77"/>
      <c r="C31" s="78">
        <f>SUM(C28:C30)</f>
        <v>130942315</v>
      </c>
      <c r="D31" s="78">
        <f>SUM(D28:D30)</f>
        <v>20896370</v>
      </c>
      <c r="E31" s="78">
        <f>SUM(E28:E30)</f>
        <v>151838685</v>
      </c>
      <c r="F31" s="82"/>
    </row>
    <row r="32" spans="1:7" x14ac:dyDescent="0.2">
      <c r="A32" s="174"/>
      <c r="B32" s="175"/>
      <c r="C32" s="173"/>
      <c r="D32" s="173"/>
      <c r="E32" s="173"/>
      <c r="F32" s="82"/>
    </row>
    <row r="33" spans="1:6" x14ac:dyDescent="0.2">
      <c r="A33" s="65" t="s">
        <v>287</v>
      </c>
      <c r="B33" s="65" t="s">
        <v>113</v>
      </c>
      <c r="C33" s="65" t="s">
        <v>114</v>
      </c>
      <c r="D33" s="65" t="s">
        <v>97</v>
      </c>
      <c r="E33" s="65" t="s">
        <v>115</v>
      </c>
      <c r="F33" s="82"/>
    </row>
    <row r="34" spans="1:6" ht="25.5" x14ac:dyDescent="0.2">
      <c r="A34" s="71" t="s">
        <v>116</v>
      </c>
      <c r="B34" s="72" t="s">
        <v>117</v>
      </c>
      <c r="C34" s="73">
        <f>ROUND(C22*0.33,0)</f>
        <v>30261245</v>
      </c>
      <c r="D34" s="73">
        <f>ROUND(C34*16%,0)</f>
        <v>4841799</v>
      </c>
      <c r="E34" s="73">
        <f>C34+D34</f>
        <v>35103044</v>
      </c>
      <c r="F34" s="82"/>
    </row>
    <row r="35" spans="1:6" ht="38.25" x14ac:dyDescent="0.2">
      <c r="A35" s="75" t="s">
        <v>118</v>
      </c>
      <c r="B35" s="72" t="s">
        <v>285</v>
      </c>
      <c r="C35" s="73">
        <f>ROUND(C22*0.33,0)</f>
        <v>30261245</v>
      </c>
      <c r="D35" s="74">
        <f>ROUND(C35*16%,0)</f>
        <v>4841799</v>
      </c>
      <c r="E35" s="74">
        <f>C35+D35</f>
        <v>35103044</v>
      </c>
      <c r="F35" s="82"/>
    </row>
    <row r="36" spans="1:6" ht="51" x14ac:dyDescent="0.2">
      <c r="A36" s="75" t="s">
        <v>119</v>
      </c>
      <c r="B36" s="72" t="s">
        <v>290</v>
      </c>
      <c r="C36" s="74">
        <f>C22-C34-C35</f>
        <v>31178253</v>
      </c>
      <c r="D36" s="74">
        <f>C23-(D35+D34)</f>
        <v>4988521</v>
      </c>
      <c r="E36" s="74">
        <f>C36+D36</f>
        <v>36166774</v>
      </c>
      <c r="F36" s="82"/>
    </row>
    <row r="37" spans="1:6" x14ac:dyDescent="0.2">
      <c r="A37" s="76" t="s">
        <v>120</v>
      </c>
      <c r="B37" s="77"/>
      <c r="C37" s="78">
        <f>SUM(C34:C36)</f>
        <v>91700743</v>
      </c>
      <c r="D37" s="78">
        <f>SUM(D34:D36)</f>
        <v>14672119</v>
      </c>
      <c r="E37" s="78">
        <f>SUM(E34:E36)</f>
        <v>106372862</v>
      </c>
      <c r="F37" s="82"/>
    </row>
    <row r="38" spans="1:6" x14ac:dyDescent="0.2">
      <c r="A38" s="174"/>
      <c r="B38" s="175"/>
      <c r="C38" s="173"/>
      <c r="D38" s="173"/>
      <c r="E38" s="173"/>
      <c r="F38" s="82"/>
    </row>
    <row r="39" spans="1:6" x14ac:dyDescent="0.2">
      <c r="A39" s="65" t="s">
        <v>495</v>
      </c>
      <c r="B39" s="65" t="s">
        <v>113</v>
      </c>
      <c r="C39" s="65" t="s">
        <v>114</v>
      </c>
      <c r="D39" s="65" t="s">
        <v>97</v>
      </c>
      <c r="E39" s="65" t="s">
        <v>115</v>
      </c>
      <c r="F39" s="82"/>
    </row>
    <row r="40" spans="1:6" ht="25.5" x14ac:dyDescent="0.2">
      <c r="A40" s="71" t="s">
        <v>116</v>
      </c>
      <c r="B40" s="72" t="s">
        <v>117</v>
      </c>
      <c r="C40" s="73">
        <f>ROUND($D$22*0.33,0)</f>
        <v>59145353</v>
      </c>
      <c r="D40" s="73">
        <f>ROUND(C40*16%,0)</f>
        <v>9463256</v>
      </c>
      <c r="E40" s="73">
        <f>C40+D40</f>
        <v>68608609</v>
      </c>
      <c r="F40" s="82"/>
    </row>
    <row r="41" spans="1:6" ht="38.25" x14ac:dyDescent="0.2">
      <c r="A41" s="75" t="s">
        <v>118</v>
      </c>
      <c r="B41" s="72" t="s">
        <v>285</v>
      </c>
      <c r="C41" s="73">
        <f>ROUND($D$22*0.33,0)</f>
        <v>59145353</v>
      </c>
      <c r="D41" s="74">
        <f>ROUND(C41*16%,0)</f>
        <v>9463256</v>
      </c>
      <c r="E41" s="74">
        <f>C41+D41</f>
        <v>68608609</v>
      </c>
      <c r="F41" s="82"/>
    </row>
    <row r="42" spans="1:6" ht="51" x14ac:dyDescent="0.2">
      <c r="A42" s="75" t="s">
        <v>119</v>
      </c>
      <c r="B42" s="72" t="s">
        <v>290</v>
      </c>
      <c r="C42" s="74">
        <f>D22-C40-C41</f>
        <v>60937635</v>
      </c>
      <c r="D42" s="74">
        <f>D23-(D40+D41)</f>
        <v>9750023</v>
      </c>
      <c r="E42" s="74">
        <f>C42+D42</f>
        <v>70687658</v>
      </c>
      <c r="F42" s="82"/>
    </row>
    <row r="43" spans="1:6" x14ac:dyDescent="0.2">
      <c r="A43" s="76" t="s">
        <v>120</v>
      </c>
      <c r="B43" s="77"/>
      <c r="C43" s="78">
        <f>SUM(C40:C42)</f>
        <v>179228341</v>
      </c>
      <c r="D43" s="78">
        <f>SUM(D40:D42)</f>
        <v>28676535</v>
      </c>
      <c r="E43" s="78">
        <f>SUM(E40:E42)</f>
        <v>207904876</v>
      </c>
      <c r="F43" s="595">
        <v>226074996</v>
      </c>
    </row>
    <row r="44" spans="1:6" x14ac:dyDescent="0.2">
      <c r="A44" s="174"/>
      <c r="B44" s="175"/>
      <c r="C44" s="173"/>
      <c r="D44" s="173"/>
      <c r="E44" s="173"/>
      <c r="F44" s="595">
        <f>F43-E43</f>
        <v>18170120</v>
      </c>
    </row>
    <row r="45" spans="1:6" x14ac:dyDescent="0.2">
      <c r="A45" s="174"/>
      <c r="B45" s="175"/>
      <c r="C45" s="173"/>
      <c r="D45" s="173"/>
      <c r="E45" s="173"/>
      <c r="F45" s="82"/>
    </row>
    <row r="46" spans="1:6" x14ac:dyDescent="0.2">
      <c r="D46" s="173"/>
      <c r="E46" s="173"/>
      <c r="F46" s="82"/>
    </row>
    <row r="48" spans="1:6" x14ac:dyDescent="0.2">
      <c r="A48" s="65" t="s">
        <v>198</v>
      </c>
      <c r="B48" s="65" t="s">
        <v>284</v>
      </c>
      <c r="C48" s="173" t="s">
        <v>281</v>
      </c>
      <c r="D48" s="150" t="s">
        <v>280</v>
      </c>
    </row>
    <row r="49" spans="1:5" x14ac:dyDescent="0.2">
      <c r="A49" s="170" t="s">
        <v>276</v>
      </c>
      <c r="B49" s="68">
        <f>$D$49*C49</f>
        <v>50000</v>
      </c>
      <c r="C49" s="220">
        <v>25</v>
      </c>
      <c r="D49">
        <v>2000</v>
      </c>
      <c r="E49" s="64"/>
    </row>
    <row r="50" spans="1:5" x14ac:dyDescent="0.2">
      <c r="A50" s="170" t="s">
        <v>277</v>
      </c>
      <c r="B50" s="68">
        <f t="shared" ref="B50:B52" si="4">$D$49*C50</f>
        <v>198000</v>
      </c>
      <c r="C50" s="220">
        <v>99</v>
      </c>
      <c r="E50" s="64"/>
    </row>
    <row r="51" spans="1:5" x14ac:dyDescent="0.2">
      <c r="A51" s="170" t="s">
        <v>278</v>
      </c>
      <c r="B51" s="68">
        <f t="shared" si="4"/>
        <v>50000</v>
      </c>
      <c r="C51" s="220">
        <v>25</v>
      </c>
      <c r="E51" s="64"/>
    </row>
    <row r="52" spans="1:5" x14ac:dyDescent="0.2">
      <c r="A52" s="170" t="s">
        <v>279</v>
      </c>
      <c r="B52" s="68">
        <f t="shared" si="4"/>
        <v>198000</v>
      </c>
      <c r="C52" s="220">
        <v>99</v>
      </c>
      <c r="E52" s="64"/>
    </row>
    <row r="53" spans="1:5" x14ac:dyDescent="0.2">
      <c r="A53" s="170" t="s">
        <v>283</v>
      </c>
      <c r="B53" s="68">
        <v>2200000</v>
      </c>
      <c r="C53" s="219" t="s">
        <v>282</v>
      </c>
    </row>
    <row r="54" spans="1:5" x14ac:dyDescent="0.2">
      <c r="A54" s="155" t="s">
        <v>112</v>
      </c>
      <c r="B54" s="159">
        <f>SUM(B49:B53)</f>
        <v>2696000</v>
      </c>
    </row>
  </sheetData>
  <printOptions horizontalCentered="1"/>
  <pageMargins left="0.74803149606299213" right="0.74803149606299213" top="0.98425196850393704" bottom="0.98425196850393704" header="0.51181102362204722" footer="0.51181102362204722"/>
  <pageSetup scale="76" fitToHeight="2" orientation="landscape" r:id="rId1"/>
  <headerFooter alignWithMargins="0">
    <oddHeader>&amp;C&amp;"Arial,Negrita"CUADRO DE ESTIMACIÓN DE ESFUERZO 
SOLUCIONES MÓVILES 4</oddHeader>
    <oddFooter>&amp;L&amp;"Arial,Negrita"&amp;A&amp;C&amp;"Arial,Negrita"&amp;P/&amp;N</oddFooter>
  </headerFooter>
  <rowBreaks count="1" manualBreakCount="1">
    <brk id="32" max="5"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16</vt:i4>
      </vt:variant>
    </vt:vector>
  </HeadingPairs>
  <TitlesOfParts>
    <vt:vector size="28" baseType="lpstr">
      <vt:lpstr>Complejidad</vt:lpstr>
      <vt:lpstr>FactoresTecnicosMovil</vt:lpstr>
      <vt:lpstr>FactoresAmbientalesMovil</vt:lpstr>
      <vt:lpstr>FactoresTecnicosWeb</vt:lpstr>
      <vt:lpstr>FactoresAmbientalesWeb</vt:lpstr>
      <vt:lpstr>Casos de uso Ajustados</vt:lpstr>
      <vt:lpstr>Historias Usuario Estimadas</vt:lpstr>
      <vt:lpstr>Cronograma (2)</vt:lpstr>
      <vt:lpstr>costos</vt:lpstr>
      <vt:lpstr>Hoja1</vt:lpstr>
      <vt:lpstr>Adquisiciones</vt:lpstr>
      <vt:lpstr>Costos por entregable</vt:lpstr>
      <vt:lpstr>'Casos de uso Ajustados'!Área_de_impresión</vt:lpstr>
      <vt:lpstr>Complejidad!Área_de_impresión</vt:lpstr>
      <vt:lpstr>costos!Área_de_impresión</vt:lpstr>
      <vt:lpstr>'Costos por entregable'!Área_de_impresión</vt:lpstr>
      <vt:lpstr>'Cronograma (2)'!Área_de_impresión</vt:lpstr>
      <vt:lpstr>FactoresAmbientalesMovil!Área_de_impresión</vt:lpstr>
      <vt:lpstr>FactoresAmbientalesWeb!Área_de_impresión</vt:lpstr>
      <vt:lpstr>FactoresTecnicosMovil!Área_de_impresión</vt:lpstr>
      <vt:lpstr>FactoresTecnicosWeb!Área_de_impresión</vt:lpstr>
      <vt:lpstr>'Historias Usuario Estimadas'!Área_de_impresión</vt:lpstr>
      <vt:lpstr>'Casos de uso Ajustados'!Títulos_a_imprimir</vt:lpstr>
      <vt:lpstr>FactoresAmbientalesMovil!Títulos_a_imprimir</vt:lpstr>
      <vt:lpstr>FactoresAmbientalesWeb!Títulos_a_imprimir</vt:lpstr>
      <vt:lpstr>FactoresTecnicosMovil!Títulos_a_imprimir</vt:lpstr>
      <vt:lpstr>FactoresTecnicosWeb!Títulos_a_imprimir</vt:lpstr>
      <vt:lpstr>'Historias Usuario Estimadas'!Títulos_a_imprimir</vt:lpstr>
    </vt:vector>
  </TitlesOfParts>
  <Company>Tyner Blain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Use Case Points Calculator</dc:title>
  <dc:creator>Scott Sehlhorst</dc:creator>
  <cp:lastModifiedBy>Carolina Fajardo</cp:lastModifiedBy>
  <cp:lastPrinted>2013-12-27T16:37:03Z</cp:lastPrinted>
  <dcterms:created xsi:type="dcterms:W3CDTF">2007-02-21T01:19:06Z</dcterms:created>
  <dcterms:modified xsi:type="dcterms:W3CDTF">2013-12-27T16:37:05Z</dcterms:modified>
</cp:coreProperties>
</file>