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cfepc\Shared\RACE\Projects\DEMO\Private\WPRM Private\RM-2 Systems Engineering\RM-2-T007 RM System Integration\"/>
    </mc:Choice>
  </mc:AlternateContent>
  <bookViews>
    <workbookView xWindow="5685" yWindow="1425" windowWidth="16125" windowHeight="12120" activeTab="1"/>
  </bookViews>
  <sheets>
    <sheet name="DC output" sheetId="1" r:id="rId1"/>
    <sheet name="DW parameters" sheetId="2" r:id="rId2"/>
    <sheet name="AHP" sheetId="5" r:id="rId3"/>
    <sheet name="Weightings" sheetId="3" r:id="rId4"/>
    <sheet name="Sheet1" sheetId="4" r:id="rId5"/>
  </sheets>
  <definedNames>
    <definedName name="_xlnm.Print_Area" localSheetId="0">'DC output'!$A$1:$AD$32</definedName>
    <definedName name="_xlnm.Print_Area" localSheetId="1">'DW parameters'!$A$1:$BM$76</definedName>
  </definedNames>
  <calcPr calcId="171027"/>
</workbook>
</file>

<file path=xl/calcChain.xml><?xml version="1.0" encoding="utf-8"?>
<calcChain xmlns="http://schemas.openxmlformats.org/spreadsheetml/2006/main">
  <c r="X41" i="2" l="1"/>
  <c r="AA41" i="2"/>
  <c r="AD41" i="2"/>
  <c r="AG41" i="2"/>
  <c r="AJ41" i="2"/>
  <c r="X46" i="2"/>
  <c r="AA46" i="2"/>
  <c r="AD46" i="2"/>
  <c r="AG46" i="2"/>
  <c r="AJ46" i="2"/>
  <c r="X51" i="2"/>
  <c r="AA51" i="2"/>
  <c r="AD51" i="2"/>
  <c r="AG51" i="2"/>
  <c r="AJ51" i="2"/>
  <c r="X56" i="2"/>
  <c r="AA56" i="2"/>
  <c r="AD56" i="2"/>
  <c r="AG56" i="2"/>
  <c r="AJ56" i="2"/>
  <c r="X61" i="2"/>
  <c r="AA61" i="2"/>
  <c r="AD61" i="2"/>
  <c r="AG61" i="2"/>
  <c r="AJ61" i="2"/>
  <c r="AA36" i="2"/>
  <c r="AD36" i="2"/>
  <c r="AG36" i="2"/>
  <c r="AJ36" i="2"/>
  <c r="X36" i="2"/>
  <c r="AA35" i="2"/>
  <c r="AD35" i="2"/>
  <c r="AG35" i="2"/>
  <c r="AJ35" i="2"/>
  <c r="X35" i="2"/>
  <c r="G50" i="2" l="1"/>
  <c r="F50" i="2"/>
  <c r="G49" i="2"/>
  <c r="F49" i="2"/>
  <c r="G48" i="2"/>
  <c r="F48" i="2"/>
  <c r="G47" i="2"/>
  <c r="F47" i="2"/>
  <c r="G46" i="2"/>
  <c r="F46" i="2"/>
  <c r="D15" i="5"/>
  <c r="D14" i="5"/>
  <c r="D16" i="5"/>
  <c r="C16" i="5"/>
  <c r="AS46" i="2" l="1"/>
  <c r="AV46" i="2"/>
  <c r="AM46" i="2"/>
  <c r="AY46" i="2"/>
  <c r="AP46" i="2"/>
  <c r="F8" i="5"/>
  <c r="E8" i="5"/>
  <c r="G3" i="5"/>
  <c r="I9" i="5" l="1"/>
  <c r="J7" i="5" s="1"/>
  <c r="J6" i="5" l="1"/>
  <c r="J5" i="5"/>
  <c r="J4" i="5"/>
  <c r="J2" i="5"/>
  <c r="J3" i="5"/>
  <c r="J8" i="5"/>
  <c r="H16" i="5"/>
  <c r="BB35" i="2" l="1"/>
  <c r="BE35" i="2"/>
  <c r="BH35" i="2"/>
  <c r="BK35" i="2"/>
  <c r="BN35" i="2"/>
  <c r="C8" i="5" l="1"/>
  <c r="BE41" i="2" l="1"/>
  <c r="BH41" i="2"/>
  <c r="BK41" i="2"/>
  <c r="BN41" i="2"/>
  <c r="BE42" i="2"/>
  <c r="BH42" i="2"/>
  <c r="BK42" i="2"/>
  <c r="BN42" i="2"/>
  <c r="BE43" i="2"/>
  <c r="BH43" i="2"/>
  <c r="BK43" i="2"/>
  <c r="BN43" i="2"/>
  <c r="BE44" i="2"/>
  <c r="BH44" i="2"/>
  <c r="BK44" i="2"/>
  <c r="BN44" i="2"/>
  <c r="BE45" i="2"/>
  <c r="BH45" i="2"/>
  <c r="BK45" i="2"/>
  <c r="BN45" i="2"/>
  <c r="BB41" i="2"/>
  <c r="BB42" i="2"/>
  <c r="BB43" i="2"/>
  <c r="BB44" i="2"/>
  <c r="BB45" i="2"/>
  <c r="I18" i="5" l="1"/>
  <c r="F36" i="2"/>
  <c r="AY36" i="2" l="1"/>
  <c r="AP36" i="2"/>
  <c r="AM36" i="2"/>
  <c r="AS36" i="2"/>
  <c r="AV36" i="2"/>
  <c r="J13" i="5"/>
  <c r="G44" i="2" s="1"/>
  <c r="CC44" i="2" s="1"/>
  <c r="J14" i="5"/>
  <c r="F38" i="2"/>
  <c r="F40" i="2"/>
  <c r="BQ44" i="2"/>
  <c r="F42" i="2"/>
  <c r="F37" i="2"/>
  <c r="F35" i="2"/>
  <c r="J11" i="5"/>
  <c r="G35" i="2" s="1"/>
  <c r="G42" i="2"/>
  <c r="BQ42" i="2" s="1"/>
  <c r="J17" i="5"/>
  <c r="J16" i="5"/>
  <c r="J15" i="5"/>
  <c r="G41" i="2"/>
  <c r="BT41" i="2" s="1"/>
  <c r="J12" i="5"/>
  <c r="F39" i="2"/>
  <c r="G45" i="2"/>
  <c r="BT45" i="2" s="1"/>
  <c r="BZ44" i="2"/>
  <c r="BT86" i="2"/>
  <c r="BT85" i="2"/>
  <c r="BT83" i="2"/>
  <c r="BT82" i="2"/>
  <c r="BT80" i="2"/>
  <c r="BT79" i="2"/>
  <c r="BT77" i="2"/>
  <c r="BT76" i="2"/>
  <c r="BT75" i="2"/>
  <c r="BW44" i="2" l="1"/>
  <c r="BT44" i="2"/>
  <c r="G43" i="2"/>
  <c r="BT43" i="2" s="1"/>
  <c r="BZ35" i="2"/>
  <c r="BW35" i="2"/>
  <c r="CC35" i="2"/>
  <c r="BT35" i="2"/>
  <c r="BQ35" i="2"/>
  <c r="AP35" i="2"/>
  <c r="AS35" i="2"/>
  <c r="AM35" i="2"/>
  <c r="AY35" i="2"/>
  <c r="AV35" i="2"/>
  <c r="F43" i="2"/>
  <c r="F41" i="2"/>
  <c r="BZ41" i="2"/>
  <c r="F44" i="2"/>
  <c r="BW41" i="2"/>
  <c r="F45" i="2"/>
  <c r="CC45" i="2"/>
  <c r="BW45" i="2"/>
  <c r="BQ41" i="2"/>
  <c r="BQ45" i="2"/>
  <c r="G52" i="2"/>
  <c r="G54" i="2"/>
  <c r="G55" i="2"/>
  <c r="G51" i="2"/>
  <c r="G53" i="2"/>
  <c r="G63" i="2"/>
  <c r="G64" i="2"/>
  <c r="G61" i="2"/>
  <c r="G62" i="2"/>
  <c r="G65" i="2"/>
  <c r="BW42" i="2"/>
  <c r="F55" i="2"/>
  <c r="F51" i="2"/>
  <c r="F52" i="2"/>
  <c r="F53" i="2"/>
  <c r="F54" i="2"/>
  <c r="F62" i="2"/>
  <c r="F63" i="2"/>
  <c r="F64" i="2"/>
  <c r="F65" i="2"/>
  <c r="F61" i="2"/>
  <c r="CC42" i="2"/>
  <c r="BT42" i="2"/>
  <c r="BZ45" i="2"/>
  <c r="CC41" i="2"/>
  <c r="G37" i="2"/>
  <c r="G38" i="2"/>
  <c r="G39" i="2"/>
  <c r="G40" i="2"/>
  <c r="G36" i="2"/>
  <c r="G56" i="2"/>
  <c r="G57" i="2"/>
  <c r="G58" i="2"/>
  <c r="G59" i="2"/>
  <c r="G60" i="2"/>
  <c r="BZ42" i="2"/>
  <c r="F59" i="2"/>
  <c r="F57" i="2"/>
  <c r="F58" i="2"/>
  <c r="F60" i="2"/>
  <c r="F56" i="2"/>
  <c r="AM61" i="2" l="1"/>
  <c r="AY61" i="2"/>
  <c r="AS61" i="2"/>
  <c r="AV61" i="2"/>
  <c r="AP61" i="2"/>
  <c r="AP51" i="2"/>
  <c r="AS51" i="2"/>
  <c r="AY51" i="2"/>
  <c r="AV51" i="2"/>
  <c r="AM51" i="2"/>
  <c r="AP56" i="2"/>
  <c r="AY56" i="2"/>
  <c r="AS56" i="2"/>
  <c r="AV56" i="2"/>
  <c r="AM56" i="2"/>
  <c r="AV41" i="2"/>
  <c r="AM41" i="2"/>
  <c r="AY41" i="2"/>
  <c r="AY71" i="2" s="1"/>
  <c r="AS41" i="2"/>
  <c r="AP41" i="2"/>
  <c r="AM71" i="2"/>
  <c r="AS71" i="2"/>
  <c r="AV71" i="2"/>
  <c r="AP71" i="2"/>
  <c r="CC43" i="2"/>
  <c r="BZ43" i="2"/>
  <c r="BW43" i="2"/>
  <c r="BQ43" i="2"/>
  <c r="H24" i="4"/>
  <c r="C24" i="4" s="1"/>
  <c r="H23" i="4"/>
  <c r="C23" i="4" s="1"/>
  <c r="Q13" i="4"/>
  <c r="P13" i="4"/>
  <c r="O13" i="4"/>
  <c r="N13" i="4"/>
  <c r="M13" i="4"/>
  <c r="Q12" i="4"/>
  <c r="P12" i="4"/>
  <c r="O12" i="4"/>
  <c r="N12" i="4"/>
  <c r="M12" i="4"/>
  <c r="Q11" i="4"/>
  <c r="P11" i="4"/>
  <c r="O11" i="4"/>
  <c r="N11" i="4"/>
  <c r="M11" i="4"/>
  <c r="Q10" i="4"/>
  <c r="P10" i="4"/>
  <c r="O10" i="4"/>
  <c r="N10" i="4"/>
  <c r="M10" i="4"/>
  <c r="Q9" i="4"/>
  <c r="P9" i="4"/>
  <c r="O9" i="4"/>
  <c r="N9" i="4"/>
  <c r="M9" i="4"/>
  <c r="Z7" i="4"/>
  <c r="Y7" i="4"/>
  <c r="X7" i="4"/>
  <c r="X17" i="4" s="1"/>
  <c r="W7" i="4"/>
  <c r="W22" i="4" s="1"/>
  <c r="V7" i="4"/>
  <c r="Z6" i="4"/>
  <c r="Z16" i="4" s="1"/>
  <c r="Y6" i="4"/>
  <c r="Y16" i="4" s="1"/>
  <c r="X6" i="4"/>
  <c r="W6" i="4"/>
  <c r="V6" i="4"/>
  <c r="V16" i="4" s="1"/>
  <c r="Z5" i="4"/>
  <c r="Z15" i="4" s="1"/>
  <c r="Y5" i="4"/>
  <c r="Y20" i="4" s="1"/>
  <c r="X5" i="4"/>
  <c r="W5" i="4"/>
  <c r="W15" i="4" s="1"/>
  <c r="V5" i="4"/>
  <c r="V15" i="4" s="1"/>
  <c r="Z4" i="4"/>
  <c r="Y4" i="4"/>
  <c r="X4" i="4"/>
  <c r="W4" i="4"/>
  <c r="W14" i="4" s="1"/>
  <c r="V4" i="4"/>
  <c r="V19" i="4" s="1"/>
  <c r="Z3" i="4"/>
  <c r="Z27" i="4" s="1"/>
  <c r="Y3" i="4"/>
  <c r="X3" i="4"/>
  <c r="X25" i="4" s="1"/>
  <c r="W3" i="4"/>
  <c r="W26" i="4" s="1"/>
  <c r="V3" i="4"/>
  <c r="V27" i="4" s="1"/>
  <c r="J19" i="3"/>
  <c r="K19" i="3" s="1"/>
  <c r="J18" i="3"/>
  <c r="K18" i="3" s="1"/>
  <c r="J17" i="3"/>
  <c r="K17" i="3" s="1"/>
  <c r="J16" i="3"/>
  <c r="K16" i="3" s="1"/>
  <c r="J15" i="3"/>
  <c r="K15" i="3" s="1"/>
  <c r="J14" i="3"/>
  <c r="K14" i="3" s="1"/>
  <c r="J13" i="3"/>
  <c r="K13" i="3" s="1"/>
  <c r="J12" i="3"/>
  <c r="K12" i="3" s="1"/>
  <c r="J9" i="3"/>
  <c r="K9" i="3" s="1"/>
  <c r="J8" i="3"/>
  <c r="K8" i="3" s="1"/>
  <c r="J7" i="3"/>
  <c r="K7" i="3" s="1"/>
  <c r="J6" i="3"/>
  <c r="K6" i="3" s="1"/>
  <c r="J5" i="3"/>
  <c r="K5" i="3" s="1"/>
  <c r="J4" i="3"/>
  <c r="K4" i="3" s="1"/>
  <c r="K3" i="3"/>
  <c r="J3" i="3"/>
  <c r="J2" i="3"/>
  <c r="K2" i="3" s="1"/>
  <c r="AP86" i="2"/>
  <c r="AP85" i="2"/>
  <c r="AP83" i="2"/>
  <c r="AP82" i="2"/>
  <c r="AP80" i="2"/>
  <c r="AP79" i="2"/>
  <c r="AP77" i="2"/>
  <c r="AP76" i="2"/>
  <c r="H76" i="2"/>
  <c r="C76" i="2" s="1"/>
  <c r="U37" i="2" s="1"/>
  <c r="AP75" i="2"/>
  <c r="H75" i="2"/>
  <c r="C75" i="2" s="1"/>
  <c r="R40" i="2" s="1"/>
  <c r="U65" i="2"/>
  <c r="R65" i="2"/>
  <c r="O65" i="2"/>
  <c r="BH65" i="2" s="1"/>
  <c r="L65" i="2"/>
  <c r="I65" i="2"/>
  <c r="U64" i="2"/>
  <c r="R64" i="2"/>
  <c r="O64" i="2"/>
  <c r="BH64" i="2" s="1"/>
  <c r="L64" i="2"/>
  <c r="I64" i="2"/>
  <c r="U63" i="2"/>
  <c r="R63" i="2"/>
  <c r="O63" i="2"/>
  <c r="BH63" i="2" s="1"/>
  <c r="L63" i="2"/>
  <c r="I63" i="2"/>
  <c r="U62" i="2"/>
  <c r="R62" i="2"/>
  <c r="O62" i="2"/>
  <c r="BH62" i="2" s="1"/>
  <c r="L62" i="2"/>
  <c r="I62" i="2"/>
  <c r="U61" i="2"/>
  <c r="R61" i="2"/>
  <c r="O61" i="2"/>
  <c r="BH61" i="2" s="1"/>
  <c r="L61" i="2"/>
  <c r="I61" i="2"/>
  <c r="U19" i="2"/>
  <c r="R19" i="2"/>
  <c r="O19" i="2"/>
  <c r="L19" i="2"/>
  <c r="I19" i="2"/>
  <c r="U18" i="2"/>
  <c r="R18" i="2"/>
  <c r="O18" i="2"/>
  <c r="L18" i="2"/>
  <c r="I18" i="2"/>
  <c r="U17" i="2"/>
  <c r="R17" i="2"/>
  <c r="O17" i="2"/>
  <c r="L17" i="2"/>
  <c r="I17" i="2"/>
  <c r="U16" i="2"/>
  <c r="R16" i="2"/>
  <c r="O16" i="2"/>
  <c r="L16" i="2"/>
  <c r="I16" i="2"/>
  <c r="U15" i="2"/>
  <c r="R15" i="2"/>
  <c r="O15" i="2"/>
  <c r="L15" i="2"/>
  <c r="I15" i="2"/>
  <c r="U14" i="2"/>
  <c r="R14" i="2"/>
  <c r="R50" i="2" s="1"/>
  <c r="BK50" i="2" s="1"/>
  <c r="O14" i="2"/>
  <c r="O50" i="2" s="1"/>
  <c r="BH50" i="2" s="1"/>
  <c r="L14" i="2"/>
  <c r="L50" i="2" s="1"/>
  <c r="BE50" i="2" s="1"/>
  <c r="I14" i="2"/>
  <c r="U13" i="2"/>
  <c r="U49" i="2" s="1"/>
  <c r="R13" i="2"/>
  <c r="R49" i="2" s="1"/>
  <c r="O13" i="2"/>
  <c r="O49" i="2" s="1"/>
  <c r="BH49" i="2" s="1"/>
  <c r="L13" i="2"/>
  <c r="I13" i="2"/>
  <c r="I49" i="2" s="1"/>
  <c r="U12" i="2"/>
  <c r="U48" i="2" s="1"/>
  <c r="R12" i="2"/>
  <c r="R48" i="2" s="1"/>
  <c r="O12" i="2"/>
  <c r="L12" i="2"/>
  <c r="L48" i="2" s="1"/>
  <c r="I12" i="2"/>
  <c r="I48" i="2" s="1"/>
  <c r="U11" i="2"/>
  <c r="U47" i="2" s="1"/>
  <c r="R11" i="2"/>
  <c r="O11" i="2"/>
  <c r="O47" i="2" s="1"/>
  <c r="BH47" i="2" s="1"/>
  <c r="L11" i="2"/>
  <c r="L47" i="2" s="1"/>
  <c r="I11" i="2"/>
  <c r="I47" i="2" s="1"/>
  <c r="U10" i="2"/>
  <c r="R10" i="2"/>
  <c r="R46" i="2" s="1"/>
  <c r="BK46" i="2" s="1"/>
  <c r="O10" i="2"/>
  <c r="O46" i="2" s="1"/>
  <c r="BH46" i="2" s="1"/>
  <c r="L10" i="2"/>
  <c r="L46" i="2" s="1"/>
  <c r="BE46" i="2" s="1"/>
  <c r="I10" i="2"/>
  <c r="AF34" i="1"/>
  <c r="AF27" i="1"/>
  <c r="AF20" i="1"/>
  <c r="AF13" i="1"/>
  <c r="AF6" i="1"/>
  <c r="BB49" i="2" l="1"/>
  <c r="BN49" i="2"/>
  <c r="BE61" i="2"/>
  <c r="BT61" i="2" s="1"/>
  <c r="BQ49" i="2"/>
  <c r="I51" i="2"/>
  <c r="I46" i="2"/>
  <c r="BB46" i="2" s="1"/>
  <c r="U51" i="2"/>
  <c r="U46" i="2"/>
  <c r="BN46" i="2" s="1"/>
  <c r="R52" i="2"/>
  <c r="R47" i="2"/>
  <c r="BK47" i="2" s="1"/>
  <c r="O53" i="2"/>
  <c r="BH53" i="2" s="1"/>
  <c r="BW53" i="2" s="1"/>
  <c r="O48" i="2"/>
  <c r="BH48" i="2" s="1"/>
  <c r="L54" i="2"/>
  <c r="L49" i="2"/>
  <c r="BE49" i="2" s="1"/>
  <c r="I55" i="2"/>
  <c r="I50" i="2"/>
  <c r="BB50" i="2" s="1"/>
  <c r="U55" i="2"/>
  <c r="U50" i="2"/>
  <c r="BN50" i="2" s="1"/>
  <c r="BW47" i="2"/>
  <c r="CC49" i="2"/>
  <c r="BT46" i="2"/>
  <c r="BN47" i="2"/>
  <c r="BK48" i="2"/>
  <c r="BW49" i="2"/>
  <c r="BT50" i="2"/>
  <c r="BZ46" i="2"/>
  <c r="BE48" i="2"/>
  <c r="BZ50" i="2"/>
  <c r="BB47" i="2"/>
  <c r="BW46" i="2"/>
  <c r="BE47" i="2"/>
  <c r="BB48" i="2"/>
  <c r="BN48" i="2"/>
  <c r="BK49" i="2"/>
  <c r="BW50" i="2"/>
  <c r="BN62" i="2"/>
  <c r="BE62" i="2"/>
  <c r="Z19" i="4"/>
  <c r="X21" i="4"/>
  <c r="BB62" i="2"/>
  <c r="BB61" i="2"/>
  <c r="BK62" i="2"/>
  <c r="BE64" i="2"/>
  <c r="BT64" i="2" s="1"/>
  <c r="BN65" i="2"/>
  <c r="CC65" i="2" s="1"/>
  <c r="BB65" i="2"/>
  <c r="BQ65" i="2" s="1"/>
  <c r="BB63" i="2"/>
  <c r="BQ63" i="2" s="1"/>
  <c r="BE63" i="2"/>
  <c r="BT63" i="2" s="1"/>
  <c r="CC62" i="2"/>
  <c r="BN64" i="2"/>
  <c r="BN63" i="2"/>
  <c r="BW65" i="2"/>
  <c r="BW62" i="2"/>
  <c r="BB64" i="2"/>
  <c r="BK65" i="2"/>
  <c r="BW64" i="2"/>
  <c r="BK64" i="2"/>
  <c r="BN61" i="2"/>
  <c r="BW63" i="2"/>
  <c r="BW61" i="2"/>
  <c r="BK61" i="2"/>
  <c r="BK63" i="2"/>
  <c r="BE65" i="2"/>
  <c r="R56" i="2"/>
  <c r="L58" i="2"/>
  <c r="U59" i="2"/>
  <c r="O57" i="2"/>
  <c r="BH57" i="2" s="1"/>
  <c r="I59" i="2"/>
  <c r="I37" i="2"/>
  <c r="O56" i="2"/>
  <c r="BH56" i="2" s="1"/>
  <c r="I58" i="2"/>
  <c r="R59" i="2"/>
  <c r="L57" i="2"/>
  <c r="U58" i="2"/>
  <c r="O60" i="2"/>
  <c r="BH60" i="2" s="1"/>
  <c r="O52" i="2"/>
  <c r="BH52" i="2" s="1"/>
  <c r="R38" i="2"/>
  <c r="R39" i="2"/>
  <c r="I53" i="2"/>
  <c r="L53" i="2"/>
  <c r="BE53" i="2" s="1"/>
  <c r="R51" i="2"/>
  <c r="O51" i="2"/>
  <c r="BH51" i="2" s="1"/>
  <c r="I60" i="2"/>
  <c r="BB60" i="2" s="1"/>
  <c r="L52" i="2"/>
  <c r="BE52" i="2" s="1"/>
  <c r="I54" i="2"/>
  <c r="L56" i="2"/>
  <c r="BE56" i="2" s="1"/>
  <c r="L51" i="2"/>
  <c r="R53" i="2"/>
  <c r="BK53" i="2" s="1"/>
  <c r="R58" i="2"/>
  <c r="O37" i="2"/>
  <c r="BH37" i="2" s="1"/>
  <c r="R36" i="2"/>
  <c r="O36" i="2"/>
  <c r="BH36" i="2" s="1"/>
  <c r="R37" i="2"/>
  <c r="U36" i="2"/>
  <c r="I36" i="2"/>
  <c r="L37" i="2"/>
  <c r="L36" i="2"/>
  <c r="L40" i="2"/>
  <c r="O39" i="2"/>
  <c r="BH39" i="2" s="1"/>
  <c r="I40" i="2"/>
  <c r="I39" i="2"/>
  <c r="L38" i="2"/>
  <c r="U38" i="2"/>
  <c r="O40" i="2"/>
  <c r="BH40" i="2" s="1"/>
  <c r="L39" i="2"/>
  <c r="O38" i="2"/>
  <c r="BH38" i="2" s="1"/>
  <c r="U40" i="2"/>
  <c r="U39" i="2"/>
  <c r="I38" i="2"/>
  <c r="I57" i="2"/>
  <c r="I52" i="2"/>
  <c r="O59" i="2"/>
  <c r="BH59" i="2" s="1"/>
  <c r="O54" i="2"/>
  <c r="BH54" i="2" s="1"/>
  <c r="U57" i="2"/>
  <c r="U52" i="2"/>
  <c r="L60" i="2"/>
  <c r="L55" i="2"/>
  <c r="U53" i="2"/>
  <c r="U54" i="2"/>
  <c r="O55" i="2"/>
  <c r="BH55" i="2" s="1"/>
  <c r="U56" i="2"/>
  <c r="R57" i="2"/>
  <c r="U60" i="2"/>
  <c r="BN60" i="2" s="1"/>
  <c r="R55" i="2"/>
  <c r="R60" i="2"/>
  <c r="R54" i="2"/>
  <c r="I56" i="2"/>
  <c r="O58" i="2"/>
  <c r="BH58" i="2" s="1"/>
  <c r="L59" i="2"/>
  <c r="Y27" i="4"/>
  <c r="Y24" i="4"/>
  <c r="Y23" i="4"/>
  <c r="Y19" i="4"/>
  <c r="X20" i="4"/>
  <c r="W21" i="4"/>
  <c r="V22" i="4"/>
  <c r="Z22" i="4"/>
  <c r="Y13" i="4"/>
  <c r="Y25" i="4"/>
  <c r="Z24" i="4"/>
  <c r="X19" i="4"/>
  <c r="W20" i="4"/>
  <c r="V21" i="4"/>
  <c r="Z21" i="4"/>
  <c r="Y22" i="4"/>
  <c r="X14" i="4"/>
  <c r="Y17" i="4"/>
  <c r="V24" i="4"/>
  <c r="Z12" i="4"/>
  <c r="V12" i="4"/>
  <c r="X11" i="4"/>
  <c r="Z10" i="4"/>
  <c r="V10" i="4"/>
  <c r="Y12" i="4"/>
  <c r="W11" i="4"/>
  <c r="Y10" i="4"/>
  <c r="W12" i="4"/>
  <c r="Y11" i="4"/>
  <c r="X12" i="4"/>
  <c r="Z11" i="4"/>
  <c r="V11" i="4"/>
  <c r="X10" i="4"/>
  <c r="W10" i="4"/>
  <c r="X9" i="4"/>
  <c r="Z8" i="4"/>
  <c r="V8" i="4"/>
  <c r="W9" i="4"/>
  <c r="Y8" i="4"/>
  <c r="Z9" i="4"/>
  <c r="V9" i="4"/>
  <c r="X8" i="4"/>
  <c r="Y9" i="4"/>
  <c r="W8" i="4"/>
  <c r="X18" i="4"/>
  <c r="V20" i="4"/>
  <c r="X26" i="4"/>
  <c r="W27" i="4"/>
  <c r="V13" i="4"/>
  <c r="Z13" i="4"/>
  <c r="Y14" i="4"/>
  <c r="X15" i="4"/>
  <c r="W16" i="4"/>
  <c r="V17" i="4"/>
  <c r="Z17" i="4"/>
  <c r="Y18" i="4"/>
  <c r="V23" i="4"/>
  <c r="Z23" i="4"/>
  <c r="W24" i="4"/>
  <c r="V25" i="4"/>
  <c r="Z25" i="4"/>
  <c r="Y26" i="4"/>
  <c r="X27" i="4"/>
  <c r="W19" i="4"/>
  <c r="Z20" i="4"/>
  <c r="Y21" i="4"/>
  <c r="X22" i="4"/>
  <c r="W13" i="4"/>
  <c r="V14" i="4"/>
  <c r="Z14" i="4"/>
  <c r="Y15" i="4"/>
  <c r="X16" i="4"/>
  <c r="W17" i="4"/>
  <c r="V18" i="4"/>
  <c r="Z18" i="4"/>
  <c r="W23" i="4"/>
  <c r="X24" i="4"/>
  <c r="W25" i="4"/>
  <c r="V26" i="4"/>
  <c r="Z26" i="4"/>
  <c r="X13" i="4"/>
  <c r="W18" i="4"/>
  <c r="X23" i="4"/>
  <c r="BB53" i="2" l="1"/>
  <c r="BN53" i="2"/>
  <c r="CC53" i="2" s="1"/>
  <c r="BZ62" i="2"/>
  <c r="BQ46" i="2"/>
  <c r="BQ61" i="2"/>
  <c r="CC48" i="2"/>
  <c r="BT48" i="2"/>
  <c r="CC47" i="2"/>
  <c r="CC50" i="2"/>
  <c r="BT49" i="2"/>
  <c r="BT62" i="2"/>
  <c r="BQ48" i="2"/>
  <c r="BQ47" i="2"/>
  <c r="BQ50" i="2"/>
  <c r="BW48" i="2"/>
  <c r="CC46" i="2"/>
  <c r="BZ49" i="2"/>
  <c r="BZ48" i="2"/>
  <c r="BZ47" i="2"/>
  <c r="BT47" i="2"/>
  <c r="BE55" i="2"/>
  <c r="BQ62" i="2"/>
  <c r="BK60" i="2"/>
  <c r="BZ60" i="2" s="1"/>
  <c r="BB39" i="2"/>
  <c r="BQ39" i="2" s="1"/>
  <c r="BE60" i="2"/>
  <c r="BN39" i="2"/>
  <c r="CC39" i="2" s="1"/>
  <c r="BB38" i="2"/>
  <c r="BK37" i="2"/>
  <c r="BK38" i="2"/>
  <c r="BZ38" i="2" s="1"/>
  <c r="BB37" i="2"/>
  <c r="BB51" i="2"/>
  <c r="BE37" i="2"/>
  <c r="BK56" i="2"/>
  <c r="BN56" i="2"/>
  <c r="CC56" i="2" s="1"/>
  <c r="BB56" i="2"/>
  <c r="BN54" i="2"/>
  <c r="BK52" i="2"/>
  <c r="BZ52" i="2" s="1"/>
  <c r="BB54" i="2"/>
  <c r="BQ54" i="2" s="1"/>
  <c r="BB59" i="2"/>
  <c r="BQ59" i="2" s="1"/>
  <c r="BB55" i="2"/>
  <c r="BQ55" i="2" s="1"/>
  <c r="BN40" i="2"/>
  <c r="BK55" i="2"/>
  <c r="BB40" i="2"/>
  <c r="BQ40" i="2" s="1"/>
  <c r="BZ61" i="2"/>
  <c r="BT52" i="2"/>
  <c r="CC60" i="2"/>
  <c r="BW39" i="2"/>
  <c r="BQ60" i="2"/>
  <c r="BW58" i="2"/>
  <c r="BW55" i="2"/>
  <c r="BW59" i="2"/>
  <c r="BW40" i="2"/>
  <c r="BZ53" i="2"/>
  <c r="BT53" i="2"/>
  <c r="BK59" i="2"/>
  <c r="BK40" i="2"/>
  <c r="BZ65" i="2"/>
  <c r="BN51" i="2"/>
  <c r="BB52" i="2"/>
  <c r="BN38" i="2"/>
  <c r="BB36" i="2"/>
  <c r="BE51" i="2"/>
  <c r="BQ53" i="2"/>
  <c r="BB58" i="2"/>
  <c r="BQ64" i="2"/>
  <c r="BN55" i="2"/>
  <c r="BK54" i="2"/>
  <c r="BB57" i="2"/>
  <c r="BE38" i="2"/>
  <c r="BN36" i="2"/>
  <c r="BT56" i="2"/>
  <c r="BK39" i="2"/>
  <c r="BW56" i="2"/>
  <c r="BN37" i="2"/>
  <c r="BZ64" i="2"/>
  <c r="BE54" i="2"/>
  <c r="BQ38" i="2"/>
  <c r="BW36" i="2"/>
  <c r="BW52" i="2"/>
  <c r="BN52" i="2"/>
  <c r="BK36" i="2"/>
  <c r="BW60" i="2"/>
  <c r="BW57" i="2"/>
  <c r="CC64" i="2"/>
  <c r="BK57" i="2"/>
  <c r="BN57" i="2"/>
  <c r="BW38" i="2"/>
  <c r="BE40" i="2"/>
  <c r="BW37" i="2"/>
  <c r="BW51" i="2"/>
  <c r="BN58" i="2"/>
  <c r="BN59" i="2"/>
  <c r="BT65" i="2"/>
  <c r="CC63" i="2"/>
  <c r="BE59" i="2"/>
  <c r="BW54" i="2"/>
  <c r="BE39" i="2"/>
  <c r="BE36" i="2"/>
  <c r="BK58" i="2"/>
  <c r="BK51" i="2"/>
  <c r="BE57" i="2"/>
  <c r="BE58" i="2"/>
  <c r="BZ63" i="2"/>
  <c r="CC61" i="2"/>
  <c r="BT55" i="2"/>
  <c r="BW67" i="2" l="1"/>
  <c r="BQ69" i="2"/>
  <c r="BW66" i="2"/>
  <c r="BW69" i="2"/>
  <c r="BQ70" i="2"/>
  <c r="BW68" i="2"/>
  <c r="BW70" i="2"/>
  <c r="BQ37" i="2"/>
  <c r="BZ56" i="2"/>
  <c r="BT60" i="2"/>
  <c r="BT37" i="2"/>
  <c r="CC54" i="2"/>
  <c r="BZ37" i="2"/>
  <c r="BQ51" i="2"/>
  <c r="BQ56" i="2"/>
  <c r="CC40" i="2"/>
  <c r="BZ55" i="2"/>
  <c r="BT58" i="2"/>
  <c r="CC58" i="2"/>
  <c r="BZ36" i="2"/>
  <c r="BT54" i="2"/>
  <c r="BQ52" i="2"/>
  <c r="BZ40" i="2"/>
  <c r="BT57" i="2"/>
  <c r="CC52" i="2"/>
  <c r="CC36" i="2"/>
  <c r="BT59" i="2"/>
  <c r="BT38" i="2"/>
  <c r="BT68" i="2" s="1"/>
  <c r="BQ58" i="2"/>
  <c r="BQ68" i="2" s="1"/>
  <c r="BZ58" i="2"/>
  <c r="BZ68" i="2" s="1"/>
  <c r="BQ57" i="2"/>
  <c r="BZ59" i="2"/>
  <c r="BT39" i="2"/>
  <c r="BT40" i="2"/>
  <c r="BT51" i="2"/>
  <c r="CC51" i="2"/>
  <c r="BZ39" i="2"/>
  <c r="BZ54" i="2"/>
  <c r="BQ36" i="2"/>
  <c r="CC59" i="2"/>
  <c r="CC55" i="2"/>
  <c r="CC38" i="2"/>
  <c r="CC57" i="2"/>
  <c r="BZ57" i="2"/>
  <c r="BZ51" i="2"/>
  <c r="CC37" i="2"/>
  <c r="BT36" i="2"/>
  <c r="CC68" i="2" l="1"/>
  <c r="CC69" i="2"/>
  <c r="BQ66" i="2"/>
  <c r="BZ69" i="2"/>
  <c r="BZ70" i="2"/>
  <c r="BZ67" i="2"/>
  <c r="BT67" i="2"/>
  <c r="BQ67" i="2"/>
  <c r="CC66" i="2"/>
  <c r="CC67" i="2"/>
  <c r="BT70" i="2"/>
  <c r="BZ66" i="2"/>
  <c r="BT66" i="2"/>
  <c r="BT69" i="2"/>
  <c r="CC70" i="2"/>
  <c r="BW71" i="2"/>
  <c r="AS83" i="2" l="1"/>
  <c r="AS79" i="2"/>
  <c r="BW79" i="2"/>
  <c r="BW83" i="2"/>
  <c r="BQ71" i="2"/>
  <c r="BW75" i="2" s="1"/>
  <c r="AS75" i="2"/>
  <c r="BT71" i="2"/>
  <c r="BZ71" i="2"/>
  <c r="CC71" i="2"/>
  <c r="BW86" i="2" l="1"/>
  <c r="BW80" i="2"/>
  <c r="BZ79" i="2" s="1"/>
  <c r="BW82" i="2"/>
  <c r="BZ82" i="2" s="1"/>
  <c r="BW76" i="2"/>
  <c r="BW85" i="2"/>
  <c r="BZ85" i="2" s="1"/>
  <c r="BW77" i="2"/>
  <c r="AS77" i="2"/>
  <c r="AS85" i="2"/>
  <c r="AS82" i="2"/>
  <c r="AV82" i="2" s="1"/>
  <c r="AS76" i="2"/>
  <c r="AS86" i="2"/>
  <c r="AS80" i="2"/>
  <c r="AV79" i="2" s="1"/>
  <c r="AV76" i="2" l="1"/>
  <c r="CC84" i="2"/>
  <c r="BZ75" i="2"/>
  <c r="BZ76" i="2"/>
  <c r="AV75" i="2"/>
  <c r="AY78" i="2" s="1"/>
  <c r="AV85" i="2"/>
  <c r="AY84" i="2" s="1"/>
  <c r="AY87" i="2" l="1"/>
  <c r="CC78" i="2"/>
  <c r="CC87" i="2" s="1"/>
</calcChain>
</file>

<file path=xl/sharedStrings.xml><?xml version="1.0" encoding="utf-8"?>
<sst xmlns="http://schemas.openxmlformats.org/spreadsheetml/2006/main" count="1137" uniqueCount="318">
  <si>
    <t>Aspect ratio</t>
  </si>
  <si>
    <t># Ports</t>
  </si>
  <si>
    <t>Length</t>
  </si>
  <si>
    <t>Width</t>
  </si>
  <si>
    <t>COBS</t>
  </si>
  <si>
    <t>Mass</t>
  </si>
  <si>
    <t>LOBS</t>
  </si>
  <si>
    <t>LIBS</t>
  </si>
  <si>
    <t>X        CogG offest       Y</t>
  </si>
  <si>
    <t>Area visible</t>
  </si>
  <si>
    <t>m2</t>
  </si>
  <si>
    <t>mm</t>
  </si>
  <si>
    <t>(1000kg/m3)</t>
  </si>
  <si>
    <t>Port</t>
  </si>
  <si>
    <t>DC*617</t>
  </si>
  <si>
    <t>DC*743</t>
  </si>
  <si>
    <t>CofG</t>
  </si>
  <si>
    <t>X</t>
  </si>
  <si>
    <t>Y</t>
  </si>
  <si>
    <t>Z</t>
  </si>
  <si>
    <t>Blanket</t>
  </si>
  <si>
    <t>Cof G</t>
  </si>
  <si>
    <t>DC*772</t>
  </si>
  <si>
    <t>RH interface</t>
  </si>
  <si>
    <t>4.0</t>
  </si>
  <si>
    <t>DC*792</t>
  </si>
  <si>
    <t>Parameter</t>
  </si>
  <si>
    <t>No</t>
  </si>
  <si>
    <t>Name</t>
  </si>
  <si>
    <t>P1</t>
  </si>
  <si>
    <t>P2</t>
  </si>
  <si>
    <t>General effect in words</t>
  </si>
  <si>
    <t>Step change function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</si>
  <si>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</si>
  <si>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</si>
  <si>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</si>
  <si>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</si>
  <si>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</si>
  <si>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</si>
  <si>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</si>
  <si>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</si>
  <si>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</si>
  <si>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</si>
  <si>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</si>
  <si>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</si>
  <si>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</si>
  <si>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</si>
  <si>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</si>
  <si>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</si>
  <si>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</si>
  <si>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</si>
  <si>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</si>
  <si>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</si>
  <si>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</si>
  <si>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</si>
  <si>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</si>
  <si>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</si>
  <si>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</si>
  <si>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</si>
  <si>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</si>
  <si>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</si>
  <si>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</si>
  <si>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</si>
  <si>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</si>
  <si>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</si>
  <si>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Beneficial Correlation</t>
  </si>
  <si>
    <t>More blanket segments require more parts to be  remote maintained</t>
  </si>
  <si>
    <t>Total number of blanket segments</t>
  </si>
  <si>
    <t>lower</t>
  </si>
  <si>
    <t>n/a</t>
  </si>
  <si>
    <t>Heavier blankets are more difficult to handle</t>
  </si>
  <si>
    <t>LIBS mass</t>
  </si>
  <si>
    <t>RIBS mass</t>
  </si>
  <si>
    <t>LOBS mass</t>
  </si>
  <si>
    <t>COBS mass</t>
  </si>
  <si>
    <t>ROBS mass</t>
  </si>
  <si>
    <t>LIBS volume</t>
  </si>
  <si>
    <t>Bulky blankets are more difficult to handle</t>
  </si>
  <si>
    <t>RIBS volume</t>
  </si>
  <si>
    <t>LOBS volume</t>
  </si>
  <si>
    <t>COBS volume</t>
  </si>
  <si>
    <t>ROBS volume</t>
  </si>
  <si>
    <t>LIBS length</t>
  </si>
  <si>
    <t>Longer blankets are more difficult to handle</t>
  </si>
  <si>
    <t>RIBS length</t>
  </si>
  <si>
    <t>LOBS length</t>
  </si>
  <si>
    <t>COBS length</t>
  </si>
  <si>
    <t>ROBS length</t>
  </si>
  <si>
    <t>LIBS CSA visible through vertical port</t>
  </si>
  <si>
    <t>Larger visible CSA enables RM footprint on blanket to increase aiding RM</t>
  </si>
  <si>
    <t>RIBS CSA visible through vertical port</t>
  </si>
  <si>
    <t>LOBS CSA visible through vertical port</t>
  </si>
  <si>
    <t>COBS CSA visible through vertical port</t>
  </si>
  <si>
    <t>ROBS CSA visible through vertical port</t>
  </si>
  <si>
    <t>The smaller the moment arm the lower the torque aiding RM</t>
  </si>
  <si>
    <t>LIBS CofG offset from lifting point in plan view</t>
  </si>
  <si>
    <t>RIBS CofG offset from lifting point in plan view</t>
  </si>
  <si>
    <t>LOBS CofG offset from lifting point in plan view</t>
  </si>
  <si>
    <t>COBS CofG offset from lifting point in plan view</t>
  </si>
  <si>
    <t>ROBS CofG offset from lifting point in plan view</t>
  </si>
  <si>
    <t>Total CSA of vertical port</t>
  </si>
  <si>
    <t>Larger CSA enables easier RM</t>
  </si>
  <si>
    <t>Slender blankets are more flexible therefore harder to handle</t>
  </si>
  <si>
    <t>P35</t>
  </si>
  <si>
    <t>P36</t>
  </si>
  <si>
    <t>P37</t>
  </si>
  <si>
    <t>P38</t>
  </si>
  <si>
    <t>P39</t>
  </si>
  <si>
    <t>P40</t>
  </si>
  <si>
    <t>P41</t>
  </si>
  <si>
    <t>P42</t>
  </si>
  <si>
    <t>Kinematic steps to remove LIBS</t>
  </si>
  <si>
    <t>Fewer steps leads to simpler handling</t>
  </si>
  <si>
    <t>Kinematic steps to remove RIBS</t>
  </si>
  <si>
    <t>Kinematic steps to remove LOBS</t>
  </si>
  <si>
    <t>Kinematic steps to remove COBS</t>
  </si>
  <si>
    <t>Kinematic steps to remove ROBS</t>
  </si>
  <si>
    <t>Total CSA of LIBS in plan view</t>
  </si>
  <si>
    <t>Larger blanket CSA makes removal harder</t>
  </si>
  <si>
    <t>Total CSA of RIBS in plan view</t>
  </si>
  <si>
    <t>Total CSA of LOBS in plan view</t>
  </si>
  <si>
    <t>Total CSA of COBS in plan view</t>
  </si>
  <si>
    <t>Total CSA of ROBS in plan view</t>
  </si>
  <si>
    <t>Units</t>
  </si>
  <si>
    <t>Tonnes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</si>
  <si>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</si>
  <si>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t>m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</si>
  <si>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</si>
  <si>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2014 Baseline</t>
  </si>
  <si>
    <t>TF</t>
  </si>
  <si>
    <t>AR</t>
  </si>
  <si>
    <t>2015 Baseline</t>
  </si>
  <si>
    <t>2014-15 Intermediate</t>
  </si>
  <si>
    <t>Actuals</t>
  </si>
  <si>
    <t>Assumptions:</t>
  </si>
  <si>
    <r>
      <t>Tonnes/m</t>
    </r>
    <r>
      <rPr>
        <vertAlign val="superscript"/>
        <sz val="11"/>
        <color theme="1"/>
        <rFont val="Calibri"/>
        <family val="2"/>
        <scheme val="minor"/>
      </rPr>
      <t>3</t>
    </r>
  </si>
  <si>
    <t>Average Blanket density</t>
  </si>
  <si>
    <t>LIBS manifold slenderness ratio</t>
  </si>
  <si>
    <t>RIBS manifold slenderness ratio</t>
  </si>
  <si>
    <t>LOBS manifold slenderness ratio</t>
  </si>
  <si>
    <t>COBS manifold slenderness ratio</t>
  </si>
  <si>
    <t>ROBS manifold slenderness ratio</t>
  </si>
  <si>
    <t>Outboard blanket manifold radius of gyration</t>
  </si>
  <si>
    <t>Inboard blanket manifold radius of gyration</t>
  </si>
  <si>
    <t>b</t>
  </si>
  <si>
    <t>d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</si>
  <si>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</si>
  <si>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</si>
  <si>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</si>
  <si>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</si>
  <si>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</si>
  <si>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</si>
  <si>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</si>
  <si>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</si>
  <si>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</si>
  <si>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</si>
  <si>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</si>
  <si>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</si>
  <si>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</si>
  <si>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</si>
  <si>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</si>
  <si>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</si>
  <si>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</si>
  <si>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</si>
  <si>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</si>
  <si>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</si>
  <si>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LIBS relative stress</t>
  </si>
  <si>
    <t>LOBS relative stress</t>
  </si>
  <si>
    <t>RIBS relative stress</t>
  </si>
  <si>
    <t>COBS relative stress</t>
  </si>
  <si>
    <t>ROBS relative stress</t>
  </si>
  <si>
    <t>LIBS Torque</t>
  </si>
  <si>
    <t>RIBS Torque</t>
  </si>
  <si>
    <t>LOBS Torque</t>
  </si>
  <si>
    <t>COBS Torque</t>
  </si>
  <si>
    <t>ROBS Torque</t>
  </si>
  <si>
    <t>LIBS area ratio</t>
  </si>
  <si>
    <t>RIBS area ratio</t>
  </si>
  <si>
    <t>LOBS area ratio</t>
  </si>
  <si>
    <t>COBS area ratio</t>
  </si>
  <si>
    <t>ROBS area ratio</t>
  </si>
  <si>
    <t>LOBS Total</t>
  </si>
  <si>
    <t>LIBS Total</t>
  </si>
  <si>
    <t>RIBS Total</t>
  </si>
  <si>
    <t>COBS Total</t>
  </si>
  <si>
    <t>ROBS Total</t>
  </si>
  <si>
    <t>Lower stress makes handling easier</t>
  </si>
  <si>
    <t>Lower torque makes handling easier</t>
  </si>
  <si>
    <t>Smaller blanket CSA &amp; larger available CSA make handling easier</t>
  </si>
  <si>
    <t>Ixx</t>
  </si>
  <si>
    <t>GPa</t>
  </si>
  <si>
    <t>kNm</t>
  </si>
  <si>
    <t>Total</t>
  </si>
  <si>
    <t>DC*818</t>
  </si>
  <si>
    <t>Reduced AR (18)</t>
  </si>
  <si>
    <t>Reduced AR (16)</t>
  </si>
  <si>
    <t>TECHNICAL weightings</t>
  </si>
  <si>
    <t>SPEED  weightings</t>
  </si>
  <si>
    <t>Volume</t>
  </si>
  <si>
    <t>Manifold slenderness ratio</t>
  </si>
  <si>
    <t>Kinematic steps to remove BS</t>
  </si>
  <si>
    <t>Relative stress</t>
  </si>
  <si>
    <t>Torque</t>
  </si>
  <si>
    <t>Area ratio</t>
  </si>
  <si>
    <t>Technical Weighting</t>
  </si>
  <si>
    <t>Speed Weighting</t>
  </si>
  <si>
    <t>Score</t>
  </si>
  <si>
    <t>Remote Handling Speed Index</t>
  </si>
  <si>
    <t>Speed Weighted</t>
  </si>
  <si>
    <t>Aspect Ratio (TF 16)</t>
  </si>
  <si>
    <t>RHTFI</t>
  </si>
  <si>
    <t>Aspect Ratio (TF 18)</t>
  </si>
  <si>
    <t>TF No (AR 3.1)</t>
  </si>
  <si>
    <t>TF No (AR 2.6)</t>
  </si>
  <si>
    <t>RHSI</t>
  </si>
  <si>
    <t>RHTFI roc/delta AR</t>
  </si>
  <si>
    <t>RHTFI roc/delta TF</t>
  </si>
  <si>
    <t>RHSI roc/delta AR</t>
  </si>
  <si>
    <t>RHSI roc/delta TF</t>
  </si>
  <si>
    <t>Rank</t>
  </si>
  <si>
    <t>Reduced AR (TF 16)</t>
  </si>
  <si>
    <t>Reduced AR (TF 18)</t>
  </si>
  <si>
    <t>P2_1</t>
  </si>
  <si>
    <t>P2_2</t>
  </si>
  <si>
    <t>P2_3</t>
  </si>
  <si>
    <t>P2_4</t>
  </si>
  <si>
    <t>P2_5</t>
  </si>
  <si>
    <t>P3_1</t>
  </si>
  <si>
    <t>P3_2</t>
  </si>
  <si>
    <t>P3_3</t>
  </si>
  <si>
    <t>P3_4</t>
  </si>
  <si>
    <t>P3_5</t>
  </si>
  <si>
    <t>P4_1</t>
  </si>
  <si>
    <t>P4_2</t>
  </si>
  <si>
    <t>P4_3</t>
  </si>
  <si>
    <t>P4_4</t>
  </si>
  <si>
    <t>P4_5</t>
  </si>
  <si>
    <t>P5_1</t>
  </si>
  <si>
    <t>P5_2</t>
  </si>
  <si>
    <t>P5_3</t>
  </si>
  <si>
    <t>P5_4</t>
  </si>
  <si>
    <t>P5_5</t>
  </si>
  <si>
    <t>P7_1</t>
  </si>
  <si>
    <t>P7_2</t>
  </si>
  <si>
    <t>P7_3</t>
  </si>
  <si>
    <t>P7_4</t>
  </si>
  <si>
    <t>P7_5</t>
  </si>
  <si>
    <t>P8_1</t>
  </si>
  <si>
    <t>P8_2</t>
  </si>
  <si>
    <t>P8_3</t>
  </si>
  <si>
    <t>P8_4</t>
  </si>
  <si>
    <t>P8_5</t>
  </si>
  <si>
    <t>P9_1</t>
  </si>
  <si>
    <t>P9_2</t>
  </si>
  <si>
    <t>P9_3</t>
  </si>
  <si>
    <t>P9_4</t>
  </si>
  <si>
    <t>P9_5</t>
  </si>
  <si>
    <t>P10_1</t>
  </si>
  <si>
    <t>P10_2</t>
  </si>
  <si>
    <t>P10_3</t>
  </si>
  <si>
    <t>P10_4</t>
  </si>
  <si>
    <t>P10_5</t>
  </si>
  <si>
    <t>P11_1</t>
  </si>
  <si>
    <t>P11_2</t>
  </si>
  <si>
    <t>P11_3</t>
  </si>
  <si>
    <t>P11_4</t>
  </si>
  <si>
    <t>P11_5</t>
  </si>
  <si>
    <t>P12_1</t>
  </si>
  <si>
    <t>P12_2</t>
  </si>
  <si>
    <t>P12_3</t>
  </si>
  <si>
    <t>P12_4</t>
  </si>
  <si>
    <t>P12_5</t>
  </si>
  <si>
    <t>P13_1</t>
  </si>
  <si>
    <t>P13_2</t>
  </si>
  <si>
    <t>P13_3</t>
  </si>
  <si>
    <t>P13_4</t>
  </si>
  <si>
    <t>P13_5</t>
  </si>
  <si>
    <r>
      <t>m</t>
    </r>
    <r>
      <rPr>
        <vertAlign val="superscript"/>
        <sz val="8"/>
        <color theme="1"/>
        <rFont val="Calibri"/>
        <family val="2"/>
        <scheme val="minor"/>
      </rPr>
      <t>2</t>
    </r>
  </si>
  <si>
    <r>
      <t>m</t>
    </r>
    <r>
      <rPr>
        <vertAlign val="superscript"/>
        <sz val="8"/>
        <color theme="1"/>
        <rFont val="Calibri"/>
        <family val="2"/>
        <scheme val="minor"/>
      </rPr>
      <t>3</t>
    </r>
  </si>
  <si>
    <r>
      <t>Tonnes/m</t>
    </r>
    <r>
      <rPr>
        <vertAlign val="superscript"/>
        <sz val="8"/>
        <color theme="1"/>
        <rFont val="Calibri"/>
        <family val="2"/>
        <scheme val="minor"/>
      </rPr>
      <t>3</t>
    </r>
  </si>
  <si>
    <t>Normalised</t>
  </si>
  <si>
    <t>Technical Feasibility Weighted</t>
  </si>
  <si>
    <t>Speed Totals</t>
  </si>
  <si>
    <t>RM Speed Index</t>
  </si>
  <si>
    <t>RIBS</t>
  </si>
  <si>
    <t>ROBS</t>
  </si>
  <si>
    <t>Overall</t>
  </si>
  <si>
    <t>Remote Handling Technical Feasiblity Index</t>
  </si>
  <si>
    <t>RM Technical Feasibility Index</t>
  </si>
  <si>
    <t>Technical Totals</t>
  </si>
  <si>
    <t>TECHNICAL Pairwise matrix</t>
  </si>
  <si>
    <t>SPEED  Pairwise matrix</t>
  </si>
  <si>
    <t>Eigenvectors</t>
  </si>
  <si>
    <t>Summing to 1</t>
  </si>
  <si>
    <t>Techincal Weighted</t>
  </si>
  <si>
    <t>Normalised (compared to 2015 baseline)</t>
  </si>
  <si>
    <t>Equivalent Tooling Stress</t>
  </si>
  <si>
    <t>Equivalent Interface Stress</t>
  </si>
  <si>
    <t>P63</t>
  </si>
  <si>
    <t>P64</t>
  </si>
  <si>
    <t>P65</t>
  </si>
  <si>
    <t>P66</t>
  </si>
  <si>
    <t>P67</t>
  </si>
  <si>
    <t>LIBS equivalent interface stress</t>
  </si>
  <si>
    <t>RIBS equivalent interface stress</t>
  </si>
  <si>
    <t>LOBS equivalent interface stress</t>
  </si>
  <si>
    <t>COBS equivalent interface stress</t>
  </si>
  <si>
    <t>ROBS equivalent interface stress</t>
  </si>
  <si>
    <t>LIBS equivalent tooling stress</t>
  </si>
  <si>
    <t>RIBS equivalent tooling stress</t>
  </si>
  <si>
    <t>LOBS equivalent tooling stress</t>
  </si>
  <si>
    <t>COBS equivalent  tooling stress</t>
  </si>
  <si>
    <t>ROBS equivalent tooling stress</t>
  </si>
  <si>
    <t>Normalised (compared to 2015 baseline Max)</t>
  </si>
  <si>
    <t>No of TF Coils</t>
  </si>
  <si>
    <t>Aspect Ratio</t>
  </si>
  <si>
    <t>RMTFI</t>
  </si>
  <si>
    <t>RMSI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</si>
</sst>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79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quotePrefix="1" applyFill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1" fillId="0" borderId="16" xfId="0" applyFont="1" applyBorder="1"/>
    <xf numFmtId="0" fontId="1" fillId="0" borderId="17" xfId="0" applyFont="1" applyBorder="1"/>
    <xf numFmtId="0" fontId="0" fillId="0" borderId="17" xfId="0" applyBorder="1"/>
    <xf numFmtId="164" fontId="0" fillId="0" borderId="19" xfId="0" applyNumberFormat="1" applyBorder="1"/>
    <xf numFmtId="0" fontId="0" fillId="0" borderId="8" xfId="0" applyBorder="1"/>
    <xf numFmtId="0" fontId="0" fillId="0" borderId="20" xfId="0" applyBorder="1"/>
    <xf numFmtId="0" fontId="0" fillId="0" borderId="11" xfId="0" applyBorder="1"/>
    <xf numFmtId="0" fontId="5" fillId="0" borderId="0" xfId="0" applyFont="1"/>
    <xf numFmtId="165" fontId="0" fillId="0" borderId="0" xfId="0" applyNumberFormat="1"/>
    <xf numFmtId="0" fontId="0" fillId="0" borderId="30" xfId="0" applyBorder="1"/>
    <xf numFmtId="0" fontId="0" fillId="0" borderId="33" xfId="0" applyBorder="1"/>
    <xf numFmtId="0" fontId="0" fillId="0" borderId="7" xfId="0" applyFill="1" applyBorder="1"/>
    <xf numFmtId="0" fontId="0" fillId="0" borderId="17" xfId="0" applyFill="1" applyBorder="1"/>
    <xf numFmtId="0" fontId="0" fillId="9" borderId="2" xfId="0" applyFill="1" applyBorder="1"/>
    <xf numFmtId="0" fontId="0" fillId="9" borderId="0" xfId="0" applyFill="1" applyBorder="1"/>
    <xf numFmtId="0" fontId="0" fillId="9" borderId="5" xfId="0" applyFill="1" applyBorder="1"/>
    <xf numFmtId="0" fontId="0" fillId="0" borderId="16" xfId="0" applyBorder="1"/>
    <xf numFmtId="0" fontId="1" fillId="0" borderId="7" xfId="0" applyFont="1" applyFill="1" applyBorder="1"/>
    <xf numFmtId="0" fontId="1" fillId="0" borderId="9" xfId="0" applyFont="1" applyFill="1" applyBorder="1"/>
    <xf numFmtId="0" fontId="1" fillId="0" borderId="12" xfId="0" applyFont="1" applyFill="1" applyBorder="1"/>
    <xf numFmtId="0" fontId="0" fillId="0" borderId="14" xfId="0" applyBorder="1"/>
    <xf numFmtId="0" fontId="0" fillId="0" borderId="22" xfId="0" applyBorder="1"/>
    <xf numFmtId="0" fontId="0" fillId="0" borderId="15" xfId="0" applyBorder="1"/>
    <xf numFmtId="0" fontId="6" fillId="9" borderId="0" xfId="0" applyFont="1" applyFill="1" applyBorder="1"/>
    <xf numFmtId="0" fontId="6" fillId="9" borderId="2" xfId="0" applyFont="1" applyFill="1" applyBorder="1"/>
    <xf numFmtId="0" fontId="6" fillId="9" borderId="5" xfId="0" applyFont="1" applyFill="1" applyBorder="1"/>
    <xf numFmtId="166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10" borderId="0" xfId="0" applyFill="1" applyAlignment="1">
      <alignment horizontal="left"/>
    </xf>
    <xf numFmtId="0" fontId="0" fillId="0" borderId="35" xfId="0" applyBorder="1"/>
    <xf numFmtId="0" fontId="0" fillId="0" borderId="18" xfId="0" applyBorder="1"/>
    <xf numFmtId="0" fontId="0" fillId="9" borderId="7" xfId="0" applyFill="1" applyBorder="1"/>
    <xf numFmtId="0" fontId="0" fillId="0" borderId="0" xfId="0" applyBorder="1"/>
    <xf numFmtId="0" fontId="0" fillId="0" borderId="0" xfId="0" applyFill="1" applyBorder="1"/>
    <xf numFmtId="0" fontId="0" fillId="0" borderId="27" xfId="0" applyBorder="1"/>
    <xf numFmtId="0" fontId="0" fillId="0" borderId="21" xfId="0" applyBorder="1"/>
    <xf numFmtId="0" fontId="0" fillId="9" borderId="13" xfId="0" applyFill="1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11" borderId="27" xfId="0" applyFill="1" applyBorder="1"/>
    <xf numFmtId="0" fontId="0" fillId="0" borderId="28" xfId="0" applyBorder="1"/>
    <xf numFmtId="0" fontId="0" fillId="9" borderId="38" xfId="0" applyFill="1" applyBorder="1"/>
    <xf numFmtId="0" fontId="0" fillId="11" borderId="33" xfId="0" applyFill="1" applyBorder="1"/>
    <xf numFmtId="0" fontId="0" fillId="0" borderId="34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45" xfId="0" applyFill="1" applyBorder="1"/>
    <xf numFmtId="0" fontId="0" fillId="0" borderId="46" xfId="0" applyFill="1" applyBorder="1"/>
    <xf numFmtId="0" fontId="0" fillId="0" borderId="47" xfId="0" applyFill="1" applyBorder="1"/>
    <xf numFmtId="0" fontId="0" fillId="11" borderId="39" xfId="0" applyFill="1" applyBorder="1"/>
    <xf numFmtId="0" fontId="0" fillId="11" borderId="36" xfId="0" applyFill="1" applyBorder="1"/>
    <xf numFmtId="0" fontId="0" fillId="11" borderId="37" xfId="0" applyFill="1" applyBorder="1"/>
    <xf numFmtId="0" fontId="0" fillId="11" borderId="43" xfId="0" applyFill="1" applyBorder="1"/>
    <xf numFmtId="0" fontId="0" fillId="11" borderId="23" xfId="0" applyFill="1" applyBorder="1"/>
    <xf numFmtId="0" fontId="0" fillId="11" borderId="47" xfId="0" applyFill="1" applyBorder="1"/>
    <xf numFmtId="0" fontId="0" fillId="11" borderId="45" xfId="0" applyFill="1" applyBorder="1"/>
    <xf numFmtId="0" fontId="0" fillId="11" borderId="46" xfId="0" applyFill="1" applyBorder="1"/>
    <xf numFmtId="0" fontId="0" fillId="11" borderId="0" xfId="0" applyFill="1" applyBorder="1"/>
    <xf numFmtId="164" fontId="0" fillId="0" borderId="20" xfId="0" applyNumberFormat="1" applyBorder="1" applyAlignment="1"/>
    <xf numFmtId="164" fontId="0" fillId="0" borderId="7" xfId="0" applyNumberFormat="1" applyBorder="1" applyAlignment="1"/>
    <xf numFmtId="164" fontId="0" fillId="0" borderId="21" xfId="0" applyNumberFormat="1" applyBorder="1" applyAlignment="1"/>
    <xf numFmtId="164" fontId="0" fillId="0" borderId="11" xfId="0" applyNumberFormat="1" applyBorder="1" applyAlignment="1"/>
    <xf numFmtId="164" fontId="0" fillId="0" borderId="12" xfId="0" applyNumberFormat="1" applyBorder="1" applyAlignment="1"/>
    <xf numFmtId="164" fontId="0" fillId="0" borderId="13" xfId="0" applyNumberFormat="1" applyBorder="1" applyAlignment="1"/>
    <xf numFmtId="164" fontId="0" fillId="0" borderId="8" xfId="0" applyNumberFormat="1" applyBorder="1" applyAlignment="1"/>
    <xf numFmtId="164" fontId="0" fillId="0" borderId="9" xfId="0" applyNumberFormat="1" applyBorder="1" applyAlignment="1"/>
    <xf numFmtId="164" fontId="0" fillId="0" borderId="10" xfId="0" applyNumberFormat="1" applyBorder="1" applyAlignment="1"/>
    <xf numFmtId="0" fontId="9" fillId="0" borderId="0" xfId="0" applyFont="1"/>
    <xf numFmtId="0" fontId="8" fillId="0" borderId="11" xfId="0" applyFont="1" applyBorder="1"/>
    <xf numFmtId="0" fontId="8" fillId="0" borderId="12" xfId="0" applyFont="1" applyBorder="1"/>
    <xf numFmtId="0" fontId="8" fillId="0" borderId="13" xfId="0" applyFont="1" applyBorder="1"/>
    <xf numFmtId="0" fontId="9" fillId="0" borderId="30" xfId="0" applyFont="1" applyBorder="1"/>
    <xf numFmtId="0" fontId="9" fillId="0" borderId="33" xfId="0" applyFont="1" applyBorder="1"/>
    <xf numFmtId="0" fontId="9" fillId="0" borderId="35" xfId="0" applyFont="1" applyBorder="1"/>
    <xf numFmtId="164" fontId="9" fillId="0" borderId="8" xfId="0" applyNumberFormat="1" applyFont="1" applyBorder="1" applyAlignment="1"/>
    <xf numFmtId="164" fontId="9" fillId="0" borderId="9" xfId="0" applyNumberFormat="1" applyFont="1" applyBorder="1" applyAlignment="1"/>
    <xf numFmtId="164" fontId="9" fillId="0" borderId="10" xfId="0" applyNumberFormat="1" applyFont="1" applyBorder="1" applyAlignment="1"/>
    <xf numFmtId="0" fontId="9" fillId="0" borderId="20" xfId="0" applyFont="1" applyBorder="1"/>
    <xf numFmtId="0" fontId="9" fillId="0" borderId="7" xfId="0" applyFont="1" applyBorder="1"/>
    <xf numFmtId="0" fontId="9" fillId="0" borderId="22" xfId="0" applyFont="1" applyBorder="1"/>
    <xf numFmtId="164" fontId="9" fillId="0" borderId="20" xfId="0" applyNumberFormat="1" applyFont="1" applyBorder="1" applyAlignment="1"/>
    <xf numFmtId="164" fontId="9" fillId="0" borderId="7" xfId="0" applyNumberFormat="1" applyFont="1" applyBorder="1" applyAlignment="1"/>
    <xf numFmtId="164" fontId="9" fillId="0" borderId="21" xfId="0" applyNumberFormat="1" applyFont="1" applyBorder="1" applyAlignment="1"/>
    <xf numFmtId="164" fontId="11" fillId="0" borderId="20" xfId="0" applyNumberFormat="1" applyFont="1" applyBorder="1" applyAlignment="1"/>
    <xf numFmtId="0" fontId="9" fillId="0" borderId="7" xfId="0" applyFont="1" applyFill="1" applyBorder="1"/>
    <xf numFmtId="1" fontId="9" fillId="0" borderId="20" xfId="0" applyNumberFormat="1" applyFont="1" applyBorder="1" applyAlignment="1"/>
    <xf numFmtId="1" fontId="9" fillId="0" borderId="7" xfId="0" applyNumberFormat="1" applyFont="1" applyBorder="1" applyAlignment="1"/>
    <xf numFmtId="1" fontId="9" fillId="0" borderId="21" xfId="0" applyNumberFormat="1" applyFont="1" applyBorder="1" applyAlignment="1"/>
    <xf numFmtId="0" fontId="9" fillId="0" borderId="0" xfId="0" applyFont="1" applyAlignment="1"/>
    <xf numFmtId="0" fontId="9" fillId="0" borderId="11" xfId="0" applyFont="1" applyBorder="1"/>
    <xf numFmtId="0" fontId="9" fillId="0" borderId="12" xfId="0" applyFont="1" applyBorder="1"/>
    <xf numFmtId="0" fontId="9" fillId="0" borderId="15" xfId="0" applyFont="1" applyBorder="1"/>
    <xf numFmtId="1" fontId="9" fillId="0" borderId="11" xfId="0" applyNumberFormat="1" applyFont="1" applyBorder="1" applyAlignment="1"/>
    <xf numFmtId="1" fontId="9" fillId="0" borderId="12" xfId="0" applyNumberFormat="1" applyFont="1" applyBorder="1" applyAlignment="1"/>
    <xf numFmtId="1" fontId="9" fillId="0" borderId="13" xfId="0" applyNumberFormat="1" applyFont="1" applyBorder="1" applyAlignment="1"/>
    <xf numFmtId="164" fontId="9" fillId="0" borderId="11" xfId="0" applyNumberFormat="1" applyFont="1" applyBorder="1" applyAlignment="1"/>
    <xf numFmtId="164" fontId="9" fillId="0" borderId="12" xfId="0" applyNumberFormat="1" applyFont="1" applyBorder="1" applyAlignment="1"/>
    <xf numFmtId="164" fontId="9" fillId="0" borderId="13" xfId="0" applyNumberFormat="1" applyFont="1" applyBorder="1" applyAlignment="1"/>
    <xf numFmtId="164" fontId="9" fillId="0" borderId="20" xfId="0" applyNumberFormat="1" applyFont="1" applyFill="1" applyBorder="1" applyAlignment="1"/>
    <xf numFmtId="164" fontId="9" fillId="0" borderId="7" xfId="0" applyNumberFormat="1" applyFont="1" applyFill="1" applyBorder="1" applyAlignment="1"/>
    <xf numFmtId="164" fontId="9" fillId="0" borderId="21" xfId="0" applyNumberFormat="1" applyFont="1" applyFill="1" applyBorder="1" applyAlignment="1"/>
    <xf numFmtId="0" fontId="12" fillId="0" borderId="0" xfId="0" applyFont="1"/>
    <xf numFmtId="165" fontId="9" fillId="0" borderId="0" xfId="0" applyNumberFormat="1" applyFont="1"/>
    <xf numFmtId="166" fontId="9" fillId="0" borderId="0" xfId="0" applyNumberFormat="1" applyFont="1" applyAlignment="1"/>
    <xf numFmtId="0" fontId="9" fillId="0" borderId="12" xfId="0" applyFont="1" applyFill="1" applyBorder="1"/>
    <xf numFmtId="164" fontId="9" fillId="0" borderId="11" xfId="0" applyNumberFormat="1" applyFont="1" applyFill="1" applyBorder="1" applyAlignment="1"/>
    <xf numFmtId="164" fontId="9" fillId="0" borderId="12" xfId="0" applyNumberFormat="1" applyFont="1" applyFill="1" applyBorder="1" applyAlignment="1"/>
    <xf numFmtId="164" fontId="9" fillId="0" borderId="13" xfId="0" applyNumberFormat="1" applyFont="1" applyFill="1" applyBorder="1" applyAlignment="1"/>
    <xf numFmtId="0" fontId="8" fillId="0" borderId="16" xfId="0" applyFont="1" applyBorder="1"/>
    <xf numFmtId="0" fontId="8" fillId="0" borderId="17" xfId="0" applyFont="1" applyBorder="1"/>
    <xf numFmtId="0" fontId="9" fillId="0" borderId="8" xfId="0" applyFont="1" applyBorder="1"/>
    <xf numFmtId="0" fontId="9" fillId="0" borderId="10" xfId="0" applyFont="1" applyBorder="1"/>
    <xf numFmtId="0" fontId="9" fillId="0" borderId="21" xfId="0" applyFont="1" applyBorder="1"/>
    <xf numFmtId="0" fontId="9" fillId="0" borderId="21" xfId="0" applyFont="1" applyFill="1" applyBorder="1"/>
    <xf numFmtId="0" fontId="9" fillId="0" borderId="13" xfId="0" applyFont="1" applyFill="1" applyBorder="1"/>
    <xf numFmtId="0" fontId="1" fillId="0" borderId="45" xfId="0" applyFont="1" applyFill="1" applyBorder="1"/>
    <xf numFmtId="0" fontId="1" fillId="0" borderId="47" xfId="0" applyFont="1" applyFill="1" applyBorder="1"/>
    <xf numFmtId="0" fontId="1" fillId="0" borderId="57" xfId="0" applyFont="1" applyFill="1" applyBorder="1"/>
    <xf numFmtId="0" fontId="4" fillId="0" borderId="43" xfId="0" applyFont="1" applyBorder="1"/>
    <xf numFmtId="2" fontId="3" fillId="0" borderId="38" xfId="0" applyNumberFormat="1" applyFont="1" applyFill="1" applyBorder="1" applyAlignment="1"/>
    <xf numFmtId="2" fontId="3" fillId="0" borderId="33" xfId="0" applyNumberFormat="1" applyFont="1" applyFill="1" applyBorder="1" applyAlignment="1"/>
    <xf numFmtId="2" fontId="3" fillId="0" borderId="34" xfId="0" applyNumberFormat="1" applyFont="1" applyFill="1" applyBorder="1" applyAlignment="1"/>
    <xf numFmtId="2" fontId="3" fillId="0" borderId="27" xfId="0" applyNumberFormat="1" applyFont="1" applyFill="1" applyBorder="1" applyAlignment="1"/>
    <xf numFmtId="2" fontId="3" fillId="0" borderId="7" xfId="0" applyNumberFormat="1" applyFont="1" applyFill="1" applyBorder="1" applyAlignment="1"/>
    <xf numFmtId="2" fontId="3" fillId="0" borderId="21" xfId="0" applyNumberFormat="1" applyFont="1" applyFill="1" applyBorder="1" applyAlignment="1"/>
    <xf numFmtId="2" fontId="3" fillId="0" borderId="29" xfId="0" applyNumberFormat="1" applyFont="1" applyFill="1" applyBorder="1" applyAlignment="1"/>
    <xf numFmtId="2" fontId="3" fillId="0" borderId="17" xfId="0" applyNumberFormat="1" applyFont="1" applyFill="1" applyBorder="1" applyAlignment="1"/>
    <xf numFmtId="2" fontId="3" fillId="0" borderId="19" xfId="0" applyNumberFormat="1" applyFont="1" applyFill="1" applyBorder="1" applyAlignment="1"/>
    <xf numFmtId="2" fontId="4" fillId="0" borderId="39" xfId="0" applyNumberFormat="1" applyFont="1" applyFill="1" applyBorder="1" applyAlignment="1"/>
    <xf numFmtId="2" fontId="4" fillId="0" borderId="36" xfId="0" applyNumberFormat="1" applyFont="1" applyFill="1" applyBorder="1" applyAlignment="1"/>
    <xf numFmtId="2" fontId="4" fillId="0" borderId="37" xfId="0" applyNumberFormat="1" applyFont="1" applyFill="1" applyBorder="1" applyAlignment="1"/>
    <xf numFmtId="2" fontId="3" fillId="0" borderId="8" xfId="0" applyNumberFormat="1" applyFont="1" applyFill="1" applyBorder="1" applyAlignment="1"/>
    <xf numFmtId="2" fontId="3" fillId="0" borderId="9" xfId="0" applyNumberFormat="1" applyFont="1" applyFill="1" applyBorder="1" applyAlignment="1"/>
    <xf numFmtId="2" fontId="3" fillId="0" borderId="20" xfId="0" applyNumberFormat="1" applyFont="1" applyFill="1" applyBorder="1" applyAlignment="1"/>
    <xf numFmtId="2" fontId="3" fillId="0" borderId="16" xfId="0" applyNumberFormat="1" applyFont="1" applyFill="1" applyBorder="1" applyAlignment="1"/>
    <xf numFmtId="2" fontId="4" fillId="0" borderId="48" xfId="0" applyNumberFormat="1" applyFont="1" applyFill="1" applyBorder="1" applyAlignment="1"/>
    <xf numFmtId="0" fontId="0" fillId="0" borderId="0" xfId="0" applyAlignment="1"/>
    <xf numFmtId="0" fontId="0" fillId="0" borderId="0" xfId="0"/>
    <xf numFmtId="0" fontId="7" fillId="0" borderId="0" xfId="0" applyFont="1" applyBorder="1" applyAlignment="1">
      <alignment horizontal="center"/>
    </xf>
    <xf numFmtId="2" fontId="0" fillId="0" borderId="12" xfId="0" applyNumberFormat="1" applyBorder="1"/>
    <xf numFmtId="0" fontId="0" fillId="0" borderId="0" xfId="0"/>
    <xf numFmtId="166" fontId="0" fillId="0" borderId="0" xfId="0" applyNumberFormat="1" applyFill="1" applyBorder="1"/>
    <xf numFmtId="0" fontId="0" fillId="11" borderId="1" xfId="0" applyFill="1" applyBorder="1"/>
    <xf numFmtId="2" fontId="0" fillId="0" borderId="7" xfId="0" applyNumberFormat="1" applyBorder="1"/>
    <xf numFmtId="0" fontId="0" fillId="11" borderId="48" xfId="0" applyFill="1" applyBorder="1"/>
    <xf numFmtId="0" fontId="0" fillId="9" borderId="26" xfId="0" applyFill="1" applyBorder="1"/>
    <xf numFmtId="0" fontId="0" fillId="11" borderId="44" xfId="0" applyFill="1" applyBorder="1"/>
    <xf numFmtId="2" fontId="0" fillId="0" borderId="21" xfId="0" applyNumberFormat="1" applyBorder="1"/>
    <xf numFmtId="0" fontId="0" fillId="0" borderId="58" xfId="0" applyFill="1" applyBorder="1"/>
    <xf numFmtId="0" fontId="14" fillId="0" borderId="7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49" xfId="0" applyFont="1" applyBorder="1"/>
    <xf numFmtId="0" fontId="14" fillId="0" borderId="50" xfId="0" applyFont="1" applyBorder="1"/>
    <xf numFmtId="0" fontId="14" fillId="0" borderId="51" xfId="0" applyFont="1" applyBorder="1"/>
    <xf numFmtId="0" fontId="14" fillId="0" borderId="20" xfId="0" quotePrefix="1" applyFont="1" applyBorder="1" applyAlignment="1">
      <alignment horizontal="center"/>
    </xf>
    <xf numFmtId="2" fontId="14" fillId="0" borderId="20" xfId="0" applyNumberFormat="1" applyFont="1" applyBorder="1" applyAlignment="1">
      <alignment horizontal="right"/>
    </xf>
    <xf numFmtId="2" fontId="14" fillId="0" borderId="7" xfId="0" applyNumberFormat="1" applyFont="1" applyBorder="1" applyAlignment="1">
      <alignment horizontal="right"/>
    </xf>
    <xf numFmtId="2" fontId="14" fillId="0" borderId="21" xfId="0" applyNumberFormat="1" applyFont="1" applyBorder="1" applyAlignment="1">
      <alignment horizontal="right"/>
    </xf>
    <xf numFmtId="2" fontId="14" fillId="0" borderId="11" xfId="0" applyNumberFormat="1" applyFont="1" applyBorder="1" applyAlignment="1">
      <alignment horizontal="right"/>
    </xf>
    <xf numFmtId="2" fontId="14" fillId="0" borderId="12" xfId="0" applyNumberFormat="1" applyFont="1" applyBorder="1" applyAlignment="1">
      <alignment horizontal="right"/>
    </xf>
    <xf numFmtId="2" fontId="14" fillId="0" borderId="13" xfId="0" applyNumberFormat="1" applyFont="1" applyBorder="1" applyAlignment="1">
      <alignment horizontal="right"/>
    </xf>
    <xf numFmtId="0" fontId="14" fillId="0" borderId="30" xfId="0" applyFont="1" applyBorder="1" applyAlignment="1">
      <alignment horizontal="center"/>
    </xf>
    <xf numFmtId="0" fontId="14" fillId="0" borderId="33" xfId="0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9" fillId="0" borderId="0" xfId="0" applyFont="1" applyBorder="1"/>
    <xf numFmtId="0" fontId="9" fillId="0" borderId="67" xfId="0" applyFont="1" applyBorder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/>
    <xf numFmtId="165" fontId="0" fillId="0" borderId="65" xfId="0" applyNumberFormat="1" applyBorder="1" applyAlignment="1"/>
    <xf numFmtId="165" fontId="0" fillId="0" borderId="2" xfId="0" applyNumberFormat="1" applyBorder="1" applyAlignment="1"/>
    <xf numFmtId="165" fontId="0" fillId="0" borderId="63" xfId="0" applyNumberFormat="1" applyBorder="1" applyAlignment="1"/>
    <xf numFmtId="0" fontId="0" fillId="0" borderId="58" xfId="0" applyBorder="1" applyAlignment="1"/>
    <xf numFmtId="0" fontId="0" fillId="0" borderId="59" xfId="0" applyBorder="1" applyAlignment="1"/>
    <xf numFmtId="0" fontId="0" fillId="0" borderId="35" xfId="0" applyBorder="1" applyAlignment="1"/>
    <xf numFmtId="0" fontId="0" fillId="0" borderId="60" xfId="0" applyBorder="1" applyAlignment="1"/>
    <xf numFmtId="0" fontId="0" fillId="0" borderId="38" xfId="0" applyBorder="1" applyAlignment="1"/>
    <xf numFmtId="164" fontId="0" fillId="0" borderId="0" xfId="0" applyNumberFormat="1" applyAlignment="1"/>
    <xf numFmtId="0" fontId="0" fillId="12" borderId="31" xfId="0" applyFill="1" applyBorder="1"/>
    <xf numFmtId="0" fontId="0" fillId="12" borderId="0" xfId="0" applyFill="1" applyBorder="1"/>
    <xf numFmtId="0" fontId="0" fillId="12" borderId="4" xfId="0" applyFill="1" applyBorder="1"/>
    <xf numFmtId="0" fontId="0" fillId="12" borderId="5" xfId="0" applyFill="1" applyBorder="1"/>
    <xf numFmtId="0" fontId="0" fillId="0" borderId="0" xfId="0"/>
    <xf numFmtId="164" fontId="0" fillId="0" borderId="0" xfId="0" applyNumberFormat="1" applyBorder="1" applyAlignment="1"/>
    <xf numFmtId="164" fontId="0" fillId="9" borderId="31" xfId="0" applyNumberFormat="1" applyFill="1" applyBorder="1" applyAlignment="1"/>
    <xf numFmtId="164" fontId="0" fillId="9" borderId="0" xfId="0" applyNumberFormat="1" applyFill="1" applyBorder="1" applyAlignment="1"/>
    <xf numFmtId="164" fontId="0" fillId="9" borderId="32" xfId="0" applyNumberFormat="1" applyFill="1" applyBorder="1" applyAlignment="1"/>
    <xf numFmtId="165" fontId="0" fillId="9" borderId="1" xfId="0" applyNumberForma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165" fontId="0" fillId="9" borderId="3" xfId="0" applyNumberFormat="1" applyFill="1" applyBorder="1" applyAlignment="1">
      <alignment horizontal="center"/>
    </xf>
    <xf numFmtId="165" fontId="0" fillId="9" borderId="31" xfId="0" applyNumberFormat="1" applyFill="1" applyBorder="1" applyAlignment="1">
      <alignment horizontal="center"/>
    </xf>
    <xf numFmtId="165" fontId="0" fillId="9" borderId="0" xfId="0" applyNumberFormat="1" applyFill="1" applyBorder="1" applyAlignment="1">
      <alignment horizontal="center"/>
    </xf>
    <xf numFmtId="165" fontId="0" fillId="9" borderId="32" xfId="0" applyNumberFormat="1" applyFill="1" applyBorder="1" applyAlignment="1">
      <alignment horizontal="center"/>
    </xf>
    <xf numFmtId="165" fontId="0" fillId="0" borderId="48" xfId="0" applyNumberFormat="1" applyBorder="1" applyAlignment="1"/>
    <xf numFmtId="165" fontId="0" fillId="0" borderId="36" xfId="0" applyNumberFormat="1" applyBorder="1" applyAlignment="1"/>
    <xf numFmtId="165" fontId="0" fillId="0" borderId="37" xfId="0" applyNumberFormat="1" applyBorder="1" applyAlignment="1"/>
    <xf numFmtId="0" fontId="0" fillId="0" borderId="5" xfId="0" applyBorder="1" applyAlignment="1">
      <alignment horizontal="center"/>
    </xf>
    <xf numFmtId="0" fontId="0" fillId="0" borderId="5" xfId="0" applyBorder="1" applyAlignment="1"/>
    <xf numFmtId="0" fontId="0" fillId="0" borderId="26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6" xfId="0" applyBorder="1" applyAlignment="1">
      <alignment wrapText="1"/>
    </xf>
    <xf numFmtId="164" fontId="0" fillId="9" borderId="1" xfId="0" applyNumberFormat="1" applyFill="1" applyBorder="1" applyAlignment="1"/>
    <xf numFmtId="164" fontId="0" fillId="9" borderId="2" xfId="0" applyNumberFormat="1" applyFill="1" applyBorder="1" applyAlignment="1"/>
    <xf numFmtId="164" fontId="0" fillId="9" borderId="3" xfId="0" applyNumberFormat="1" applyFill="1" applyBorder="1" applyAlignment="1"/>
    <xf numFmtId="166" fontId="0" fillId="0" borderId="8" xfId="0" applyNumberFormat="1" applyBorder="1" applyAlignment="1"/>
    <xf numFmtId="166" fontId="0" fillId="0" borderId="9" xfId="0" applyNumberFormat="1" applyBorder="1" applyAlignment="1"/>
    <xf numFmtId="166" fontId="0" fillId="0" borderId="65" xfId="0" applyNumberFormat="1" applyBorder="1" applyAlignment="1"/>
    <xf numFmtId="166" fontId="0" fillId="0" borderId="2" xfId="0" applyNumberFormat="1" applyBorder="1" applyAlignment="1"/>
    <xf numFmtId="166" fontId="0" fillId="0" borderId="3" xfId="0" applyNumberFormat="1" applyBorder="1" applyAlignment="1"/>
    <xf numFmtId="0" fontId="0" fillId="0" borderId="32" xfId="0" applyBorder="1" applyAlignment="1"/>
    <xf numFmtId="0" fontId="0" fillId="0" borderId="66" xfId="0" applyBorder="1" applyAlignment="1"/>
    <xf numFmtId="0" fontId="0" fillId="0" borderId="6" xfId="0" applyBorder="1" applyAlignment="1"/>
    <xf numFmtId="165" fontId="0" fillId="0" borderId="8" xfId="0" applyNumberFormat="1" applyBorder="1" applyAlignment="1"/>
    <xf numFmtId="165" fontId="0" fillId="0" borderId="9" xfId="0" applyNumberFormat="1" applyBorder="1" applyAlignment="1"/>
    <xf numFmtId="164" fontId="0" fillId="0" borderId="20" xfId="0" applyNumberFormat="1" applyBorder="1" applyAlignment="1"/>
    <xf numFmtId="164" fontId="0" fillId="0" borderId="7" xfId="0" applyNumberFormat="1" applyBorder="1" applyAlignment="1"/>
    <xf numFmtId="164" fontId="0" fillId="0" borderId="22" xfId="0" applyNumberFormat="1" applyBorder="1" applyAlignment="1"/>
    <xf numFmtId="166" fontId="3" fillId="0" borderId="43" xfId="0" applyNumberFormat="1" applyFont="1" applyFill="1" applyBorder="1" applyAlignment="1"/>
    <xf numFmtId="0" fontId="0" fillId="9" borderId="14" xfId="0" applyFill="1" applyBorder="1"/>
    <xf numFmtId="0" fontId="0" fillId="9" borderId="40" xfId="0" applyFill="1" applyBorder="1"/>
    <xf numFmtId="0" fontId="0" fillId="9" borderId="56" xfId="0" applyFill="1" applyBorder="1"/>
    <xf numFmtId="0" fontId="0" fillId="9" borderId="22" xfId="0" applyFill="1" applyBorder="1"/>
    <xf numFmtId="0" fontId="0" fillId="9" borderId="41" xfId="0" applyFill="1" applyBorder="1"/>
    <xf numFmtId="0" fontId="0" fillId="9" borderId="62" xfId="0" applyFill="1" applyBorder="1"/>
    <xf numFmtId="165" fontId="0" fillId="9" borderId="4" xfId="0" applyNumberFormat="1" applyFill="1" applyBorder="1" applyAlignment="1">
      <alignment horizontal="center"/>
    </xf>
    <xf numFmtId="165" fontId="0" fillId="9" borderId="5" xfId="0" applyNumberFormat="1" applyFill="1" applyBorder="1" applyAlignment="1">
      <alignment horizontal="center"/>
    </xf>
    <xf numFmtId="165" fontId="0" fillId="9" borderId="6" xfId="0" applyNumberFormat="1" applyFill="1" applyBorder="1" applyAlignment="1">
      <alignment horizontal="center"/>
    </xf>
    <xf numFmtId="166" fontId="0" fillId="9" borderId="1" xfId="0" applyNumberFormat="1" applyFill="1" applyBorder="1" applyAlignment="1">
      <alignment horizontal="center"/>
    </xf>
    <xf numFmtId="166" fontId="0" fillId="9" borderId="2" xfId="0" applyNumberFormat="1" applyFill="1" applyBorder="1" applyAlignment="1">
      <alignment horizontal="center"/>
    </xf>
    <xf numFmtId="166" fontId="0" fillId="9" borderId="3" xfId="0" applyNumberFormat="1" applyFill="1" applyBorder="1" applyAlignment="1">
      <alignment horizontal="center"/>
    </xf>
    <xf numFmtId="166" fontId="0" fillId="9" borderId="31" xfId="0" applyNumberFormat="1" applyFill="1" applyBorder="1" applyAlignment="1">
      <alignment horizontal="center"/>
    </xf>
    <xf numFmtId="166" fontId="0" fillId="9" borderId="0" xfId="0" applyNumberFormat="1" applyFill="1" applyBorder="1" applyAlignment="1">
      <alignment horizontal="center"/>
    </xf>
    <xf numFmtId="166" fontId="0" fillId="9" borderId="32" xfId="0" applyNumberFormat="1" applyFill="1" applyBorder="1" applyAlignment="1">
      <alignment horizontal="center"/>
    </xf>
    <xf numFmtId="166" fontId="0" fillId="9" borderId="4" xfId="0" applyNumberFormat="1" applyFill="1" applyBorder="1" applyAlignment="1">
      <alignment horizontal="center"/>
    </xf>
    <xf numFmtId="166" fontId="0" fillId="9" borderId="5" xfId="0" applyNumberFormat="1" applyFill="1" applyBorder="1" applyAlignment="1">
      <alignment horizontal="center"/>
    </xf>
    <xf numFmtId="166" fontId="0" fillId="9" borderId="6" xfId="0" applyNumberFormat="1" applyFill="1" applyBorder="1" applyAlignment="1">
      <alignment horizontal="center"/>
    </xf>
    <xf numFmtId="166" fontId="0" fillId="9" borderId="63" xfId="0" applyNumberFormat="1" applyFill="1" applyBorder="1" applyAlignment="1">
      <alignment horizontal="center"/>
    </xf>
    <xf numFmtId="166" fontId="0" fillId="9" borderId="59" xfId="0" applyNumberFormat="1" applyFill="1" applyBorder="1" applyAlignment="1">
      <alignment horizontal="center"/>
    </xf>
    <xf numFmtId="166" fontId="0" fillId="9" borderId="64" xfId="0" applyNumberFormat="1" applyFill="1" applyBorder="1" applyAlignment="1">
      <alignment horizontal="center"/>
    </xf>
    <xf numFmtId="164" fontId="0" fillId="0" borderId="35" xfId="0" applyNumberFormat="1" applyBorder="1" applyAlignment="1"/>
    <xf numFmtId="164" fontId="0" fillId="0" borderId="60" xfId="0" applyNumberFormat="1" applyBorder="1" applyAlignment="1"/>
    <xf numFmtId="164" fontId="0" fillId="0" borderId="38" xfId="0" applyNumberFormat="1" applyBorder="1" applyAlignment="1"/>
    <xf numFmtId="164" fontId="0" fillId="0" borderId="41" xfId="0" applyNumberFormat="1" applyBorder="1" applyAlignment="1"/>
    <xf numFmtId="164" fontId="0" fillId="0" borderId="27" xfId="0" applyNumberFormat="1" applyBorder="1" applyAlignment="1"/>
    <xf numFmtId="166" fontId="0" fillId="0" borderId="23" xfId="0" applyNumberFormat="1" applyBorder="1" applyAlignment="1"/>
    <xf numFmtId="166" fontId="0" fillId="0" borderId="24" xfId="0" applyNumberFormat="1" applyBorder="1" applyAlignment="1"/>
    <xf numFmtId="166" fontId="0" fillId="0" borderId="25" xfId="0" applyNumberFormat="1" applyBorder="1" applyAlignment="1"/>
    <xf numFmtId="165" fontId="0" fillId="0" borderId="23" xfId="0" applyNumberFormat="1" applyBorder="1" applyAlignment="1"/>
    <xf numFmtId="165" fontId="0" fillId="0" borderId="24" xfId="0" applyNumberFormat="1" applyBorder="1" applyAlignment="1"/>
    <xf numFmtId="165" fontId="0" fillId="0" borderId="25" xfId="0" applyNumberFormat="1" applyBorder="1" applyAlignment="1"/>
    <xf numFmtId="2" fontId="4" fillId="0" borderId="43" xfId="0" applyNumberFormat="1" applyFont="1" applyBorder="1" applyAlignment="1">
      <alignment horizontal="right"/>
    </xf>
    <xf numFmtId="2" fontId="0" fillId="0" borderId="0" xfId="0" applyNumberFormat="1" applyAlignment="1"/>
    <xf numFmtId="166" fontId="0" fillId="0" borderId="39" xfId="0" applyNumberFormat="1" applyBorder="1" applyAlignment="1"/>
    <xf numFmtId="166" fontId="0" fillId="0" borderId="43" xfId="0" applyNumberFormat="1" applyBorder="1" applyAlignment="1"/>
    <xf numFmtId="0" fontId="0" fillId="12" borderId="2" xfId="0" applyFill="1" applyBorder="1"/>
    <xf numFmtId="164" fontId="0" fillId="0" borderId="62" xfId="0" applyNumberFormat="1" applyBorder="1" applyAlignment="1"/>
    <xf numFmtId="164" fontId="0" fillId="0" borderId="7" xfId="0" applyNumberFormat="1" applyFill="1" applyBorder="1" applyAlignment="1"/>
    <xf numFmtId="164" fontId="0" fillId="0" borderId="22" xfId="0" applyNumberFormat="1" applyFill="1" applyBorder="1" applyAlignment="1"/>
    <xf numFmtId="164" fontId="0" fillId="0" borderId="12" xfId="0" applyNumberFormat="1" applyFill="1" applyBorder="1" applyAlignment="1"/>
    <xf numFmtId="164" fontId="0" fillId="0" borderId="15" xfId="0" applyNumberFormat="1" applyFill="1" applyBorder="1" applyAlignment="1"/>
    <xf numFmtId="0" fontId="0" fillId="9" borderId="0" xfId="0" applyFill="1" applyBorder="1" applyAlignment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" fontId="0" fillId="0" borderId="7" xfId="0" applyNumberFormat="1" applyBorder="1" applyAlignment="1"/>
    <xf numFmtId="1" fontId="0" fillId="0" borderId="22" xfId="0" applyNumberFormat="1" applyBorder="1" applyAlignment="1"/>
    <xf numFmtId="164" fontId="0" fillId="0" borderId="12" xfId="0" applyNumberFormat="1" applyBorder="1" applyAlignment="1"/>
    <xf numFmtId="164" fontId="0" fillId="0" borderId="41" xfId="0" applyNumberFormat="1" applyFill="1" applyBorder="1" applyAlignment="1"/>
    <xf numFmtId="164" fontId="0" fillId="0" borderId="27" xfId="0" applyNumberFormat="1" applyFill="1" applyBorder="1" applyAlignment="1"/>
    <xf numFmtId="164" fontId="0" fillId="0" borderId="42" xfId="0" applyNumberFormat="1" applyFill="1" applyBorder="1" applyAlignment="1"/>
    <xf numFmtId="164" fontId="0" fillId="0" borderId="28" xfId="0" applyNumberFormat="1" applyFill="1" applyBorder="1" applyAlignment="1"/>
    <xf numFmtId="0" fontId="0" fillId="9" borderId="5" xfId="0" applyFill="1" applyBorder="1" applyAlignment="1"/>
    <xf numFmtId="164" fontId="0" fillId="0" borderId="11" xfId="0" applyNumberFormat="1" applyFill="1" applyBorder="1" applyAlignment="1"/>
    <xf numFmtId="0" fontId="0" fillId="9" borderId="31" xfId="0" applyFill="1" applyBorder="1" applyAlignment="1"/>
    <xf numFmtId="1" fontId="0" fillId="0" borderId="41" xfId="0" applyNumberFormat="1" applyBorder="1" applyAlignment="1"/>
    <xf numFmtId="1" fontId="0" fillId="0" borderId="27" xfId="0" applyNumberFormat="1" applyBorder="1" applyAlignment="1"/>
    <xf numFmtId="164" fontId="0" fillId="0" borderId="14" xfId="0" applyNumberFormat="1" applyBorder="1" applyAlignment="1"/>
    <xf numFmtId="164" fontId="0" fillId="0" borderId="40" xfId="0" applyNumberFormat="1" applyBorder="1" applyAlignment="1"/>
    <xf numFmtId="164" fontId="0" fillId="0" borderId="26" xfId="0" applyNumberFormat="1" applyBorder="1" applyAlignment="1"/>
    <xf numFmtId="164" fontId="0" fillId="0" borderId="9" xfId="0" applyNumberFormat="1" applyBorder="1" applyAlignment="1"/>
    <xf numFmtId="164" fontId="0" fillId="0" borderId="20" xfId="0" applyNumberFormat="1" applyFill="1" applyBorder="1" applyAlignment="1"/>
    <xf numFmtId="0" fontId="0" fillId="9" borderId="4" xfId="0" applyFill="1" applyBorder="1" applyAlignment="1"/>
    <xf numFmtId="1" fontId="0" fillId="0" borderId="20" xfId="0" applyNumberFormat="1" applyBorder="1" applyAlignment="1"/>
    <xf numFmtId="164" fontId="0" fillId="0" borderId="50" xfId="0" applyNumberFormat="1" applyBorder="1" applyAlignment="1"/>
    <xf numFmtId="0" fontId="1" fillId="0" borderId="9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18" xfId="0" applyFont="1" applyBorder="1" applyAlignment="1">
      <alignment wrapText="1"/>
    </xf>
    <xf numFmtId="164" fontId="3" fillId="0" borderId="50" xfId="0" applyNumberFormat="1" applyFont="1" applyBorder="1" applyAlignment="1"/>
    <xf numFmtId="164" fontId="3" fillId="0" borderId="41" xfId="0" applyNumberFormat="1" applyFont="1" applyBorder="1" applyAlignment="1"/>
    <xf numFmtId="164" fontId="3" fillId="0" borderId="27" xfId="0" applyNumberFormat="1" applyFont="1" applyBorder="1" applyAlignment="1"/>
    <xf numFmtId="164" fontId="0" fillId="0" borderId="61" xfId="0" applyNumberFormat="1" applyBorder="1" applyAlignment="1"/>
    <xf numFmtId="164" fontId="0" fillId="0" borderId="11" xfId="0" applyNumberFormat="1" applyBorder="1" applyAlignment="1"/>
    <xf numFmtId="164" fontId="0" fillId="0" borderId="15" xfId="0" applyNumberFormat="1" applyBorder="1" applyAlignment="1"/>
    <xf numFmtId="164" fontId="0" fillId="0" borderId="42" xfId="0" applyNumberFormat="1" applyBorder="1" applyAlignment="1"/>
    <xf numFmtId="164" fontId="0" fillId="0" borderId="28" xfId="0" applyNumberFormat="1" applyBorder="1" applyAlignment="1"/>
    <xf numFmtId="0" fontId="1" fillId="0" borderId="8" xfId="0" applyFont="1" applyBorder="1" applyAlignment="1"/>
    <xf numFmtId="0" fontId="1" fillId="0" borderId="9" xfId="0" applyFont="1" applyBorder="1" applyAlignment="1"/>
    <xf numFmtId="0" fontId="0" fillId="0" borderId="9" xfId="0" applyBorder="1" applyAlignment="1"/>
    <xf numFmtId="164" fontId="0" fillId="0" borderId="8" xfId="0" applyNumberFormat="1" applyBorder="1" applyAlignment="1"/>
    <xf numFmtId="0" fontId="0" fillId="12" borderId="1" xfId="0" applyFill="1" applyBorder="1"/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14" fillId="0" borderId="68" xfId="0" applyFont="1" applyBorder="1" applyAlignment="1"/>
    <xf numFmtId="0" fontId="0" fillId="0" borderId="69" xfId="0" applyBorder="1" applyAlignment="1"/>
    <xf numFmtId="0" fontId="0" fillId="0" borderId="70" xfId="0" applyBorder="1" applyAlignment="1"/>
    <xf numFmtId="0" fontId="14" fillId="0" borderId="8" xfId="0" applyFont="1" applyBorder="1" applyAlignment="1">
      <alignment horizontal="center" textRotation="90" wrapText="1"/>
    </xf>
    <xf numFmtId="0" fontId="14" fillId="0" borderId="20" xfId="0" applyFont="1" applyBorder="1" applyAlignment="1">
      <alignment horizontal="center" textRotation="90" wrapText="1"/>
    </xf>
    <xf numFmtId="0" fontId="0" fillId="0" borderId="20" xfId="0" applyBorder="1" applyAlignment="1">
      <alignment horizontal="center" wrapText="1"/>
    </xf>
    <xf numFmtId="0" fontId="0" fillId="0" borderId="11" xfId="0" applyBorder="1" applyAlignment="1">
      <alignment wrapText="1"/>
    </xf>
    <xf numFmtId="0" fontId="14" fillId="0" borderId="9" xfId="0" applyFont="1" applyBorder="1" applyAlignment="1">
      <alignment horizontal="center" textRotation="90" wrapText="1"/>
    </xf>
    <xf numFmtId="0" fontId="14" fillId="0" borderId="7" xfId="0" applyFont="1" applyBorder="1" applyAlignment="1">
      <alignment horizontal="center" textRotation="90" wrapText="1"/>
    </xf>
    <xf numFmtId="0" fontId="0" fillId="0" borderId="7" xfId="0" applyBorder="1" applyAlignment="1">
      <alignment horizontal="center" wrapText="1"/>
    </xf>
    <xf numFmtId="0" fontId="0" fillId="0" borderId="12" xfId="0" applyBorder="1" applyAlignment="1">
      <alignment wrapText="1"/>
    </xf>
    <xf numFmtId="0" fontId="14" fillId="0" borderId="10" xfId="0" applyFont="1" applyBorder="1" applyAlignment="1">
      <alignment horizontal="center" textRotation="90" wrapText="1"/>
    </xf>
    <xf numFmtId="0" fontId="14" fillId="0" borderId="21" xfId="0" applyFont="1" applyBorder="1" applyAlignment="1">
      <alignment horizontal="center" textRotation="90" wrapText="1"/>
    </xf>
    <xf numFmtId="0" fontId="0" fillId="0" borderId="21" xfId="0" applyBorder="1" applyAlignment="1">
      <alignment horizontal="center" wrapText="1"/>
    </xf>
    <xf numFmtId="0" fontId="0" fillId="0" borderId="13" xfId="0" applyBorder="1" applyAlignment="1">
      <alignment wrapText="1"/>
    </xf>
    <xf numFmtId="0" fontId="9" fillId="0" borderId="10" xfId="0" applyFont="1" applyBorder="1" applyAlignment="1">
      <alignment textRotation="90" wrapText="1"/>
    </xf>
    <xf numFmtId="0" fontId="9" fillId="0" borderId="13" xfId="0" applyFont="1" applyBorder="1" applyAlignment="1">
      <alignment wrapText="1"/>
    </xf>
    <xf numFmtId="0" fontId="13" fillId="0" borderId="44" xfId="0" applyFont="1" applyBorder="1" applyAlignment="1">
      <alignment wrapText="1"/>
    </xf>
    <xf numFmtId="0" fontId="13" fillId="0" borderId="46" xfId="0" applyFont="1" applyBorder="1" applyAlignment="1">
      <alignment wrapText="1"/>
    </xf>
    <xf numFmtId="0" fontId="9" fillId="0" borderId="26" xfId="0" applyFont="1" applyBorder="1" applyAlignment="1">
      <alignment textRotation="90" wrapText="1"/>
    </xf>
    <xf numFmtId="0" fontId="9" fillId="0" borderId="28" xfId="0" applyFont="1" applyBorder="1" applyAlignment="1">
      <alignment textRotation="90" wrapText="1"/>
    </xf>
    <xf numFmtId="0" fontId="9" fillId="0" borderId="9" xfId="0" applyFont="1" applyBorder="1" applyAlignment="1">
      <alignment textRotation="90" wrapText="1"/>
    </xf>
    <xf numFmtId="0" fontId="9" fillId="0" borderId="12" xfId="0" applyFont="1" applyBorder="1" applyAlignment="1">
      <alignment textRotation="90" wrapText="1"/>
    </xf>
    <xf numFmtId="0" fontId="9" fillId="0" borderId="29" xfId="0" applyFont="1" applyBorder="1" applyAlignment="1">
      <alignment wrapText="1"/>
    </xf>
    <xf numFmtId="0" fontId="9" fillId="0" borderId="17" xfId="0" applyFont="1" applyBorder="1" applyAlignment="1">
      <alignment wrapText="1"/>
    </xf>
    <xf numFmtId="0" fontId="9" fillId="0" borderId="19" xfId="0" applyFont="1" applyBorder="1" applyAlignment="1">
      <alignment wrapText="1"/>
    </xf>
    <xf numFmtId="0" fontId="8" fillId="0" borderId="8" xfId="0" applyFont="1" applyBorder="1" applyAlignment="1"/>
    <xf numFmtId="0" fontId="8" fillId="0" borderId="9" xfId="0" applyFont="1" applyBorder="1" applyAlignment="1"/>
    <xf numFmtId="0" fontId="9" fillId="0" borderId="10" xfId="0" applyFont="1" applyBorder="1" applyAlignment="1"/>
    <xf numFmtId="0" fontId="9" fillId="0" borderId="54" xfId="0" applyFont="1" applyBorder="1" applyAlignment="1">
      <alignment textRotation="90" wrapText="1"/>
    </xf>
    <xf numFmtId="0" fontId="9" fillId="0" borderId="55" xfId="0" applyFont="1" applyBorder="1" applyAlignment="1">
      <alignment textRotation="90" wrapText="1"/>
    </xf>
    <xf numFmtId="0" fontId="9" fillId="0" borderId="52" xfId="0" applyFont="1" applyBorder="1" applyAlignment="1">
      <alignment textRotation="90" wrapText="1"/>
    </xf>
    <xf numFmtId="0" fontId="9" fillId="0" borderId="53" xfId="0" applyFont="1" applyBorder="1" applyAlignment="1">
      <alignment textRotation="90" wrapText="1"/>
    </xf>
    <xf numFmtId="0" fontId="8" fillId="0" borderId="49" xfId="0" applyFont="1" applyBorder="1" applyAlignment="1"/>
    <xf numFmtId="0" fontId="0" fillId="0" borderId="56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'DW parameters'!$BT$74:$BV$74</c:f>
              <c:strCache>
                <c:ptCount val="1"/>
                <c:pt idx="0">
                  <c:v>Aspect Ratio (TF 16)</c:v>
                </c:pt>
              </c:strCache>
            </c:strRef>
          </c:tx>
          <c:xVal>
            <c:strRef>
              <c:f>'DW parameters'!$BW$75:$BY$77</c:f>
              <c:strCache>
                <c:ptCount val="3"/>
                <c:pt idx="0">
                  <c:v>1.13</c:v>
                </c:pt>
                <c:pt idx="1">
                  <c:v>1.06</c:v>
                </c:pt>
                <c:pt idx="2">
                  <c:v>0.97</c:v>
                </c:pt>
              </c:strCache>
            </c:strRef>
          </c:xVal>
          <c:yVal>
            <c:numRef>
              <c:f>'DW parameters'!$BT$75:$BT$77</c:f>
              <c:numCache>
                <c:formatCode>0.0</c:formatCode>
                <c:ptCount val="3"/>
                <c:pt idx="0">
                  <c:v>4</c:v>
                </c:pt>
                <c:pt idx="1">
                  <c:v>3.1</c:v>
                </c:pt>
                <c:pt idx="2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2-4EBF-8091-70178EAE452B}"/>
            </c:ext>
          </c:extLst>
        </c:ser>
        <c:ser>
          <c:idx val="1"/>
          <c:order val="1"/>
          <c:tx>
            <c:strRef>
              <c:f>'DW parameters'!$BT$78:$BV$78</c:f>
              <c:strCache>
                <c:ptCount val="1"/>
                <c:pt idx="0">
                  <c:v>Aspect Ratio (TF 18)</c:v>
                </c:pt>
              </c:strCache>
            </c:strRef>
          </c:tx>
          <c:xVal>
            <c:numRef>
              <c:f>'DW parameters'!$BW$79:$BW$80</c:f>
              <c:numCache>
                <c:formatCode>0.00</c:formatCode>
                <c:ptCount val="2"/>
                <c:pt idx="0">
                  <c:v>1</c:v>
                </c:pt>
                <c:pt idx="1">
                  <c:v>0.92542149435740417</c:v>
                </c:pt>
              </c:numCache>
            </c:numRef>
          </c:xVal>
          <c:yVal>
            <c:numRef>
              <c:f>'DW parameters'!$BT$79:$BT$80</c:f>
              <c:numCache>
                <c:formatCode>0.0</c:formatCode>
                <c:ptCount val="2"/>
                <c:pt idx="0">
                  <c:v>3.1</c:v>
                </c:pt>
                <c:pt idx="1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52-4EBF-8091-70178EAE4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10624"/>
        <c:axId val="118412416"/>
      </c:scatterChart>
      <c:valAx>
        <c:axId val="118410624"/>
        <c:scaling>
          <c:orientation val="minMax"/>
        </c:scaling>
        <c:delete val="0"/>
        <c:axPos val="b"/>
        <c:majorGridlines/>
        <c:minorGridlines/>
        <c:numFmt formatCode="0.0" sourceLinked="1"/>
        <c:majorTickMark val="out"/>
        <c:minorTickMark val="none"/>
        <c:tickLblPos val="nextTo"/>
        <c:crossAx val="118412416"/>
        <c:crosses val="autoZero"/>
        <c:crossBetween val="midCat"/>
        <c:majorUnit val="1"/>
        <c:minorUnit val="0.25"/>
      </c:valAx>
      <c:valAx>
        <c:axId val="118412416"/>
        <c:scaling>
          <c:orientation val="minMax"/>
          <c:max val="4"/>
          <c:min val="2.6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18410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'DW parameters'!$BT$81:$BV$81</c:f>
              <c:strCache>
                <c:ptCount val="1"/>
                <c:pt idx="0">
                  <c:v>TF No (AR 3.1)</c:v>
                </c:pt>
              </c:strCache>
            </c:strRef>
          </c:tx>
          <c:xVal>
            <c:numRef>
              <c:f>'DW parameters'!$BW$82:$BW$83</c:f>
              <c:numCache>
                <c:formatCode>0.00</c:formatCode>
                <c:ptCount val="2"/>
                <c:pt idx="0">
                  <c:v>1.0639469775729085</c:v>
                </c:pt>
                <c:pt idx="1">
                  <c:v>1</c:v>
                </c:pt>
              </c:numCache>
            </c:numRef>
          </c:xVal>
          <c:yVal>
            <c:numRef>
              <c:f>'DW parameters'!$BT$82:$BT$83</c:f>
              <c:numCache>
                <c:formatCode>General</c:formatCode>
                <c:ptCount val="2"/>
                <c:pt idx="0">
                  <c:v>16</c:v>
                </c:pt>
                <c:pt idx="1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07-4E68-9FC3-044C199E72AA}"/>
            </c:ext>
          </c:extLst>
        </c:ser>
        <c:ser>
          <c:idx val="3"/>
          <c:order val="1"/>
          <c:tx>
            <c:strRef>
              <c:f>'DW parameters'!$BT$84:$BV$84</c:f>
              <c:strCache>
                <c:ptCount val="1"/>
                <c:pt idx="0">
                  <c:v>TF No (AR 2.6)</c:v>
                </c:pt>
              </c:strCache>
            </c:strRef>
          </c:tx>
          <c:xVal>
            <c:numRef>
              <c:f>'DW parameters'!$BW$85:$BW$86</c:f>
              <c:numCache>
                <c:formatCode>0.00</c:formatCode>
                <c:ptCount val="2"/>
                <c:pt idx="0">
                  <c:v>0.96559348419288216</c:v>
                </c:pt>
                <c:pt idx="1">
                  <c:v>0.92542149435740417</c:v>
                </c:pt>
              </c:numCache>
            </c:numRef>
          </c:xVal>
          <c:yVal>
            <c:numRef>
              <c:f>'DW parameters'!$BT$85:$BT$86</c:f>
              <c:numCache>
                <c:formatCode>General</c:formatCode>
                <c:ptCount val="2"/>
                <c:pt idx="0">
                  <c:v>16</c:v>
                </c:pt>
                <c:pt idx="1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07-4E68-9FC3-044C199E7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74720"/>
        <c:axId val="118976512"/>
      </c:scatterChart>
      <c:valAx>
        <c:axId val="118974720"/>
        <c:scaling>
          <c:orientation val="minMax"/>
        </c:scaling>
        <c:delete val="0"/>
        <c:axPos val="b"/>
        <c:minorGridlines/>
        <c:numFmt formatCode="0.00" sourceLinked="1"/>
        <c:majorTickMark val="out"/>
        <c:minorTickMark val="none"/>
        <c:tickLblPos val="nextTo"/>
        <c:crossAx val="118976512"/>
        <c:crosses val="autoZero"/>
        <c:crossBetween val="midCat"/>
      </c:valAx>
      <c:valAx>
        <c:axId val="118976512"/>
        <c:scaling>
          <c:orientation val="minMax"/>
          <c:max val="18"/>
          <c:min val="16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18974720"/>
        <c:crosses val="autoZero"/>
        <c:crossBetween val="midCat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'DW parameters'!$CI$74:$CK$74</c:f>
              <c:strCache>
                <c:ptCount val="1"/>
              </c:strCache>
            </c:strRef>
          </c:tx>
          <c:xVal>
            <c:numRef>
              <c:f>'DW parameters'!$CL$75:$CL$77</c:f>
              <c:numCache>
                <c:formatCode>0.0</c:formatCode>
                <c:ptCount val="3"/>
              </c:numCache>
            </c:numRef>
          </c:xVal>
          <c:yVal>
            <c:numRef>
              <c:f>'DW parameters'!$CI$75:$CI$77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8C-41AB-B7F8-1C1BBE6CF42F}"/>
            </c:ext>
          </c:extLst>
        </c:ser>
        <c:ser>
          <c:idx val="1"/>
          <c:order val="1"/>
          <c:tx>
            <c:strRef>
              <c:f>'DW parameters'!$CI$78:$CK$78</c:f>
              <c:strCache>
                <c:ptCount val="1"/>
              </c:strCache>
            </c:strRef>
          </c:tx>
          <c:xVal>
            <c:numRef>
              <c:f>'DW parameters'!$CL$79:$CL$80</c:f>
              <c:numCache>
                <c:formatCode>0.0</c:formatCode>
                <c:ptCount val="2"/>
              </c:numCache>
            </c:numRef>
          </c:xVal>
          <c:yVal>
            <c:numRef>
              <c:f>'DW parameters'!$CI$79:$CI$80</c:f>
              <c:numCache>
                <c:formatCode>0.0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C-41AB-B7F8-1C1BBE6CF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98144"/>
        <c:axId val="118999680"/>
      </c:scatterChart>
      <c:valAx>
        <c:axId val="118998144"/>
        <c:scaling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118999680"/>
        <c:crosses val="autoZero"/>
        <c:crossBetween val="midCat"/>
        <c:minorUnit val="0.25"/>
      </c:valAx>
      <c:valAx>
        <c:axId val="118999680"/>
        <c:scaling>
          <c:orientation val="minMax"/>
          <c:max val="4"/>
          <c:min val="2.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998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'DW parameters'!$CI$81:$CK$81</c:f>
              <c:strCache>
                <c:ptCount val="1"/>
              </c:strCache>
            </c:strRef>
          </c:tx>
          <c:xVal>
            <c:numRef>
              <c:f>'DW parameters'!$CL$82:$CL$83</c:f>
              <c:numCache>
                <c:formatCode>0.0</c:formatCode>
                <c:ptCount val="2"/>
              </c:numCache>
            </c:numRef>
          </c:xVal>
          <c:yVal>
            <c:numRef>
              <c:f>'DW parameters'!$CI$82:$CI$83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9F-4AA8-8592-E6A1A076B83E}"/>
            </c:ext>
          </c:extLst>
        </c:ser>
        <c:ser>
          <c:idx val="3"/>
          <c:order val="1"/>
          <c:tx>
            <c:strRef>
              <c:f>'DW parameters'!$CI$84:$CK$84</c:f>
              <c:strCache>
                <c:ptCount val="1"/>
              </c:strCache>
            </c:strRef>
          </c:tx>
          <c:xVal>
            <c:numRef>
              <c:f>'DW parameters'!$CL$85:$CL$86</c:f>
              <c:numCache>
                <c:formatCode>0.0</c:formatCode>
                <c:ptCount val="2"/>
              </c:numCache>
            </c:numRef>
          </c:xVal>
          <c:yVal>
            <c:numRef>
              <c:f>'DW parameters'!$CI$85:$CI$86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9F-4AA8-8592-E6A1A076B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39744"/>
        <c:axId val="123041280"/>
      </c:scatterChart>
      <c:valAx>
        <c:axId val="123039744"/>
        <c:scaling>
          <c:orientation val="minMax"/>
        </c:scaling>
        <c:delete val="0"/>
        <c:axPos val="b"/>
        <c:minorGridlines/>
        <c:numFmt formatCode="0.0" sourceLinked="1"/>
        <c:majorTickMark val="out"/>
        <c:minorTickMark val="none"/>
        <c:tickLblPos val="nextTo"/>
        <c:crossAx val="123041280"/>
        <c:crosses val="autoZero"/>
        <c:crossBetween val="midCat"/>
      </c:valAx>
      <c:valAx>
        <c:axId val="123041280"/>
        <c:scaling>
          <c:orientation val="minMax"/>
          <c:max val="18"/>
          <c:min val="16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23039744"/>
        <c:crosses val="autoZero"/>
        <c:crossBetween val="midCat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77</xdr:row>
      <xdr:rowOff>9525</xdr:rowOff>
    </xdr:from>
    <xdr:to>
      <xdr:col>3</xdr:col>
      <xdr:colOff>1004887</xdr:colOff>
      <xdr:row>93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2009775</xdr:colOff>
      <xdr:row>77</xdr:row>
      <xdr:rowOff>0</xdr:rowOff>
    </xdr:from>
    <xdr:to>
      <xdr:col>6</xdr:col>
      <xdr:colOff>638175</xdr:colOff>
      <xdr:row>93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93</xdr:row>
      <xdr:rowOff>47625</xdr:rowOff>
    </xdr:from>
    <xdr:to>
      <xdr:col>3</xdr:col>
      <xdr:colOff>990600</xdr:colOff>
      <xdr:row>109</xdr:row>
      <xdr:rowOff>38101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2000250</xdr:colOff>
      <xdr:row>93</xdr:row>
      <xdr:rowOff>66675</xdr:rowOff>
    </xdr:from>
    <xdr:to>
      <xdr:col>6</xdr:col>
      <xdr:colOff>628650</xdr:colOff>
      <xdr:row>109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39"/>
  <sheetViews>
    <sheetView workbookViewId="0">
      <selection activeCell="J13" sqref="J13"/>
    </sheetView>
  </sheetViews>
  <sheetFormatPr defaultRowHeight="15" x14ac:dyDescent="0.25"/>
  <cols>
    <col min="1" max="1" width="9.140625" style="1"/>
    <col min="2" max="2" width="11.5703125" style="1" bestFit="1" customWidth="1"/>
    <col min="3" max="3" width="2.85546875" style="1" customWidth="1"/>
    <col min="4" max="4" width="9.140625" style="1"/>
    <col min="5" max="5" width="2.85546875" style="1" customWidth="1"/>
    <col min="6" max="6" width="9.140625" style="1"/>
    <col min="7" max="7" width="2.85546875" style="1" customWidth="1"/>
    <col min="8" max="8" width="9.140625" style="61"/>
    <col min="9" max="9" width="2.85546875" style="61" customWidth="1"/>
    <col min="10" max="10" width="9.140625" style="61"/>
    <col min="11" max="11" width="2.85546875" style="61" customWidth="1"/>
    <col min="12" max="12" width="12" style="61" bestFit="1" customWidth="1"/>
    <col min="13" max="13" width="2.7109375" style="61" customWidth="1"/>
    <col min="14" max="14" width="12" style="61" customWidth="1"/>
    <col min="15" max="15" width="2.85546875" style="1" customWidth="1"/>
    <col min="16" max="16" width="12" style="59" bestFit="1" customWidth="1"/>
    <col min="17" max="17" width="2.85546875" style="59" customWidth="1"/>
    <col min="18" max="18" width="11.28515625" style="59" bestFit="1" customWidth="1"/>
    <col min="19" max="19" width="2.85546875" style="59" customWidth="1"/>
    <col min="20" max="20" width="9.140625" style="59"/>
    <col min="21" max="21" width="2.85546875" style="59" customWidth="1"/>
    <col min="22" max="22" width="11" style="59" bestFit="1" customWidth="1"/>
    <col min="23" max="23" width="2.85546875" style="1" customWidth="1"/>
    <col min="24" max="24" width="12" style="60" bestFit="1" customWidth="1"/>
    <col min="25" max="25" width="2.85546875" style="60" customWidth="1"/>
    <col min="26" max="26" width="9.140625" style="60"/>
    <col min="27" max="27" width="2.85546875" style="60" customWidth="1"/>
    <col min="28" max="28" width="9.140625" style="60"/>
    <col min="29" max="29" width="2.85546875" style="60" customWidth="1"/>
    <col min="30" max="30" width="11.42578125" style="60" bestFit="1" customWidth="1"/>
    <col min="31" max="31" width="2.85546875" style="1" customWidth="1"/>
    <col min="32" max="32" width="9.140625" style="1"/>
    <col min="33" max="33" width="2.85546875" style="1" customWidth="1"/>
    <col min="34" max="34" width="9.140625" style="1"/>
    <col min="35" max="35" width="2.85546875" style="1" customWidth="1"/>
    <col min="36" max="36" width="9.140625" style="1"/>
    <col min="37" max="37" width="2.85546875" style="1" customWidth="1"/>
    <col min="38" max="16384" width="9.140625" style="1"/>
  </cols>
  <sheetData>
    <row r="2" spans="1:32" x14ac:dyDescent="0.25">
      <c r="H2" s="206" t="s">
        <v>4</v>
      </c>
      <c r="I2" s="206"/>
      <c r="J2" s="206"/>
      <c r="K2" s="206"/>
      <c r="L2" s="206"/>
      <c r="M2" s="206"/>
      <c r="N2" s="206"/>
      <c r="P2" s="204" t="s">
        <v>6</v>
      </c>
      <c r="Q2" s="204"/>
      <c r="R2" s="204"/>
      <c r="S2" s="204"/>
      <c r="T2" s="204"/>
      <c r="U2" s="204"/>
      <c r="V2" s="204"/>
      <c r="X2" s="205" t="s">
        <v>7</v>
      </c>
      <c r="Y2" s="205"/>
      <c r="Z2" s="205"/>
      <c r="AA2" s="205"/>
      <c r="AB2" s="205"/>
      <c r="AC2" s="205"/>
      <c r="AD2" s="205"/>
      <c r="AF2" s="1" t="s">
        <v>192</v>
      </c>
    </row>
    <row r="3" spans="1:32" x14ac:dyDescent="0.25">
      <c r="B3" s="1" t="s">
        <v>0</v>
      </c>
      <c r="D3" s="1" t="s">
        <v>1</v>
      </c>
      <c r="F3" s="1" t="s">
        <v>13</v>
      </c>
      <c r="H3" s="61" t="s">
        <v>2</v>
      </c>
      <c r="J3" s="61" t="s">
        <v>3</v>
      </c>
      <c r="L3" s="61" t="s">
        <v>5</v>
      </c>
      <c r="N3" s="61" t="s">
        <v>9</v>
      </c>
      <c r="P3" s="59" t="s">
        <v>5</v>
      </c>
      <c r="R3" s="204" t="s">
        <v>8</v>
      </c>
      <c r="S3" s="204"/>
      <c r="T3" s="204"/>
      <c r="V3" s="59" t="s">
        <v>9</v>
      </c>
      <c r="X3" s="60" t="s">
        <v>5</v>
      </c>
      <c r="Z3" s="205" t="s">
        <v>8</v>
      </c>
      <c r="AA3" s="205"/>
      <c r="AB3" s="205"/>
      <c r="AD3" s="60" t="s">
        <v>9</v>
      </c>
      <c r="AF3" s="1" t="s">
        <v>5</v>
      </c>
    </row>
    <row r="4" spans="1:32" x14ac:dyDescent="0.25">
      <c r="F4" s="1" t="s">
        <v>10</v>
      </c>
      <c r="H4" s="61" t="s">
        <v>11</v>
      </c>
      <c r="J4" s="61" t="s">
        <v>11</v>
      </c>
      <c r="L4" s="61" t="s">
        <v>12</v>
      </c>
      <c r="P4" s="59" t="s">
        <v>12</v>
      </c>
      <c r="R4" s="59" t="s">
        <v>11</v>
      </c>
      <c r="T4" s="59" t="s">
        <v>11</v>
      </c>
      <c r="V4" s="59" t="s">
        <v>10</v>
      </c>
      <c r="X4" s="60" t="s">
        <v>12</v>
      </c>
      <c r="Z4" s="60" t="s">
        <v>11</v>
      </c>
      <c r="AB4" s="60" t="s">
        <v>11</v>
      </c>
      <c r="AD4" s="60" t="s">
        <v>10</v>
      </c>
    </row>
    <row r="6" spans="1:32" x14ac:dyDescent="0.25">
      <c r="A6" s="23" t="s">
        <v>15</v>
      </c>
      <c r="B6" s="23">
        <v>3.1</v>
      </c>
      <c r="C6" s="23"/>
      <c r="D6" s="23">
        <v>16</v>
      </c>
      <c r="E6" s="23"/>
      <c r="F6" s="23">
        <v>12.667</v>
      </c>
      <c r="G6" s="23"/>
      <c r="H6" s="61">
        <v>13299</v>
      </c>
      <c r="J6" s="61">
        <v>1180</v>
      </c>
      <c r="L6" s="61">
        <v>22773</v>
      </c>
      <c r="N6" s="61">
        <v>4.9859999999999998</v>
      </c>
      <c r="O6" s="23"/>
      <c r="P6" s="59">
        <v>31163</v>
      </c>
      <c r="R6" s="59">
        <v>48</v>
      </c>
      <c r="T6" s="59">
        <v>480</v>
      </c>
      <c r="V6" s="59">
        <v>2.4950000000000001</v>
      </c>
      <c r="W6" s="23"/>
      <c r="X6" s="60">
        <v>13623</v>
      </c>
      <c r="Z6" s="60">
        <v>1696</v>
      </c>
      <c r="AB6" s="60">
        <v>314</v>
      </c>
      <c r="AD6" s="60">
        <v>1.1819999999999999</v>
      </c>
      <c r="AF6" s="1">
        <f>D6*L6+D6*P6*2+D6*X6*2</f>
        <v>1797520</v>
      </c>
    </row>
    <row r="7" spans="1:32" ht="15.75" thickBot="1" x14ac:dyDescent="0.3">
      <c r="A7" s="23"/>
      <c r="B7" s="23"/>
      <c r="C7" s="23"/>
      <c r="D7" s="23"/>
      <c r="E7" s="23"/>
      <c r="F7" s="23"/>
      <c r="G7" s="23"/>
      <c r="O7" s="23"/>
      <c r="W7" s="23"/>
    </row>
    <row r="8" spans="1:32" x14ac:dyDescent="0.25">
      <c r="A8" s="23"/>
      <c r="B8" s="23"/>
      <c r="C8" s="23"/>
      <c r="D8" s="23"/>
      <c r="E8" s="23"/>
      <c r="F8" s="23"/>
      <c r="G8" s="23"/>
      <c r="H8" s="20" t="s">
        <v>20</v>
      </c>
      <c r="I8" s="16"/>
      <c r="J8" s="16" t="s">
        <v>17</v>
      </c>
      <c r="K8" s="16"/>
      <c r="L8" s="16" t="s">
        <v>18</v>
      </c>
      <c r="M8" s="16"/>
      <c r="N8" s="17" t="s">
        <v>19</v>
      </c>
      <c r="O8" s="23"/>
      <c r="P8" s="2" t="s">
        <v>20</v>
      </c>
      <c r="Q8" s="3"/>
      <c r="R8" s="3" t="s">
        <v>17</v>
      </c>
      <c r="S8" s="3"/>
      <c r="T8" s="3" t="s">
        <v>18</v>
      </c>
      <c r="U8" s="3"/>
      <c r="V8" s="4" t="s">
        <v>19</v>
      </c>
      <c r="W8" s="23"/>
      <c r="X8" s="8" t="s">
        <v>20</v>
      </c>
      <c r="Y8" s="9"/>
      <c r="Z8" s="9" t="s">
        <v>17</v>
      </c>
      <c r="AA8" s="9"/>
      <c r="AB8" s="9" t="s">
        <v>18</v>
      </c>
      <c r="AC8" s="9"/>
      <c r="AD8" s="10" t="s">
        <v>19</v>
      </c>
    </row>
    <row r="9" spans="1:32" ht="15.75" thickBot="1" x14ac:dyDescent="0.3">
      <c r="A9" s="23"/>
      <c r="B9" s="23"/>
      <c r="C9" s="23"/>
      <c r="D9" s="23"/>
      <c r="E9" s="23"/>
      <c r="F9" s="23"/>
      <c r="G9" s="23"/>
      <c r="H9" s="21" t="s">
        <v>21</v>
      </c>
      <c r="I9" s="18"/>
      <c r="J9" s="18">
        <v>11458</v>
      </c>
      <c r="K9" s="18"/>
      <c r="L9" s="18">
        <v>0</v>
      </c>
      <c r="M9" s="18"/>
      <c r="N9" s="19">
        <v>-362</v>
      </c>
      <c r="O9" s="23"/>
      <c r="P9" s="5" t="s">
        <v>16</v>
      </c>
      <c r="Q9" s="6"/>
      <c r="R9" s="6">
        <v>11564</v>
      </c>
      <c r="S9" s="6"/>
      <c r="T9" s="6">
        <v>1444</v>
      </c>
      <c r="U9" s="6"/>
      <c r="V9" s="7">
        <v>-259</v>
      </c>
      <c r="W9" s="23"/>
      <c r="X9" s="11" t="s">
        <v>16</v>
      </c>
      <c r="Y9" s="12"/>
      <c r="Z9" s="12">
        <v>6273</v>
      </c>
      <c r="AA9" s="12"/>
      <c r="AB9" s="12">
        <v>621</v>
      </c>
      <c r="AC9" s="12"/>
      <c r="AD9" s="13">
        <v>1383</v>
      </c>
    </row>
    <row r="10" spans="1:32" x14ac:dyDescent="0.25">
      <c r="A10" s="23"/>
      <c r="B10" s="23"/>
      <c r="C10" s="23"/>
      <c r="D10" s="23"/>
      <c r="E10" s="23"/>
      <c r="F10" s="23"/>
      <c r="G10" s="23"/>
      <c r="H10" s="22" t="s">
        <v>23</v>
      </c>
      <c r="I10" s="16"/>
      <c r="J10" s="16" t="s">
        <v>17</v>
      </c>
      <c r="K10" s="16"/>
      <c r="L10" s="16" t="s">
        <v>18</v>
      </c>
      <c r="M10" s="16"/>
      <c r="N10" s="17"/>
      <c r="O10" s="23"/>
      <c r="P10" s="15" t="s">
        <v>23</v>
      </c>
      <c r="Q10" s="3"/>
      <c r="R10" s="3" t="s">
        <v>17</v>
      </c>
      <c r="S10" s="3"/>
      <c r="T10" s="3" t="s">
        <v>18</v>
      </c>
      <c r="U10" s="3"/>
      <c r="V10" s="4"/>
      <c r="W10" s="23"/>
      <c r="X10" s="14" t="s">
        <v>23</v>
      </c>
      <c r="Y10" s="9"/>
      <c r="Z10" s="9" t="s">
        <v>17</v>
      </c>
      <c r="AA10" s="9"/>
      <c r="AB10" s="9" t="s">
        <v>18</v>
      </c>
      <c r="AC10" s="9"/>
      <c r="AD10" s="10"/>
    </row>
    <row r="11" spans="1:32" ht="15.75" thickBot="1" x14ac:dyDescent="0.3">
      <c r="A11" s="23"/>
      <c r="B11" s="23"/>
      <c r="C11" s="23"/>
      <c r="D11" s="23"/>
      <c r="E11" s="23"/>
      <c r="F11" s="23"/>
      <c r="G11" s="23"/>
      <c r="H11" s="21" t="s">
        <v>16</v>
      </c>
      <c r="I11" s="18"/>
      <c r="J11" s="18">
        <v>11014</v>
      </c>
      <c r="K11" s="18"/>
      <c r="L11" s="18">
        <v>0</v>
      </c>
      <c r="M11" s="18"/>
      <c r="N11" s="19"/>
      <c r="O11" s="23"/>
      <c r="P11" s="5" t="s">
        <v>16</v>
      </c>
      <c r="Q11" s="6"/>
      <c r="R11" s="6">
        <v>11515</v>
      </c>
      <c r="S11" s="6"/>
      <c r="T11" s="6">
        <v>965</v>
      </c>
      <c r="U11" s="6"/>
      <c r="V11" s="7"/>
      <c r="W11" s="23"/>
      <c r="X11" s="11" t="s">
        <v>16</v>
      </c>
      <c r="Y11" s="12"/>
      <c r="Z11" s="12">
        <v>7970</v>
      </c>
      <c r="AA11" s="12"/>
      <c r="AB11" s="12">
        <v>307</v>
      </c>
      <c r="AC11" s="12"/>
      <c r="AD11" s="13"/>
    </row>
    <row r="13" spans="1:32" x14ac:dyDescent="0.25">
      <c r="A13" s="24" t="s">
        <v>14</v>
      </c>
      <c r="B13" s="24">
        <v>2.6</v>
      </c>
      <c r="C13" s="24"/>
      <c r="D13" s="24">
        <v>18</v>
      </c>
      <c r="E13" s="24"/>
      <c r="F13" s="24">
        <v>14.023999999999999</v>
      </c>
      <c r="G13" s="24"/>
      <c r="H13" s="61">
        <v>16580</v>
      </c>
      <c r="J13" s="61">
        <v>950</v>
      </c>
      <c r="L13" s="61">
        <v>23787</v>
      </c>
      <c r="N13" s="61">
        <v>5.524</v>
      </c>
      <c r="O13" s="24"/>
      <c r="P13" s="59">
        <v>41048</v>
      </c>
      <c r="R13" s="59">
        <v>453</v>
      </c>
      <c r="T13" s="59">
        <v>476</v>
      </c>
      <c r="V13" s="59">
        <v>3.3559999999999999</v>
      </c>
      <c r="W13" s="24"/>
      <c r="X13" s="60">
        <v>13815</v>
      </c>
      <c r="Z13" s="60">
        <v>1682</v>
      </c>
      <c r="AB13" s="60">
        <v>294</v>
      </c>
      <c r="AD13" s="60">
        <v>0.746</v>
      </c>
      <c r="AF13" s="1">
        <f>D13*L13+D13*P13*2+D13*X13*2</f>
        <v>2403234</v>
      </c>
    </row>
    <row r="14" spans="1:32" ht="15.75" thickBot="1" x14ac:dyDescent="0.3">
      <c r="A14" s="24"/>
      <c r="B14" s="24"/>
      <c r="C14" s="24"/>
      <c r="D14" s="24"/>
      <c r="E14" s="24"/>
      <c r="F14" s="24"/>
      <c r="G14" s="24"/>
      <c r="O14" s="24"/>
      <c r="W14" s="24"/>
    </row>
    <row r="15" spans="1:32" x14ac:dyDescent="0.25">
      <c r="A15" s="24"/>
      <c r="B15" s="24"/>
      <c r="C15" s="24"/>
      <c r="D15" s="24"/>
      <c r="E15" s="24"/>
      <c r="F15" s="24"/>
      <c r="G15" s="24"/>
      <c r="H15" s="20" t="s">
        <v>20</v>
      </c>
      <c r="I15" s="16"/>
      <c r="J15" s="16" t="s">
        <v>17</v>
      </c>
      <c r="K15" s="16"/>
      <c r="L15" s="16" t="s">
        <v>18</v>
      </c>
      <c r="M15" s="16"/>
      <c r="N15" s="17" t="s">
        <v>19</v>
      </c>
      <c r="O15" s="24"/>
      <c r="P15" s="2" t="s">
        <v>20</v>
      </c>
      <c r="Q15" s="3"/>
      <c r="R15" s="3" t="s">
        <v>17</v>
      </c>
      <c r="S15" s="3"/>
      <c r="T15" s="3" t="s">
        <v>18</v>
      </c>
      <c r="U15" s="3"/>
      <c r="V15" s="4" t="s">
        <v>19</v>
      </c>
      <c r="W15" s="24"/>
      <c r="X15" s="8" t="s">
        <v>20</v>
      </c>
      <c r="Y15" s="9"/>
      <c r="Z15" s="9" t="s">
        <v>17</v>
      </c>
      <c r="AA15" s="9"/>
      <c r="AB15" s="9" t="s">
        <v>18</v>
      </c>
      <c r="AC15" s="9"/>
      <c r="AD15" s="10" t="s">
        <v>19</v>
      </c>
    </row>
    <row r="16" spans="1:32" ht="15.75" thickBot="1" x14ac:dyDescent="0.3">
      <c r="A16" s="24"/>
      <c r="B16" s="24"/>
      <c r="C16" s="24"/>
      <c r="D16" s="24"/>
      <c r="E16" s="24"/>
      <c r="F16" s="24"/>
      <c r="G16" s="24"/>
      <c r="H16" s="21" t="s">
        <v>21</v>
      </c>
      <c r="I16" s="18"/>
      <c r="J16" s="18">
        <v>12299</v>
      </c>
      <c r="K16" s="18"/>
      <c r="L16" s="18">
        <v>0</v>
      </c>
      <c r="M16" s="18"/>
      <c r="N16" s="19">
        <v>-35.5</v>
      </c>
      <c r="O16" s="24"/>
      <c r="P16" s="5" t="s">
        <v>16</v>
      </c>
      <c r="Q16" s="6"/>
      <c r="R16" s="6">
        <v>12490</v>
      </c>
      <c r="S16" s="6"/>
      <c r="T16" s="6">
        <v>1335</v>
      </c>
      <c r="U16" s="6"/>
      <c r="V16" s="7">
        <v>-74</v>
      </c>
      <c r="W16" s="24"/>
      <c r="X16" s="11" t="s">
        <v>16</v>
      </c>
      <c r="Y16" s="12"/>
      <c r="Z16" s="12">
        <v>5714</v>
      </c>
      <c r="AA16" s="12"/>
      <c r="AB16" s="12">
        <v>501</v>
      </c>
      <c r="AC16" s="12"/>
      <c r="AD16" s="13">
        <v>1520</v>
      </c>
    </row>
    <row r="17" spans="1:32" x14ac:dyDescent="0.25">
      <c r="A17" s="24"/>
      <c r="B17" s="24"/>
      <c r="C17" s="24"/>
      <c r="D17" s="24"/>
      <c r="E17" s="24"/>
      <c r="F17" s="24"/>
      <c r="G17" s="24"/>
      <c r="H17" s="22" t="s">
        <v>23</v>
      </c>
      <c r="I17" s="16"/>
      <c r="J17" s="16" t="s">
        <v>17</v>
      </c>
      <c r="K17" s="16"/>
      <c r="L17" s="16" t="s">
        <v>18</v>
      </c>
      <c r="M17" s="16"/>
      <c r="N17" s="17"/>
      <c r="O17" s="24"/>
      <c r="P17" s="15" t="s">
        <v>23</v>
      </c>
      <c r="Q17" s="3"/>
      <c r="R17" s="3" t="s">
        <v>17</v>
      </c>
      <c r="S17" s="3"/>
      <c r="T17" s="3" t="s">
        <v>18</v>
      </c>
      <c r="U17" s="3"/>
      <c r="V17" s="4"/>
      <c r="W17" s="24"/>
      <c r="X17" s="14" t="s">
        <v>23</v>
      </c>
      <c r="Y17" s="9"/>
      <c r="Z17" s="9" t="s">
        <v>17</v>
      </c>
      <c r="AA17" s="9"/>
      <c r="AB17" s="9" t="s">
        <v>18</v>
      </c>
      <c r="AC17" s="9"/>
      <c r="AD17" s="10"/>
    </row>
    <row r="18" spans="1:32" ht="15.75" thickBot="1" x14ac:dyDescent="0.3">
      <c r="A18" s="24"/>
      <c r="B18" s="24"/>
      <c r="C18" s="24"/>
      <c r="D18" s="24"/>
      <c r="E18" s="24"/>
      <c r="F18" s="24"/>
      <c r="G18" s="24"/>
      <c r="H18" s="21" t="s">
        <v>16</v>
      </c>
      <c r="I18" s="18"/>
      <c r="J18" s="18">
        <v>11176</v>
      </c>
      <c r="K18" s="18"/>
      <c r="L18" s="18">
        <v>0</v>
      </c>
      <c r="M18" s="18"/>
      <c r="N18" s="19"/>
      <c r="O18" s="24"/>
      <c r="P18" s="5" t="s">
        <v>16</v>
      </c>
      <c r="Q18" s="6"/>
      <c r="R18" s="6">
        <v>12037</v>
      </c>
      <c r="S18" s="6"/>
      <c r="T18" s="6">
        <v>859</v>
      </c>
      <c r="U18" s="6"/>
      <c r="V18" s="7"/>
      <c r="W18" s="24"/>
      <c r="X18" s="11" t="s">
        <v>16</v>
      </c>
      <c r="Y18" s="12"/>
      <c r="Z18" s="12">
        <v>7397</v>
      </c>
      <c r="AA18" s="12"/>
      <c r="AB18" s="12">
        <v>207</v>
      </c>
      <c r="AC18" s="12"/>
      <c r="AD18" s="13"/>
    </row>
    <row r="20" spans="1:32" x14ac:dyDescent="0.25">
      <c r="A20" s="25" t="s">
        <v>22</v>
      </c>
      <c r="B20" s="25">
        <v>3.1</v>
      </c>
      <c r="C20" s="25"/>
      <c r="D20" s="25">
        <v>18</v>
      </c>
      <c r="E20" s="25"/>
      <c r="F20" s="25">
        <v>9.8719999999999999</v>
      </c>
      <c r="G20" s="25"/>
      <c r="H20" s="61">
        <v>13293</v>
      </c>
      <c r="J20" s="61">
        <v>1100</v>
      </c>
      <c r="L20" s="61">
        <v>21180</v>
      </c>
      <c r="N20" s="61">
        <v>4.601</v>
      </c>
      <c r="O20" s="25"/>
      <c r="P20" s="59">
        <v>27097</v>
      </c>
      <c r="R20" s="59">
        <v>105</v>
      </c>
      <c r="T20" s="59">
        <v>467</v>
      </c>
      <c r="V20" s="59">
        <v>1.629</v>
      </c>
      <c r="W20" s="25"/>
      <c r="X20" s="60">
        <v>12135</v>
      </c>
      <c r="Z20" s="60">
        <v>1737</v>
      </c>
      <c r="AB20" s="60">
        <v>328</v>
      </c>
      <c r="AD20" s="60">
        <v>0.84699999999999998</v>
      </c>
      <c r="AF20" s="1">
        <f>D20*L20+D20*P20*2+D20*X20*2</f>
        <v>1793592</v>
      </c>
    </row>
    <row r="21" spans="1:32" ht="15.75" thickBot="1" x14ac:dyDescent="0.3">
      <c r="A21" s="25"/>
      <c r="B21" s="25"/>
      <c r="C21" s="25"/>
      <c r="D21" s="25"/>
      <c r="E21" s="25"/>
      <c r="F21" s="25"/>
      <c r="G21" s="25"/>
      <c r="O21" s="25"/>
      <c r="W21" s="25"/>
    </row>
    <row r="22" spans="1:32" x14ac:dyDescent="0.25">
      <c r="A22" s="25"/>
      <c r="B22" s="25"/>
      <c r="C22" s="25"/>
      <c r="D22" s="25"/>
      <c r="E22" s="25"/>
      <c r="F22" s="25"/>
      <c r="G22" s="25"/>
      <c r="H22" s="20" t="s">
        <v>20</v>
      </c>
      <c r="I22" s="16"/>
      <c r="J22" s="16" t="s">
        <v>17</v>
      </c>
      <c r="K22" s="16"/>
      <c r="L22" s="16" t="s">
        <v>18</v>
      </c>
      <c r="M22" s="16"/>
      <c r="N22" s="17" t="s">
        <v>19</v>
      </c>
      <c r="O22" s="25"/>
      <c r="P22" s="2" t="s">
        <v>20</v>
      </c>
      <c r="Q22" s="3"/>
      <c r="R22" s="3" t="s">
        <v>17</v>
      </c>
      <c r="S22" s="3"/>
      <c r="T22" s="3" t="s">
        <v>18</v>
      </c>
      <c r="U22" s="3"/>
      <c r="V22" s="4" t="s">
        <v>19</v>
      </c>
      <c r="W22" s="25"/>
      <c r="X22" s="8" t="s">
        <v>20</v>
      </c>
      <c r="Y22" s="9"/>
      <c r="Z22" s="9" t="s">
        <v>17</v>
      </c>
      <c r="AA22" s="9"/>
      <c r="AB22" s="9" t="s">
        <v>18</v>
      </c>
      <c r="AC22" s="9"/>
      <c r="AD22" s="10" t="s">
        <v>19</v>
      </c>
    </row>
    <row r="23" spans="1:32" ht="15.75" thickBot="1" x14ac:dyDescent="0.3">
      <c r="A23" s="25"/>
      <c r="B23" s="25"/>
      <c r="C23" s="25"/>
      <c r="D23" s="25"/>
      <c r="E23" s="25"/>
      <c r="F23" s="25"/>
      <c r="G23" s="25"/>
      <c r="H23" s="21" t="s">
        <v>21</v>
      </c>
      <c r="I23" s="18"/>
      <c r="J23" s="18">
        <v>11464</v>
      </c>
      <c r="K23" s="18"/>
      <c r="L23" s="18">
        <v>0</v>
      </c>
      <c r="M23" s="18"/>
      <c r="N23" s="19">
        <v>-376</v>
      </c>
      <c r="O23" s="25"/>
      <c r="P23" s="5" t="s">
        <v>16</v>
      </c>
      <c r="Q23" s="6"/>
      <c r="R23" s="6">
        <v>11590</v>
      </c>
      <c r="S23" s="6"/>
      <c r="T23" s="6">
        <v>1300</v>
      </c>
      <c r="U23" s="6"/>
      <c r="V23" s="7">
        <v>-262</v>
      </c>
      <c r="W23" s="25"/>
      <c r="X23" s="11" t="s">
        <v>16</v>
      </c>
      <c r="Y23" s="12"/>
      <c r="Z23" s="12">
        <v>6293</v>
      </c>
      <c r="AA23" s="12"/>
      <c r="AB23" s="12">
        <v>553</v>
      </c>
      <c r="AC23" s="12"/>
      <c r="AD23" s="13">
        <v>1402</v>
      </c>
    </row>
    <row r="24" spans="1:32" x14ac:dyDescent="0.25">
      <c r="A24" s="25"/>
      <c r="B24" s="25"/>
      <c r="C24" s="25"/>
      <c r="D24" s="25"/>
      <c r="E24" s="25"/>
      <c r="F24" s="25"/>
      <c r="G24" s="25"/>
      <c r="H24" s="22" t="s">
        <v>23</v>
      </c>
      <c r="I24" s="16"/>
      <c r="J24" s="16" t="s">
        <v>17</v>
      </c>
      <c r="K24" s="16"/>
      <c r="L24" s="16" t="s">
        <v>18</v>
      </c>
      <c r="M24" s="16"/>
      <c r="N24" s="17"/>
      <c r="O24" s="25"/>
      <c r="P24" s="15" t="s">
        <v>23</v>
      </c>
      <c r="Q24" s="3"/>
      <c r="R24" s="3" t="s">
        <v>17</v>
      </c>
      <c r="S24" s="3"/>
      <c r="T24" s="3" t="s">
        <v>18</v>
      </c>
      <c r="U24" s="3"/>
      <c r="V24" s="4"/>
      <c r="W24" s="25"/>
      <c r="X24" s="14" t="s">
        <v>23</v>
      </c>
      <c r="Y24" s="9"/>
      <c r="Z24" s="9" t="s">
        <v>17</v>
      </c>
      <c r="AA24" s="9"/>
      <c r="AB24" s="9" t="s">
        <v>18</v>
      </c>
      <c r="AC24" s="9"/>
      <c r="AD24" s="10"/>
    </row>
    <row r="25" spans="1:32" ht="15.75" thickBot="1" x14ac:dyDescent="0.3">
      <c r="A25" s="25"/>
      <c r="B25" s="25"/>
      <c r="C25" s="25"/>
      <c r="D25" s="25"/>
      <c r="E25" s="25"/>
      <c r="F25" s="25"/>
      <c r="G25" s="25"/>
      <c r="H25" s="21" t="s">
        <v>16</v>
      </c>
      <c r="I25" s="18"/>
      <c r="J25" s="18">
        <v>11035</v>
      </c>
      <c r="K25" s="18"/>
      <c r="L25" s="18">
        <v>0</v>
      </c>
      <c r="M25" s="18"/>
      <c r="N25" s="19"/>
      <c r="O25" s="25"/>
      <c r="P25" s="5" t="s">
        <v>16</v>
      </c>
      <c r="Q25" s="6"/>
      <c r="R25" s="6">
        <v>11695</v>
      </c>
      <c r="S25" s="6"/>
      <c r="T25" s="6">
        <v>832</v>
      </c>
      <c r="U25" s="6"/>
      <c r="V25" s="7"/>
      <c r="W25" s="25"/>
      <c r="X25" s="11" t="s">
        <v>16</v>
      </c>
      <c r="Y25" s="12"/>
      <c r="Z25" s="12">
        <v>8030</v>
      </c>
      <c r="AA25" s="12"/>
      <c r="AB25" s="12">
        <v>224</v>
      </c>
      <c r="AC25" s="12"/>
      <c r="AD25" s="13"/>
    </row>
    <row r="27" spans="1:32" x14ac:dyDescent="0.25">
      <c r="A27" s="26" t="s">
        <v>25</v>
      </c>
      <c r="B27" s="27" t="s">
        <v>24</v>
      </c>
      <c r="C27" s="26"/>
      <c r="D27" s="26">
        <v>16</v>
      </c>
      <c r="E27" s="26"/>
      <c r="F27" s="26">
        <v>9.3330000000000002</v>
      </c>
      <c r="G27" s="26"/>
      <c r="H27" s="61">
        <v>10211</v>
      </c>
      <c r="J27" s="61">
        <v>1300</v>
      </c>
      <c r="L27" s="61">
        <v>48864</v>
      </c>
      <c r="N27" s="61">
        <v>4.5190000000000001</v>
      </c>
      <c r="O27" s="26"/>
      <c r="P27" s="59">
        <v>27301</v>
      </c>
      <c r="R27" s="59">
        <v>130</v>
      </c>
      <c r="T27" s="59">
        <v>215</v>
      </c>
      <c r="V27" s="59">
        <v>1.393</v>
      </c>
      <c r="W27" s="26"/>
      <c r="X27" s="60">
        <v>11986</v>
      </c>
      <c r="Z27" s="60">
        <v>1067</v>
      </c>
      <c r="AB27" s="60">
        <v>379</v>
      </c>
      <c r="AD27" s="60">
        <v>0.91300000000000003</v>
      </c>
      <c r="AF27" s="1">
        <f>D27*L27+D27*P27*2+D27*X27*2</f>
        <v>2039008</v>
      </c>
    </row>
    <row r="28" spans="1:32" ht="15.75" thickBot="1" x14ac:dyDescent="0.3">
      <c r="A28" s="26"/>
      <c r="B28" s="26"/>
      <c r="C28" s="26"/>
      <c r="D28" s="26"/>
      <c r="E28" s="26"/>
      <c r="F28" s="26"/>
      <c r="G28" s="26"/>
      <c r="O28" s="26"/>
      <c r="W28" s="26"/>
    </row>
    <row r="29" spans="1:32" x14ac:dyDescent="0.25">
      <c r="A29" s="26"/>
      <c r="B29" s="26"/>
      <c r="C29" s="26"/>
      <c r="D29" s="26"/>
      <c r="E29" s="26"/>
      <c r="F29" s="26"/>
      <c r="G29" s="26"/>
      <c r="H29" s="20" t="s">
        <v>20</v>
      </c>
      <c r="I29" s="16"/>
      <c r="J29" s="16" t="s">
        <v>17</v>
      </c>
      <c r="K29" s="16"/>
      <c r="L29" s="16" t="s">
        <v>18</v>
      </c>
      <c r="M29" s="16"/>
      <c r="N29" s="17" t="s">
        <v>19</v>
      </c>
      <c r="O29" s="26"/>
      <c r="P29" s="2" t="s">
        <v>20</v>
      </c>
      <c r="Q29" s="3"/>
      <c r="R29" s="3" t="s">
        <v>17</v>
      </c>
      <c r="S29" s="3"/>
      <c r="T29" s="3" t="s">
        <v>18</v>
      </c>
      <c r="U29" s="3"/>
      <c r="V29" s="4" t="s">
        <v>19</v>
      </c>
      <c r="W29" s="26"/>
      <c r="X29" s="8" t="s">
        <v>20</v>
      </c>
      <c r="Y29" s="9"/>
      <c r="Z29" s="9" t="s">
        <v>17</v>
      </c>
      <c r="AA29" s="9"/>
      <c r="AB29" s="9" t="s">
        <v>18</v>
      </c>
      <c r="AC29" s="9"/>
      <c r="AD29" s="10" t="s">
        <v>19</v>
      </c>
    </row>
    <row r="30" spans="1:32" ht="15.75" thickBot="1" x14ac:dyDescent="0.3">
      <c r="A30" s="26"/>
      <c r="B30" s="26"/>
      <c r="C30" s="26"/>
      <c r="D30" s="26"/>
      <c r="E30" s="26"/>
      <c r="F30" s="26"/>
      <c r="G30" s="26"/>
      <c r="H30" s="21" t="s">
        <v>21</v>
      </c>
      <c r="I30" s="18"/>
      <c r="J30" s="18">
        <v>10987</v>
      </c>
      <c r="K30" s="18"/>
      <c r="L30" s="18">
        <v>0</v>
      </c>
      <c r="M30" s="18"/>
      <c r="N30" s="19">
        <v>170</v>
      </c>
      <c r="O30" s="26"/>
      <c r="P30" s="5" t="s">
        <v>16</v>
      </c>
      <c r="Q30" s="6"/>
      <c r="R30" s="6">
        <v>11006</v>
      </c>
      <c r="S30" s="6"/>
      <c r="T30" s="6">
        <v>1135</v>
      </c>
      <c r="U30" s="6"/>
      <c r="V30" s="7">
        <v>187</v>
      </c>
      <c r="W30" s="26"/>
      <c r="X30" s="11" t="s">
        <v>16</v>
      </c>
      <c r="Y30" s="12"/>
      <c r="Z30" s="12">
        <v>7057</v>
      </c>
      <c r="AA30" s="12"/>
      <c r="AB30" s="12">
        <v>670</v>
      </c>
      <c r="AC30" s="12"/>
      <c r="AD30" s="13">
        <v>1925</v>
      </c>
    </row>
    <row r="31" spans="1:32" x14ac:dyDescent="0.25">
      <c r="A31" s="26"/>
      <c r="B31" s="26"/>
      <c r="C31" s="26"/>
      <c r="D31" s="26"/>
      <c r="E31" s="26"/>
      <c r="F31" s="26"/>
      <c r="G31" s="26"/>
      <c r="H31" s="22" t="s">
        <v>23</v>
      </c>
      <c r="I31" s="16"/>
      <c r="J31" s="16" t="s">
        <v>17</v>
      </c>
      <c r="K31" s="16"/>
      <c r="L31" s="16" t="s">
        <v>18</v>
      </c>
      <c r="M31" s="16"/>
      <c r="N31" s="17"/>
      <c r="O31" s="26"/>
      <c r="P31" s="15" t="s">
        <v>23</v>
      </c>
      <c r="Q31" s="3"/>
      <c r="R31" s="3" t="s">
        <v>17</v>
      </c>
      <c r="S31" s="3"/>
      <c r="T31" s="3" t="s">
        <v>18</v>
      </c>
      <c r="U31" s="3"/>
      <c r="V31" s="4"/>
      <c r="W31" s="26"/>
      <c r="X31" s="14" t="s">
        <v>23</v>
      </c>
      <c r="Y31" s="9"/>
      <c r="Z31" s="9" t="s">
        <v>17</v>
      </c>
      <c r="AA31" s="9"/>
      <c r="AB31" s="9" t="s">
        <v>18</v>
      </c>
      <c r="AC31" s="9"/>
      <c r="AD31" s="10"/>
    </row>
    <row r="32" spans="1:32" ht="15.75" thickBot="1" x14ac:dyDescent="0.3">
      <c r="A32" s="26"/>
      <c r="B32" s="26"/>
      <c r="C32" s="26"/>
      <c r="D32" s="26"/>
      <c r="E32" s="26"/>
      <c r="F32" s="26"/>
      <c r="G32" s="26"/>
      <c r="H32" s="21" t="s">
        <v>16</v>
      </c>
      <c r="I32" s="18"/>
      <c r="J32" s="18">
        <v>10637</v>
      </c>
      <c r="K32" s="18"/>
      <c r="L32" s="18">
        <v>0</v>
      </c>
      <c r="M32" s="18"/>
      <c r="N32" s="19"/>
      <c r="O32" s="26"/>
      <c r="P32" s="5" t="s">
        <v>16</v>
      </c>
      <c r="Q32" s="6"/>
      <c r="R32" s="6">
        <v>11136</v>
      </c>
      <c r="S32" s="6"/>
      <c r="T32" s="6">
        <v>920</v>
      </c>
      <c r="U32" s="6"/>
      <c r="V32" s="7"/>
      <c r="W32" s="26"/>
      <c r="X32" s="11" t="s">
        <v>16</v>
      </c>
      <c r="Y32" s="12"/>
      <c r="Z32" s="12">
        <v>8125</v>
      </c>
      <c r="AA32" s="12"/>
      <c r="AB32" s="12">
        <v>290</v>
      </c>
      <c r="AC32" s="12"/>
      <c r="AD32" s="13"/>
    </row>
    <row r="34" spans="1:32" x14ac:dyDescent="0.25">
      <c r="A34" s="62" t="s">
        <v>193</v>
      </c>
      <c r="B34" s="63">
        <v>2.6</v>
      </c>
      <c r="C34" s="62"/>
      <c r="D34" s="62">
        <v>16</v>
      </c>
      <c r="E34" s="62"/>
      <c r="F34" s="62">
        <v>17.574999999999999</v>
      </c>
      <c r="G34" s="62"/>
      <c r="H34" s="61">
        <v>16580</v>
      </c>
      <c r="J34" s="61">
        <v>1200</v>
      </c>
      <c r="L34" s="61">
        <v>29726</v>
      </c>
      <c r="N34" s="61">
        <v>6.673</v>
      </c>
      <c r="O34" s="62"/>
      <c r="P34" s="59">
        <v>44329</v>
      </c>
      <c r="R34" s="59">
        <v>493</v>
      </c>
      <c r="T34" s="59">
        <v>484</v>
      </c>
      <c r="V34" s="59">
        <v>4.0380000000000003</v>
      </c>
      <c r="W34" s="62"/>
      <c r="X34" s="60">
        <v>16044</v>
      </c>
      <c r="Z34" s="60">
        <v>1729</v>
      </c>
      <c r="AB34" s="60">
        <v>271</v>
      </c>
      <c r="AD34" s="60">
        <v>1.2629999999999999</v>
      </c>
      <c r="AF34" s="1">
        <f>D34*L34+D34*P34*2+D34*X34*2</f>
        <v>2407552</v>
      </c>
    </row>
    <row r="35" spans="1:32" ht="15.75" thickBot="1" x14ac:dyDescent="0.3">
      <c r="A35" s="64"/>
      <c r="B35" s="62"/>
      <c r="C35" s="62"/>
      <c r="D35" s="62"/>
      <c r="E35" s="62"/>
      <c r="F35" s="62"/>
      <c r="G35" s="62"/>
      <c r="O35" s="62"/>
      <c r="W35" s="62"/>
    </row>
    <row r="36" spans="1:32" x14ac:dyDescent="0.25">
      <c r="A36" s="62"/>
      <c r="B36" s="62"/>
      <c r="C36" s="62"/>
      <c r="D36" s="62"/>
      <c r="E36" s="62"/>
      <c r="F36" s="62"/>
      <c r="G36" s="62"/>
      <c r="H36" s="20" t="s">
        <v>20</v>
      </c>
      <c r="I36" s="16"/>
      <c r="J36" s="16" t="s">
        <v>17</v>
      </c>
      <c r="K36" s="16"/>
      <c r="L36" s="16" t="s">
        <v>18</v>
      </c>
      <c r="M36" s="16"/>
      <c r="N36" s="17" t="s">
        <v>19</v>
      </c>
      <c r="O36" s="62"/>
      <c r="P36" s="2" t="s">
        <v>20</v>
      </c>
      <c r="Q36" s="3"/>
      <c r="R36" s="3" t="s">
        <v>17</v>
      </c>
      <c r="S36" s="3"/>
      <c r="T36" s="3" t="s">
        <v>18</v>
      </c>
      <c r="U36" s="3"/>
      <c r="V36" s="4" t="s">
        <v>19</v>
      </c>
      <c r="W36" s="62"/>
      <c r="X36" s="8" t="s">
        <v>20</v>
      </c>
      <c r="Y36" s="9"/>
      <c r="Z36" s="9" t="s">
        <v>17</v>
      </c>
      <c r="AA36" s="9"/>
      <c r="AB36" s="9" t="s">
        <v>18</v>
      </c>
      <c r="AC36" s="9"/>
      <c r="AD36" s="10" t="s">
        <v>19</v>
      </c>
    </row>
    <row r="37" spans="1:32" ht="15.75" thickBot="1" x14ac:dyDescent="0.3">
      <c r="A37" s="62"/>
      <c r="B37" s="62"/>
      <c r="C37" s="62"/>
      <c r="D37" s="62"/>
      <c r="E37" s="62"/>
      <c r="F37" s="62"/>
      <c r="G37" s="62"/>
      <c r="H37" s="21" t="s">
        <v>21</v>
      </c>
      <c r="I37" s="18"/>
      <c r="J37" s="18">
        <v>12339</v>
      </c>
      <c r="K37" s="18"/>
      <c r="L37" s="18">
        <v>0</v>
      </c>
      <c r="M37" s="18"/>
      <c r="N37" s="19">
        <v>-117</v>
      </c>
      <c r="O37" s="62"/>
      <c r="P37" s="5" t="s">
        <v>16</v>
      </c>
      <c r="Q37" s="6"/>
      <c r="R37" s="6">
        <v>12502</v>
      </c>
      <c r="S37" s="6"/>
      <c r="T37" s="6">
        <v>1537</v>
      </c>
      <c r="U37" s="6"/>
      <c r="V37" s="7">
        <v>-126</v>
      </c>
      <c r="W37" s="62"/>
      <c r="X37" s="11" t="s">
        <v>16</v>
      </c>
      <c r="Y37" s="12"/>
      <c r="Z37" s="12">
        <v>5785</v>
      </c>
      <c r="AA37" s="12"/>
      <c r="AB37" s="12">
        <v>572</v>
      </c>
      <c r="AC37" s="12"/>
      <c r="AD37" s="13">
        <v>1691</v>
      </c>
    </row>
    <row r="38" spans="1:32" x14ac:dyDescent="0.25">
      <c r="A38" s="62"/>
      <c r="B38" s="62"/>
      <c r="C38" s="62"/>
      <c r="D38" s="62"/>
      <c r="E38" s="62"/>
      <c r="F38" s="62"/>
      <c r="G38" s="62"/>
      <c r="H38" s="22" t="s">
        <v>23</v>
      </c>
      <c r="I38" s="16"/>
      <c r="J38" s="16" t="s">
        <v>17</v>
      </c>
      <c r="K38" s="16"/>
      <c r="L38" s="16" t="s">
        <v>18</v>
      </c>
      <c r="M38" s="16"/>
      <c r="N38" s="17"/>
      <c r="O38" s="62"/>
      <c r="P38" s="15" t="s">
        <v>23</v>
      </c>
      <c r="Q38" s="3"/>
      <c r="R38" s="3" t="s">
        <v>17</v>
      </c>
      <c r="S38" s="3"/>
      <c r="T38" s="3" t="s">
        <v>18</v>
      </c>
      <c r="U38" s="3"/>
      <c r="V38" s="4"/>
      <c r="W38" s="62"/>
      <c r="X38" s="14" t="s">
        <v>23</v>
      </c>
      <c r="Y38" s="9"/>
      <c r="Z38" s="9" t="s">
        <v>17</v>
      </c>
      <c r="AA38" s="9"/>
      <c r="AB38" s="9" t="s">
        <v>18</v>
      </c>
      <c r="AC38" s="9"/>
      <c r="AD38" s="10"/>
    </row>
    <row r="39" spans="1:32" ht="15.75" thickBot="1" x14ac:dyDescent="0.3">
      <c r="A39" s="62"/>
      <c r="B39" s="62"/>
      <c r="C39" s="62"/>
      <c r="D39" s="62"/>
      <c r="E39" s="62"/>
      <c r="F39" s="62"/>
      <c r="G39" s="62"/>
      <c r="H39" s="21" t="s">
        <v>16</v>
      </c>
      <c r="I39" s="18"/>
      <c r="J39" s="18">
        <v>11303</v>
      </c>
      <c r="K39" s="18"/>
      <c r="L39" s="18">
        <v>0</v>
      </c>
      <c r="M39" s="18"/>
      <c r="N39" s="19"/>
      <c r="O39" s="62"/>
      <c r="P39" s="5" t="s">
        <v>16</v>
      </c>
      <c r="Q39" s="6"/>
      <c r="R39" s="6">
        <v>12009</v>
      </c>
      <c r="S39" s="6"/>
      <c r="T39" s="6">
        <v>1053</v>
      </c>
      <c r="U39" s="6"/>
      <c r="V39" s="7"/>
      <c r="W39" s="62"/>
      <c r="X39" s="11" t="s">
        <v>16</v>
      </c>
      <c r="Y39" s="12"/>
      <c r="Z39" s="12">
        <v>7514</v>
      </c>
      <c r="AA39" s="12"/>
      <c r="AB39" s="12">
        <v>301</v>
      </c>
      <c r="AC39" s="12"/>
      <c r="AD39" s="13"/>
    </row>
  </sheetData>
  <mergeCells count="5">
    <mergeCell ref="R3:T3"/>
    <mergeCell ref="Z3:AB3"/>
    <mergeCell ref="X2:AD2"/>
    <mergeCell ref="P2:V2"/>
    <mergeCell ref="H2:N2"/>
  </mergeCells>
  <pageMargins left="0.25" right="0.25" top="0.75" bottom="0.75" header="0.3" footer="0.3"/>
  <pageSetup paperSize="9"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I104"/>
  <sheetViews>
    <sheetView tabSelected="1" zoomScale="70" zoomScaleNormal="70" workbookViewId="0">
      <pane xSplit="8" ySplit="3" topLeftCell="I22" activePane="bottomRight" state="frozen"/>
      <selection pane="topRight" activeCell="I1" sqref="I1"/>
      <selection pane="bottomLeft" activeCell="A4" sqref="A4"/>
      <selection pane="bottomRight" activeCell="I46" sqref="I46:K46"/>
    </sheetView>
  </sheetViews>
  <sheetFormatPr defaultRowHeight="15" x14ac:dyDescent="0.25"/>
  <cols>
    <col min="1" max="1" width="5.140625" bestFit="1" customWidth="1"/>
    <col min="2" max="2" width="42.85546875" bestFit="1" customWidth="1"/>
    <col min="3" max="3" width="7.42578125" bestFit="1" customWidth="1"/>
    <col min="4" max="4" width="66.7109375" bestFit="1" customWidth="1"/>
    <col min="5" max="5" width="13.85546875" customWidth="1"/>
    <col min="6" max="6" width="13.28515625" customWidth="1"/>
    <col min="7" max="7" width="13.42578125" customWidth="1"/>
    <col min="8" max="8" width="11.85546875" customWidth="1"/>
    <col min="9" max="9" width="8.28515625" customWidth="1"/>
    <col min="10" max="10" width="3" bestFit="1" customWidth="1"/>
    <col min="11" max="11" width="3.5703125" bestFit="1" customWidth="1"/>
    <col min="12" max="12" width="12.5703125" customWidth="1"/>
    <col min="13" max="13" width="3" bestFit="1" customWidth="1"/>
    <col min="14" max="14" width="3.5703125" bestFit="1" customWidth="1"/>
    <col min="15" max="15" width="8.28515625" customWidth="1"/>
    <col min="16" max="16" width="3" bestFit="1" customWidth="1"/>
    <col min="17" max="17" width="3.5703125" bestFit="1" customWidth="1"/>
    <col min="18" max="18" width="9" customWidth="1"/>
    <col min="19" max="19" width="3" bestFit="1" customWidth="1"/>
    <col min="20" max="20" width="3.5703125" bestFit="1" customWidth="1"/>
    <col min="21" max="21" width="9" customWidth="1"/>
    <col min="22" max="22" width="3" bestFit="1" customWidth="1"/>
    <col min="23" max="23" width="3.5703125" bestFit="1" customWidth="1"/>
    <col min="24" max="24" width="8.28515625" style="178" customWidth="1"/>
    <col min="25" max="25" width="3" style="178" bestFit="1" customWidth="1"/>
    <col min="26" max="26" width="3.5703125" style="178" bestFit="1" customWidth="1"/>
    <col min="27" max="27" width="12.5703125" style="178" customWidth="1"/>
    <col min="28" max="28" width="3" style="178" bestFit="1" customWidth="1"/>
    <col min="29" max="29" width="3.5703125" style="178" bestFit="1" customWidth="1"/>
    <col min="30" max="30" width="8.28515625" style="178" customWidth="1"/>
    <col min="31" max="31" width="3" style="178" bestFit="1" customWidth="1"/>
    <col min="32" max="32" width="3.5703125" style="178" bestFit="1" customWidth="1"/>
    <col min="33" max="33" width="9" style="178" customWidth="1"/>
    <col min="34" max="34" width="3" style="178" bestFit="1" customWidth="1"/>
    <col min="35" max="35" width="3.5703125" style="178" bestFit="1" customWidth="1"/>
    <col min="36" max="36" width="9" style="178" customWidth="1"/>
    <col min="37" max="37" width="3" style="178" bestFit="1" customWidth="1"/>
    <col min="38" max="38" width="4.42578125" style="178" bestFit="1" customWidth="1"/>
    <col min="39" max="39" width="8.28515625" customWidth="1"/>
    <col min="40" max="40" width="3" bestFit="1" customWidth="1"/>
    <col min="41" max="41" width="4.42578125" bestFit="1" customWidth="1"/>
    <col min="42" max="42" width="12.5703125" customWidth="1"/>
    <col min="43" max="43" width="3" bestFit="1" customWidth="1"/>
    <col min="44" max="44" width="3.5703125" bestFit="1" customWidth="1"/>
    <col min="45" max="45" width="8.28515625" customWidth="1"/>
    <col min="46" max="46" width="3" bestFit="1" customWidth="1"/>
    <col min="47" max="47" width="3.5703125" bestFit="1" customWidth="1"/>
    <col min="48" max="48" width="9" customWidth="1"/>
    <col min="49" max="49" width="3" bestFit="1" customWidth="1"/>
    <col min="50" max="50" width="4.42578125" bestFit="1" customWidth="1"/>
    <col min="51" max="51" width="9" customWidth="1"/>
    <col min="52" max="52" width="3" bestFit="1" customWidth="1"/>
    <col min="53" max="53" width="4.42578125" bestFit="1" customWidth="1"/>
    <col min="54" max="54" width="8.28515625" customWidth="1"/>
    <col min="55" max="55" width="3" bestFit="1" customWidth="1"/>
    <col min="56" max="56" width="3.5703125" bestFit="1" customWidth="1"/>
    <col min="57" max="57" width="12.5703125" customWidth="1"/>
    <col min="58" max="58" width="3" bestFit="1" customWidth="1"/>
    <col min="59" max="59" width="3.5703125" bestFit="1" customWidth="1"/>
    <col min="60" max="60" width="8.28515625" customWidth="1"/>
    <col min="61" max="61" width="3" bestFit="1" customWidth="1"/>
    <col min="62" max="62" width="3.5703125" bestFit="1" customWidth="1"/>
    <col min="63" max="63" width="9" customWidth="1"/>
    <col min="64" max="64" width="3" bestFit="1" customWidth="1"/>
    <col min="65" max="65" width="3.5703125" bestFit="1" customWidth="1"/>
    <col min="66" max="66" width="9" customWidth="1"/>
    <col min="67" max="67" width="3" bestFit="1" customWidth="1"/>
    <col min="68" max="68" width="4.42578125" bestFit="1" customWidth="1"/>
    <col min="70" max="70" width="3" bestFit="1" customWidth="1"/>
    <col min="71" max="71" width="4.42578125" bestFit="1" customWidth="1"/>
    <col min="72" max="72" width="12.7109375" customWidth="1"/>
    <col min="73" max="73" width="3.85546875" bestFit="1" customWidth="1"/>
    <col min="74" max="74" width="4.28515625" bestFit="1" customWidth="1"/>
    <col min="76" max="76" width="3" bestFit="1" customWidth="1"/>
    <col min="77" max="77" width="3.5703125" bestFit="1" customWidth="1"/>
    <col min="79" max="79" width="3" bestFit="1" customWidth="1"/>
    <col min="80" max="80" width="4.42578125" bestFit="1" customWidth="1"/>
    <col min="82" max="82" width="3" bestFit="1" customWidth="1"/>
    <col min="83" max="83" width="4.42578125" bestFit="1" customWidth="1"/>
    <col min="84" max="84" width="9.7109375" customWidth="1"/>
    <col min="85" max="85" width="3" bestFit="1" customWidth="1"/>
    <col min="86" max="86" width="3.5703125" bestFit="1" customWidth="1"/>
    <col min="87" max="87" width="13.28515625" customWidth="1"/>
    <col min="88" max="88" width="3" bestFit="1" customWidth="1"/>
    <col min="89" max="89" width="3.5703125" bestFit="1" customWidth="1"/>
    <col min="90" max="90" width="9.42578125" customWidth="1"/>
    <col min="91" max="91" width="3" bestFit="1" customWidth="1"/>
    <col min="92" max="92" width="3.5703125" bestFit="1" customWidth="1"/>
    <col min="93" max="93" width="10" customWidth="1"/>
    <col min="94" max="94" width="3" bestFit="1" customWidth="1"/>
    <col min="95" max="95" width="3.5703125" bestFit="1" customWidth="1"/>
    <col min="96" max="96" width="10.7109375" customWidth="1"/>
    <col min="97" max="97" width="3" bestFit="1" customWidth="1"/>
    <col min="98" max="98" width="3.5703125" bestFit="1" customWidth="1"/>
    <col min="100" max="100" width="3.85546875" bestFit="1" customWidth="1"/>
    <col min="101" max="101" width="4.42578125" bestFit="1" customWidth="1"/>
    <col min="102" max="102" width="13.28515625" customWidth="1"/>
    <col min="103" max="103" width="3.85546875" bestFit="1" customWidth="1"/>
    <col min="104" max="104" width="4.28515625" bestFit="1" customWidth="1"/>
    <col min="106" max="106" width="3.85546875" bestFit="1" customWidth="1"/>
    <col min="107" max="107" width="4.28515625" bestFit="1" customWidth="1"/>
    <col min="108" max="108" width="10.42578125" customWidth="1"/>
    <col min="109" max="109" width="3.85546875" bestFit="1" customWidth="1"/>
    <col min="110" max="110" width="4.42578125" bestFit="1" customWidth="1"/>
    <col min="111" max="111" width="10.5703125" customWidth="1"/>
    <col min="112" max="112" width="3.85546875" bestFit="1" customWidth="1"/>
    <col min="113" max="113" width="4.42578125" bestFit="1" customWidth="1"/>
  </cols>
  <sheetData>
    <row r="1" spans="1:113" ht="15.75" thickBot="1" x14ac:dyDescent="0.3">
      <c r="I1" s="301" t="s">
        <v>133</v>
      </c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  <c r="W1" s="303"/>
      <c r="X1" s="235" t="s">
        <v>313</v>
      </c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236"/>
      <c r="AK1" s="236"/>
      <c r="AL1" s="236"/>
      <c r="AM1" s="235" t="s">
        <v>294</v>
      </c>
      <c r="AN1" s="235"/>
      <c r="AO1" s="235"/>
      <c r="AP1" s="235"/>
      <c r="AQ1" s="235"/>
      <c r="AR1" s="235"/>
      <c r="AS1" s="235"/>
      <c r="AT1" s="235"/>
      <c r="AU1" s="235"/>
      <c r="AV1" s="235"/>
      <c r="AW1" s="235"/>
      <c r="AX1" s="235"/>
      <c r="AY1" s="236"/>
      <c r="AZ1" s="236"/>
      <c r="BA1" s="236"/>
      <c r="BB1" s="235" t="s">
        <v>295</v>
      </c>
      <c r="BC1" s="235"/>
      <c r="BD1" s="235"/>
      <c r="BE1" s="235"/>
      <c r="BF1" s="235"/>
      <c r="BG1" s="235"/>
      <c r="BH1" s="235"/>
      <c r="BI1" s="235"/>
      <c r="BJ1" s="235"/>
      <c r="BK1" s="235"/>
      <c r="BL1" s="235"/>
      <c r="BM1" s="235"/>
      <c r="BN1" s="236"/>
      <c r="BO1" s="236"/>
      <c r="BP1" s="236"/>
      <c r="BQ1" s="235" t="s">
        <v>208</v>
      </c>
      <c r="BR1" s="235"/>
      <c r="BS1" s="235"/>
      <c r="BT1" s="235"/>
      <c r="BU1" s="235"/>
      <c r="BV1" s="235"/>
      <c r="BW1" s="235"/>
      <c r="BX1" s="235"/>
      <c r="BY1" s="235"/>
      <c r="BZ1" s="235"/>
      <c r="CA1" s="235"/>
      <c r="CB1" s="235"/>
      <c r="CC1" s="236"/>
      <c r="CD1" s="236"/>
      <c r="CE1" s="236"/>
      <c r="CF1" s="221"/>
      <c r="CG1" s="221"/>
      <c r="CH1" s="221"/>
      <c r="CI1" s="221"/>
      <c r="CJ1" s="221"/>
      <c r="CK1" s="221"/>
      <c r="CL1" s="221"/>
      <c r="CM1" s="221"/>
      <c r="CN1" s="221"/>
      <c r="CO1" s="221"/>
      <c r="CP1" s="221"/>
      <c r="CQ1" s="221"/>
      <c r="CR1" s="221"/>
      <c r="CS1" s="221"/>
      <c r="CT1" s="221"/>
      <c r="CU1" s="221"/>
      <c r="CV1" s="221"/>
      <c r="CW1" s="221"/>
      <c r="CX1" s="221"/>
      <c r="CY1" s="221"/>
      <c r="CZ1" s="221"/>
      <c r="DA1" s="221"/>
      <c r="DB1" s="221"/>
      <c r="DC1" s="221"/>
      <c r="DD1" s="221"/>
      <c r="DE1" s="221"/>
      <c r="DF1" s="221"/>
      <c r="DG1" s="221"/>
      <c r="DH1" s="221"/>
      <c r="DI1" s="221"/>
    </row>
    <row r="2" spans="1:113" ht="15" customHeight="1" x14ac:dyDescent="0.25">
      <c r="A2" s="336" t="s">
        <v>26</v>
      </c>
      <c r="B2" s="337"/>
      <c r="C2" s="338"/>
      <c r="D2" s="324" t="s">
        <v>31</v>
      </c>
      <c r="E2" s="324" t="s">
        <v>65</v>
      </c>
      <c r="F2" s="324" t="s">
        <v>204</v>
      </c>
      <c r="G2" s="324" t="s">
        <v>205</v>
      </c>
      <c r="H2" s="326" t="s">
        <v>32</v>
      </c>
      <c r="I2" s="239" t="s">
        <v>128</v>
      </c>
      <c r="J2" s="29" t="s">
        <v>129</v>
      </c>
      <c r="K2" s="30" t="s">
        <v>130</v>
      </c>
      <c r="L2" s="239" t="s">
        <v>132</v>
      </c>
      <c r="M2" s="29" t="s">
        <v>129</v>
      </c>
      <c r="N2" s="30" t="s">
        <v>130</v>
      </c>
      <c r="O2" s="239" t="s">
        <v>131</v>
      </c>
      <c r="P2" s="29" t="s">
        <v>129</v>
      </c>
      <c r="Q2" s="30" t="s">
        <v>130</v>
      </c>
      <c r="R2" s="239" t="s">
        <v>195</v>
      </c>
      <c r="S2" s="29" t="s">
        <v>129</v>
      </c>
      <c r="T2" s="30" t="s">
        <v>130</v>
      </c>
      <c r="U2" s="239" t="s">
        <v>194</v>
      </c>
      <c r="V2" s="29" t="s">
        <v>129</v>
      </c>
      <c r="W2" s="30" t="s">
        <v>130</v>
      </c>
      <c r="X2" s="237" t="s">
        <v>128</v>
      </c>
      <c r="Y2" s="29" t="s">
        <v>129</v>
      </c>
      <c r="Z2" s="30" t="s">
        <v>130</v>
      </c>
      <c r="AA2" s="239" t="s">
        <v>132</v>
      </c>
      <c r="AB2" s="29" t="s">
        <v>129</v>
      </c>
      <c r="AC2" s="30" t="s">
        <v>130</v>
      </c>
      <c r="AD2" s="239" t="s">
        <v>131</v>
      </c>
      <c r="AE2" s="29" t="s">
        <v>129</v>
      </c>
      <c r="AF2" s="30" t="s">
        <v>130</v>
      </c>
      <c r="AG2" s="239" t="s">
        <v>195</v>
      </c>
      <c r="AH2" s="29" t="s">
        <v>129</v>
      </c>
      <c r="AI2" s="30" t="s">
        <v>130</v>
      </c>
      <c r="AJ2" s="239" t="s">
        <v>194</v>
      </c>
      <c r="AK2" s="29" t="s">
        <v>129</v>
      </c>
      <c r="AL2" s="30" t="s">
        <v>130</v>
      </c>
      <c r="AM2" s="237" t="s">
        <v>128</v>
      </c>
      <c r="AN2" s="29" t="s">
        <v>129</v>
      </c>
      <c r="AO2" s="30" t="s">
        <v>130</v>
      </c>
      <c r="AP2" s="239" t="s">
        <v>132</v>
      </c>
      <c r="AQ2" s="29" t="s">
        <v>129</v>
      </c>
      <c r="AR2" s="30" t="s">
        <v>130</v>
      </c>
      <c r="AS2" s="239" t="s">
        <v>131</v>
      </c>
      <c r="AT2" s="29" t="s">
        <v>129</v>
      </c>
      <c r="AU2" s="30" t="s">
        <v>130</v>
      </c>
      <c r="AV2" s="239" t="s">
        <v>195</v>
      </c>
      <c r="AW2" s="29" t="s">
        <v>129</v>
      </c>
      <c r="AX2" s="30" t="s">
        <v>130</v>
      </c>
      <c r="AY2" s="239" t="s">
        <v>194</v>
      </c>
      <c r="AZ2" s="29" t="s">
        <v>129</v>
      </c>
      <c r="BA2" s="30" t="s">
        <v>130</v>
      </c>
      <c r="BB2" s="237" t="s">
        <v>128</v>
      </c>
      <c r="BC2" s="29" t="s">
        <v>129</v>
      </c>
      <c r="BD2" s="30" t="s">
        <v>130</v>
      </c>
      <c r="BE2" s="239" t="s">
        <v>132</v>
      </c>
      <c r="BF2" s="29" t="s">
        <v>129</v>
      </c>
      <c r="BG2" s="30" t="s">
        <v>130</v>
      </c>
      <c r="BH2" s="239" t="s">
        <v>131</v>
      </c>
      <c r="BI2" s="29" t="s">
        <v>129</v>
      </c>
      <c r="BJ2" s="30" t="s">
        <v>130</v>
      </c>
      <c r="BK2" s="239" t="s">
        <v>195</v>
      </c>
      <c r="BL2" s="29" t="s">
        <v>129</v>
      </c>
      <c r="BM2" s="30" t="s">
        <v>130</v>
      </c>
      <c r="BN2" s="239" t="s">
        <v>194</v>
      </c>
      <c r="BO2" s="29" t="s">
        <v>129</v>
      </c>
      <c r="BP2" s="30" t="s">
        <v>130</v>
      </c>
      <c r="BQ2" s="237" t="s">
        <v>128</v>
      </c>
      <c r="BR2" s="29" t="s">
        <v>129</v>
      </c>
      <c r="BS2" s="30" t="s">
        <v>130</v>
      </c>
      <c r="BT2" s="239" t="s">
        <v>132</v>
      </c>
      <c r="BU2" s="29" t="s">
        <v>129</v>
      </c>
      <c r="BV2" s="30" t="s">
        <v>130</v>
      </c>
      <c r="BW2" s="239" t="s">
        <v>131</v>
      </c>
      <c r="BX2" s="29" t="s">
        <v>129</v>
      </c>
      <c r="BY2" s="30" t="s">
        <v>130</v>
      </c>
      <c r="BZ2" s="239" t="s">
        <v>195</v>
      </c>
      <c r="CA2" s="29" t="s">
        <v>129</v>
      </c>
      <c r="CB2" s="30" t="s">
        <v>130</v>
      </c>
      <c r="CC2" s="239" t="s">
        <v>194</v>
      </c>
      <c r="CD2" s="29" t="s">
        <v>129</v>
      </c>
      <c r="CE2" s="30" t="s">
        <v>130</v>
      </c>
      <c r="CF2" s="221"/>
      <c r="CG2" s="175"/>
      <c r="CH2" s="175"/>
      <c r="CI2" s="221"/>
      <c r="CJ2" s="175"/>
      <c r="CK2" s="175"/>
      <c r="CL2" s="221"/>
      <c r="CM2" s="175"/>
      <c r="CN2" s="175"/>
      <c r="CO2" s="221"/>
      <c r="CP2" s="175"/>
      <c r="CQ2" s="175"/>
      <c r="CR2" s="221"/>
      <c r="CS2" s="175"/>
      <c r="CT2" s="175"/>
      <c r="CU2" s="221"/>
      <c r="CV2" s="175"/>
      <c r="CW2" s="175"/>
      <c r="CX2" s="221"/>
      <c r="CY2" s="175"/>
      <c r="CZ2" s="175"/>
      <c r="DA2" s="221"/>
      <c r="DB2" s="175"/>
      <c r="DC2" s="175"/>
      <c r="DD2" s="221"/>
      <c r="DE2" s="175"/>
      <c r="DF2" s="175"/>
      <c r="DG2" s="221"/>
      <c r="DH2" s="175"/>
      <c r="DI2" s="175"/>
    </row>
    <row r="3" spans="1:113" ht="15.75" thickBot="1" x14ac:dyDescent="0.3">
      <c r="A3" s="32" t="s">
        <v>27</v>
      </c>
      <c r="B3" s="33" t="s">
        <v>28</v>
      </c>
      <c r="C3" s="33" t="s">
        <v>123</v>
      </c>
      <c r="D3" s="325"/>
      <c r="E3" s="325"/>
      <c r="F3" s="325"/>
      <c r="G3" s="325"/>
      <c r="H3" s="327"/>
      <c r="I3" s="240"/>
      <c r="J3" s="34">
        <v>16</v>
      </c>
      <c r="K3" s="35">
        <v>4</v>
      </c>
      <c r="L3" s="240"/>
      <c r="M3" s="34">
        <v>16</v>
      </c>
      <c r="N3" s="35">
        <v>3.1</v>
      </c>
      <c r="O3" s="240"/>
      <c r="P3" s="34">
        <v>18</v>
      </c>
      <c r="Q3" s="35">
        <v>3.1</v>
      </c>
      <c r="R3" s="240"/>
      <c r="S3" s="34">
        <v>16</v>
      </c>
      <c r="T3" s="35">
        <v>2.6</v>
      </c>
      <c r="U3" s="240"/>
      <c r="V3" s="34">
        <v>18</v>
      </c>
      <c r="W3" s="35">
        <v>2.6</v>
      </c>
      <c r="X3" s="238"/>
      <c r="Y3" s="34">
        <v>16</v>
      </c>
      <c r="Z3" s="35">
        <v>4</v>
      </c>
      <c r="AA3" s="240"/>
      <c r="AB3" s="34">
        <v>16</v>
      </c>
      <c r="AC3" s="35">
        <v>3.1</v>
      </c>
      <c r="AD3" s="240"/>
      <c r="AE3" s="34">
        <v>18</v>
      </c>
      <c r="AF3" s="35">
        <v>3.1</v>
      </c>
      <c r="AG3" s="240"/>
      <c r="AH3" s="34">
        <v>16</v>
      </c>
      <c r="AI3" s="35">
        <v>2.6</v>
      </c>
      <c r="AJ3" s="240"/>
      <c r="AK3" s="34">
        <v>18</v>
      </c>
      <c r="AL3" s="35">
        <v>2.6</v>
      </c>
      <c r="AM3" s="238"/>
      <c r="AN3" s="34">
        <v>16</v>
      </c>
      <c r="AO3" s="35">
        <v>4</v>
      </c>
      <c r="AP3" s="240"/>
      <c r="AQ3" s="34">
        <v>16</v>
      </c>
      <c r="AR3" s="35">
        <v>3.1</v>
      </c>
      <c r="AS3" s="240"/>
      <c r="AT3" s="34">
        <v>18</v>
      </c>
      <c r="AU3" s="35">
        <v>3.1</v>
      </c>
      <c r="AV3" s="240"/>
      <c r="AW3" s="34">
        <v>16</v>
      </c>
      <c r="AX3" s="35">
        <v>2.6</v>
      </c>
      <c r="AY3" s="240"/>
      <c r="AZ3" s="34">
        <v>18</v>
      </c>
      <c r="BA3" s="35">
        <v>2.6</v>
      </c>
      <c r="BB3" s="238"/>
      <c r="BC3" s="34">
        <v>16</v>
      </c>
      <c r="BD3" s="35">
        <v>4</v>
      </c>
      <c r="BE3" s="240"/>
      <c r="BF3" s="34">
        <v>16</v>
      </c>
      <c r="BG3" s="35">
        <v>3.1</v>
      </c>
      <c r="BH3" s="240"/>
      <c r="BI3" s="34">
        <v>18</v>
      </c>
      <c r="BJ3" s="35">
        <v>3.1</v>
      </c>
      <c r="BK3" s="240"/>
      <c r="BL3" s="34">
        <v>16</v>
      </c>
      <c r="BM3" s="35">
        <v>2.6</v>
      </c>
      <c r="BN3" s="240"/>
      <c r="BO3" s="34">
        <v>18</v>
      </c>
      <c r="BP3" s="35">
        <v>2.6</v>
      </c>
      <c r="BQ3" s="238"/>
      <c r="BR3" s="34">
        <v>16</v>
      </c>
      <c r="BS3" s="35">
        <v>4</v>
      </c>
      <c r="BT3" s="240"/>
      <c r="BU3" s="34">
        <v>16</v>
      </c>
      <c r="BV3" s="35">
        <v>3.1</v>
      </c>
      <c r="BW3" s="240"/>
      <c r="BX3" s="34">
        <v>18</v>
      </c>
      <c r="BY3" s="35">
        <v>3.1</v>
      </c>
      <c r="BZ3" s="240"/>
      <c r="CA3" s="34">
        <v>16</v>
      </c>
      <c r="CB3" s="35">
        <v>2.6</v>
      </c>
      <c r="CC3" s="240"/>
      <c r="CD3" s="34">
        <v>18</v>
      </c>
      <c r="CE3" s="35">
        <v>2.6</v>
      </c>
      <c r="CF3" s="221"/>
      <c r="CG3" s="175"/>
      <c r="CH3" s="175"/>
      <c r="CI3" s="221"/>
      <c r="CJ3" s="175"/>
      <c r="CK3" s="175"/>
      <c r="CL3" s="221"/>
      <c r="CM3" s="175"/>
      <c r="CN3" s="175"/>
      <c r="CO3" s="221"/>
      <c r="CP3" s="175"/>
      <c r="CQ3" s="175"/>
      <c r="CR3" s="221"/>
      <c r="CS3" s="175"/>
      <c r="CT3" s="175"/>
      <c r="CU3" s="221"/>
      <c r="CV3" s="175"/>
      <c r="CW3" s="175"/>
      <c r="CX3" s="221"/>
      <c r="CY3" s="175"/>
      <c r="CZ3" s="175"/>
      <c r="DA3" s="221"/>
      <c r="DB3" s="175"/>
      <c r="DC3" s="175"/>
      <c r="DD3" s="221"/>
      <c r="DE3" s="175"/>
      <c r="DF3" s="175"/>
      <c r="DG3" s="221"/>
      <c r="DH3" s="175"/>
      <c r="DI3" s="175"/>
    </row>
    <row r="4" spans="1:113" ht="17.25" x14ac:dyDescent="0.25">
      <c r="A4" s="36" t="s">
        <v>29</v>
      </c>
      <c r="B4" s="29" t="s">
        <v>88</v>
      </c>
      <c r="C4" s="52" t="s">
        <v>127</v>
      </c>
      <c r="D4" s="56" t="s">
        <v>89</v>
      </c>
      <c r="E4" s="45"/>
      <c r="F4" s="45"/>
      <c r="G4" s="45"/>
      <c r="H4" s="45"/>
      <c r="I4" s="339">
        <v>0.91300000000000003</v>
      </c>
      <c r="J4" s="319"/>
      <c r="K4" s="319"/>
      <c r="L4" s="319">
        <v>1.1819999999999999</v>
      </c>
      <c r="M4" s="319"/>
      <c r="N4" s="319"/>
      <c r="O4" s="319">
        <v>0.84699999999999998</v>
      </c>
      <c r="P4" s="319"/>
      <c r="Q4" s="319"/>
      <c r="R4" s="316">
        <v>1.2629999999999999</v>
      </c>
      <c r="S4" s="317"/>
      <c r="T4" s="318"/>
      <c r="U4" s="319">
        <v>0.746</v>
      </c>
      <c r="V4" s="319"/>
      <c r="W4" s="319"/>
      <c r="X4" s="241"/>
      <c r="Y4" s="242"/>
      <c r="Z4" s="242"/>
      <c r="AA4" s="242"/>
      <c r="AB4" s="242"/>
      <c r="AC4" s="242"/>
      <c r="AD4" s="242"/>
      <c r="AE4" s="242"/>
      <c r="AF4" s="242"/>
      <c r="AG4" s="242"/>
      <c r="AH4" s="242"/>
      <c r="AI4" s="242"/>
      <c r="AJ4" s="242"/>
      <c r="AK4" s="242"/>
      <c r="AL4" s="243"/>
      <c r="AM4" s="241"/>
      <c r="AN4" s="242"/>
      <c r="AO4" s="242"/>
      <c r="AP4" s="242"/>
      <c r="AQ4" s="242"/>
      <c r="AR4" s="242"/>
      <c r="AS4" s="242"/>
      <c r="AT4" s="242"/>
      <c r="AU4" s="242"/>
      <c r="AV4" s="242"/>
      <c r="AW4" s="242"/>
      <c r="AX4" s="242"/>
      <c r="AY4" s="242"/>
      <c r="AZ4" s="242"/>
      <c r="BA4" s="243"/>
      <c r="BB4" s="241"/>
      <c r="BC4" s="242"/>
      <c r="BD4" s="242"/>
      <c r="BE4" s="242"/>
      <c r="BF4" s="242"/>
      <c r="BG4" s="242"/>
      <c r="BH4" s="242"/>
      <c r="BI4" s="242"/>
      <c r="BJ4" s="242"/>
      <c r="BK4" s="242"/>
      <c r="BL4" s="242"/>
      <c r="BM4" s="242"/>
      <c r="BN4" s="242"/>
      <c r="BO4" s="242"/>
      <c r="BP4" s="243"/>
      <c r="BQ4" s="241"/>
      <c r="BR4" s="242"/>
      <c r="BS4" s="242"/>
      <c r="BT4" s="242"/>
      <c r="BU4" s="242"/>
      <c r="BV4" s="242"/>
      <c r="BW4" s="242"/>
      <c r="BX4" s="242"/>
      <c r="BY4" s="242"/>
      <c r="BZ4" s="242"/>
      <c r="CA4" s="242"/>
      <c r="CB4" s="242"/>
      <c r="CC4" s="242"/>
      <c r="CD4" s="242"/>
      <c r="CE4" s="243"/>
      <c r="CF4" s="221"/>
      <c r="CG4" s="221"/>
      <c r="CH4" s="221"/>
      <c r="CI4" s="221"/>
      <c r="CJ4" s="221"/>
      <c r="CK4" s="221"/>
      <c r="CL4" s="221"/>
      <c r="CM4" s="221"/>
      <c r="CN4" s="221"/>
      <c r="CO4" s="221"/>
      <c r="CP4" s="221"/>
      <c r="CQ4" s="221"/>
      <c r="CR4" s="221"/>
      <c r="CS4" s="221"/>
      <c r="CT4" s="221"/>
      <c r="CU4" s="221"/>
      <c r="CV4" s="221"/>
      <c r="CW4" s="221"/>
      <c r="CX4" s="221"/>
      <c r="CY4" s="221"/>
      <c r="CZ4" s="221"/>
      <c r="DA4" s="221"/>
      <c r="DB4" s="221"/>
      <c r="DC4" s="221"/>
      <c r="DD4" s="221"/>
      <c r="DE4" s="221"/>
      <c r="DF4" s="221"/>
      <c r="DG4" s="221"/>
      <c r="DH4" s="221"/>
      <c r="DI4" s="221"/>
    </row>
    <row r="5" spans="1:113" ht="17.25" x14ac:dyDescent="0.25">
      <c r="A5" s="37" t="s">
        <v>30</v>
      </c>
      <c r="B5" s="28" t="s">
        <v>90</v>
      </c>
      <c r="C5" s="53" t="s">
        <v>127</v>
      </c>
      <c r="D5" s="55" t="s">
        <v>89</v>
      </c>
      <c r="E5" s="46"/>
      <c r="F5" s="46"/>
      <c r="G5" s="46"/>
      <c r="H5" s="46"/>
      <c r="I5" s="254">
        <v>0.91300000000000003</v>
      </c>
      <c r="J5" s="255"/>
      <c r="K5" s="255"/>
      <c r="L5" s="255">
        <v>1.1819999999999999</v>
      </c>
      <c r="M5" s="255"/>
      <c r="N5" s="255"/>
      <c r="O5" s="255">
        <v>0.84699999999999998</v>
      </c>
      <c r="P5" s="255"/>
      <c r="Q5" s="255"/>
      <c r="R5" s="256">
        <v>1.2629999999999999</v>
      </c>
      <c r="S5" s="282"/>
      <c r="T5" s="283"/>
      <c r="U5" s="255">
        <v>0.746</v>
      </c>
      <c r="V5" s="255"/>
      <c r="W5" s="255"/>
      <c r="X5" s="223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5"/>
      <c r="AM5" s="223"/>
      <c r="AN5" s="224"/>
      <c r="AO5" s="224"/>
      <c r="AP5" s="224"/>
      <c r="AQ5" s="224"/>
      <c r="AR5" s="224"/>
      <c r="AS5" s="224"/>
      <c r="AT5" s="224"/>
      <c r="AU5" s="224"/>
      <c r="AV5" s="224"/>
      <c r="AW5" s="224"/>
      <c r="AX5" s="224"/>
      <c r="AY5" s="224"/>
      <c r="AZ5" s="224"/>
      <c r="BA5" s="225"/>
      <c r="BB5" s="223"/>
      <c r="BC5" s="224"/>
      <c r="BD5" s="224"/>
      <c r="BE5" s="224"/>
      <c r="BF5" s="224"/>
      <c r="BG5" s="224"/>
      <c r="BH5" s="224"/>
      <c r="BI5" s="224"/>
      <c r="BJ5" s="224"/>
      <c r="BK5" s="224"/>
      <c r="BL5" s="224"/>
      <c r="BM5" s="224"/>
      <c r="BN5" s="224"/>
      <c r="BO5" s="224"/>
      <c r="BP5" s="225"/>
      <c r="BQ5" s="223"/>
      <c r="BR5" s="224"/>
      <c r="BS5" s="224"/>
      <c r="BT5" s="224"/>
      <c r="BU5" s="224"/>
      <c r="BV5" s="224"/>
      <c r="BW5" s="224"/>
      <c r="BX5" s="224"/>
      <c r="BY5" s="224"/>
      <c r="BZ5" s="224"/>
      <c r="CA5" s="224"/>
      <c r="CB5" s="224"/>
      <c r="CC5" s="224"/>
      <c r="CD5" s="224"/>
      <c r="CE5" s="225"/>
      <c r="CF5" s="221"/>
      <c r="CG5" s="221"/>
      <c r="CH5" s="221"/>
      <c r="CI5" s="221"/>
      <c r="CJ5" s="221"/>
      <c r="CK5" s="221"/>
      <c r="CL5" s="221"/>
      <c r="CM5" s="221"/>
      <c r="CN5" s="221"/>
      <c r="CO5" s="221"/>
      <c r="CP5" s="221"/>
      <c r="CQ5" s="221"/>
      <c r="CR5" s="221"/>
      <c r="CS5" s="221"/>
      <c r="CT5" s="221"/>
      <c r="CU5" s="221"/>
      <c r="CV5" s="221"/>
      <c r="CW5" s="221"/>
      <c r="CX5" s="221"/>
      <c r="CY5" s="221"/>
      <c r="CZ5" s="221"/>
      <c r="DA5" s="221"/>
      <c r="DB5" s="221"/>
      <c r="DC5" s="221"/>
      <c r="DD5" s="221"/>
      <c r="DE5" s="221"/>
      <c r="DF5" s="221"/>
      <c r="DG5" s="221"/>
      <c r="DH5" s="221"/>
      <c r="DI5" s="221"/>
    </row>
    <row r="6" spans="1:113" ht="17.25" x14ac:dyDescent="0.25">
      <c r="A6" s="37" t="s">
        <v>33</v>
      </c>
      <c r="B6" s="28" t="s">
        <v>91</v>
      </c>
      <c r="C6" s="53" t="s">
        <v>127</v>
      </c>
      <c r="D6" s="55" t="s">
        <v>89</v>
      </c>
      <c r="E6" s="46"/>
      <c r="F6" s="46"/>
      <c r="G6" s="46"/>
      <c r="H6" s="46"/>
      <c r="I6" s="254">
        <v>1.393</v>
      </c>
      <c r="J6" s="255"/>
      <c r="K6" s="255"/>
      <c r="L6" s="255">
        <v>2.4950000000000001</v>
      </c>
      <c r="M6" s="255"/>
      <c r="N6" s="255"/>
      <c r="O6" s="255">
        <v>1.629</v>
      </c>
      <c r="P6" s="255"/>
      <c r="Q6" s="255"/>
      <c r="R6" s="256">
        <v>4.0380000000000003</v>
      </c>
      <c r="S6" s="282"/>
      <c r="T6" s="283"/>
      <c r="U6" s="255">
        <v>3.3559999999999999</v>
      </c>
      <c r="V6" s="255"/>
      <c r="W6" s="255"/>
      <c r="X6" s="223"/>
      <c r="Y6" s="224"/>
      <c r="Z6" s="224"/>
      <c r="AA6" s="224"/>
      <c r="AB6" s="224"/>
      <c r="AC6" s="224"/>
      <c r="AD6" s="224"/>
      <c r="AE6" s="224"/>
      <c r="AF6" s="224"/>
      <c r="AG6" s="224"/>
      <c r="AH6" s="224"/>
      <c r="AI6" s="224"/>
      <c r="AJ6" s="224"/>
      <c r="AK6" s="224"/>
      <c r="AL6" s="225"/>
      <c r="AM6" s="223"/>
      <c r="AN6" s="224"/>
      <c r="AO6" s="224"/>
      <c r="AP6" s="224"/>
      <c r="AQ6" s="224"/>
      <c r="AR6" s="224"/>
      <c r="AS6" s="224"/>
      <c r="AT6" s="224"/>
      <c r="AU6" s="224"/>
      <c r="AV6" s="224"/>
      <c r="AW6" s="224"/>
      <c r="AX6" s="224"/>
      <c r="AY6" s="224"/>
      <c r="AZ6" s="224"/>
      <c r="BA6" s="225"/>
      <c r="BB6" s="223"/>
      <c r="BC6" s="224"/>
      <c r="BD6" s="224"/>
      <c r="BE6" s="224"/>
      <c r="BF6" s="224"/>
      <c r="BG6" s="224"/>
      <c r="BH6" s="224"/>
      <c r="BI6" s="224"/>
      <c r="BJ6" s="224"/>
      <c r="BK6" s="224"/>
      <c r="BL6" s="224"/>
      <c r="BM6" s="224"/>
      <c r="BN6" s="224"/>
      <c r="BO6" s="224"/>
      <c r="BP6" s="225"/>
      <c r="BQ6" s="223"/>
      <c r="BR6" s="224"/>
      <c r="BS6" s="224"/>
      <c r="BT6" s="224"/>
      <c r="BU6" s="224"/>
      <c r="BV6" s="224"/>
      <c r="BW6" s="224"/>
      <c r="BX6" s="224"/>
      <c r="BY6" s="224"/>
      <c r="BZ6" s="224"/>
      <c r="CA6" s="224"/>
      <c r="CB6" s="224"/>
      <c r="CC6" s="224"/>
      <c r="CD6" s="224"/>
      <c r="CE6" s="225"/>
      <c r="CF6" s="221"/>
      <c r="CG6" s="221"/>
      <c r="CH6" s="221"/>
      <c r="CI6" s="221"/>
      <c r="CJ6" s="221"/>
      <c r="CK6" s="221"/>
      <c r="CL6" s="221"/>
      <c r="CM6" s="221"/>
      <c r="CN6" s="221"/>
      <c r="CO6" s="221"/>
      <c r="CP6" s="221"/>
      <c r="CQ6" s="221"/>
      <c r="CR6" s="221"/>
      <c r="CS6" s="221"/>
      <c r="CT6" s="221"/>
      <c r="CU6" s="221"/>
      <c r="CV6" s="221"/>
      <c r="CW6" s="221"/>
      <c r="CX6" s="221"/>
      <c r="CY6" s="221"/>
      <c r="CZ6" s="221"/>
      <c r="DA6" s="221"/>
      <c r="DB6" s="221"/>
      <c r="DC6" s="221"/>
      <c r="DD6" s="221"/>
      <c r="DE6" s="221"/>
      <c r="DF6" s="221"/>
      <c r="DG6" s="221"/>
      <c r="DH6" s="221"/>
      <c r="DI6" s="221"/>
    </row>
    <row r="7" spans="1:113" ht="17.25" x14ac:dyDescent="0.25">
      <c r="A7" s="37" t="s">
        <v>34</v>
      </c>
      <c r="B7" s="28" t="s">
        <v>92</v>
      </c>
      <c r="C7" s="53" t="s">
        <v>127</v>
      </c>
      <c r="D7" s="55" t="s">
        <v>89</v>
      </c>
      <c r="E7" s="46"/>
      <c r="F7" s="46"/>
      <c r="G7" s="46"/>
      <c r="H7" s="46"/>
      <c r="I7" s="254">
        <v>4.5190000000000001</v>
      </c>
      <c r="J7" s="255"/>
      <c r="K7" s="255"/>
      <c r="L7" s="255">
        <v>4.9859999999999998</v>
      </c>
      <c r="M7" s="255"/>
      <c r="N7" s="255"/>
      <c r="O7" s="255">
        <v>4.601</v>
      </c>
      <c r="P7" s="255"/>
      <c r="Q7" s="255"/>
      <c r="R7" s="256">
        <v>6.673</v>
      </c>
      <c r="S7" s="282"/>
      <c r="T7" s="283"/>
      <c r="U7" s="255">
        <v>5.524</v>
      </c>
      <c r="V7" s="255"/>
      <c r="W7" s="255"/>
      <c r="X7" s="223"/>
      <c r="Y7" s="224"/>
      <c r="Z7" s="224"/>
      <c r="AA7" s="224"/>
      <c r="AB7" s="224"/>
      <c r="AC7" s="224"/>
      <c r="AD7" s="224"/>
      <c r="AE7" s="224"/>
      <c r="AF7" s="224"/>
      <c r="AG7" s="224"/>
      <c r="AH7" s="224"/>
      <c r="AI7" s="224"/>
      <c r="AJ7" s="224"/>
      <c r="AK7" s="224"/>
      <c r="AL7" s="225"/>
      <c r="AM7" s="223"/>
      <c r="AN7" s="224"/>
      <c r="AO7" s="224"/>
      <c r="AP7" s="224"/>
      <c r="AQ7" s="224"/>
      <c r="AR7" s="224"/>
      <c r="AS7" s="224"/>
      <c r="AT7" s="224"/>
      <c r="AU7" s="224"/>
      <c r="AV7" s="224"/>
      <c r="AW7" s="224"/>
      <c r="AX7" s="224"/>
      <c r="AY7" s="224"/>
      <c r="AZ7" s="224"/>
      <c r="BA7" s="225"/>
      <c r="BB7" s="223"/>
      <c r="BC7" s="224"/>
      <c r="BD7" s="224"/>
      <c r="BE7" s="224"/>
      <c r="BF7" s="224"/>
      <c r="BG7" s="224"/>
      <c r="BH7" s="224"/>
      <c r="BI7" s="224"/>
      <c r="BJ7" s="224"/>
      <c r="BK7" s="224"/>
      <c r="BL7" s="224"/>
      <c r="BM7" s="224"/>
      <c r="BN7" s="224"/>
      <c r="BO7" s="224"/>
      <c r="BP7" s="225"/>
      <c r="BQ7" s="223"/>
      <c r="BR7" s="224"/>
      <c r="BS7" s="224"/>
      <c r="BT7" s="224"/>
      <c r="BU7" s="224"/>
      <c r="BV7" s="224"/>
      <c r="BW7" s="224"/>
      <c r="BX7" s="224"/>
      <c r="BY7" s="224"/>
      <c r="BZ7" s="224"/>
      <c r="CA7" s="224"/>
      <c r="CB7" s="224"/>
      <c r="CC7" s="224"/>
      <c r="CD7" s="224"/>
      <c r="CE7" s="225"/>
      <c r="CF7" s="221"/>
      <c r="CG7" s="221"/>
      <c r="CH7" s="221"/>
      <c r="CI7" s="221"/>
      <c r="CJ7" s="221"/>
      <c r="CK7" s="221"/>
      <c r="CL7" s="221"/>
      <c r="CM7" s="221"/>
      <c r="CN7" s="221"/>
      <c r="CO7" s="221"/>
      <c r="CP7" s="221"/>
      <c r="CQ7" s="221"/>
      <c r="CR7" s="221"/>
      <c r="CS7" s="221"/>
      <c r="CT7" s="221"/>
      <c r="CU7" s="221"/>
      <c r="CV7" s="221"/>
      <c r="CW7" s="221"/>
      <c r="CX7" s="221"/>
      <c r="CY7" s="221"/>
      <c r="CZ7" s="221"/>
      <c r="DA7" s="221"/>
      <c r="DB7" s="221"/>
      <c r="DC7" s="221"/>
      <c r="DD7" s="221"/>
      <c r="DE7" s="221"/>
      <c r="DF7" s="221"/>
      <c r="DG7" s="221"/>
      <c r="DH7" s="221"/>
      <c r="DI7" s="221"/>
    </row>
    <row r="8" spans="1:113" ht="17.25" x14ac:dyDescent="0.25">
      <c r="A8" s="37" t="s">
        <v>35</v>
      </c>
      <c r="B8" s="28" t="s">
        <v>93</v>
      </c>
      <c r="C8" s="53" t="s">
        <v>127</v>
      </c>
      <c r="D8" s="55" t="s">
        <v>89</v>
      </c>
      <c r="E8" s="46"/>
      <c r="F8" s="46"/>
      <c r="G8" s="46"/>
      <c r="H8" s="46"/>
      <c r="I8" s="254">
        <v>1.393</v>
      </c>
      <c r="J8" s="255"/>
      <c r="K8" s="255"/>
      <c r="L8" s="255">
        <v>2.4950000000000001</v>
      </c>
      <c r="M8" s="255"/>
      <c r="N8" s="255"/>
      <c r="O8" s="255">
        <v>1.629</v>
      </c>
      <c r="P8" s="255"/>
      <c r="Q8" s="255"/>
      <c r="R8" s="256">
        <v>4.0380000000000003</v>
      </c>
      <c r="S8" s="282"/>
      <c r="T8" s="283"/>
      <c r="U8" s="255">
        <v>3.3559999999999999</v>
      </c>
      <c r="V8" s="255"/>
      <c r="W8" s="255"/>
      <c r="X8" s="223"/>
      <c r="Y8" s="224"/>
      <c r="Z8" s="224"/>
      <c r="AA8" s="224"/>
      <c r="AB8" s="224"/>
      <c r="AC8" s="224"/>
      <c r="AD8" s="224"/>
      <c r="AE8" s="224"/>
      <c r="AF8" s="224"/>
      <c r="AG8" s="224"/>
      <c r="AH8" s="224"/>
      <c r="AI8" s="224"/>
      <c r="AJ8" s="224"/>
      <c r="AK8" s="224"/>
      <c r="AL8" s="225"/>
      <c r="AM8" s="223"/>
      <c r="AN8" s="224"/>
      <c r="AO8" s="224"/>
      <c r="AP8" s="224"/>
      <c r="AQ8" s="224"/>
      <c r="AR8" s="224"/>
      <c r="AS8" s="224"/>
      <c r="AT8" s="224"/>
      <c r="AU8" s="224"/>
      <c r="AV8" s="224"/>
      <c r="AW8" s="224"/>
      <c r="AX8" s="224"/>
      <c r="AY8" s="224"/>
      <c r="AZ8" s="224"/>
      <c r="BA8" s="225"/>
      <c r="BB8" s="223"/>
      <c r="BC8" s="224"/>
      <c r="BD8" s="224"/>
      <c r="BE8" s="224"/>
      <c r="BF8" s="224"/>
      <c r="BG8" s="224"/>
      <c r="BH8" s="224"/>
      <c r="BI8" s="224"/>
      <c r="BJ8" s="224"/>
      <c r="BK8" s="224"/>
      <c r="BL8" s="224"/>
      <c r="BM8" s="224"/>
      <c r="BN8" s="224"/>
      <c r="BO8" s="224"/>
      <c r="BP8" s="225"/>
      <c r="BQ8" s="223"/>
      <c r="BR8" s="224"/>
      <c r="BS8" s="224"/>
      <c r="BT8" s="224"/>
      <c r="BU8" s="224"/>
      <c r="BV8" s="224"/>
      <c r="BW8" s="224"/>
      <c r="BX8" s="224"/>
      <c r="BY8" s="224"/>
      <c r="BZ8" s="224"/>
      <c r="CA8" s="224"/>
      <c r="CB8" s="224"/>
      <c r="CC8" s="224"/>
      <c r="CD8" s="224"/>
      <c r="CE8" s="225"/>
      <c r="CF8" s="221"/>
      <c r="CG8" s="221"/>
      <c r="CH8" s="221"/>
      <c r="CI8" s="221"/>
      <c r="CJ8" s="221"/>
      <c r="CK8" s="221"/>
      <c r="CL8" s="221"/>
      <c r="CM8" s="221"/>
      <c r="CN8" s="221"/>
      <c r="CO8" s="221"/>
      <c r="CP8" s="221"/>
      <c r="CQ8" s="221"/>
      <c r="CR8" s="221"/>
      <c r="CS8" s="221"/>
      <c r="CT8" s="221"/>
      <c r="CU8" s="221"/>
      <c r="CV8" s="221"/>
      <c r="CW8" s="221"/>
      <c r="CX8" s="221"/>
      <c r="CY8" s="221"/>
      <c r="CZ8" s="221"/>
      <c r="DA8" s="221"/>
      <c r="DB8" s="221"/>
      <c r="DC8" s="221"/>
      <c r="DD8" s="221"/>
      <c r="DE8" s="221"/>
      <c r="DF8" s="221"/>
      <c r="DG8" s="221"/>
      <c r="DH8" s="221"/>
      <c r="DI8" s="221"/>
    </row>
    <row r="9" spans="1:113" ht="17.25" x14ac:dyDescent="0.25">
      <c r="A9" s="37" t="s">
        <v>36</v>
      </c>
      <c r="B9" s="28" t="s">
        <v>100</v>
      </c>
      <c r="C9" s="53" t="s">
        <v>127</v>
      </c>
      <c r="D9" s="55" t="s">
        <v>101</v>
      </c>
      <c r="E9" s="46"/>
      <c r="F9" s="46"/>
      <c r="G9" s="46"/>
      <c r="H9" s="46"/>
      <c r="I9" s="254">
        <v>9.3330000000000002</v>
      </c>
      <c r="J9" s="255"/>
      <c r="K9" s="255"/>
      <c r="L9" s="255">
        <v>12.667</v>
      </c>
      <c r="M9" s="255"/>
      <c r="N9" s="255"/>
      <c r="O9" s="255">
        <v>9.8719999999999999</v>
      </c>
      <c r="P9" s="255"/>
      <c r="Q9" s="255"/>
      <c r="R9" s="256">
        <v>17.574999999999999</v>
      </c>
      <c r="S9" s="282"/>
      <c r="T9" s="283"/>
      <c r="U9" s="255">
        <v>14.023999999999999</v>
      </c>
      <c r="V9" s="255"/>
      <c r="W9" s="255"/>
      <c r="X9" s="223"/>
      <c r="Y9" s="224"/>
      <c r="Z9" s="224"/>
      <c r="AA9" s="224"/>
      <c r="AB9" s="224"/>
      <c r="AC9" s="224"/>
      <c r="AD9" s="224"/>
      <c r="AE9" s="224"/>
      <c r="AF9" s="224"/>
      <c r="AG9" s="224"/>
      <c r="AH9" s="224"/>
      <c r="AI9" s="224"/>
      <c r="AJ9" s="224"/>
      <c r="AK9" s="224"/>
      <c r="AL9" s="225"/>
      <c r="AM9" s="223"/>
      <c r="AN9" s="224"/>
      <c r="AO9" s="224"/>
      <c r="AP9" s="224"/>
      <c r="AQ9" s="224"/>
      <c r="AR9" s="224"/>
      <c r="AS9" s="224"/>
      <c r="AT9" s="224"/>
      <c r="AU9" s="224"/>
      <c r="AV9" s="224"/>
      <c r="AW9" s="224"/>
      <c r="AX9" s="224"/>
      <c r="AY9" s="224"/>
      <c r="AZ9" s="224"/>
      <c r="BA9" s="225"/>
      <c r="BB9" s="223"/>
      <c r="BC9" s="224"/>
      <c r="BD9" s="224"/>
      <c r="BE9" s="224"/>
      <c r="BF9" s="224"/>
      <c r="BG9" s="224"/>
      <c r="BH9" s="224"/>
      <c r="BI9" s="224"/>
      <c r="BJ9" s="224"/>
      <c r="BK9" s="224"/>
      <c r="BL9" s="224"/>
      <c r="BM9" s="224"/>
      <c r="BN9" s="224"/>
      <c r="BO9" s="224"/>
      <c r="BP9" s="225"/>
      <c r="BQ9" s="223"/>
      <c r="BR9" s="224"/>
      <c r="BS9" s="224"/>
      <c r="BT9" s="224"/>
      <c r="BU9" s="224"/>
      <c r="BV9" s="224"/>
      <c r="BW9" s="224"/>
      <c r="BX9" s="224"/>
      <c r="BY9" s="224"/>
      <c r="BZ9" s="224"/>
      <c r="CA9" s="224"/>
      <c r="CB9" s="224"/>
      <c r="CC9" s="224"/>
      <c r="CD9" s="224"/>
      <c r="CE9" s="225"/>
      <c r="CF9" s="221"/>
      <c r="CG9" s="221"/>
      <c r="CH9" s="221"/>
      <c r="CI9" s="221"/>
      <c r="CJ9" s="221"/>
      <c r="CK9" s="221"/>
      <c r="CL9" s="221"/>
      <c r="CM9" s="221"/>
      <c r="CN9" s="221"/>
      <c r="CO9" s="221"/>
      <c r="CP9" s="221"/>
      <c r="CQ9" s="221"/>
      <c r="CR9" s="221"/>
      <c r="CS9" s="221"/>
      <c r="CT9" s="221"/>
      <c r="CU9" s="221"/>
      <c r="CV9" s="221"/>
      <c r="CW9" s="221"/>
      <c r="CX9" s="221"/>
      <c r="CY9" s="221"/>
      <c r="CZ9" s="221"/>
      <c r="DA9" s="221"/>
      <c r="DB9" s="221"/>
      <c r="DC9" s="221"/>
      <c r="DD9" s="221"/>
      <c r="DE9" s="221"/>
      <c r="DF9" s="221"/>
      <c r="DG9" s="221"/>
      <c r="DH9" s="221"/>
      <c r="DI9" s="221"/>
    </row>
    <row r="10" spans="1:113" x14ac:dyDescent="0.25">
      <c r="A10" s="37" t="s">
        <v>37</v>
      </c>
      <c r="B10" s="28" t="s">
        <v>71</v>
      </c>
      <c r="C10" s="53" t="s">
        <v>124</v>
      </c>
      <c r="D10" s="55" t="s">
        <v>70</v>
      </c>
      <c r="E10" s="46"/>
      <c r="F10" s="46"/>
      <c r="G10" s="46"/>
      <c r="H10" s="46"/>
      <c r="I10" s="254">
        <f>$C$74*I25</f>
        <v>35.957999999999998</v>
      </c>
      <c r="J10" s="255"/>
      <c r="K10" s="255"/>
      <c r="L10" s="255">
        <f>$C$74*L25</f>
        <v>40.869</v>
      </c>
      <c r="M10" s="255"/>
      <c r="N10" s="255"/>
      <c r="O10" s="255">
        <f>$C$74*O25</f>
        <v>36.405000000000001</v>
      </c>
      <c r="P10" s="255"/>
      <c r="Q10" s="255"/>
      <c r="R10" s="256">
        <f>$C$74*R25</f>
        <v>48.132000000000005</v>
      </c>
      <c r="S10" s="282"/>
      <c r="T10" s="283"/>
      <c r="U10" s="255">
        <f>$C$74*U25</f>
        <v>41.445</v>
      </c>
      <c r="V10" s="255"/>
      <c r="W10" s="255"/>
      <c r="X10" s="223"/>
      <c r="Y10" s="224"/>
      <c r="Z10" s="224"/>
      <c r="AA10" s="224"/>
      <c r="AB10" s="224"/>
      <c r="AC10" s="224"/>
      <c r="AD10" s="224"/>
      <c r="AE10" s="224"/>
      <c r="AF10" s="224"/>
      <c r="AG10" s="224"/>
      <c r="AH10" s="224"/>
      <c r="AI10" s="224"/>
      <c r="AJ10" s="224"/>
      <c r="AK10" s="224"/>
      <c r="AL10" s="225"/>
      <c r="AM10" s="223"/>
      <c r="AN10" s="224"/>
      <c r="AO10" s="224"/>
      <c r="AP10" s="224"/>
      <c r="AQ10" s="224"/>
      <c r="AR10" s="224"/>
      <c r="AS10" s="224"/>
      <c r="AT10" s="224"/>
      <c r="AU10" s="224"/>
      <c r="AV10" s="224"/>
      <c r="AW10" s="224"/>
      <c r="AX10" s="224"/>
      <c r="AY10" s="224"/>
      <c r="AZ10" s="224"/>
      <c r="BA10" s="225"/>
      <c r="BB10" s="223"/>
      <c r="BC10" s="224"/>
      <c r="BD10" s="224"/>
      <c r="BE10" s="224"/>
      <c r="BF10" s="224"/>
      <c r="BG10" s="224"/>
      <c r="BH10" s="224"/>
      <c r="BI10" s="224"/>
      <c r="BJ10" s="224"/>
      <c r="BK10" s="224"/>
      <c r="BL10" s="224"/>
      <c r="BM10" s="224"/>
      <c r="BN10" s="224"/>
      <c r="BO10" s="224"/>
      <c r="BP10" s="225"/>
      <c r="BQ10" s="223"/>
      <c r="BR10" s="224"/>
      <c r="BS10" s="224"/>
      <c r="BT10" s="224"/>
      <c r="BU10" s="224"/>
      <c r="BV10" s="224"/>
      <c r="BW10" s="224"/>
      <c r="BX10" s="224"/>
      <c r="BY10" s="224"/>
      <c r="BZ10" s="224"/>
      <c r="CA10" s="224"/>
      <c r="CB10" s="224"/>
      <c r="CC10" s="224"/>
      <c r="CD10" s="224"/>
      <c r="CE10" s="225"/>
      <c r="CF10" s="221"/>
      <c r="CG10" s="221"/>
      <c r="CH10" s="221"/>
      <c r="CI10" s="221"/>
      <c r="CJ10" s="221"/>
      <c r="CK10" s="221"/>
      <c r="CL10" s="221"/>
      <c r="CM10" s="221"/>
      <c r="CN10" s="221"/>
      <c r="CO10" s="221"/>
      <c r="CP10" s="221"/>
      <c r="CQ10" s="221"/>
      <c r="CR10" s="221"/>
      <c r="CS10" s="221"/>
      <c r="CT10" s="221"/>
      <c r="CU10" s="221"/>
      <c r="CV10" s="221"/>
      <c r="CW10" s="221"/>
      <c r="CX10" s="221"/>
      <c r="CY10" s="221"/>
      <c r="CZ10" s="221"/>
      <c r="DA10" s="221"/>
      <c r="DB10" s="221"/>
      <c r="DC10" s="221"/>
      <c r="DD10" s="221"/>
      <c r="DE10" s="221"/>
      <c r="DF10" s="221"/>
      <c r="DG10" s="221"/>
      <c r="DH10" s="221"/>
      <c r="DI10" s="221"/>
    </row>
    <row r="11" spans="1:113" x14ac:dyDescent="0.25">
      <c r="A11" s="37" t="s">
        <v>38</v>
      </c>
      <c r="B11" s="28" t="s">
        <v>72</v>
      </c>
      <c r="C11" s="53" t="s">
        <v>124</v>
      </c>
      <c r="D11" s="55" t="s">
        <v>70</v>
      </c>
      <c r="E11" s="46"/>
      <c r="F11" s="46"/>
      <c r="G11" s="46"/>
      <c r="H11" s="46"/>
      <c r="I11" s="254">
        <f>$C$74*I26</f>
        <v>35.957999999999998</v>
      </c>
      <c r="J11" s="255"/>
      <c r="K11" s="255"/>
      <c r="L11" s="255">
        <f>$C$74*L26</f>
        <v>40.869</v>
      </c>
      <c r="M11" s="255"/>
      <c r="N11" s="255"/>
      <c r="O11" s="255">
        <f>$C$74*O26</f>
        <v>36.405000000000001</v>
      </c>
      <c r="P11" s="255"/>
      <c r="Q11" s="255"/>
      <c r="R11" s="256">
        <f>$C$74*R26</f>
        <v>48.132000000000005</v>
      </c>
      <c r="S11" s="282"/>
      <c r="T11" s="283"/>
      <c r="U11" s="255">
        <f>$C$74*U26</f>
        <v>41.445</v>
      </c>
      <c r="V11" s="255"/>
      <c r="W11" s="255"/>
      <c r="X11" s="223"/>
      <c r="Y11" s="224"/>
      <c r="Z11" s="224"/>
      <c r="AA11" s="224"/>
      <c r="AB11" s="224"/>
      <c r="AC11" s="224"/>
      <c r="AD11" s="224"/>
      <c r="AE11" s="224"/>
      <c r="AF11" s="224"/>
      <c r="AG11" s="224"/>
      <c r="AH11" s="224"/>
      <c r="AI11" s="224"/>
      <c r="AJ11" s="224"/>
      <c r="AK11" s="224"/>
      <c r="AL11" s="225"/>
      <c r="AM11" s="223"/>
      <c r="AN11" s="224"/>
      <c r="AO11" s="224"/>
      <c r="AP11" s="224"/>
      <c r="AQ11" s="224"/>
      <c r="AR11" s="224"/>
      <c r="AS11" s="224"/>
      <c r="AT11" s="224"/>
      <c r="AU11" s="224"/>
      <c r="AV11" s="224"/>
      <c r="AW11" s="224"/>
      <c r="AX11" s="224"/>
      <c r="AY11" s="224"/>
      <c r="AZ11" s="224"/>
      <c r="BA11" s="225"/>
      <c r="BB11" s="223"/>
      <c r="BC11" s="224"/>
      <c r="BD11" s="224"/>
      <c r="BE11" s="224"/>
      <c r="BF11" s="224"/>
      <c r="BG11" s="224"/>
      <c r="BH11" s="224"/>
      <c r="BI11" s="224"/>
      <c r="BJ11" s="224"/>
      <c r="BK11" s="224"/>
      <c r="BL11" s="224"/>
      <c r="BM11" s="224"/>
      <c r="BN11" s="224"/>
      <c r="BO11" s="224"/>
      <c r="BP11" s="225"/>
      <c r="BQ11" s="223"/>
      <c r="BR11" s="224"/>
      <c r="BS11" s="224"/>
      <c r="BT11" s="224"/>
      <c r="BU11" s="224"/>
      <c r="BV11" s="224"/>
      <c r="BW11" s="224"/>
      <c r="BX11" s="224"/>
      <c r="BY11" s="224"/>
      <c r="BZ11" s="224"/>
      <c r="CA11" s="224"/>
      <c r="CB11" s="224"/>
      <c r="CC11" s="224"/>
      <c r="CD11" s="224"/>
      <c r="CE11" s="225"/>
      <c r="CF11" s="221"/>
      <c r="CG11" s="221"/>
      <c r="CH11" s="221"/>
      <c r="CI11" s="221"/>
      <c r="CJ11" s="221"/>
      <c r="CK11" s="221"/>
      <c r="CL11" s="221"/>
      <c r="CM11" s="221"/>
      <c r="CN11" s="221"/>
      <c r="CO11" s="221"/>
      <c r="CP11" s="221"/>
      <c r="CQ11" s="221"/>
      <c r="CR11" s="221"/>
      <c r="CS11" s="221"/>
      <c r="CT11" s="221"/>
      <c r="CU11" s="221"/>
      <c r="CV11" s="221"/>
      <c r="CW11" s="221"/>
      <c r="CX11" s="221"/>
      <c r="CY11" s="221"/>
      <c r="CZ11" s="221"/>
      <c r="DA11" s="221"/>
      <c r="DB11" s="221"/>
      <c r="DC11" s="221"/>
      <c r="DD11" s="221"/>
      <c r="DE11" s="221"/>
      <c r="DF11" s="221"/>
      <c r="DG11" s="221"/>
      <c r="DH11" s="221"/>
      <c r="DI11" s="221"/>
    </row>
    <row r="12" spans="1:113" x14ac:dyDescent="0.25">
      <c r="A12" s="37" t="s">
        <v>39</v>
      </c>
      <c r="B12" s="28" t="s">
        <v>73</v>
      </c>
      <c r="C12" s="53" t="s">
        <v>124</v>
      </c>
      <c r="D12" s="55" t="s">
        <v>70</v>
      </c>
      <c r="E12" s="46"/>
      <c r="F12" s="46"/>
      <c r="G12" s="46"/>
      <c r="H12" s="46"/>
      <c r="I12" s="254">
        <f>$C$74*I27</f>
        <v>81.902999999999992</v>
      </c>
      <c r="J12" s="255"/>
      <c r="K12" s="255"/>
      <c r="L12" s="255">
        <f>$C$74*L27</f>
        <v>93.489000000000004</v>
      </c>
      <c r="M12" s="255"/>
      <c r="N12" s="255"/>
      <c r="O12" s="255">
        <f>$C$74*O27</f>
        <v>81.290999999999997</v>
      </c>
      <c r="P12" s="255"/>
      <c r="Q12" s="255"/>
      <c r="R12" s="256">
        <f>$C$74*R27</f>
        <v>132.98699999999999</v>
      </c>
      <c r="S12" s="282"/>
      <c r="T12" s="283"/>
      <c r="U12" s="255">
        <f>$C$74*U27</f>
        <v>123.14400000000001</v>
      </c>
      <c r="V12" s="255"/>
      <c r="W12" s="255"/>
      <c r="X12" s="223"/>
      <c r="Y12" s="224"/>
      <c r="Z12" s="224"/>
      <c r="AA12" s="224"/>
      <c r="AB12" s="224"/>
      <c r="AC12" s="224"/>
      <c r="AD12" s="224"/>
      <c r="AE12" s="224"/>
      <c r="AF12" s="224"/>
      <c r="AG12" s="224"/>
      <c r="AH12" s="224"/>
      <c r="AI12" s="224"/>
      <c r="AJ12" s="224"/>
      <c r="AK12" s="224"/>
      <c r="AL12" s="225"/>
      <c r="AM12" s="223"/>
      <c r="AN12" s="224"/>
      <c r="AO12" s="224"/>
      <c r="AP12" s="224"/>
      <c r="AQ12" s="224"/>
      <c r="AR12" s="224"/>
      <c r="AS12" s="224"/>
      <c r="AT12" s="224"/>
      <c r="AU12" s="224"/>
      <c r="AV12" s="224"/>
      <c r="AW12" s="224"/>
      <c r="AX12" s="224"/>
      <c r="AY12" s="224"/>
      <c r="AZ12" s="224"/>
      <c r="BA12" s="225"/>
      <c r="BB12" s="223"/>
      <c r="BC12" s="224"/>
      <c r="BD12" s="224"/>
      <c r="BE12" s="224"/>
      <c r="BF12" s="224"/>
      <c r="BG12" s="224"/>
      <c r="BH12" s="224"/>
      <c r="BI12" s="224"/>
      <c r="BJ12" s="224"/>
      <c r="BK12" s="224"/>
      <c r="BL12" s="224"/>
      <c r="BM12" s="224"/>
      <c r="BN12" s="224"/>
      <c r="BO12" s="224"/>
      <c r="BP12" s="225"/>
      <c r="BQ12" s="223"/>
      <c r="BR12" s="224"/>
      <c r="BS12" s="224"/>
      <c r="BT12" s="224"/>
      <c r="BU12" s="224"/>
      <c r="BV12" s="224"/>
      <c r="BW12" s="224"/>
      <c r="BX12" s="224"/>
      <c r="BY12" s="224"/>
      <c r="BZ12" s="224"/>
      <c r="CA12" s="224"/>
      <c r="CB12" s="224"/>
      <c r="CC12" s="224"/>
      <c r="CD12" s="224"/>
      <c r="CE12" s="225"/>
      <c r="CF12" s="221"/>
      <c r="CG12" s="221"/>
      <c r="CH12" s="221"/>
      <c r="CI12" s="221"/>
      <c r="CJ12" s="221"/>
      <c r="CK12" s="221"/>
      <c r="CL12" s="221"/>
      <c r="CM12" s="221"/>
      <c r="CN12" s="221"/>
      <c r="CO12" s="221"/>
      <c r="CP12" s="221"/>
      <c r="CQ12" s="221"/>
      <c r="CR12" s="221"/>
      <c r="CS12" s="221"/>
      <c r="CT12" s="221"/>
      <c r="CU12" s="221"/>
      <c r="CV12" s="221"/>
      <c r="CW12" s="221"/>
      <c r="CX12" s="221"/>
      <c r="CY12" s="221"/>
      <c r="CZ12" s="221"/>
      <c r="DA12" s="221"/>
      <c r="DB12" s="221"/>
      <c r="DC12" s="221"/>
      <c r="DD12" s="221"/>
      <c r="DE12" s="221"/>
      <c r="DF12" s="221"/>
      <c r="DG12" s="221"/>
      <c r="DH12" s="221"/>
      <c r="DI12" s="221"/>
    </row>
    <row r="13" spans="1:113" x14ac:dyDescent="0.25">
      <c r="A13" s="37" t="s">
        <v>40</v>
      </c>
      <c r="B13" s="28" t="s">
        <v>74</v>
      </c>
      <c r="C13" s="53" t="s">
        <v>124</v>
      </c>
      <c r="D13" s="55" t="s">
        <v>70</v>
      </c>
      <c r="E13" s="46"/>
      <c r="F13" s="46"/>
      <c r="G13" s="46"/>
      <c r="H13" s="46"/>
      <c r="I13" s="254">
        <f>$C$74*I28</f>
        <v>76.5</v>
      </c>
      <c r="J13" s="255"/>
      <c r="K13" s="255"/>
      <c r="L13" s="255">
        <f>$C$74*L28</f>
        <v>68.319000000000003</v>
      </c>
      <c r="M13" s="255"/>
      <c r="N13" s="255"/>
      <c r="O13" s="255">
        <f>$C$74*O28</f>
        <v>63.54</v>
      </c>
      <c r="P13" s="255"/>
      <c r="Q13" s="255"/>
      <c r="R13" s="256">
        <f>$C$74*R28</f>
        <v>89.177999999999997</v>
      </c>
      <c r="S13" s="282"/>
      <c r="T13" s="283"/>
      <c r="U13" s="255">
        <f>$C$74*U28</f>
        <v>71.36099999999999</v>
      </c>
      <c r="V13" s="255"/>
      <c r="W13" s="255"/>
      <c r="X13" s="223"/>
      <c r="Y13" s="224"/>
      <c r="Z13" s="224"/>
      <c r="AA13" s="224"/>
      <c r="AB13" s="224"/>
      <c r="AC13" s="224"/>
      <c r="AD13" s="224"/>
      <c r="AE13" s="224"/>
      <c r="AF13" s="224"/>
      <c r="AG13" s="224"/>
      <c r="AH13" s="224"/>
      <c r="AI13" s="224"/>
      <c r="AJ13" s="224"/>
      <c r="AK13" s="224"/>
      <c r="AL13" s="225"/>
      <c r="AM13" s="223"/>
      <c r="AN13" s="224"/>
      <c r="AO13" s="224"/>
      <c r="AP13" s="224"/>
      <c r="AQ13" s="224"/>
      <c r="AR13" s="224"/>
      <c r="AS13" s="224"/>
      <c r="AT13" s="224"/>
      <c r="AU13" s="224"/>
      <c r="AV13" s="224"/>
      <c r="AW13" s="224"/>
      <c r="AX13" s="224"/>
      <c r="AY13" s="224"/>
      <c r="AZ13" s="224"/>
      <c r="BA13" s="225"/>
      <c r="BB13" s="223"/>
      <c r="BC13" s="224"/>
      <c r="BD13" s="224"/>
      <c r="BE13" s="224"/>
      <c r="BF13" s="224"/>
      <c r="BG13" s="224"/>
      <c r="BH13" s="224"/>
      <c r="BI13" s="224"/>
      <c r="BJ13" s="224"/>
      <c r="BK13" s="224"/>
      <c r="BL13" s="224"/>
      <c r="BM13" s="224"/>
      <c r="BN13" s="224"/>
      <c r="BO13" s="224"/>
      <c r="BP13" s="225"/>
      <c r="BQ13" s="223"/>
      <c r="BR13" s="224"/>
      <c r="BS13" s="224"/>
      <c r="BT13" s="224"/>
      <c r="BU13" s="224"/>
      <c r="BV13" s="224"/>
      <c r="BW13" s="224"/>
      <c r="BX13" s="224"/>
      <c r="BY13" s="224"/>
      <c r="BZ13" s="224"/>
      <c r="CA13" s="224"/>
      <c r="CB13" s="224"/>
      <c r="CC13" s="224"/>
      <c r="CD13" s="224"/>
      <c r="CE13" s="225"/>
      <c r="CF13" s="221"/>
      <c r="CG13" s="221"/>
      <c r="CH13" s="221"/>
      <c r="CI13" s="221"/>
      <c r="CJ13" s="221"/>
      <c r="CK13" s="221"/>
      <c r="CL13" s="221"/>
      <c r="CM13" s="221"/>
      <c r="CN13" s="221"/>
      <c r="CO13" s="221"/>
      <c r="CP13" s="221"/>
      <c r="CQ13" s="221"/>
      <c r="CR13" s="221"/>
      <c r="CS13" s="221"/>
      <c r="CT13" s="221"/>
      <c r="CU13" s="221"/>
      <c r="CV13" s="221"/>
      <c r="CW13" s="221"/>
      <c r="CX13" s="221"/>
      <c r="CY13" s="221"/>
      <c r="CZ13" s="221"/>
      <c r="DA13" s="221"/>
      <c r="DB13" s="221"/>
      <c r="DC13" s="221"/>
      <c r="DD13" s="221"/>
      <c r="DE13" s="221"/>
      <c r="DF13" s="221"/>
      <c r="DG13" s="221"/>
      <c r="DH13" s="221"/>
      <c r="DI13" s="221"/>
    </row>
    <row r="14" spans="1:113" x14ac:dyDescent="0.25">
      <c r="A14" s="37" t="s">
        <v>41</v>
      </c>
      <c r="B14" s="28" t="s">
        <v>75</v>
      </c>
      <c r="C14" s="53" t="s">
        <v>124</v>
      </c>
      <c r="D14" s="55" t="s">
        <v>70</v>
      </c>
      <c r="E14" s="46"/>
      <c r="F14" s="46"/>
      <c r="G14" s="46"/>
      <c r="H14" s="46"/>
      <c r="I14" s="254">
        <f>$C$74*I29</f>
        <v>81.902999999999992</v>
      </c>
      <c r="J14" s="255"/>
      <c r="K14" s="255"/>
      <c r="L14" s="255">
        <f>$C$74*L29</f>
        <v>93.489000000000004</v>
      </c>
      <c r="M14" s="255"/>
      <c r="N14" s="255"/>
      <c r="O14" s="255">
        <f>$C$74*O29</f>
        <v>81.290999999999997</v>
      </c>
      <c r="P14" s="255"/>
      <c r="Q14" s="255"/>
      <c r="R14" s="256">
        <f>$C$74*R29</f>
        <v>132.98699999999999</v>
      </c>
      <c r="S14" s="282"/>
      <c r="T14" s="283"/>
      <c r="U14" s="255">
        <f>$C$74*U29</f>
        <v>123.14400000000001</v>
      </c>
      <c r="V14" s="255"/>
      <c r="W14" s="255"/>
      <c r="X14" s="223"/>
      <c r="Y14" s="224"/>
      <c r="Z14" s="224"/>
      <c r="AA14" s="224"/>
      <c r="AB14" s="224"/>
      <c r="AC14" s="224"/>
      <c r="AD14" s="224"/>
      <c r="AE14" s="224"/>
      <c r="AF14" s="224"/>
      <c r="AG14" s="224"/>
      <c r="AH14" s="224"/>
      <c r="AI14" s="224"/>
      <c r="AJ14" s="224"/>
      <c r="AK14" s="224"/>
      <c r="AL14" s="225"/>
      <c r="AM14" s="223"/>
      <c r="AN14" s="224"/>
      <c r="AO14" s="224"/>
      <c r="AP14" s="224"/>
      <c r="AQ14" s="224"/>
      <c r="AR14" s="224"/>
      <c r="AS14" s="224"/>
      <c r="AT14" s="224"/>
      <c r="AU14" s="224"/>
      <c r="AV14" s="224"/>
      <c r="AW14" s="224"/>
      <c r="AX14" s="224"/>
      <c r="AY14" s="224"/>
      <c r="AZ14" s="224"/>
      <c r="BA14" s="225"/>
      <c r="BB14" s="223"/>
      <c r="BC14" s="224"/>
      <c r="BD14" s="224"/>
      <c r="BE14" s="224"/>
      <c r="BF14" s="224"/>
      <c r="BG14" s="224"/>
      <c r="BH14" s="224"/>
      <c r="BI14" s="224"/>
      <c r="BJ14" s="224"/>
      <c r="BK14" s="224"/>
      <c r="BL14" s="224"/>
      <c r="BM14" s="224"/>
      <c r="BN14" s="224"/>
      <c r="BO14" s="224"/>
      <c r="BP14" s="225"/>
      <c r="BQ14" s="223"/>
      <c r="BR14" s="224"/>
      <c r="BS14" s="224"/>
      <c r="BT14" s="224"/>
      <c r="BU14" s="224"/>
      <c r="BV14" s="224"/>
      <c r="BW14" s="224"/>
      <c r="BX14" s="224"/>
      <c r="BY14" s="224"/>
      <c r="BZ14" s="224"/>
      <c r="CA14" s="224"/>
      <c r="CB14" s="224"/>
      <c r="CC14" s="224"/>
      <c r="CD14" s="224"/>
      <c r="CE14" s="225"/>
      <c r="CF14" s="221"/>
      <c r="CG14" s="221"/>
      <c r="CH14" s="221"/>
      <c r="CI14" s="221"/>
      <c r="CJ14" s="221"/>
      <c r="CK14" s="221"/>
      <c r="CL14" s="221"/>
      <c r="CM14" s="221"/>
      <c r="CN14" s="221"/>
      <c r="CO14" s="221"/>
      <c r="CP14" s="221"/>
      <c r="CQ14" s="221"/>
      <c r="CR14" s="221"/>
      <c r="CS14" s="221"/>
      <c r="CT14" s="221"/>
      <c r="CU14" s="221"/>
      <c r="CV14" s="221"/>
      <c r="CW14" s="221"/>
      <c r="CX14" s="221"/>
      <c r="CY14" s="221"/>
      <c r="CZ14" s="221"/>
      <c r="DA14" s="221"/>
      <c r="DB14" s="221"/>
      <c r="DC14" s="221"/>
      <c r="DD14" s="221"/>
      <c r="DE14" s="221"/>
      <c r="DF14" s="221"/>
      <c r="DG14" s="221"/>
      <c r="DH14" s="221"/>
      <c r="DI14" s="221"/>
    </row>
    <row r="15" spans="1:113" x14ac:dyDescent="0.25">
      <c r="A15" s="37" t="s">
        <v>42</v>
      </c>
      <c r="B15" s="28" t="s">
        <v>95</v>
      </c>
      <c r="C15" s="53" t="s">
        <v>126</v>
      </c>
      <c r="D15" s="55" t="s">
        <v>94</v>
      </c>
      <c r="E15" s="46"/>
      <c r="F15" s="46"/>
      <c r="G15" s="46"/>
      <c r="H15" s="46"/>
      <c r="I15" s="254">
        <f>SQRT((8.125-7.057)^2+(0.67-0.29)^2)</f>
        <v>1.1335889907722283</v>
      </c>
      <c r="J15" s="255"/>
      <c r="K15" s="255"/>
      <c r="L15" s="255">
        <f>SQRT((7.97-6.273)^2+(0.621-0.307)^2)</f>
        <v>1.7258056089838161</v>
      </c>
      <c r="M15" s="255"/>
      <c r="N15" s="255"/>
      <c r="O15" s="255">
        <f>SQRT((8.03-6.293)^2+(0.553-0.224)^2)</f>
        <v>1.7678829146750634</v>
      </c>
      <c r="P15" s="255"/>
      <c r="Q15" s="255"/>
      <c r="R15" s="256">
        <f>SQRT((7.514-5.785)^2+(0.572-0.301)^2)</f>
        <v>1.7501091394538799</v>
      </c>
      <c r="S15" s="282"/>
      <c r="T15" s="283"/>
      <c r="U15" s="255">
        <f>SQRT((7.397-5.714)^2+(0.501-0.207)^2)</f>
        <v>1.708486172024813</v>
      </c>
      <c r="V15" s="255"/>
      <c r="W15" s="255"/>
      <c r="X15" s="223"/>
      <c r="Y15" s="224"/>
      <c r="Z15" s="224"/>
      <c r="AA15" s="224"/>
      <c r="AB15" s="224"/>
      <c r="AC15" s="224"/>
      <c r="AD15" s="224"/>
      <c r="AE15" s="224"/>
      <c r="AF15" s="224"/>
      <c r="AG15" s="224"/>
      <c r="AH15" s="224"/>
      <c r="AI15" s="224"/>
      <c r="AJ15" s="224"/>
      <c r="AK15" s="224"/>
      <c r="AL15" s="225"/>
      <c r="AM15" s="223"/>
      <c r="AN15" s="224"/>
      <c r="AO15" s="224"/>
      <c r="AP15" s="224"/>
      <c r="AQ15" s="224"/>
      <c r="AR15" s="224"/>
      <c r="AS15" s="224"/>
      <c r="AT15" s="224"/>
      <c r="AU15" s="224"/>
      <c r="AV15" s="224"/>
      <c r="AW15" s="224"/>
      <c r="AX15" s="224"/>
      <c r="AY15" s="224"/>
      <c r="AZ15" s="224"/>
      <c r="BA15" s="225"/>
      <c r="BB15" s="223"/>
      <c r="BC15" s="224"/>
      <c r="BD15" s="224"/>
      <c r="BE15" s="224"/>
      <c r="BF15" s="224"/>
      <c r="BG15" s="224"/>
      <c r="BH15" s="224"/>
      <c r="BI15" s="224"/>
      <c r="BJ15" s="224"/>
      <c r="BK15" s="224"/>
      <c r="BL15" s="224"/>
      <c r="BM15" s="224"/>
      <c r="BN15" s="224"/>
      <c r="BO15" s="224"/>
      <c r="BP15" s="225"/>
      <c r="BQ15" s="223"/>
      <c r="BR15" s="224"/>
      <c r="BS15" s="224"/>
      <c r="BT15" s="224"/>
      <c r="BU15" s="224"/>
      <c r="BV15" s="224"/>
      <c r="BW15" s="224"/>
      <c r="BX15" s="224"/>
      <c r="BY15" s="224"/>
      <c r="BZ15" s="224"/>
      <c r="CA15" s="224"/>
      <c r="CB15" s="224"/>
      <c r="CC15" s="224"/>
      <c r="CD15" s="224"/>
      <c r="CE15" s="225"/>
      <c r="CF15" s="221"/>
      <c r="CG15" s="221"/>
      <c r="CH15" s="221"/>
      <c r="CI15" s="221"/>
      <c r="CJ15" s="221"/>
      <c r="CK15" s="221"/>
      <c r="CL15" s="221"/>
      <c r="CM15" s="221"/>
      <c r="CN15" s="221"/>
      <c r="CO15" s="221"/>
      <c r="CP15" s="221"/>
      <c r="CQ15" s="221"/>
      <c r="CR15" s="221"/>
      <c r="CS15" s="221"/>
      <c r="CT15" s="221"/>
      <c r="CU15" s="221"/>
      <c r="CV15" s="221"/>
      <c r="CW15" s="221"/>
      <c r="CX15" s="221"/>
      <c r="CY15" s="221"/>
      <c r="CZ15" s="221"/>
      <c r="DA15" s="221"/>
      <c r="DB15" s="221"/>
      <c r="DC15" s="221"/>
      <c r="DD15" s="221"/>
      <c r="DE15" s="221"/>
      <c r="DF15" s="221"/>
      <c r="DG15" s="221"/>
      <c r="DH15" s="221"/>
      <c r="DI15" s="221"/>
    </row>
    <row r="16" spans="1:113" x14ac:dyDescent="0.25">
      <c r="A16" s="37" t="s">
        <v>43</v>
      </c>
      <c r="B16" s="28" t="s">
        <v>96</v>
      </c>
      <c r="C16" s="53" t="s">
        <v>126</v>
      </c>
      <c r="D16" s="55" t="s">
        <v>94</v>
      </c>
      <c r="E16" s="46"/>
      <c r="F16" s="46"/>
      <c r="G16" s="46"/>
      <c r="H16" s="46"/>
      <c r="I16" s="254">
        <f>SQRT((8.125-7.057)^2+(0.67-0.29)^2)</f>
        <v>1.1335889907722283</v>
      </c>
      <c r="J16" s="255"/>
      <c r="K16" s="255"/>
      <c r="L16" s="255">
        <f>SQRT((7.97-6.273)^2+(0.621-0.307)^2)</f>
        <v>1.7258056089838161</v>
      </c>
      <c r="M16" s="255"/>
      <c r="N16" s="255"/>
      <c r="O16" s="255">
        <f>SQRT((8.03-6.293)^2+(0.553-0.224)^2)</f>
        <v>1.7678829146750634</v>
      </c>
      <c r="P16" s="255"/>
      <c r="Q16" s="255"/>
      <c r="R16" s="256">
        <f>SQRT((7.514-5.785)^2+(0.572-0.301)^2)</f>
        <v>1.7501091394538799</v>
      </c>
      <c r="S16" s="282"/>
      <c r="T16" s="283"/>
      <c r="U16" s="255">
        <f>SQRT((7.397-5.714)^2+(0.501-0.207)^2)</f>
        <v>1.708486172024813</v>
      </c>
      <c r="V16" s="255"/>
      <c r="W16" s="255"/>
      <c r="X16" s="223"/>
      <c r="Y16" s="224"/>
      <c r="Z16" s="224"/>
      <c r="AA16" s="224"/>
      <c r="AB16" s="224"/>
      <c r="AC16" s="224"/>
      <c r="AD16" s="224"/>
      <c r="AE16" s="224"/>
      <c r="AF16" s="224"/>
      <c r="AG16" s="224"/>
      <c r="AH16" s="224"/>
      <c r="AI16" s="224"/>
      <c r="AJ16" s="224"/>
      <c r="AK16" s="224"/>
      <c r="AL16" s="225"/>
      <c r="AM16" s="223"/>
      <c r="AN16" s="224"/>
      <c r="AO16" s="224"/>
      <c r="AP16" s="224"/>
      <c r="AQ16" s="224"/>
      <c r="AR16" s="224"/>
      <c r="AS16" s="224"/>
      <c r="AT16" s="224"/>
      <c r="AU16" s="224"/>
      <c r="AV16" s="224"/>
      <c r="AW16" s="224"/>
      <c r="AX16" s="224"/>
      <c r="AY16" s="224"/>
      <c r="AZ16" s="224"/>
      <c r="BA16" s="225"/>
      <c r="BB16" s="223"/>
      <c r="BC16" s="224"/>
      <c r="BD16" s="224"/>
      <c r="BE16" s="224"/>
      <c r="BF16" s="224"/>
      <c r="BG16" s="224"/>
      <c r="BH16" s="224"/>
      <c r="BI16" s="224"/>
      <c r="BJ16" s="224"/>
      <c r="BK16" s="224"/>
      <c r="BL16" s="224"/>
      <c r="BM16" s="224"/>
      <c r="BN16" s="224"/>
      <c r="BO16" s="224"/>
      <c r="BP16" s="225"/>
      <c r="BQ16" s="223"/>
      <c r="BR16" s="224"/>
      <c r="BS16" s="224"/>
      <c r="BT16" s="224"/>
      <c r="BU16" s="224"/>
      <c r="BV16" s="224"/>
      <c r="BW16" s="224"/>
      <c r="BX16" s="224"/>
      <c r="BY16" s="224"/>
      <c r="BZ16" s="224"/>
      <c r="CA16" s="224"/>
      <c r="CB16" s="224"/>
      <c r="CC16" s="224"/>
      <c r="CD16" s="224"/>
      <c r="CE16" s="225"/>
      <c r="CF16" s="221"/>
      <c r="CG16" s="221"/>
      <c r="CH16" s="221"/>
      <c r="CI16" s="221"/>
      <c r="CJ16" s="221"/>
      <c r="CK16" s="221"/>
      <c r="CL16" s="221"/>
      <c r="CM16" s="221"/>
      <c r="CN16" s="221"/>
      <c r="CO16" s="221"/>
      <c r="CP16" s="221"/>
      <c r="CQ16" s="221"/>
      <c r="CR16" s="221"/>
      <c r="CS16" s="221"/>
      <c r="CT16" s="221"/>
      <c r="CU16" s="221"/>
      <c r="CV16" s="221"/>
      <c r="CW16" s="221"/>
      <c r="CX16" s="221"/>
      <c r="CY16" s="221"/>
      <c r="CZ16" s="221"/>
      <c r="DA16" s="221"/>
      <c r="DB16" s="221"/>
      <c r="DC16" s="221"/>
      <c r="DD16" s="221"/>
      <c r="DE16" s="221"/>
      <c r="DF16" s="221"/>
      <c r="DG16" s="221"/>
      <c r="DH16" s="221"/>
      <c r="DI16" s="221"/>
    </row>
    <row r="17" spans="1:113" x14ac:dyDescent="0.25">
      <c r="A17" s="37" t="s">
        <v>44</v>
      </c>
      <c r="B17" s="28" t="s">
        <v>97</v>
      </c>
      <c r="C17" s="53" t="s">
        <v>126</v>
      </c>
      <c r="D17" s="55" t="s">
        <v>94</v>
      </c>
      <c r="E17" s="46"/>
      <c r="F17" s="46"/>
      <c r="G17" s="46"/>
      <c r="H17" s="46"/>
      <c r="I17" s="254">
        <f>SQRT((11.136-11.006)^2+(1.135-0.92)^2)</f>
        <v>0.25124689052802174</v>
      </c>
      <c r="J17" s="255"/>
      <c r="K17" s="255"/>
      <c r="L17" s="255">
        <f>SQRT((11.564-11.515)^2+(1.444-0.965)^2)</f>
        <v>0.48149974039453014</v>
      </c>
      <c r="M17" s="255"/>
      <c r="N17" s="255"/>
      <c r="O17" s="255">
        <f>SQRT((11.695-11.59)^2+(1.3-0.832)^2)</f>
        <v>0.47963423564211943</v>
      </c>
      <c r="P17" s="255"/>
      <c r="Q17" s="255"/>
      <c r="R17" s="256">
        <f>SQRT((12.502-12.009)^2+(1.537-1.053)^2)</f>
        <v>0.69087263659809273</v>
      </c>
      <c r="S17" s="282"/>
      <c r="T17" s="283"/>
      <c r="U17" s="255">
        <f>SQRT((12.49-12.037)^2+(1.335-0.859)^2)</f>
        <v>0.6571034926098015</v>
      </c>
      <c r="V17" s="255"/>
      <c r="W17" s="255"/>
      <c r="X17" s="223"/>
      <c r="Y17" s="224"/>
      <c r="Z17" s="224"/>
      <c r="AA17" s="224"/>
      <c r="AB17" s="224"/>
      <c r="AC17" s="224"/>
      <c r="AD17" s="224"/>
      <c r="AE17" s="224"/>
      <c r="AF17" s="224"/>
      <c r="AG17" s="224"/>
      <c r="AH17" s="224"/>
      <c r="AI17" s="224"/>
      <c r="AJ17" s="224"/>
      <c r="AK17" s="224"/>
      <c r="AL17" s="225"/>
      <c r="AM17" s="223"/>
      <c r="AN17" s="224"/>
      <c r="AO17" s="224"/>
      <c r="AP17" s="224"/>
      <c r="AQ17" s="224"/>
      <c r="AR17" s="224"/>
      <c r="AS17" s="224"/>
      <c r="AT17" s="224"/>
      <c r="AU17" s="224"/>
      <c r="AV17" s="224"/>
      <c r="AW17" s="224"/>
      <c r="AX17" s="224"/>
      <c r="AY17" s="224"/>
      <c r="AZ17" s="224"/>
      <c r="BA17" s="225"/>
      <c r="BB17" s="223"/>
      <c r="BC17" s="224"/>
      <c r="BD17" s="224"/>
      <c r="BE17" s="224"/>
      <c r="BF17" s="224"/>
      <c r="BG17" s="224"/>
      <c r="BH17" s="224"/>
      <c r="BI17" s="224"/>
      <c r="BJ17" s="224"/>
      <c r="BK17" s="224"/>
      <c r="BL17" s="224"/>
      <c r="BM17" s="224"/>
      <c r="BN17" s="224"/>
      <c r="BO17" s="224"/>
      <c r="BP17" s="225"/>
      <c r="BQ17" s="223"/>
      <c r="BR17" s="224"/>
      <c r="BS17" s="224"/>
      <c r="BT17" s="224"/>
      <c r="BU17" s="224"/>
      <c r="BV17" s="224"/>
      <c r="BW17" s="224"/>
      <c r="BX17" s="224"/>
      <c r="BY17" s="224"/>
      <c r="BZ17" s="224"/>
      <c r="CA17" s="224"/>
      <c r="CB17" s="224"/>
      <c r="CC17" s="224"/>
      <c r="CD17" s="224"/>
      <c r="CE17" s="225"/>
      <c r="CF17" s="221"/>
      <c r="CG17" s="221"/>
      <c r="CH17" s="221"/>
      <c r="CI17" s="221"/>
      <c r="CJ17" s="221"/>
      <c r="CK17" s="221"/>
      <c r="CL17" s="221"/>
      <c r="CM17" s="221"/>
      <c r="CN17" s="221"/>
      <c r="CO17" s="221"/>
      <c r="CP17" s="221"/>
      <c r="CQ17" s="221"/>
      <c r="CR17" s="221"/>
      <c r="CS17" s="221"/>
      <c r="CT17" s="221"/>
      <c r="CU17" s="221"/>
      <c r="CV17" s="221"/>
      <c r="CW17" s="221"/>
      <c r="CX17" s="221"/>
      <c r="CY17" s="221"/>
      <c r="CZ17" s="221"/>
      <c r="DA17" s="221"/>
      <c r="DB17" s="221"/>
      <c r="DC17" s="221"/>
      <c r="DD17" s="221"/>
      <c r="DE17" s="221"/>
      <c r="DF17" s="221"/>
      <c r="DG17" s="221"/>
      <c r="DH17" s="221"/>
      <c r="DI17" s="221"/>
    </row>
    <row r="18" spans="1:113" x14ac:dyDescent="0.25">
      <c r="A18" s="37" t="s">
        <v>45</v>
      </c>
      <c r="B18" s="28" t="s">
        <v>98</v>
      </c>
      <c r="C18" s="53" t="s">
        <v>126</v>
      </c>
      <c r="D18" s="55" t="s">
        <v>94</v>
      </c>
      <c r="E18" s="46"/>
      <c r="F18" s="46"/>
      <c r="G18" s="46"/>
      <c r="H18" s="46"/>
      <c r="I18" s="254">
        <f>10.987-10.637</f>
        <v>0.34999999999999964</v>
      </c>
      <c r="J18" s="255"/>
      <c r="K18" s="255"/>
      <c r="L18" s="255">
        <f>11.458-11.014</f>
        <v>0.44400000000000084</v>
      </c>
      <c r="M18" s="255"/>
      <c r="N18" s="255"/>
      <c r="O18" s="255">
        <f>11.464-11.035</f>
        <v>0.42900000000000027</v>
      </c>
      <c r="P18" s="255"/>
      <c r="Q18" s="255"/>
      <c r="R18" s="256">
        <f>12.339-11.303</f>
        <v>1.0359999999999996</v>
      </c>
      <c r="S18" s="282"/>
      <c r="T18" s="283"/>
      <c r="U18" s="255">
        <f>12.299-11.176</f>
        <v>1.1229999999999993</v>
      </c>
      <c r="V18" s="255"/>
      <c r="W18" s="255"/>
      <c r="X18" s="223"/>
      <c r="Y18" s="224"/>
      <c r="Z18" s="224"/>
      <c r="AA18" s="224"/>
      <c r="AB18" s="224"/>
      <c r="AC18" s="224"/>
      <c r="AD18" s="224"/>
      <c r="AE18" s="224"/>
      <c r="AF18" s="224"/>
      <c r="AG18" s="224"/>
      <c r="AH18" s="224"/>
      <c r="AI18" s="224"/>
      <c r="AJ18" s="224"/>
      <c r="AK18" s="224"/>
      <c r="AL18" s="225"/>
      <c r="AM18" s="223"/>
      <c r="AN18" s="224"/>
      <c r="AO18" s="224"/>
      <c r="AP18" s="224"/>
      <c r="AQ18" s="224"/>
      <c r="AR18" s="224"/>
      <c r="AS18" s="224"/>
      <c r="AT18" s="224"/>
      <c r="AU18" s="224"/>
      <c r="AV18" s="224"/>
      <c r="AW18" s="224"/>
      <c r="AX18" s="224"/>
      <c r="AY18" s="224"/>
      <c r="AZ18" s="224"/>
      <c r="BA18" s="225"/>
      <c r="BB18" s="223"/>
      <c r="BC18" s="224"/>
      <c r="BD18" s="224"/>
      <c r="BE18" s="224"/>
      <c r="BF18" s="224"/>
      <c r="BG18" s="224"/>
      <c r="BH18" s="224"/>
      <c r="BI18" s="224"/>
      <c r="BJ18" s="224"/>
      <c r="BK18" s="224"/>
      <c r="BL18" s="224"/>
      <c r="BM18" s="224"/>
      <c r="BN18" s="224"/>
      <c r="BO18" s="224"/>
      <c r="BP18" s="225"/>
      <c r="BQ18" s="223"/>
      <c r="BR18" s="224"/>
      <c r="BS18" s="224"/>
      <c r="BT18" s="224"/>
      <c r="BU18" s="224"/>
      <c r="BV18" s="224"/>
      <c r="BW18" s="224"/>
      <c r="BX18" s="224"/>
      <c r="BY18" s="224"/>
      <c r="BZ18" s="224"/>
      <c r="CA18" s="224"/>
      <c r="CB18" s="224"/>
      <c r="CC18" s="224"/>
      <c r="CD18" s="224"/>
      <c r="CE18" s="225"/>
      <c r="CF18" s="221"/>
      <c r="CG18" s="221"/>
      <c r="CH18" s="221"/>
      <c r="CI18" s="221"/>
      <c r="CJ18" s="221"/>
      <c r="CK18" s="221"/>
      <c r="CL18" s="221"/>
      <c r="CM18" s="221"/>
      <c r="CN18" s="221"/>
      <c r="CO18" s="221"/>
      <c r="CP18" s="221"/>
      <c r="CQ18" s="221"/>
      <c r="CR18" s="221"/>
      <c r="CS18" s="221"/>
      <c r="CT18" s="221"/>
      <c r="CU18" s="221"/>
      <c r="CV18" s="221"/>
      <c r="CW18" s="221"/>
      <c r="CX18" s="221"/>
      <c r="CY18" s="221"/>
      <c r="CZ18" s="221"/>
      <c r="DA18" s="221"/>
      <c r="DB18" s="221"/>
      <c r="DC18" s="221"/>
      <c r="DD18" s="221"/>
      <c r="DE18" s="221"/>
      <c r="DF18" s="221"/>
      <c r="DG18" s="221"/>
      <c r="DH18" s="221"/>
      <c r="DI18" s="221"/>
    </row>
    <row r="19" spans="1:113" x14ac:dyDescent="0.25">
      <c r="A19" s="37" t="s">
        <v>46</v>
      </c>
      <c r="B19" s="28" t="s">
        <v>99</v>
      </c>
      <c r="C19" s="53" t="s">
        <v>126</v>
      </c>
      <c r="D19" s="55" t="s">
        <v>94</v>
      </c>
      <c r="E19" s="46"/>
      <c r="F19" s="46"/>
      <c r="G19" s="46"/>
      <c r="H19" s="46"/>
      <c r="I19" s="254">
        <f>SQRT((11.136-11.006)^2+(1.135-0.92)^2)</f>
        <v>0.25124689052802174</v>
      </c>
      <c r="J19" s="255"/>
      <c r="K19" s="255"/>
      <c r="L19" s="255">
        <f>SQRT((11.564-11.515)^2+(1.444-0.965)^2)</f>
        <v>0.48149974039453014</v>
      </c>
      <c r="M19" s="255"/>
      <c r="N19" s="255"/>
      <c r="O19" s="255">
        <f>SQRT((11.695-11.59)^2+(1.3-0.832)^2)</f>
        <v>0.47963423564211943</v>
      </c>
      <c r="P19" s="255"/>
      <c r="Q19" s="255"/>
      <c r="R19" s="256">
        <f>SQRT((12.502-12.009)^2+(1.537-1.053)^2)</f>
        <v>0.69087263659809273</v>
      </c>
      <c r="S19" s="282"/>
      <c r="T19" s="283"/>
      <c r="U19" s="255">
        <f>SQRT((12.49-12.037)^2+(1.335-0.859)^2)</f>
        <v>0.6571034926098015</v>
      </c>
      <c r="V19" s="255"/>
      <c r="W19" s="255"/>
      <c r="X19" s="223"/>
      <c r="Y19" s="224"/>
      <c r="Z19" s="224"/>
      <c r="AA19" s="224"/>
      <c r="AB19" s="224"/>
      <c r="AC19" s="224"/>
      <c r="AD19" s="224"/>
      <c r="AE19" s="224"/>
      <c r="AF19" s="224"/>
      <c r="AG19" s="224"/>
      <c r="AH19" s="224"/>
      <c r="AI19" s="224"/>
      <c r="AJ19" s="224"/>
      <c r="AK19" s="224"/>
      <c r="AL19" s="225"/>
      <c r="AM19" s="223"/>
      <c r="AN19" s="224"/>
      <c r="AO19" s="224"/>
      <c r="AP19" s="224"/>
      <c r="AQ19" s="224"/>
      <c r="AR19" s="224"/>
      <c r="AS19" s="224"/>
      <c r="AT19" s="224"/>
      <c r="AU19" s="224"/>
      <c r="AV19" s="224"/>
      <c r="AW19" s="224"/>
      <c r="AX19" s="224"/>
      <c r="AY19" s="224"/>
      <c r="AZ19" s="224"/>
      <c r="BA19" s="225"/>
      <c r="BB19" s="223"/>
      <c r="BC19" s="224"/>
      <c r="BD19" s="224"/>
      <c r="BE19" s="224"/>
      <c r="BF19" s="224"/>
      <c r="BG19" s="224"/>
      <c r="BH19" s="224"/>
      <c r="BI19" s="224"/>
      <c r="BJ19" s="224"/>
      <c r="BK19" s="224"/>
      <c r="BL19" s="224"/>
      <c r="BM19" s="224"/>
      <c r="BN19" s="224"/>
      <c r="BO19" s="224"/>
      <c r="BP19" s="225"/>
      <c r="BQ19" s="223"/>
      <c r="BR19" s="224"/>
      <c r="BS19" s="224"/>
      <c r="BT19" s="224"/>
      <c r="BU19" s="224"/>
      <c r="BV19" s="224"/>
      <c r="BW19" s="224"/>
      <c r="BX19" s="224"/>
      <c r="BY19" s="224"/>
      <c r="BZ19" s="224"/>
      <c r="CA19" s="224"/>
      <c r="CB19" s="224"/>
      <c r="CC19" s="224"/>
      <c r="CD19" s="224"/>
      <c r="CE19" s="225"/>
      <c r="CF19" s="221"/>
      <c r="CG19" s="221"/>
      <c r="CH19" s="221"/>
      <c r="CI19" s="221"/>
      <c r="CJ19" s="221"/>
      <c r="CK19" s="221"/>
      <c r="CL19" s="221"/>
      <c r="CM19" s="221"/>
      <c r="CN19" s="221"/>
      <c r="CO19" s="221"/>
      <c r="CP19" s="221"/>
      <c r="CQ19" s="221"/>
      <c r="CR19" s="221"/>
      <c r="CS19" s="221"/>
      <c r="CT19" s="221"/>
      <c r="CU19" s="221"/>
      <c r="CV19" s="221"/>
      <c r="CW19" s="221"/>
      <c r="CX19" s="221"/>
      <c r="CY19" s="221"/>
      <c r="CZ19" s="221"/>
      <c r="DA19" s="221"/>
      <c r="DB19" s="221"/>
      <c r="DC19" s="221"/>
      <c r="DD19" s="221"/>
      <c r="DE19" s="221"/>
      <c r="DF19" s="221"/>
      <c r="DG19" s="221"/>
      <c r="DH19" s="221"/>
      <c r="DI19" s="221"/>
    </row>
    <row r="20" spans="1:113" ht="17.25" x14ac:dyDescent="0.25">
      <c r="A20" s="37" t="s">
        <v>47</v>
      </c>
      <c r="B20" s="28" t="s">
        <v>117</v>
      </c>
      <c r="C20" s="53" t="s">
        <v>127</v>
      </c>
      <c r="D20" s="55" t="s">
        <v>118</v>
      </c>
      <c r="E20" s="46"/>
      <c r="F20" s="46"/>
      <c r="G20" s="46"/>
      <c r="H20" s="46"/>
      <c r="I20" s="254">
        <v>4.4530000000000003</v>
      </c>
      <c r="J20" s="255"/>
      <c r="K20" s="255"/>
      <c r="L20" s="255">
        <v>5.1749999999999998</v>
      </c>
      <c r="M20" s="255"/>
      <c r="N20" s="255"/>
      <c r="O20" s="255">
        <v>4.6379999999999999</v>
      </c>
      <c r="P20" s="255"/>
      <c r="Q20" s="255"/>
      <c r="R20" s="256">
        <v>4.83</v>
      </c>
      <c r="S20" s="282"/>
      <c r="T20" s="283"/>
      <c r="U20" s="255">
        <v>3.8980000000000001</v>
      </c>
      <c r="V20" s="255"/>
      <c r="W20" s="255"/>
      <c r="X20" s="223"/>
      <c r="Y20" s="224"/>
      <c r="Z20" s="224"/>
      <c r="AA20" s="224"/>
      <c r="AB20" s="224"/>
      <c r="AC20" s="224"/>
      <c r="AD20" s="224"/>
      <c r="AE20" s="224"/>
      <c r="AF20" s="224"/>
      <c r="AG20" s="224"/>
      <c r="AH20" s="224"/>
      <c r="AI20" s="224"/>
      <c r="AJ20" s="224"/>
      <c r="AK20" s="224"/>
      <c r="AL20" s="225"/>
      <c r="AM20" s="223"/>
      <c r="AN20" s="224"/>
      <c r="AO20" s="224"/>
      <c r="AP20" s="224"/>
      <c r="AQ20" s="224"/>
      <c r="AR20" s="224"/>
      <c r="AS20" s="224"/>
      <c r="AT20" s="224"/>
      <c r="AU20" s="224"/>
      <c r="AV20" s="224"/>
      <c r="AW20" s="224"/>
      <c r="AX20" s="224"/>
      <c r="AY20" s="224"/>
      <c r="AZ20" s="224"/>
      <c r="BA20" s="225"/>
      <c r="BB20" s="223"/>
      <c r="BC20" s="224"/>
      <c r="BD20" s="224"/>
      <c r="BE20" s="224"/>
      <c r="BF20" s="224"/>
      <c r="BG20" s="224"/>
      <c r="BH20" s="224"/>
      <c r="BI20" s="224"/>
      <c r="BJ20" s="224"/>
      <c r="BK20" s="224"/>
      <c r="BL20" s="224"/>
      <c r="BM20" s="224"/>
      <c r="BN20" s="224"/>
      <c r="BO20" s="224"/>
      <c r="BP20" s="225"/>
      <c r="BQ20" s="223"/>
      <c r="BR20" s="224"/>
      <c r="BS20" s="224"/>
      <c r="BT20" s="224"/>
      <c r="BU20" s="224"/>
      <c r="BV20" s="224"/>
      <c r="BW20" s="224"/>
      <c r="BX20" s="224"/>
      <c r="BY20" s="224"/>
      <c r="BZ20" s="224"/>
      <c r="CA20" s="224"/>
      <c r="CB20" s="224"/>
      <c r="CC20" s="224"/>
      <c r="CD20" s="224"/>
      <c r="CE20" s="225"/>
      <c r="CF20" s="221"/>
      <c r="CG20" s="221"/>
      <c r="CH20" s="221"/>
      <c r="CI20" s="221"/>
      <c r="CJ20" s="221"/>
      <c r="CK20" s="221"/>
      <c r="CL20" s="221"/>
      <c r="CM20" s="221"/>
      <c r="CN20" s="221"/>
      <c r="CO20" s="221"/>
      <c r="CP20" s="221"/>
      <c r="CQ20" s="221"/>
      <c r="CR20" s="221"/>
      <c r="CS20" s="221"/>
      <c r="CT20" s="221"/>
      <c r="CU20" s="221"/>
      <c r="CV20" s="221"/>
      <c r="CW20" s="221"/>
      <c r="CX20" s="221"/>
      <c r="CY20" s="221"/>
      <c r="CZ20" s="221"/>
      <c r="DA20" s="221"/>
      <c r="DB20" s="221"/>
      <c r="DC20" s="221"/>
      <c r="DD20" s="221"/>
      <c r="DE20" s="221"/>
      <c r="DF20" s="221"/>
      <c r="DG20" s="221"/>
      <c r="DH20" s="221"/>
      <c r="DI20" s="221"/>
    </row>
    <row r="21" spans="1:113" ht="17.25" x14ac:dyDescent="0.25">
      <c r="A21" s="37" t="s">
        <v>48</v>
      </c>
      <c r="B21" s="28" t="s">
        <v>119</v>
      </c>
      <c r="C21" s="53" t="s">
        <v>127</v>
      </c>
      <c r="D21" s="55" t="s">
        <v>118</v>
      </c>
      <c r="E21" s="46"/>
      <c r="F21" s="46"/>
      <c r="G21" s="46"/>
      <c r="H21" s="46"/>
      <c r="I21" s="254">
        <v>4.4530000000000003</v>
      </c>
      <c r="J21" s="255"/>
      <c r="K21" s="255"/>
      <c r="L21" s="255">
        <v>5.1749999999999998</v>
      </c>
      <c r="M21" s="255"/>
      <c r="N21" s="255"/>
      <c r="O21" s="255">
        <v>4.6379999999999999</v>
      </c>
      <c r="P21" s="255"/>
      <c r="Q21" s="255"/>
      <c r="R21" s="256">
        <v>4.83</v>
      </c>
      <c r="S21" s="282"/>
      <c r="T21" s="283"/>
      <c r="U21" s="255">
        <v>3.8980000000000001</v>
      </c>
      <c r="V21" s="255"/>
      <c r="W21" s="255"/>
      <c r="X21" s="223"/>
      <c r="Y21" s="224"/>
      <c r="Z21" s="224"/>
      <c r="AA21" s="224"/>
      <c r="AB21" s="224"/>
      <c r="AC21" s="224"/>
      <c r="AD21" s="224"/>
      <c r="AE21" s="224"/>
      <c r="AF21" s="224"/>
      <c r="AG21" s="224"/>
      <c r="AH21" s="224"/>
      <c r="AI21" s="224"/>
      <c r="AJ21" s="224"/>
      <c r="AK21" s="224"/>
      <c r="AL21" s="225"/>
      <c r="AM21" s="223"/>
      <c r="AN21" s="224"/>
      <c r="AO21" s="224"/>
      <c r="AP21" s="224"/>
      <c r="AQ21" s="224"/>
      <c r="AR21" s="224"/>
      <c r="AS21" s="224"/>
      <c r="AT21" s="224"/>
      <c r="AU21" s="224"/>
      <c r="AV21" s="224"/>
      <c r="AW21" s="224"/>
      <c r="AX21" s="224"/>
      <c r="AY21" s="224"/>
      <c r="AZ21" s="224"/>
      <c r="BA21" s="225"/>
      <c r="BB21" s="223"/>
      <c r="BC21" s="224"/>
      <c r="BD21" s="224"/>
      <c r="BE21" s="224"/>
      <c r="BF21" s="224"/>
      <c r="BG21" s="224"/>
      <c r="BH21" s="224"/>
      <c r="BI21" s="224"/>
      <c r="BJ21" s="224"/>
      <c r="BK21" s="224"/>
      <c r="BL21" s="224"/>
      <c r="BM21" s="224"/>
      <c r="BN21" s="224"/>
      <c r="BO21" s="224"/>
      <c r="BP21" s="225"/>
      <c r="BQ21" s="223"/>
      <c r="BR21" s="224"/>
      <c r="BS21" s="224"/>
      <c r="BT21" s="224"/>
      <c r="BU21" s="224"/>
      <c r="BV21" s="224"/>
      <c r="BW21" s="224"/>
      <c r="BX21" s="224"/>
      <c r="BY21" s="224"/>
      <c r="BZ21" s="224"/>
      <c r="CA21" s="224"/>
      <c r="CB21" s="224"/>
      <c r="CC21" s="224"/>
      <c r="CD21" s="224"/>
      <c r="CE21" s="225"/>
      <c r="CF21" s="221"/>
      <c r="CG21" s="221"/>
      <c r="CH21" s="221"/>
      <c r="CI21" s="221"/>
      <c r="CJ21" s="221"/>
      <c r="CK21" s="221"/>
      <c r="CL21" s="221"/>
      <c r="CM21" s="221"/>
      <c r="CN21" s="221"/>
      <c r="CO21" s="221"/>
      <c r="CP21" s="221"/>
      <c r="CQ21" s="221"/>
      <c r="CR21" s="221"/>
      <c r="CS21" s="221"/>
      <c r="CT21" s="221"/>
      <c r="CU21" s="221"/>
      <c r="CV21" s="221"/>
      <c r="CW21" s="221"/>
      <c r="CX21" s="221"/>
      <c r="CY21" s="221"/>
      <c r="CZ21" s="221"/>
      <c r="DA21" s="221"/>
      <c r="DB21" s="221"/>
      <c r="DC21" s="221"/>
      <c r="DD21" s="221"/>
      <c r="DE21" s="221"/>
      <c r="DF21" s="221"/>
      <c r="DG21" s="221"/>
      <c r="DH21" s="221"/>
      <c r="DI21" s="221"/>
    </row>
    <row r="22" spans="1:113" ht="17.25" x14ac:dyDescent="0.25">
      <c r="A22" s="37" t="s">
        <v>49</v>
      </c>
      <c r="B22" s="28" t="s">
        <v>120</v>
      </c>
      <c r="C22" s="53" t="s">
        <v>127</v>
      </c>
      <c r="D22" s="55" t="s">
        <v>118</v>
      </c>
      <c r="E22" s="46"/>
      <c r="F22" s="46"/>
      <c r="G22" s="46"/>
      <c r="H22" s="46"/>
      <c r="I22" s="254">
        <v>5.3780000000000001</v>
      </c>
      <c r="J22" s="255"/>
      <c r="K22" s="255"/>
      <c r="L22" s="255">
        <v>7.1680000000000001</v>
      </c>
      <c r="M22" s="255"/>
      <c r="N22" s="255"/>
      <c r="O22" s="255">
        <v>6.21</v>
      </c>
      <c r="P22" s="255"/>
      <c r="Q22" s="255"/>
      <c r="R22" s="256">
        <v>9.9749999999999996</v>
      </c>
      <c r="S22" s="282"/>
      <c r="T22" s="283"/>
      <c r="U22" s="255">
        <v>9.468</v>
      </c>
      <c r="V22" s="255"/>
      <c r="W22" s="255"/>
      <c r="X22" s="223"/>
      <c r="Y22" s="224"/>
      <c r="Z22" s="224"/>
      <c r="AA22" s="224"/>
      <c r="AB22" s="224"/>
      <c r="AC22" s="224"/>
      <c r="AD22" s="224"/>
      <c r="AE22" s="224"/>
      <c r="AF22" s="224"/>
      <c r="AG22" s="224"/>
      <c r="AH22" s="224"/>
      <c r="AI22" s="224"/>
      <c r="AJ22" s="224"/>
      <c r="AK22" s="224"/>
      <c r="AL22" s="225"/>
      <c r="AM22" s="223"/>
      <c r="AN22" s="224"/>
      <c r="AO22" s="224"/>
      <c r="AP22" s="224"/>
      <c r="AQ22" s="224"/>
      <c r="AR22" s="224"/>
      <c r="AS22" s="224"/>
      <c r="AT22" s="224"/>
      <c r="AU22" s="224"/>
      <c r="AV22" s="224"/>
      <c r="AW22" s="224"/>
      <c r="AX22" s="224"/>
      <c r="AY22" s="224"/>
      <c r="AZ22" s="224"/>
      <c r="BA22" s="225"/>
      <c r="BB22" s="223"/>
      <c r="BC22" s="224"/>
      <c r="BD22" s="224"/>
      <c r="BE22" s="224"/>
      <c r="BF22" s="224"/>
      <c r="BG22" s="224"/>
      <c r="BH22" s="224"/>
      <c r="BI22" s="224"/>
      <c r="BJ22" s="224"/>
      <c r="BK22" s="224"/>
      <c r="BL22" s="224"/>
      <c r="BM22" s="224"/>
      <c r="BN22" s="224"/>
      <c r="BO22" s="224"/>
      <c r="BP22" s="225"/>
      <c r="BQ22" s="223"/>
      <c r="BR22" s="224"/>
      <c r="BS22" s="224"/>
      <c r="BT22" s="224"/>
      <c r="BU22" s="224"/>
      <c r="BV22" s="224"/>
      <c r="BW22" s="224"/>
      <c r="BX22" s="224"/>
      <c r="BY22" s="224"/>
      <c r="BZ22" s="224"/>
      <c r="CA22" s="224"/>
      <c r="CB22" s="224"/>
      <c r="CC22" s="224"/>
      <c r="CD22" s="224"/>
      <c r="CE22" s="225"/>
      <c r="CF22" s="221"/>
      <c r="CG22" s="221"/>
      <c r="CH22" s="221"/>
      <c r="CI22" s="221"/>
      <c r="CJ22" s="221"/>
      <c r="CK22" s="221"/>
      <c r="CL22" s="221"/>
      <c r="CM22" s="221"/>
      <c r="CN22" s="221"/>
      <c r="CO22" s="221"/>
      <c r="CP22" s="221"/>
      <c r="CQ22" s="221"/>
      <c r="CR22" s="221"/>
      <c r="CS22" s="221"/>
      <c r="CT22" s="221"/>
      <c r="CU22" s="221"/>
      <c r="CV22" s="221"/>
      <c r="CW22" s="221"/>
      <c r="CX22" s="221"/>
      <c r="CY22" s="221"/>
      <c r="CZ22" s="221"/>
      <c r="DA22" s="221"/>
      <c r="DB22" s="221"/>
      <c r="DC22" s="221"/>
      <c r="DD22" s="221"/>
      <c r="DE22" s="221"/>
      <c r="DF22" s="221"/>
      <c r="DG22" s="221"/>
      <c r="DH22" s="221"/>
      <c r="DI22" s="221"/>
    </row>
    <row r="23" spans="1:113" ht="17.25" x14ac:dyDescent="0.25">
      <c r="A23" s="37" t="s">
        <v>50</v>
      </c>
      <c r="B23" s="28" t="s">
        <v>121</v>
      </c>
      <c r="C23" s="53" t="s">
        <v>127</v>
      </c>
      <c r="D23" s="55" t="s">
        <v>118</v>
      </c>
      <c r="E23" s="46"/>
      <c r="F23" s="46"/>
      <c r="G23" s="46"/>
      <c r="H23" s="46"/>
      <c r="I23" s="254">
        <v>4.9340000000000002</v>
      </c>
      <c r="J23" s="255"/>
      <c r="K23" s="255"/>
      <c r="L23" s="255">
        <v>5.4509999999999996</v>
      </c>
      <c r="M23" s="255"/>
      <c r="N23" s="255"/>
      <c r="O23" s="255">
        <v>5.0350000000000001</v>
      </c>
      <c r="P23" s="255"/>
      <c r="Q23" s="255"/>
      <c r="R23" s="256">
        <v>7.34</v>
      </c>
      <c r="S23" s="282"/>
      <c r="T23" s="283"/>
      <c r="U23" s="255">
        <v>6.0532000000000004</v>
      </c>
      <c r="V23" s="255"/>
      <c r="W23" s="255"/>
      <c r="X23" s="223"/>
      <c r="Y23" s="224"/>
      <c r="Z23" s="224"/>
      <c r="AA23" s="224"/>
      <c r="AB23" s="224"/>
      <c r="AC23" s="224"/>
      <c r="AD23" s="224"/>
      <c r="AE23" s="224"/>
      <c r="AF23" s="224"/>
      <c r="AG23" s="224"/>
      <c r="AH23" s="224"/>
      <c r="AI23" s="224"/>
      <c r="AJ23" s="224"/>
      <c r="AK23" s="224"/>
      <c r="AL23" s="225"/>
      <c r="AM23" s="223"/>
      <c r="AN23" s="224"/>
      <c r="AO23" s="224"/>
      <c r="AP23" s="224"/>
      <c r="AQ23" s="224"/>
      <c r="AR23" s="224"/>
      <c r="AS23" s="224"/>
      <c r="AT23" s="224"/>
      <c r="AU23" s="224"/>
      <c r="AV23" s="224"/>
      <c r="AW23" s="224"/>
      <c r="AX23" s="224"/>
      <c r="AY23" s="224"/>
      <c r="AZ23" s="224"/>
      <c r="BA23" s="225"/>
      <c r="BB23" s="223"/>
      <c r="BC23" s="224"/>
      <c r="BD23" s="224"/>
      <c r="BE23" s="224"/>
      <c r="BF23" s="224"/>
      <c r="BG23" s="224"/>
      <c r="BH23" s="224"/>
      <c r="BI23" s="224"/>
      <c r="BJ23" s="224"/>
      <c r="BK23" s="224"/>
      <c r="BL23" s="224"/>
      <c r="BM23" s="224"/>
      <c r="BN23" s="224"/>
      <c r="BO23" s="224"/>
      <c r="BP23" s="225"/>
      <c r="BQ23" s="223"/>
      <c r="BR23" s="224"/>
      <c r="BS23" s="224"/>
      <c r="BT23" s="224"/>
      <c r="BU23" s="224"/>
      <c r="BV23" s="224"/>
      <c r="BW23" s="224"/>
      <c r="BX23" s="224"/>
      <c r="BY23" s="224"/>
      <c r="BZ23" s="224"/>
      <c r="CA23" s="224"/>
      <c r="CB23" s="224"/>
      <c r="CC23" s="224"/>
      <c r="CD23" s="224"/>
      <c r="CE23" s="225"/>
      <c r="CF23" s="221"/>
      <c r="CG23" s="221"/>
      <c r="CH23" s="221"/>
      <c r="CI23" s="221"/>
      <c r="CJ23" s="221"/>
      <c r="CK23" s="221"/>
      <c r="CL23" s="221"/>
      <c r="CM23" s="221"/>
      <c r="CN23" s="221"/>
      <c r="CO23" s="221"/>
      <c r="CP23" s="221"/>
      <c r="CQ23" s="221"/>
      <c r="CR23" s="221"/>
      <c r="CS23" s="221"/>
      <c r="CT23" s="221"/>
      <c r="CU23" s="221"/>
      <c r="CV23" s="221"/>
      <c r="CW23" s="221"/>
      <c r="CX23" s="221"/>
      <c r="CY23" s="221"/>
      <c r="CZ23" s="221"/>
      <c r="DA23" s="221"/>
      <c r="DB23" s="221"/>
      <c r="DC23" s="221"/>
      <c r="DD23" s="221"/>
      <c r="DE23" s="221"/>
      <c r="DF23" s="221"/>
      <c r="DG23" s="221"/>
      <c r="DH23" s="221"/>
      <c r="DI23" s="221"/>
    </row>
    <row r="24" spans="1:113" ht="18" thickBot="1" x14ac:dyDescent="0.3">
      <c r="A24" s="38" t="s">
        <v>51</v>
      </c>
      <c r="B24" s="31" t="s">
        <v>122</v>
      </c>
      <c r="C24" s="54" t="s">
        <v>127</v>
      </c>
      <c r="D24" s="57" t="s">
        <v>118</v>
      </c>
      <c r="E24" s="47"/>
      <c r="F24" s="47"/>
      <c r="G24" s="47"/>
      <c r="H24" s="47"/>
      <c r="I24" s="332">
        <v>5.3780000000000001</v>
      </c>
      <c r="J24" s="306"/>
      <c r="K24" s="306"/>
      <c r="L24" s="306">
        <v>7.1680000000000001</v>
      </c>
      <c r="M24" s="306"/>
      <c r="N24" s="306"/>
      <c r="O24" s="306">
        <v>6.21</v>
      </c>
      <c r="P24" s="306"/>
      <c r="Q24" s="306"/>
      <c r="R24" s="333">
        <v>9.9749999999999996</v>
      </c>
      <c r="S24" s="334"/>
      <c r="T24" s="335"/>
      <c r="U24" s="306">
        <v>9.468</v>
      </c>
      <c r="V24" s="306"/>
      <c r="W24" s="306"/>
      <c r="X24" s="223"/>
      <c r="Y24" s="224"/>
      <c r="Z24" s="224"/>
      <c r="AA24" s="224"/>
      <c r="AB24" s="224"/>
      <c r="AC24" s="224"/>
      <c r="AD24" s="224"/>
      <c r="AE24" s="224"/>
      <c r="AF24" s="224"/>
      <c r="AG24" s="224"/>
      <c r="AH24" s="224"/>
      <c r="AI24" s="224"/>
      <c r="AJ24" s="224"/>
      <c r="AK24" s="224"/>
      <c r="AL24" s="225"/>
      <c r="AM24" s="223"/>
      <c r="AN24" s="224"/>
      <c r="AO24" s="224"/>
      <c r="AP24" s="224"/>
      <c r="AQ24" s="224"/>
      <c r="AR24" s="224"/>
      <c r="AS24" s="224"/>
      <c r="AT24" s="224"/>
      <c r="AU24" s="224"/>
      <c r="AV24" s="224"/>
      <c r="AW24" s="224"/>
      <c r="AX24" s="224"/>
      <c r="AY24" s="224"/>
      <c r="AZ24" s="224"/>
      <c r="BA24" s="225"/>
      <c r="BB24" s="223"/>
      <c r="BC24" s="224"/>
      <c r="BD24" s="224"/>
      <c r="BE24" s="224"/>
      <c r="BF24" s="224"/>
      <c r="BG24" s="224"/>
      <c r="BH24" s="224"/>
      <c r="BI24" s="224"/>
      <c r="BJ24" s="224"/>
      <c r="BK24" s="224"/>
      <c r="BL24" s="224"/>
      <c r="BM24" s="224"/>
      <c r="BN24" s="224"/>
      <c r="BO24" s="224"/>
      <c r="BP24" s="225"/>
      <c r="BQ24" s="223"/>
      <c r="BR24" s="224"/>
      <c r="BS24" s="224"/>
      <c r="BT24" s="224"/>
      <c r="BU24" s="224"/>
      <c r="BV24" s="224"/>
      <c r="BW24" s="224"/>
      <c r="BX24" s="224"/>
      <c r="BY24" s="224"/>
      <c r="BZ24" s="224"/>
      <c r="CA24" s="224"/>
      <c r="CB24" s="224"/>
      <c r="CC24" s="224"/>
      <c r="CD24" s="224"/>
      <c r="CE24" s="225"/>
      <c r="CF24" s="221"/>
      <c r="CG24" s="221"/>
      <c r="CH24" s="221"/>
      <c r="CI24" s="221"/>
      <c r="CJ24" s="221"/>
      <c r="CK24" s="221"/>
      <c r="CL24" s="221"/>
      <c r="CM24" s="221"/>
      <c r="CN24" s="221"/>
      <c r="CO24" s="221"/>
      <c r="CP24" s="221"/>
      <c r="CQ24" s="221"/>
      <c r="CR24" s="221"/>
      <c r="CS24" s="221"/>
      <c r="CT24" s="221"/>
      <c r="CU24" s="221"/>
      <c r="CV24" s="221"/>
      <c r="CW24" s="221"/>
      <c r="CX24" s="221"/>
      <c r="CY24" s="221"/>
      <c r="CZ24" s="221"/>
      <c r="DA24" s="221"/>
      <c r="DB24" s="221"/>
      <c r="DC24" s="221"/>
      <c r="DD24" s="221"/>
      <c r="DE24" s="221"/>
      <c r="DF24" s="221"/>
      <c r="DG24" s="221"/>
      <c r="DH24" s="221"/>
      <c r="DI24" s="221"/>
    </row>
    <row r="25" spans="1:113" ht="17.25" x14ac:dyDescent="0.25">
      <c r="A25" s="37" t="s">
        <v>53</v>
      </c>
      <c r="B25" s="28" t="s">
        <v>76</v>
      </c>
      <c r="C25" s="28" t="s">
        <v>125</v>
      </c>
      <c r="D25" s="258" t="s">
        <v>77</v>
      </c>
      <c r="E25" s="259"/>
      <c r="F25" s="259"/>
      <c r="G25" s="259"/>
      <c r="H25" s="260"/>
      <c r="I25" s="323">
        <v>11.986000000000001</v>
      </c>
      <c r="J25" s="282"/>
      <c r="K25" s="283"/>
      <c r="L25" s="256">
        <v>13.622999999999999</v>
      </c>
      <c r="M25" s="282"/>
      <c r="N25" s="283"/>
      <c r="O25" s="256">
        <v>12.135</v>
      </c>
      <c r="P25" s="282"/>
      <c r="Q25" s="283"/>
      <c r="R25" s="256">
        <v>16.044</v>
      </c>
      <c r="S25" s="282"/>
      <c r="T25" s="283"/>
      <c r="U25" s="256">
        <v>13.815</v>
      </c>
      <c r="V25" s="282"/>
      <c r="W25" s="295"/>
      <c r="X25" s="226"/>
      <c r="Y25" s="227"/>
      <c r="Z25" s="227"/>
      <c r="AA25" s="227"/>
      <c r="AB25" s="227"/>
      <c r="AC25" s="227"/>
      <c r="AD25" s="227"/>
      <c r="AE25" s="227"/>
      <c r="AF25" s="227"/>
      <c r="AG25" s="227"/>
      <c r="AH25" s="227"/>
      <c r="AI25" s="227"/>
      <c r="AJ25" s="227"/>
      <c r="AK25" s="227"/>
      <c r="AL25" s="228"/>
      <c r="AM25" s="267"/>
      <c r="AN25" s="268"/>
      <c r="AO25" s="268"/>
      <c r="AP25" s="268"/>
      <c r="AQ25" s="268"/>
      <c r="AR25" s="268"/>
      <c r="AS25" s="268"/>
      <c r="AT25" s="268"/>
      <c r="AU25" s="268"/>
      <c r="AV25" s="268"/>
      <c r="AW25" s="268"/>
      <c r="AX25" s="268"/>
      <c r="AY25" s="268"/>
      <c r="AZ25" s="268"/>
      <c r="BA25" s="269"/>
      <c r="BB25" s="226"/>
      <c r="BC25" s="227"/>
      <c r="BD25" s="227"/>
      <c r="BE25" s="227"/>
      <c r="BF25" s="227"/>
      <c r="BG25" s="227"/>
      <c r="BH25" s="227"/>
      <c r="BI25" s="227"/>
      <c r="BJ25" s="227"/>
      <c r="BK25" s="227"/>
      <c r="BL25" s="227"/>
      <c r="BM25" s="227"/>
      <c r="BN25" s="227"/>
      <c r="BO25" s="227"/>
      <c r="BP25" s="228"/>
      <c r="BQ25" s="267"/>
      <c r="BR25" s="268"/>
      <c r="BS25" s="268"/>
      <c r="BT25" s="268"/>
      <c r="BU25" s="268"/>
      <c r="BV25" s="268"/>
      <c r="BW25" s="268"/>
      <c r="BX25" s="268"/>
      <c r="BY25" s="268"/>
      <c r="BZ25" s="268"/>
      <c r="CA25" s="268"/>
      <c r="CB25" s="268"/>
      <c r="CC25" s="268"/>
      <c r="CD25" s="268"/>
      <c r="CE25" s="276"/>
      <c r="CF25" s="221"/>
      <c r="CG25" s="221"/>
      <c r="CH25" s="221"/>
      <c r="CI25" s="221"/>
      <c r="CJ25" s="221"/>
      <c r="CK25" s="221"/>
      <c r="CL25" s="221"/>
      <c r="CM25" s="221"/>
      <c r="CN25" s="221"/>
      <c r="CO25" s="221"/>
      <c r="CP25" s="221"/>
      <c r="CQ25" s="221"/>
      <c r="CR25" s="221"/>
      <c r="CS25" s="221"/>
      <c r="CT25" s="221"/>
      <c r="CU25" s="221"/>
      <c r="CV25" s="221"/>
      <c r="CW25" s="221"/>
      <c r="CX25" s="221"/>
      <c r="CY25" s="221"/>
      <c r="CZ25" s="221"/>
      <c r="DA25" s="221"/>
      <c r="DB25" s="221"/>
      <c r="DC25" s="221"/>
      <c r="DD25" s="221"/>
      <c r="DE25" s="221"/>
      <c r="DF25" s="221"/>
      <c r="DG25" s="221"/>
      <c r="DH25" s="221"/>
      <c r="DI25" s="221"/>
    </row>
    <row r="26" spans="1:113" ht="17.25" x14ac:dyDescent="0.25">
      <c r="A26" s="37" t="s">
        <v>54</v>
      </c>
      <c r="B26" s="28" t="s">
        <v>78</v>
      </c>
      <c r="C26" s="28" t="s">
        <v>125</v>
      </c>
      <c r="D26" s="261" t="s">
        <v>77</v>
      </c>
      <c r="E26" s="262"/>
      <c r="F26" s="262"/>
      <c r="G26" s="262"/>
      <c r="H26" s="263"/>
      <c r="I26" s="323">
        <v>11.986000000000001</v>
      </c>
      <c r="J26" s="282"/>
      <c r="K26" s="283"/>
      <c r="L26" s="256">
        <v>13.622999999999999</v>
      </c>
      <c r="M26" s="282"/>
      <c r="N26" s="283"/>
      <c r="O26" s="256">
        <v>12.135</v>
      </c>
      <c r="P26" s="282"/>
      <c r="Q26" s="283"/>
      <c r="R26" s="256">
        <v>16.044</v>
      </c>
      <c r="S26" s="282"/>
      <c r="T26" s="283"/>
      <c r="U26" s="256">
        <v>13.815</v>
      </c>
      <c r="V26" s="282"/>
      <c r="W26" s="295"/>
      <c r="X26" s="229"/>
      <c r="Y26" s="230"/>
      <c r="Z26" s="230"/>
      <c r="AA26" s="230"/>
      <c r="AB26" s="230"/>
      <c r="AC26" s="230"/>
      <c r="AD26" s="230"/>
      <c r="AE26" s="230"/>
      <c r="AF26" s="230"/>
      <c r="AG26" s="230"/>
      <c r="AH26" s="230"/>
      <c r="AI26" s="230"/>
      <c r="AJ26" s="230"/>
      <c r="AK26" s="230"/>
      <c r="AL26" s="231"/>
      <c r="AM26" s="270"/>
      <c r="AN26" s="271"/>
      <c r="AO26" s="271"/>
      <c r="AP26" s="271"/>
      <c r="AQ26" s="271"/>
      <c r="AR26" s="271"/>
      <c r="AS26" s="271"/>
      <c r="AT26" s="271"/>
      <c r="AU26" s="271"/>
      <c r="AV26" s="271"/>
      <c r="AW26" s="271"/>
      <c r="AX26" s="271"/>
      <c r="AY26" s="271"/>
      <c r="AZ26" s="271"/>
      <c r="BA26" s="272"/>
      <c r="BB26" s="229"/>
      <c r="BC26" s="230"/>
      <c r="BD26" s="230"/>
      <c r="BE26" s="230"/>
      <c r="BF26" s="230"/>
      <c r="BG26" s="230"/>
      <c r="BH26" s="230"/>
      <c r="BI26" s="230"/>
      <c r="BJ26" s="230"/>
      <c r="BK26" s="230"/>
      <c r="BL26" s="230"/>
      <c r="BM26" s="230"/>
      <c r="BN26" s="230"/>
      <c r="BO26" s="230"/>
      <c r="BP26" s="231"/>
      <c r="BQ26" s="270"/>
      <c r="BR26" s="271"/>
      <c r="BS26" s="271"/>
      <c r="BT26" s="271"/>
      <c r="BU26" s="271"/>
      <c r="BV26" s="271"/>
      <c r="BW26" s="271"/>
      <c r="BX26" s="271"/>
      <c r="BY26" s="271"/>
      <c r="BZ26" s="271"/>
      <c r="CA26" s="271"/>
      <c r="CB26" s="271"/>
      <c r="CC26" s="271"/>
      <c r="CD26" s="271"/>
      <c r="CE26" s="277"/>
      <c r="CF26" s="221"/>
      <c r="CG26" s="221"/>
      <c r="CH26" s="221"/>
      <c r="CI26" s="221"/>
      <c r="CJ26" s="221"/>
      <c r="CK26" s="221"/>
      <c r="CL26" s="221"/>
      <c r="CM26" s="221"/>
      <c r="CN26" s="221"/>
      <c r="CO26" s="221"/>
      <c r="CP26" s="221"/>
      <c r="CQ26" s="221"/>
      <c r="CR26" s="221"/>
      <c r="CS26" s="221"/>
      <c r="CT26" s="221"/>
      <c r="CU26" s="221"/>
      <c r="CV26" s="221"/>
      <c r="CW26" s="221"/>
      <c r="CX26" s="221"/>
      <c r="CY26" s="221"/>
      <c r="CZ26" s="221"/>
      <c r="DA26" s="221"/>
      <c r="DB26" s="221"/>
      <c r="DC26" s="221"/>
      <c r="DD26" s="221"/>
      <c r="DE26" s="221"/>
      <c r="DF26" s="221"/>
      <c r="DG26" s="221"/>
      <c r="DH26" s="221"/>
      <c r="DI26" s="221"/>
    </row>
    <row r="27" spans="1:113" ht="17.25" x14ac:dyDescent="0.25">
      <c r="A27" s="37" t="s">
        <v>55</v>
      </c>
      <c r="B27" s="28" t="s">
        <v>79</v>
      </c>
      <c r="C27" s="28" t="s">
        <v>125</v>
      </c>
      <c r="D27" s="261" t="s">
        <v>77</v>
      </c>
      <c r="E27" s="262"/>
      <c r="F27" s="262"/>
      <c r="G27" s="262"/>
      <c r="H27" s="263"/>
      <c r="I27" s="323">
        <v>27.300999999999998</v>
      </c>
      <c r="J27" s="282"/>
      <c r="K27" s="283"/>
      <c r="L27" s="256">
        <v>31.163</v>
      </c>
      <c r="M27" s="282"/>
      <c r="N27" s="283"/>
      <c r="O27" s="256">
        <v>27.097000000000001</v>
      </c>
      <c r="P27" s="282"/>
      <c r="Q27" s="283"/>
      <c r="R27" s="256">
        <v>44.329000000000001</v>
      </c>
      <c r="S27" s="282"/>
      <c r="T27" s="283"/>
      <c r="U27" s="256">
        <v>41.048000000000002</v>
      </c>
      <c r="V27" s="282"/>
      <c r="W27" s="295"/>
      <c r="X27" s="229"/>
      <c r="Y27" s="230"/>
      <c r="Z27" s="230"/>
      <c r="AA27" s="230"/>
      <c r="AB27" s="230"/>
      <c r="AC27" s="230"/>
      <c r="AD27" s="230"/>
      <c r="AE27" s="230"/>
      <c r="AF27" s="230"/>
      <c r="AG27" s="230"/>
      <c r="AH27" s="230"/>
      <c r="AI27" s="230"/>
      <c r="AJ27" s="230"/>
      <c r="AK27" s="230"/>
      <c r="AL27" s="231"/>
      <c r="AM27" s="270"/>
      <c r="AN27" s="271"/>
      <c r="AO27" s="271"/>
      <c r="AP27" s="271"/>
      <c r="AQ27" s="271"/>
      <c r="AR27" s="271"/>
      <c r="AS27" s="271"/>
      <c r="AT27" s="271"/>
      <c r="AU27" s="271"/>
      <c r="AV27" s="271"/>
      <c r="AW27" s="271"/>
      <c r="AX27" s="271"/>
      <c r="AY27" s="271"/>
      <c r="AZ27" s="271"/>
      <c r="BA27" s="272"/>
      <c r="BB27" s="229"/>
      <c r="BC27" s="230"/>
      <c r="BD27" s="230"/>
      <c r="BE27" s="230"/>
      <c r="BF27" s="230"/>
      <c r="BG27" s="230"/>
      <c r="BH27" s="230"/>
      <c r="BI27" s="230"/>
      <c r="BJ27" s="230"/>
      <c r="BK27" s="230"/>
      <c r="BL27" s="230"/>
      <c r="BM27" s="230"/>
      <c r="BN27" s="230"/>
      <c r="BO27" s="230"/>
      <c r="BP27" s="231"/>
      <c r="BQ27" s="270"/>
      <c r="BR27" s="271"/>
      <c r="BS27" s="271"/>
      <c r="BT27" s="271"/>
      <c r="BU27" s="271"/>
      <c r="BV27" s="271"/>
      <c r="BW27" s="271"/>
      <c r="BX27" s="271"/>
      <c r="BY27" s="271"/>
      <c r="BZ27" s="271"/>
      <c r="CA27" s="271"/>
      <c r="CB27" s="271"/>
      <c r="CC27" s="271"/>
      <c r="CD27" s="271"/>
      <c r="CE27" s="277"/>
      <c r="CF27" s="221"/>
      <c r="CG27" s="221"/>
      <c r="CH27" s="221"/>
      <c r="CI27" s="221"/>
      <c r="CJ27" s="221"/>
      <c r="CK27" s="221"/>
      <c r="CL27" s="221"/>
      <c r="CM27" s="221"/>
      <c r="CN27" s="221"/>
      <c r="CO27" s="221"/>
      <c r="CP27" s="221"/>
      <c r="CQ27" s="221"/>
      <c r="CR27" s="221"/>
      <c r="CS27" s="221"/>
      <c r="CT27" s="221"/>
      <c r="CU27" s="221"/>
      <c r="CV27" s="221"/>
      <c r="CW27" s="221"/>
      <c r="CX27" s="221"/>
      <c r="CY27" s="221"/>
      <c r="CZ27" s="221"/>
      <c r="DA27" s="221"/>
      <c r="DB27" s="221"/>
      <c r="DC27" s="221"/>
      <c r="DD27" s="221"/>
      <c r="DE27" s="221"/>
      <c r="DF27" s="221"/>
      <c r="DG27" s="221"/>
      <c r="DH27" s="221"/>
      <c r="DI27" s="221"/>
    </row>
    <row r="28" spans="1:113" ht="17.25" x14ac:dyDescent="0.25">
      <c r="A28" s="37" t="s">
        <v>56</v>
      </c>
      <c r="B28" s="28" t="s">
        <v>80</v>
      </c>
      <c r="C28" s="28" t="s">
        <v>125</v>
      </c>
      <c r="D28" s="261" t="s">
        <v>77</v>
      </c>
      <c r="E28" s="262"/>
      <c r="F28" s="262"/>
      <c r="G28" s="262"/>
      <c r="H28" s="263"/>
      <c r="I28" s="328">
        <v>25.5</v>
      </c>
      <c r="J28" s="329"/>
      <c r="K28" s="330"/>
      <c r="L28" s="256">
        <v>22.773</v>
      </c>
      <c r="M28" s="282"/>
      <c r="N28" s="283"/>
      <c r="O28" s="256">
        <v>21.18</v>
      </c>
      <c r="P28" s="282"/>
      <c r="Q28" s="283"/>
      <c r="R28" s="256">
        <v>29.725999999999999</v>
      </c>
      <c r="S28" s="282"/>
      <c r="T28" s="283"/>
      <c r="U28" s="256">
        <v>23.786999999999999</v>
      </c>
      <c r="V28" s="282"/>
      <c r="W28" s="295"/>
      <c r="X28" s="229"/>
      <c r="Y28" s="230"/>
      <c r="Z28" s="230"/>
      <c r="AA28" s="230"/>
      <c r="AB28" s="230"/>
      <c r="AC28" s="230"/>
      <c r="AD28" s="230"/>
      <c r="AE28" s="230"/>
      <c r="AF28" s="230"/>
      <c r="AG28" s="230"/>
      <c r="AH28" s="230"/>
      <c r="AI28" s="230"/>
      <c r="AJ28" s="230"/>
      <c r="AK28" s="230"/>
      <c r="AL28" s="231"/>
      <c r="AM28" s="270"/>
      <c r="AN28" s="271"/>
      <c r="AO28" s="271"/>
      <c r="AP28" s="271"/>
      <c r="AQ28" s="271"/>
      <c r="AR28" s="271"/>
      <c r="AS28" s="271"/>
      <c r="AT28" s="271"/>
      <c r="AU28" s="271"/>
      <c r="AV28" s="271"/>
      <c r="AW28" s="271"/>
      <c r="AX28" s="271"/>
      <c r="AY28" s="271"/>
      <c r="AZ28" s="271"/>
      <c r="BA28" s="272"/>
      <c r="BB28" s="229"/>
      <c r="BC28" s="230"/>
      <c r="BD28" s="230"/>
      <c r="BE28" s="230"/>
      <c r="BF28" s="230"/>
      <c r="BG28" s="230"/>
      <c r="BH28" s="230"/>
      <c r="BI28" s="230"/>
      <c r="BJ28" s="230"/>
      <c r="BK28" s="230"/>
      <c r="BL28" s="230"/>
      <c r="BM28" s="230"/>
      <c r="BN28" s="230"/>
      <c r="BO28" s="230"/>
      <c r="BP28" s="231"/>
      <c r="BQ28" s="270"/>
      <c r="BR28" s="271"/>
      <c r="BS28" s="271"/>
      <c r="BT28" s="271"/>
      <c r="BU28" s="271"/>
      <c r="BV28" s="271"/>
      <c r="BW28" s="271"/>
      <c r="BX28" s="271"/>
      <c r="BY28" s="271"/>
      <c r="BZ28" s="271"/>
      <c r="CA28" s="271"/>
      <c r="CB28" s="271"/>
      <c r="CC28" s="271"/>
      <c r="CD28" s="271"/>
      <c r="CE28" s="277"/>
      <c r="CF28" s="221"/>
      <c r="CG28" s="221"/>
      <c r="CH28" s="221"/>
      <c r="CI28" s="221"/>
      <c r="CJ28" s="221"/>
      <c r="CK28" s="221"/>
      <c r="CL28" s="221"/>
      <c r="CM28" s="221"/>
      <c r="CN28" s="221"/>
      <c r="CO28" s="221"/>
      <c r="CP28" s="221"/>
      <c r="CQ28" s="221"/>
      <c r="CR28" s="221"/>
      <c r="CS28" s="221"/>
      <c r="CT28" s="221"/>
      <c r="CU28" s="221"/>
      <c r="CV28" s="221"/>
      <c r="CW28" s="221"/>
      <c r="CX28" s="221"/>
      <c r="CY28" s="221"/>
      <c r="CZ28" s="221"/>
      <c r="DA28" s="221"/>
      <c r="DB28" s="221"/>
      <c r="DC28" s="221"/>
      <c r="DD28" s="221"/>
      <c r="DE28" s="221"/>
      <c r="DF28" s="221"/>
      <c r="DG28" s="221"/>
      <c r="DH28" s="221"/>
      <c r="DI28" s="221"/>
    </row>
    <row r="29" spans="1:113" ht="17.25" x14ac:dyDescent="0.25">
      <c r="A29" s="37" t="s">
        <v>57</v>
      </c>
      <c r="B29" s="28" t="s">
        <v>81</v>
      </c>
      <c r="C29" s="28" t="s">
        <v>125</v>
      </c>
      <c r="D29" s="261" t="s">
        <v>77</v>
      </c>
      <c r="E29" s="262"/>
      <c r="F29" s="262"/>
      <c r="G29" s="262"/>
      <c r="H29" s="263"/>
      <c r="I29" s="323">
        <v>27.300999999999998</v>
      </c>
      <c r="J29" s="282"/>
      <c r="K29" s="283"/>
      <c r="L29" s="256">
        <v>31.163</v>
      </c>
      <c r="M29" s="282"/>
      <c r="N29" s="283"/>
      <c r="O29" s="256">
        <v>27.097000000000001</v>
      </c>
      <c r="P29" s="282"/>
      <c r="Q29" s="283"/>
      <c r="R29" s="256">
        <v>44.329000000000001</v>
      </c>
      <c r="S29" s="282"/>
      <c r="T29" s="283"/>
      <c r="U29" s="256">
        <v>41.048000000000002</v>
      </c>
      <c r="V29" s="282"/>
      <c r="W29" s="295"/>
      <c r="X29" s="229"/>
      <c r="Y29" s="230"/>
      <c r="Z29" s="230"/>
      <c r="AA29" s="230"/>
      <c r="AB29" s="230"/>
      <c r="AC29" s="230"/>
      <c r="AD29" s="230"/>
      <c r="AE29" s="230"/>
      <c r="AF29" s="230"/>
      <c r="AG29" s="230"/>
      <c r="AH29" s="230"/>
      <c r="AI29" s="230"/>
      <c r="AJ29" s="230"/>
      <c r="AK29" s="230"/>
      <c r="AL29" s="231"/>
      <c r="AM29" s="270"/>
      <c r="AN29" s="271"/>
      <c r="AO29" s="271"/>
      <c r="AP29" s="271"/>
      <c r="AQ29" s="271"/>
      <c r="AR29" s="271"/>
      <c r="AS29" s="271"/>
      <c r="AT29" s="271"/>
      <c r="AU29" s="271"/>
      <c r="AV29" s="271"/>
      <c r="AW29" s="271"/>
      <c r="AX29" s="271"/>
      <c r="AY29" s="271"/>
      <c r="AZ29" s="271"/>
      <c r="BA29" s="272"/>
      <c r="BB29" s="229"/>
      <c r="BC29" s="230"/>
      <c r="BD29" s="230"/>
      <c r="BE29" s="230"/>
      <c r="BF29" s="230"/>
      <c r="BG29" s="230"/>
      <c r="BH29" s="230"/>
      <c r="BI29" s="230"/>
      <c r="BJ29" s="230"/>
      <c r="BK29" s="230"/>
      <c r="BL29" s="230"/>
      <c r="BM29" s="230"/>
      <c r="BN29" s="230"/>
      <c r="BO29" s="230"/>
      <c r="BP29" s="231"/>
      <c r="BQ29" s="270"/>
      <c r="BR29" s="271"/>
      <c r="BS29" s="271"/>
      <c r="BT29" s="271"/>
      <c r="BU29" s="271"/>
      <c r="BV29" s="271"/>
      <c r="BW29" s="271"/>
      <c r="BX29" s="271"/>
      <c r="BY29" s="271"/>
      <c r="BZ29" s="271"/>
      <c r="CA29" s="271"/>
      <c r="CB29" s="271"/>
      <c r="CC29" s="271"/>
      <c r="CD29" s="271"/>
      <c r="CE29" s="277"/>
      <c r="CF29" s="221"/>
      <c r="CG29" s="221"/>
      <c r="CH29" s="221"/>
      <c r="CI29" s="221"/>
      <c r="CJ29" s="221"/>
      <c r="CK29" s="221"/>
      <c r="CL29" s="221"/>
      <c r="CM29" s="221"/>
      <c r="CN29" s="221"/>
      <c r="CO29" s="221"/>
      <c r="CP29" s="221"/>
      <c r="CQ29" s="221"/>
      <c r="CR29" s="221"/>
      <c r="CS29" s="221"/>
      <c r="CT29" s="221"/>
      <c r="CU29" s="221"/>
      <c r="CV29" s="221"/>
      <c r="CW29" s="221"/>
      <c r="CX29" s="221"/>
      <c r="CY29" s="221"/>
      <c r="CZ29" s="221"/>
      <c r="DA29" s="221"/>
      <c r="DB29" s="221"/>
      <c r="DC29" s="221"/>
      <c r="DD29" s="221"/>
      <c r="DE29" s="221"/>
      <c r="DF29" s="221"/>
      <c r="DG29" s="221"/>
      <c r="DH29" s="221"/>
      <c r="DI29" s="221"/>
    </row>
    <row r="30" spans="1:113" x14ac:dyDescent="0.25">
      <c r="A30" s="37" t="s">
        <v>58</v>
      </c>
      <c r="B30" s="28" t="s">
        <v>82</v>
      </c>
      <c r="C30" s="28" t="s">
        <v>126</v>
      </c>
      <c r="D30" s="261" t="s">
        <v>83</v>
      </c>
      <c r="E30" s="262"/>
      <c r="F30" s="262"/>
      <c r="G30" s="262"/>
      <c r="H30" s="263"/>
      <c r="I30" s="323">
        <v>8.5549999999999997</v>
      </c>
      <c r="J30" s="282"/>
      <c r="K30" s="283"/>
      <c r="L30" s="256">
        <v>12.167</v>
      </c>
      <c r="M30" s="282"/>
      <c r="N30" s="283"/>
      <c r="O30" s="256">
        <v>12.166</v>
      </c>
      <c r="P30" s="282"/>
      <c r="Q30" s="283"/>
      <c r="R30" s="256">
        <v>15.896000000000001</v>
      </c>
      <c r="S30" s="282"/>
      <c r="T30" s="283"/>
      <c r="U30" s="256">
        <v>15.896000000000001</v>
      </c>
      <c r="V30" s="282"/>
      <c r="W30" s="295"/>
      <c r="X30" s="229"/>
      <c r="Y30" s="230"/>
      <c r="Z30" s="230"/>
      <c r="AA30" s="230"/>
      <c r="AB30" s="230"/>
      <c r="AC30" s="230"/>
      <c r="AD30" s="230"/>
      <c r="AE30" s="230"/>
      <c r="AF30" s="230"/>
      <c r="AG30" s="230"/>
      <c r="AH30" s="230"/>
      <c r="AI30" s="230"/>
      <c r="AJ30" s="230"/>
      <c r="AK30" s="230"/>
      <c r="AL30" s="231"/>
      <c r="AM30" s="270"/>
      <c r="AN30" s="271"/>
      <c r="AO30" s="271"/>
      <c r="AP30" s="271"/>
      <c r="AQ30" s="271"/>
      <c r="AR30" s="271"/>
      <c r="AS30" s="271"/>
      <c r="AT30" s="271"/>
      <c r="AU30" s="271"/>
      <c r="AV30" s="271"/>
      <c r="AW30" s="271"/>
      <c r="AX30" s="271"/>
      <c r="AY30" s="271"/>
      <c r="AZ30" s="271"/>
      <c r="BA30" s="272"/>
      <c r="BB30" s="229"/>
      <c r="BC30" s="230"/>
      <c r="BD30" s="230"/>
      <c r="BE30" s="230"/>
      <c r="BF30" s="230"/>
      <c r="BG30" s="230"/>
      <c r="BH30" s="230"/>
      <c r="BI30" s="230"/>
      <c r="BJ30" s="230"/>
      <c r="BK30" s="230"/>
      <c r="BL30" s="230"/>
      <c r="BM30" s="230"/>
      <c r="BN30" s="230"/>
      <c r="BO30" s="230"/>
      <c r="BP30" s="231"/>
      <c r="BQ30" s="270"/>
      <c r="BR30" s="271"/>
      <c r="BS30" s="271"/>
      <c r="BT30" s="271"/>
      <c r="BU30" s="271"/>
      <c r="BV30" s="271"/>
      <c r="BW30" s="271"/>
      <c r="BX30" s="271"/>
      <c r="BY30" s="271"/>
      <c r="BZ30" s="271"/>
      <c r="CA30" s="271"/>
      <c r="CB30" s="271"/>
      <c r="CC30" s="271"/>
      <c r="CD30" s="271"/>
      <c r="CE30" s="277"/>
      <c r="CF30" s="221"/>
      <c r="CG30" s="221"/>
      <c r="CH30" s="221"/>
      <c r="CI30" s="221"/>
      <c r="CJ30" s="221"/>
      <c r="CK30" s="221"/>
      <c r="CL30" s="221"/>
      <c r="CM30" s="221"/>
      <c r="CN30" s="221"/>
      <c r="CO30" s="221"/>
      <c r="CP30" s="221"/>
      <c r="CQ30" s="221"/>
      <c r="CR30" s="221"/>
      <c r="CS30" s="221"/>
      <c r="CT30" s="221"/>
      <c r="CU30" s="221"/>
      <c r="CV30" s="221"/>
      <c r="CW30" s="221"/>
      <c r="CX30" s="221"/>
      <c r="CY30" s="221"/>
      <c r="CZ30" s="221"/>
      <c r="DA30" s="221"/>
      <c r="DB30" s="221"/>
      <c r="DC30" s="221"/>
      <c r="DD30" s="221"/>
      <c r="DE30" s="221"/>
      <c r="DF30" s="221"/>
      <c r="DG30" s="221"/>
      <c r="DH30" s="221"/>
      <c r="DI30" s="221"/>
    </row>
    <row r="31" spans="1:113" x14ac:dyDescent="0.25">
      <c r="A31" s="37" t="s">
        <v>59</v>
      </c>
      <c r="B31" s="28" t="s">
        <v>84</v>
      </c>
      <c r="C31" s="28" t="s">
        <v>126</v>
      </c>
      <c r="D31" s="261" t="s">
        <v>83</v>
      </c>
      <c r="E31" s="262"/>
      <c r="F31" s="262"/>
      <c r="G31" s="262"/>
      <c r="H31" s="263"/>
      <c r="I31" s="323">
        <v>8.5549999999999997</v>
      </c>
      <c r="J31" s="282"/>
      <c r="K31" s="283"/>
      <c r="L31" s="256">
        <v>12.167</v>
      </c>
      <c r="M31" s="282"/>
      <c r="N31" s="283"/>
      <c r="O31" s="256">
        <v>12.166</v>
      </c>
      <c r="P31" s="282"/>
      <c r="Q31" s="283"/>
      <c r="R31" s="256">
        <v>15.896000000000001</v>
      </c>
      <c r="S31" s="282"/>
      <c r="T31" s="283"/>
      <c r="U31" s="256">
        <v>15.896000000000001</v>
      </c>
      <c r="V31" s="282"/>
      <c r="W31" s="295"/>
      <c r="X31" s="229"/>
      <c r="Y31" s="230"/>
      <c r="Z31" s="230"/>
      <c r="AA31" s="230"/>
      <c r="AB31" s="230"/>
      <c r="AC31" s="230"/>
      <c r="AD31" s="230"/>
      <c r="AE31" s="230"/>
      <c r="AF31" s="230"/>
      <c r="AG31" s="230"/>
      <c r="AH31" s="230"/>
      <c r="AI31" s="230"/>
      <c r="AJ31" s="230"/>
      <c r="AK31" s="230"/>
      <c r="AL31" s="231"/>
      <c r="AM31" s="270"/>
      <c r="AN31" s="271"/>
      <c r="AO31" s="271"/>
      <c r="AP31" s="271"/>
      <c r="AQ31" s="271"/>
      <c r="AR31" s="271"/>
      <c r="AS31" s="271"/>
      <c r="AT31" s="271"/>
      <c r="AU31" s="271"/>
      <c r="AV31" s="271"/>
      <c r="AW31" s="271"/>
      <c r="AX31" s="271"/>
      <c r="AY31" s="271"/>
      <c r="AZ31" s="271"/>
      <c r="BA31" s="272"/>
      <c r="BB31" s="229"/>
      <c r="BC31" s="230"/>
      <c r="BD31" s="230"/>
      <c r="BE31" s="230"/>
      <c r="BF31" s="230"/>
      <c r="BG31" s="230"/>
      <c r="BH31" s="230"/>
      <c r="BI31" s="230"/>
      <c r="BJ31" s="230"/>
      <c r="BK31" s="230"/>
      <c r="BL31" s="230"/>
      <c r="BM31" s="230"/>
      <c r="BN31" s="230"/>
      <c r="BO31" s="230"/>
      <c r="BP31" s="231"/>
      <c r="BQ31" s="270"/>
      <c r="BR31" s="271"/>
      <c r="BS31" s="271"/>
      <c r="BT31" s="271"/>
      <c r="BU31" s="271"/>
      <c r="BV31" s="271"/>
      <c r="BW31" s="271"/>
      <c r="BX31" s="271"/>
      <c r="BY31" s="271"/>
      <c r="BZ31" s="271"/>
      <c r="CA31" s="271"/>
      <c r="CB31" s="271"/>
      <c r="CC31" s="271"/>
      <c r="CD31" s="271"/>
      <c r="CE31" s="277"/>
      <c r="CF31" s="221"/>
      <c r="CG31" s="221"/>
      <c r="CH31" s="221"/>
      <c r="CI31" s="221"/>
      <c r="CJ31" s="221"/>
      <c r="CK31" s="221"/>
      <c r="CL31" s="221"/>
      <c r="CM31" s="221"/>
      <c r="CN31" s="221"/>
      <c r="CO31" s="221"/>
      <c r="CP31" s="221"/>
      <c r="CQ31" s="221"/>
      <c r="CR31" s="221"/>
      <c r="CS31" s="221"/>
      <c r="CT31" s="221"/>
      <c r="CU31" s="221"/>
      <c r="CV31" s="221"/>
      <c r="CW31" s="221"/>
      <c r="CX31" s="221"/>
      <c r="CY31" s="221"/>
      <c r="CZ31" s="221"/>
      <c r="DA31" s="221"/>
      <c r="DB31" s="221"/>
      <c r="DC31" s="221"/>
      <c r="DD31" s="221"/>
      <c r="DE31" s="221"/>
      <c r="DF31" s="221"/>
      <c r="DG31" s="221"/>
      <c r="DH31" s="221"/>
      <c r="DI31" s="221"/>
    </row>
    <row r="32" spans="1:113" x14ac:dyDescent="0.25">
      <c r="A32" s="37" t="s">
        <v>60</v>
      </c>
      <c r="B32" s="28" t="s">
        <v>85</v>
      </c>
      <c r="C32" s="28" t="s">
        <v>126</v>
      </c>
      <c r="D32" s="261" t="s">
        <v>83</v>
      </c>
      <c r="E32" s="262"/>
      <c r="F32" s="262"/>
      <c r="G32" s="262"/>
      <c r="H32" s="263"/>
      <c r="I32" s="323">
        <v>10.199999999999999</v>
      </c>
      <c r="J32" s="282"/>
      <c r="K32" s="283"/>
      <c r="L32" s="256">
        <v>13.298999999999999</v>
      </c>
      <c r="M32" s="282"/>
      <c r="N32" s="283"/>
      <c r="O32" s="256">
        <v>13.28</v>
      </c>
      <c r="P32" s="282"/>
      <c r="Q32" s="283"/>
      <c r="R32" s="256">
        <v>16.567</v>
      </c>
      <c r="S32" s="282"/>
      <c r="T32" s="283"/>
      <c r="U32" s="256">
        <v>16.567</v>
      </c>
      <c r="V32" s="282"/>
      <c r="W32" s="295"/>
      <c r="X32" s="229"/>
      <c r="Y32" s="230"/>
      <c r="Z32" s="230"/>
      <c r="AA32" s="230"/>
      <c r="AB32" s="230"/>
      <c r="AC32" s="230"/>
      <c r="AD32" s="230"/>
      <c r="AE32" s="230"/>
      <c r="AF32" s="230"/>
      <c r="AG32" s="230"/>
      <c r="AH32" s="230"/>
      <c r="AI32" s="230"/>
      <c r="AJ32" s="230"/>
      <c r="AK32" s="230"/>
      <c r="AL32" s="231"/>
      <c r="AM32" s="270"/>
      <c r="AN32" s="271"/>
      <c r="AO32" s="271"/>
      <c r="AP32" s="271"/>
      <c r="AQ32" s="271"/>
      <c r="AR32" s="271"/>
      <c r="AS32" s="271"/>
      <c r="AT32" s="271"/>
      <c r="AU32" s="271"/>
      <c r="AV32" s="271"/>
      <c r="AW32" s="271"/>
      <c r="AX32" s="271"/>
      <c r="AY32" s="271"/>
      <c r="AZ32" s="271"/>
      <c r="BA32" s="272"/>
      <c r="BB32" s="229"/>
      <c r="BC32" s="230"/>
      <c r="BD32" s="230"/>
      <c r="BE32" s="230"/>
      <c r="BF32" s="230"/>
      <c r="BG32" s="230"/>
      <c r="BH32" s="230"/>
      <c r="BI32" s="230"/>
      <c r="BJ32" s="230"/>
      <c r="BK32" s="230"/>
      <c r="BL32" s="230"/>
      <c r="BM32" s="230"/>
      <c r="BN32" s="230"/>
      <c r="BO32" s="230"/>
      <c r="BP32" s="231"/>
      <c r="BQ32" s="270"/>
      <c r="BR32" s="271"/>
      <c r="BS32" s="271"/>
      <c r="BT32" s="271"/>
      <c r="BU32" s="271"/>
      <c r="BV32" s="271"/>
      <c r="BW32" s="271"/>
      <c r="BX32" s="271"/>
      <c r="BY32" s="271"/>
      <c r="BZ32" s="271"/>
      <c r="CA32" s="271"/>
      <c r="CB32" s="271"/>
      <c r="CC32" s="271"/>
      <c r="CD32" s="271"/>
      <c r="CE32" s="277"/>
      <c r="CF32" s="221"/>
      <c r="CG32" s="221"/>
      <c r="CH32" s="221"/>
      <c r="CI32" s="221"/>
      <c r="CJ32" s="221"/>
      <c r="CK32" s="221"/>
      <c r="CL32" s="221"/>
      <c r="CM32" s="221"/>
      <c r="CN32" s="221"/>
      <c r="CO32" s="221"/>
      <c r="CP32" s="221"/>
      <c r="CQ32" s="221"/>
      <c r="CR32" s="221"/>
      <c r="CS32" s="221"/>
      <c r="CT32" s="221"/>
      <c r="CU32" s="221"/>
      <c r="CV32" s="221"/>
      <c r="CW32" s="221"/>
      <c r="CX32" s="221"/>
      <c r="CY32" s="221"/>
      <c r="CZ32" s="221"/>
      <c r="DA32" s="221"/>
      <c r="DB32" s="221"/>
      <c r="DC32" s="221"/>
      <c r="DD32" s="221"/>
      <c r="DE32" s="221"/>
      <c r="DF32" s="221"/>
      <c r="DG32" s="221"/>
      <c r="DH32" s="221"/>
      <c r="DI32" s="221"/>
    </row>
    <row r="33" spans="1:113" x14ac:dyDescent="0.25">
      <c r="A33" s="37" t="s">
        <v>61</v>
      </c>
      <c r="B33" s="28" t="s">
        <v>86</v>
      </c>
      <c r="C33" s="28" t="s">
        <v>126</v>
      </c>
      <c r="D33" s="261" t="s">
        <v>83</v>
      </c>
      <c r="E33" s="262"/>
      <c r="F33" s="262"/>
      <c r="G33" s="262"/>
      <c r="H33" s="263"/>
      <c r="I33" s="254">
        <v>10.211</v>
      </c>
      <c r="J33" s="255"/>
      <c r="K33" s="255"/>
      <c r="L33" s="255">
        <v>13.298999999999999</v>
      </c>
      <c r="M33" s="255"/>
      <c r="N33" s="255"/>
      <c r="O33" s="255">
        <v>13.292999999999999</v>
      </c>
      <c r="P33" s="255"/>
      <c r="Q33" s="255"/>
      <c r="R33" s="256">
        <v>16.579999999999998</v>
      </c>
      <c r="S33" s="282"/>
      <c r="T33" s="283"/>
      <c r="U33" s="255">
        <v>16.579999999999998</v>
      </c>
      <c r="V33" s="255"/>
      <c r="W33" s="256"/>
      <c r="X33" s="229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  <c r="AI33" s="230"/>
      <c r="AJ33" s="230"/>
      <c r="AK33" s="230"/>
      <c r="AL33" s="231"/>
      <c r="AM33" s="270"/>
      <c r="AN33" s="271"/>
      <c r="AO33" s="271"/>
      <c r="AP33" s="271"/>
      <c r="AQ33" s="271"/>
      <c r="AR33" s="271"/>
      <c r="AS33" s="271"/>
      <c r="AT33" s="271"/>
      <c r="AU33" s="271"/>
      <c r="AV33" s="271"/>
      <c r="AW33" s="271"/>
      <c r="AX33" s="271"/>
      <c r="AY33" s="271"/>
      <c r="AZ33" s="271"/>
      <c r="BA33" s="272"/>
      <c r="BB33" s="229"/>
      <c r="BC33" s="230"/>
      <c r="BD33" s="230"/>
      <c r="BE33" s="230"/>
      <c r="BF33" s="230"/>
      <c r="BG33" s="230"/>
      <c r="BH33" s="230"/>
      <c r="BI33" s="230"/>
      <c r="BJ33" s="230"/>
      <c r="BK33" s="230"/>
      <c r="BL33" s="230"/>
      <c r="BM33" s="230"/>
      <c r="BN33" s="230"/>
      <c r="BO33" s="230"/>
      <c r="BP33" s="231"/>
      <c r="BQ33" s="270"/>
      <c r="BR33" s="271"/>
      <c r="BS33" s="271"/>
      <c r="BT33" s="271"/>
      <c r="BU33" s="271"/>
      <c r="BV33" s="271"/>
      <c r="BW33" s="271"/>
      <c r="BX33" s="271"/>
      <c r="BY33" s="271"/>
      <c r="BZ33" s="271"/>
      <c r="CA33" s="271"/>
      <c r="CB33" s="271"/>
      <c r="CC33" s="271"/>
      <c r="CD33" s="271"/>
      <c r="CE33" s="277"/>
      <c r="CF33" s="221"/>
      <c r="CG33" s="221"/>
      <c r="CH33" s="221"/>
      <c r="CI33" s="221"/>
      <c r="CJ33" s="221"/>
      <c r="CK33" s="221"/>
      <c r="CL33" s="221"/>
      <c r="CM33" s="221"/>
      <c r="CN33" s="221"/>
      <c r="CO33" s="221"/>
      <c r="CP33" s="221"/>
      <c r="CQ33" s="221"/>
      <c r="CR33" s="221"/>
      <c r="CS33" s="221"/>
      <c r="CT33" s="221"/>
      <c r="CU33" s="221"/>
      <c r="CV33" s="221"/>
      <c r="CW33" s="221"/>
      <c r="CX33" s="221"/>
      <c r="CY33" s="221"/>
      <c r="CZ33" s="221"/>
      <c r="DA33" s="221"/>
      <c r="DB33" s="221"/>
      <c r="DC33" s="221"/>
      <c r="DD33" s="221"/>
      <c r="DE33" s="221"/>
      <c r="DF33" s="221"/>
      <c r="DG33" s="221"/>
      <c r="DH33" s="221"/>
      <c r="DI33" s="221"/>
    </row>
    <row r="34" spans="1:113" ht="15.75" thickBot="1" x14ac:dyDescent="0.3">
      <c r="A34" s="37" t="s">
        <v>62</v>
      </c>
      <c r="B34" s="28" t="s">
        <v>87</v>
      </c>
      <c r="C34" s="28" t="s">
        <v>126</v>
      </c>
      <c r="D34" s="261" t="s">
        <v>83</v>
      </c>
      <c r="E34" s="262"/>
      <c r="F34" s="262"/>
      <c r="G34" s="262"/>
      <c r="H34" s="263"/>
      <c r="I34" s="254">
        <v>10.199999999999999</v>
      </c>
      <c r="J34" s="255"/>
      <c r="K34" s="255"/>
      <c r="L34" s="255">
        <v>13.298999999999999</v>
      </c>
      <c r="M34" s="255"/>
      <c r="N34" s="255"/>
      <c r="O34" s="255">
        <v>13.28</v>
      </c>
      <c r="P34" s="255"/>
      <c r="Q34" s="255"/>
      <c r="R34" s="256">
        <v>16.567</v>
      </c>
      <c r="S34" s="282"/>
      <c r="T34" s="283"/>
      <c r="U34" s="255">
        <v>16.567</v>
      </c>
      <c r="V34" s="255"/>
      <c r="W34" s="256"/>
      <c r="X34" s="229"/>
      <c r="Y34" s="230"/>
      <c r="Z34" s="230"/>
      <c r="AA34" s="230"/>
      <c r="AB34" s="230"/>
      <c r="AC34" s="230"/>
      <c r="AD34" s="230"/>
      <c r="AE34" s="230"/>
      <c r="AF34" s="230"/>
      <c r="AG34" s="230"/>
      <c r="AH34" s="230"/>
      <c r="AI34" s="230"/>
      <c r="AJ34" s="230"/>
      <c r="AK34" s="230"/>
      <c r="AL34" s="231"/>
      <c r="AM34" s="273"/>
      <c r="AN34" s="274"/>
      <c r="AO34" s="274"/>
      <c r="AP34" s="274"/>
      <c r="AQ34" s="274"/>
      <c r="AR34" s="274"/>
      <c r="AS34" s="274"/>
      <c r="AT34" s="274"/>
      <c r="AU34" s="274"/>
      <c r="AV34" s="274"/>
      <c r="AW34" s="274"/>
      <c r="AX34" s="274"/>
      <c r="AY34" s="274"/>
      <c r="AZ34" s="274"/>
      <c r="BA34" s="275"/>
      <c r="BB34" s="264"/>
      <c r="BC34" s="265"/>
      <c r="BD34" s="265"/>
      <c r="BE34" s="265"/>
      <c r="BF34" s="265"/>
      <c r="BG34" s="265"/>
      <c r="BH34" s="265"/>
      <c r="BI34" s="265"/>
      <c r="BJ34" s="265"/>
      <c r="BK34" s="265"/>
      <c r="BL34" s="265"/>
      <c r="BM34" s="265"/>
      <c r="BN34" s="265"/>
      <c r="BO34" s="265"/>
      <c r="BP34" s="266"/>
      <c r="BQ34" s="273"/>
      <c r="BR34" s="274"/>
      <c r="BS34" s="274"/>
      <c r="BT34" s="274"/>
      <c r="BU34" s="274"/>
      <c r="BV34" s="274"/>
      <c r="BW34" s="274"/>
      <c r="BX34" s="274"/>
      <c r="BY34" s="274"/>
      <c r="BZ34" s="274"/>
      <c r="CA34" s="274"/>
      <c r="CB34" s="274"/>
      <c r="CC34" s="274"/>
      <c r="CD34" s="274"/>
      <c r="CE34" s="278"/>
      <c r="CF34" s="221"/>
      <c r="CG34" s="221"/>
      <c r="CH34" s="221"/>
      <c r="CI34" s="221"/>
      <c r="CJ34" s="221"/>
      <c r="CK34" s="221"/>
      <c r="CL34" s="221"/>
      <c r="CM34" s="221"/>
      <c r="CN34" s="221"/>
      <c r="CO34" s="221"/>
      <c r="CP34" s="221"/>
      <c r="CQ34" s="221"/>
      <c r="CR34" s="221"/>
      <c r="CS34" s="221"/>
      <c r="CT34" s="221"/>
      <c r="CU34" s="221"/>
      <c r="CV34" s="221"/>
      <c r="CW34" s="221"/>
      <c r="CX34" s="221"/>
      <c r="CY34" s="221"/>
      <c r="CZ34" s="221"/>
      <c r="DA34" s="221"/>
      <c r="DB34" s="221"/>
      <c r="DC34" s="221"/>
      <c r="DD34" s="221"/>
      <c r="DE34" s="221"/>
      <c r="DF34" s="221"/>
      <c r="DG34" s="221"/>
      <c r="DH34" s="221"/>
      <c r="DI34" s="221"/>
    </row>
    <row r="35" spans="1:113" ht="15.75" thickBot="1" x14ac:dyDescent="0.3">
      <c r="A35" s="41" t="s">
        <v>52</v>
      </c>
      <c r="B35" s="42" t="s">
        <v>67</v>
      </c>
      <c r="C35" s="42"/>
      <c r="D35" s="42" t="s">
        <v>66</v>
      </c>
      <c r="E35" s="42" t="s">
        <v>68</v>
      </c>
      <c r="F35" s="42">
        <f>AHP!J2</f>
        <v>3.0115146147032774E-2</v>
      </c>
      <c r="G35" s="42">
        <f>AHP!J11</f>
        <v>0.40283203124999994</v>
      </c>
      <c r="H35" s="65" t="s">
        <v>69</v>
      </c>
      <c r="I35" s="331">
        <v>80</v>
      </c>
      <c r="J35" s="280"/>
      <c r="K35" s="281"/>
      <c r="L35" s="279">
        <v>80</v>
      </c>
      <c r="M35" s="280"/>
      <c r="N35" s="281"/>
      <c r="O35" s="279">
        <v>90</v>
      </c>
      <c r="P35" s="280"/>
      <c r="Q35" s="281"/>
      <c r="R35" s="316">
        <v>80</v>
      </c>
      <c r="S35" s="317"/>
      <c r="T35" s="318"/>
      <c r="U35" s="279">
        <v>90</v>
      </c>
      <c r="V35" s="280"/>
      <c r="W35" s="280"/>
      <c r="X35" s="232">
        <f>I35/$O35</f>
        <v>0.88888888888888884</v>
      </c>
      <c r="Y35" s="233"/>
      <c r="Z35" s="233"/>
      <c r="AA35" s="233">
        <f t="shared" ref="AA35" si="0">L35/$O35</f>
        <v>0.88888888888888884</v>
      </c>
      <c r="AB35" s="233"/>
      <c r="AC35" s="233"/>
      <c r="AD35" s="233">
        <f t="shared" ref="AD35" si="1">O35/$O35</f>
        <v>1</v>
      </c>
      <c r="AE35" s="233"/>
      <c r="AF35" s="233"/>
      <c r="AG35" s="233">
        <f t="shared" ref="AG35" si="2">R35/$O35</f>
        <v>0.88888888888888884</v>
      </c>
      <c r="AH35" s="233"/>
      <c r="AI35" s="233"/>
      <c r="AJ35" s="233">
        <f t="shared" ref="AJ35" si="3">U35/$O35</f>
        <v>1</v>
      </c>
      <c r="AK35" s="233"/>
      <c r="AL35" s="234"/>
      <c r="AM35" s="285">
        <f>BB35*$F35</f>
        <v>2.6769018797362463E-2</v>
      </c>
      <c r="AN35" s="285"/>
      <c r="AO35" s="286"/>
      <c r="AP35" s="284">
        <f>BE35*$F35</f>
        <v>2.6769018797362463E-2</v>
      </c>
      <c r="AQ35" s="285"/>
      <c r="AR35" s="286"/>
      <c r="AS35" s="284">
        <f>BH35*$F35</f>
        <v>3.0115146147032774E-2</v>
      </c>
      <c r="AT35" s="285"/>
      <c r="AU35" s="286"/>
      <c r="AV35" s="284">
        <f>BK35*$F35</f>
        <v>2.6769018797362463E-2</v>
      </c>
      <c r="AW35" s="285"/>
      <c r="AX35" s="286"/>
      <c r="AY35" s="284">
        <f>BN35*$F35</f>
        <v>3.0115146147032774E-2</v>
      </c>
      <c r="AZ35" s="285"/>
      <c r="BA35" s="286"/>
      <c r="BB35" s="287">
        <f t="shared" ref="BB35:BB65" si="4">I35/$O35</f>
        <v>0.88888888888888884</v>
      </c>
      <c r="BC35" s="288"/>
      <c r="BD35" s="289"/>
      <c r="BE35" s="287">
        <f t="shared" ref="BE35:BE65" si="5">L35/$O35</f>
        <v>0.88888888888888884</v>
      </c>
      <c r="BF35" s="288"/>
      <c r="BG35" s="289"/>
      <c r="BH35" s="287">
        <f t="shared" ref="BH35:BH65" si="6">O35/$O35</f>
        <v>1</v>
      </c>
      <c r="BI35" s="288"/>
      <c r="BJ35" s="289"/>
      <c r="BK35" s="287">
        <f t="shared" ref="BK35:BK65" si="7">R35/$O35</f>
        <v>0.88888888888888884</v>
      </c>
      <c r="BL35" s="288"/>
      <c r="BM35" s="289"/>
      <c r="BN35" s="287">
        <f t="shared" ref="BN35:BN65" si="8">U35/$O35</f>
        <v>1</v>
      </c>
      <c r="BO35" s="288"/>
      <c r="BP35" s="289"/>
      <c r="BQ35" s="284">
        <f t="shared" ref="BQ35:BQ65" si="9">BB35*$G35</f>
        <v>0.35807291666666657</v>
      </c>
      <c r="BR35" s="285"/>
      <c r="BS35" s="286"/>
      <c r="BT35" s="284">
        <f t="shared" ref="BT35:BT65" si="10">BE35*$G35</f>
        <v>0.35807291666666657</v>
      </c>
      <c r="BU35" s="285"/>
      <c r="BV35" s="286"/>
      <c r="BW35" s="284">
        <f t="shared" ref="BW35:BW65" si="11">BH35*$G35</f>
        <v>0.40283203124999994</v>
      </c>
      <c r="BX35" s="285"/>
      <c r="BY35" s="286"/>
      <c r="BZ35" s="284">
        <f t="shared" ref="BZ35:BZ65" si="12">BK35*$G35</f>
        <v>0.35807291666666657</v>
      </c>
      <c r="CA35" s="285"/>
      <c r="CB35" s="286"/>
      <c r="CC35" s="284">
        <f t="shared" ref="CC35:CC65" si="13">BN35*$G35</f>
        <v>0.40283203124999994</v>
      </c>
      <c r="CD35" s="285"/>
      <c r="CE35" s="292"/>
      <c r="CF35" s="221"/>
      <c r="CG35" s="221"/>
      <c r="CH35" s="221"/>
      <c r="CI35" s="221"/>
      <c r="CJ35" s="221"/>
      <c r="CK35" s="221"/>
      <c r="CL35" s="221"/>
      <c r="CM35" s="221"/>
      <c r="CN35" s="221"/>
      <c r="CO35" s="221"/>
      <c r="CP35" s="221"/>
      <c r="CQ35" s="221"/>
      <c r="CR35" s="221"/>
      <c r="CS35" s="221"/>
      <c r="CT35" s="221"/>
      <c r="CU35" s="221"/>
      <c r="CV35" s="221"/>
      <c r="CW35" s="221"/>
      <c r="CX35" s="221"/>
      <c r="CY35" s="221"/>
      <c r="CZ35" s="221"/>
      <c r="DA35" s="221"/>
      <c r="DB35" s="221"/>
      <c r="DC35" s="221"/>
      <c r="DD35" s="221"/>
      <c r="DE35" s="221"/>
      <c r="DF35" s="221"/>
      <c r="DG35" s="221"/>
      <c r="DH35" s="221"/>
      <c r="DI35" s="221"/>
    </row>
    <row r="36" spans="1:113" ht="15.75" thickBot="1" x14ac:dyDescent="0.3">
      <c r="A36" s="37" t="s">
        <v>63</v>
      </c>
      <c r="B36" s="28" t="s">
        <v>137</v>
      </c>
      <c r="C36" s="28"/>
      <c r="D36" s="28" t="s">
        <v>102</v>
      </c>
      <c r="E36" s="28" t="s">
        <v>68</v>
      </c>
      <c r="F36" s="42">
        <f>AHP!J$3</f>
        <v>0.14127546501328608</v>
      </c>
      <c r="G36" s="42">
        <f>AHP!J$12</f>
        <v>0.1845703125</v>
      </c>
      <c r="H36" s="53" t="s">
        <v>69</v>
      </c>
      <c r="I36" s="254">
        <f>I30/$C$76</f>
        <v>98.784631058344971</v>
      </c>
      <c r="J36" s="255"/>
      <c r="K36" s="255"/>
      <c r="L36" s="255">
        <f>L30/$C$76</f>
        <v>140.49241450460352</v>
      </c>
      <c r="M36" s="255"/>
      <c r="N36" s="255"/>
      <c r="O36" s="255">
        <f>O30/$C$76</f>
        <v>140.48086749921976</v>
      </c>
      <c r="P36" s="255"/>
      <c r="Q36" s="255"/>
      <c r="R36" s="256">
        <f>R30/$C$76</f>
        <v>183.55119758076583</v>
      </c>
      <c r="S36" s="282"/>
      <c r="T36" s="283"/>
      <c r="U36" s="255">
        <f>U30/$C$76</f>
        <v>183.55119758076583</v>
      </c>
      <c r="V36" s="255"/>
      <c r="W36" s="256"/>
      <c r="X36" s="208">
        <f>MAX(I36:K40)/MAX($O36:$Q40)</f>
        <v>0.7194053685916254</v>
      </c>
      <c r="Y36" s="209"/>
      <c r="Z36" s="210"/>
      <c r="AA36" s="208">
        <f t="shared" ref="AA36" si="14">MAX(L36:N40)/MAX($O36:$Q40)</f>
        <v>1.0000821962847277</v>
      </c>
      <c r="AB36" s="209"/>
      <c r="AC36" s="210"/>
      <c r="AD36" s="208">
        <f t="shared" ref="AD36" si="15">MAX(O36:Q40)/MAX($O36:$Q40)</f>
        <v>1</v>
      </c>
      <c r="AE36" s="209"/>
      <c r="AF36" s="210"/>
      <c r="AG36" s="208">
        <f t="shared" ref="AG36" si="16">MAX(R36:T40)/MAX($O36:$Q40)</f>
        <v>1.30659214203518</v>
      </c>
      <c r="AH36" s="209"/>
      <c r="AI36" s="210"/>
      <c r="AJ36" s="208">
        <f t="shared" ref="AJ36" si="17">MAX(U36:W40)/MAX($O36:$Q40)</f>
        <v>1.30659214203518</v>
      </c>
      <c r="AK36" s="209"/>
      <c r="AL36" s="210"/>
      <c r="AM36" s="246">
        <f>X36*$F36</f>
        <v>0.10163432798083635</v>
      </c>
      <c r="AN36" s="247"/>
      <c r="AO36" s="248"/>
      <c r="AP36" s="246">
        <f t="shared" ref="AP36" si="18">AA36*$F36</f>
        <v>0.14128707733163334</v>
      </c>
      <c r="AQ36" s="247"/>
      <c r="AR36" s="248"/>
      <c r="AS36" s="246">
        <f t="shared" ref="AS36" si="19">AD36*$F36</f>
        <v>0.14127546501328608</v>
      </c>
      <c r="AT36" s="247"/>
      <c r="AU36" s="248"/>
      <c r="AV36" s="246">
        <f t="shared" ref="AV36" si="20">AG36*$F36</f>
        <v>0.18458941244872559</v>
      </c>
      <c r="AW36" s="247"/>
      <c r="AX36" s="248"/>
      <c r="AY36" s="246">
        <f t="shared" ref="AY36" si="21">AJ36*$F36</f>
        <v>0.18458941244872559</v>
      </c>
      <c r="AZ36" s="247"/>
      <c r="BA36" s="248"/>
      <c r="BB36" s="252">
        <f t="shared" si="4"/>
        <v>0.70318921584744365</v>
      </c>
      <c r="BC36" s="253"/>
      <c r="BD36" s="253"/>
      <c r="BE36" s="252">
        <f t="shared" si="5"/>
        <v>1.0000821962847277</v>
      </c>
      <c r="BF36" s="253"/>
      <c r="BG36" s="253"/>
      <c r="BH36" s="252">
        <f t="shared" si="6"/>
        <v>1</v>
      </c>
      <c r="BI36" s="253"/>
      <c r="BJ36" s="253"/>
      <c r="BK36" s="252">
        <f t="shared" si="7"/>
        <v>1.30659214203518</v>
      </c>
      <c r="BL36" s="253"/>
      <c r="BM36" s="253"/>
      <c r="BN36" s="252">
        <f t="shared" si="8"/>
        <v>1.30659214203518</v>
      </c>
      <c r="BO36" s="253"/>
      <c r="BP36" s="253"/>
      <c r="BQ36" s="244">
        <f t="shared" si="9"/>
        <v>0.12978785331559262</v>
      </c>
      <c r="BR36" s="245"/>
      <c r="BS36" s="245"/>
      <c r="BT36" s="244">
        <f t="shared" si="10"/>
        <v>0.18458548349395854</v>
      </c>
      <c r="BU36" s="245"/>
      <c r="BV36" s="245"/>
      <c r="BW36" s="244">
        <f t="shared" si="11"/>
        <v>0.1845703125</v>
      </c>
      <c r="BX36" s="245"/>
      <c r="BY36" s="245"/>
      <c r="BZ36" s="244">
        <f t="shared" si="12"/>
        <v>0.24115811996547756</v>
      </c>
      <c r="CA36" s="245"/>
      <c r="CB36" s="245"/>
      <c r="CC36" s="244">
        <f t="shared" si="13"/>
        <v>0.24115811996547756</v>
      </c>
      <c r="CD36" s="245"/>
      <c r="CE36" s="245"/>
      <c r="CF36" s="221"/>
      <c r="CG36" s="221"/>
      <c r="CH36" s="221"/>
      <c r="CI36" s="221"/>
      <c r="CJ36" s="221"/>
      <c r="CK36" s="221"/>
      <c r="CL36" s="221"/>
      <c r="CM36" s="221"/>
      <c r="CN36" s="221"/>
      <c r="CO36" s="221"/>
      <c r="CP36" s="221"/>
      <c r="CQ36" s="221"/>
      <c r="CR36" s="221"/>
      <c r="CS36" s="221"/>
      <c r="CT36" s="221"/>
      <c r="CU36" s="221"/>
      <c r="CV36" s="221"/>
      <c r="CW36" s="221"/>
      <c r="CX36" s="221"/>
      <c r="CY36" s="221"/>
      <c r="CZ36" s="221"/>
      <c r="DA36" s="221"/>
      <c r="DB36" s="221"/>
      <c r="DC36" s="221"/>
      <c r="DD36" s="221"/>
      <c r="DE36" s="221"/>
      <c r="DF36" s="221"/>
      <c r="DG36" s="221"/>
      <c r="DH36" s="221"/>
      <c r="DI36" s="221"/>
    </row>
    <row r="37" spans="1:113" ht="15.75" thickBot="1" x14ac:dyDescent="0.3">
      <c r="A37" s="37" t="s">
        <v>64</v>
      </c>
      <c r="B37" s="28" t="s">
        <v>138</v>
      </c>
      <c r="C37" s="28"/>
      <c r="D37" s="28" t="s">
        <v>102</v>
      </c>
      <c r="E37" s="28" t="s">
        <v>68</v>
      </c>
      <c r="F37" s="42">
        <f>AHP!J$3</f>
        <v>0.14127546501328608</v>
      </c>
      <c r="G37" s="42">
        <f>AHP!J$12</f>
        <v>0.1845703125</v>
      </c>
      <c r="H37" s="53" t="s">
        <v>69</v>
      </c>
      <c r="I37" s="254">
        <f>I31/$C$76</f>
        <v>98.784631058344971</v>
      </c>
      <c r="J37" s="255"/>
      <c r="K37" s="255"/>
      <c r="L37" s="255">
        <f>L31/$C$76</f>
        <v>140.49241450460352</v>
      </c>
      <c r="M37" s="255"/>
      <c r="N37" s="255"/>
      <c r="O37" s="255">
        <f>O31/$C$76</f>
        <v>140.48086749921976</v>
      </c>
      <c r="P37" s="255"/>
      <c r="Q37" s="255"/>
      <c r="R37" s="256">
        <f>R31/$C$76</f>
        <v>183.55119758076583</v>
      </c>
      <c r="S37" s="282"/>
      <c r="T37" s="283"/>
      <c r="U37" s="255">
        <f>U31/$C$76</f>
        <v>183.55119758076583</v>
      </c>
      <c r="V37" s="255"/>
      <c r="W37" s="256"/>
      <c r="X37" s="211"/>
      <c r="Y37" s="207"/>
      <c r="Z37" s="212"/>
      <c r="AA37" s="211"/>
      <c r="AB37" s="207"/>
      <c r="AC37" s="212"/>
      <c r="AD37" s="211"/>
      <c r="AE37" s="207"/>
      <c r="AF37" s="212"/>
      <c r="AG37" s="211"/>
      <c r="AH37" s="207"/>
      <c r="AI37" s="212"/>
      <c r="AJ37" s="211"/>
      <c r="AK37" s="207"/>
      <c r="AL37" s="212"/>
      <c r="AM37" s="211"/>
      <c r="AN37" s="207"/>
      <c r="AO37" s="249"/>
      <c r="AP37" s="211"/>
      <c r="AQ37" s="207"/>
      <c r="AR37" s="249"/>
      <c r="AS37" s="211"/>
      <c r="AT37" s="207"/>
      <c r="AU37" s="249"/>
      <c r="AV37" s="211"/>
      <c r="AW37" s="207"/>
      <c r="AX37" s="249"/>
      <c r="AY37" s="211"/>
      <c r="AZ37" s="207"/>
      <c r="BA37" s="249"/>
      <c r="BB37" s="252">
        <f t="shared" si="4"/>
        <v>0.70318921584744365</v>
      </c>
      <c r="BC37" s="253"/>
      <c r="BD37" s="253"/>
      <c r="BE37" s="252">
        <f t="shared" si="5"/>
        <v>1.0000821962847277</v>
      </c>
      <c r="BF37" s="253"/>
      <c r="BG37" s="253"/>
      <c r="BH37" s="252">
        <f t="shared" si="6"/>
        <v>1</v>
      </c>
      <c r="BI37" s="253"/>
      <c r="BJ37" s="253"/>
      <c r="BK37" s="252">
        <f t="shared" si="7"/>
        <v>1.30659214203518</v>
      </c>
      <c r="BL37" s="253"/>
      <c r="BM37" s="253"/>
      <c r="BN37" s="252">
        <f t="shared" si="8"/>
        <v>1.30659214203518</v>
      </c>
      <c r="BO37" s="253"/>
      <c r="BP37" s="253"/>
      <c r="BQ37" s="244">
        <f t="shared" si="9"/>
        <v>0.12978785331559262</v>
      </c>
      <c r="BR37" s="245"/>
      <c r="BS37" s="245"/>
      <c r="BT37" s="244">
        <f t="shared" si="10"/>
        <v>0.18458548349395854</v>
      </c>
      <c r="BU37" s="245"/>
      <c r="BV37" s="245"/>
      <c r="BW37" s="244">
        <f t="shared" si="11"/>
        <v>0.1845703125</v>
      </c>
      <c r="BX37" s="245"/>
      <c r="BY37" s="245"/>
      <c r="BZ37" s="244">
        <f t="shared" si="12"/>
        <v>0.24115811996547756</v>
      </c>
      <c r="CA37" s="245"/>
      <c r="CB37" s="245"/>
      <c r="CC37" s="244">
        <f t="shared" si="13"/>
        <v>0.24115811996547756</v>
      </c>
      <c r="CD37" s="245"/>
      <c r="CE37" s="245"/>
      <c r="CF37" s="221"/>
      <c r="CG37" s="221"/>
      <c r="CH37" s="221"/>
      <c r="CI37" s="221"/>
      <c r="CJ37" s="221"/>
      <c r="CK37" s="221"/>
      <c r="CL37" s="221"/>
      <c r="CM37" s="221"/>
      <c r="CN37" s="221"/>
      <c r="CO37" s="221"/>
      <c r="CP37" s="221"/>
      <c r="CQ37" s="221"/>
      <c r="CR37" s="221"/>
      <c r="CS37" s="221"/>
      <c r="CT37" s="221"/>
      <c r="CU37" s="221"/>
      <c r="CV37" s="221"/>
      <c r="CW37" s="221"/>
      <c r="CX37" s="221"/>
      <c r="CY37" s="221"/>
      <c r="CZ37" s="221"/>
      <c r="DA37" s="221"/>
      <c r="DB37" s="221"/>
      <c r="DC37" s="221"/>
      <c r="DD37" s="221"/>
      <c r="DE37" s="221"/>
      <c r="DF37" s="221"/>
      <c r="DG37" s="221"/>
      <c r="DH37" s="221"/>
      <c r="DI37" s="221"/>
    </row>
    <row r="38" spans="1:113" ht="15.75" thickBot="1" x14ac:dyDescent="0.3">
      <c r="A38" s="37" t="s">
        <v>103</v>
      </c>
      <c r="B38" s="28" t="s">
        <v>139</v>
      </c>
      <c r="C38" s="28"/>
      <c r="D38" s="28" t="s">
        <v>102</v>
      </c>
      <c r="E38" s="28" t="s">
        <v>68</v>
      </c>
      <c r="F38" s="42">
        <f>AHP!J$3</f>
        <v>0.14127546501328608</v>
      </c>
      <c r="G38" s="42">
        <f>AHP!J$12</f>
        <v>0.1845703125</v>
      </c>
      <c r="H38" s="53" t="s">
        <v>69</v>
      </c>
      <c r="I38" s="254">
        <f>I32/$C$75</f>
        <v>100.95381849830028</v>
      </c>
      <c r="J38" s="255"/>
      <c r="K38" s="255"/>
      <c r="L38" s="255">
        <f>L32/$C$75</f>
        <v>131.62596394204857</v>
      </c>
      <c r="M38" s="255"/>
      <c r="N38" s="255"/>
      <c r="O38" s="255">
        <f>O32/$C$75</f>
        <v>131.43791271151252</v>
      </c>
      <c r="P38" s="255"/>
      <c r="Q38" s="255"/>
      <c r="R38" s="256">
        <f>R32/$C$75</f>
        <v>163.97077559424909</v>
      </c>
      <c r="S38" s="282"/>
      <c r="T38" s="283"/>
      <c r="U38" s="255">
        <f>U32/$C$75</f>
        <v>163.97077559424909</v>
      </c>
      <c r="V38" s="255"/>
      <c r="W38" s="256"/>
      <c r="X38" s="211"/>
      <c r="Y38" s="207"/>
      <c r="Z38" s="212"/>
      <c r="AA38" s="211"/>
      <c r="AB38" s="207"/>
      <c r="AC38" s="212"/>
      <c r="AD38" s="211"/>
      <c r="AE38" s="207"/>
      <c r="AF38" s="212"/>
      <c r="AG38" s="211"/>
      <c r="AH38" s="207"/>
      <c r="AI38" s="212"/>
      <c r="AJ38" s="211"/>
      <c r="AK38" s="207"/>
      <c r="AL38" s="212"/>
      <c r="AM38" s="211"/>
      <c r="AN38" s="207"/>
      <c r="AO38" s="249"/>
      <c r="AP38" s="211"/>
      <c r="AQ38" s="207"/>
      <c r="AR38" s="249"/>
      <c r="AS38" s="211"/>
      <c r="AT38" s="207"/>
      <c r="AU38" s="249"/>
      <c r="AV38" s="211"/>
      <c r="AW38" s="207"/>
      <c r="AX38" s="249"/>
      <c r="AY38" s="211"/>
      <c r="AZ38" s="207"/>
      <c r="BA38" s="249"/>
      <c r="BB38" s="252">
        <f t="shared" si="4"/>
        <v>0.76807228915662651</v>
      </c>
      <c r="BC38" s="253"/>
      <c r="BD38" s="253"/>
      <c r="BE38" s="252">
        <f t="shared" si="5"/>
        <v>1.0014307228915662</v>
      </c>
      <c r="BF38" s="253"/>
      <c r="BG38" s="253"/>
      <c r="BH38" s="252">
        <f t="shared" si="6"/>
        <v>1</v>
      </c>
      <c r="BI38" s="253"/>
      <c r="BJ38" s="253"/>
      <c r="BK38" s="252">
        <f t="shared" si="7"/>
        <v>1.2475150602409639</v>
      </c>
      <c r="BL38" s="253"/>
      <c r="BM38" s="253"/>
      <c r="BN38" s="252">
        <f t="shared" si="8"/>
        <v>1.2475150602409639</v>
      </c>
      <c r="BO38" s="253"/>
      <c r="BP38" s="253"/>
      <c r="BQ38" s="244">
        <f t="shared" si="9"/>
        <v>0.14176334243222891</v>
      </c>
      <c r="BR38" s="245"/>
      <c r="BS38" s="245"/>
      <c r="BT38" s="244">
        <f t="shared" si="10"/>
        <v>0.18483438147119727</v>
      </c>
      <c r="BU38" s="245"/>
      <c r="BV38" s="245"/>
      <c r="BW38" s="244">
        <f t="shared" si="11"/>
        <v>0.1845703125</v>
      </c>
      <c r="BX38" s="245"/>
      <c r="BY38" s="245"/>
      <c r="BZ38" s="244">
        <f t="shared" si="12"/>
        <v>0.23025424451713103</v>
      </c>
      <c r="CA38" s="245"/>
      <c r="CB38" s="245"/>
      <c r="CC38" s="244">
        <f t="shared" si="13"/>
        <v>0.23025424451713103</v>
      </c>
      <c r="CD38" s="245"/>
      <c r="CE38" s="245"/>
      <c r="CF38" s="221"/>
      <c r="CG38" s="221"/>
      <c r="CH38" s="221"/>
      <c r="CI38" s="221"/>
      <c r="CJ38" s="221"/>
      <c r="CK38" s="221"/>
      <c r="CL38" s="221"/>
      <c r="CM38" s="221"/>
      <c r="CN38" s="221"/>
      <c r="CO38" s="221"/>
      <c r="CP38" s="221"/>
      <c r="CQ38" s="221"/>
      <c r="CR38" s="221"/>
      <c r="CS38" s="221"/>
      <c r="CT38" s="221"/>
      <c r="CU38" s="221"/>
      <c r="CV38" s="221"/>
      <c r="CW38" s="221"/>
      <c r="CX38" s="221"/>
      <c r="CY38" s="221"/>
      <c r="CZ38" s="221"/>
      <c r="DA38" s="221"/>
      <c r="DB38" s="221"/>
      <c r="DC38" s="221"/>
      <c r="DD38" s="221"/>
      <c r="DE38" s="221"/>
      <c r="DF38" s="221"/>
      <c r="DG38" s="221"/>
      <c r="DH38" s="221"/>
      <c r="DI38" s="221"/>
    </row>
    <row r="39" spans="1:113" ht="15.75" thickBot="1" x14ac:dyDescent="0.3">
      <c r="A39" s="37" t="s">
        <v>104</v>
      </c>
      <c r="B39" s="28" t="s">
        <v>140</v>
      </c>
      <c r="C39" s="28"/>
      <c r="D39" s="28" t="s">
        <v>102</v>
      </c>
      <c r="E39" s="28" t="s">
        <v>68</v>
      </c>
      <c r="F39" s="42">
        <f>AHP!J$3</f>
        <v>0.14127546501328608</v>
      </c>
      <c r="G39" s="42">
        <f>AHP!J$12</f>
        <v>0.1845703125</v>
      </c>
      <c r="H39" s="53" t="s">
        <v>69</v>
      </c>
      <c r="I39" s="254">
        <f>I33/$C$75</f>
        <v>101.06269026334748</v>
      </c>
      <c r="J39" s="255"/>
      <c r="K39" s="255"/>
      <c r="L39" s="255">
        <f>L33/$C$75</f>
        <v>131.62596394204857</v>
      </c>
      <c r="M39" s="255"/>
      <c r="N39" s="255"/>
      <c r="O39" s="255">
        <f>O33/$C$75</f>
        <v>131.56657934293193</v>
      </c>
      <c r="P39" s="255"/>
      <c r="Q39" s="255"/>
      <c r="R39" s="256">
        <f>R33/$C$75</f>
        <v>164.0994422256685</v>
      </c>
      <c r="S39" s="282"/>
      <c r="T39" s="283"/>
      <c r="U39" s="255">
        <f>U33/$C$75</f>
        <v>164.0994422256685</v>
      </c>
      <c r="V39" s="255"/>
      <c r="W39" s="256"/>
      <c r="X39" s="211"/>
      <c r="Y39" s="207"/>
      <c r="Z39" s="212"/>
      <c r="AA39" s="211"/>
      <c r="AB39" s="207"/>
      <c r="AC39" s="212"/>
      <c r="AD39" s="211"/>
      <c r="AE39" s="207"/>
      <c r="AF39" s="212"/>
      <c r="AG39" s="211"/>
      <c r="AH39" s="207"/>
      <c r="AI39" s="212"/>
      <c r="AJ39" s="211"/>
      <c r="AK39" s="207"/>
      <c r="AL39" s="212"/>
      <c r="AM39" s="211"/>
      <c r="AN39" s="207"/>
      <c r="AO39" s="249"/>
      <c r="AP39" s="211"/>
      <c r="AQ39" s="207"/>
      <c r="AR39" s="249"/>
      <c r="AS39" s="211"/>
      <c r="AT39" s="207"/>
      <c r="AU39" s="249"/>
      <c r="AV39" s="211"/>
      <c r="AW39" s="207"/>
      <c r="AX39" s="249"/>
      <c r="AY39" s="211"/>
      <c r="AZ39" s="207"/>
      <c r="BA39" s="249"/>
      <c r="BB39" s="252">
        <f t="shared" si="4"/>
        <v>0.76814864966523733</v>
      </c>
      <c r="BC39" s="253"/>
      <c r="BD39" s="253"/>
      <c r="BE39" s="252">
        <f t="shared" si="5"/>
        <v>1.0004513653802753</v>
      </c>
      <c r="BF39" s="253"/>
      <c r="BG39" s="253"/>
      <c r="BH39" s="252">
        <f t="shared" si="6"/>
        <v>1</v>
      </c>
      <c r="BI39" s="253"/>
      <c r="BJ39" s="253"/>
      <c r="BK39" s="252">
        <f t="shared" si="7"/>
        <v>1.2472730008275033</v>
      </c>
      <c r="BL39" s="253"/>
      <c r="BM39" s="253"/>
      <c r="BN39" s="252">
        <f t="shared" si="8"/>
        <v>1.2472730008275033</v>
      </c>
      <c r="BO39" s="253"/>
      <c r="BP39" s="253"/>
      <c r="BQ39" s="244">
        <f t="shared" si="9"/>
        <v>0.14177743631516587</v>
      </c>
      <c r="BR39" s="245"/>
      <c r="BS39" s="245"/>
      <c r="BT39" s="244">
        <f t="shared" si="10"/>
        <v>0.1846536211492891</v>
      </c>
      <c r="BU39" s="245"/>
      <c r="BV39" s="245"/>
      <c r="BW39" s="244">
        <f t="shared" si="11"/>
        <v>0.1845703125</v>
      </c>
      <c r="BX39" s="245"/>
      <c r="BY39" s="245"/>
      <c r="BZ39" s="244">
        <f t="shared" si="12"/>
        <v>0.23020956753554503</v>
      </c>
      <c r="CA39" s="245"/>
      <c r="CB39" s="245"/>
      <c r="CC39" s="244">
        <f t="shared" si="13"/>
        <v>0.23020956753554503</v>
      </c>
      <c r="CD39" s="245"/>
      <c r="CE39" s="245"/>
      <c r="CF39" s="221"/>
      <c r="CG39" s="221"/>
      <c r="CH39" s="221"/>
      <c r="CI39" s="221"/>
      <c r="CJ39" s="221"/>
      <c r="CK39" s="221"/>
      <c r="CL39" s="221"/>
      <c r="CM39" s="221"/>
      <c r="CN39" s="221"/>
      <c r="CO39" s="221"/>
      <c r="CP39" s="221"/>
      <c r="CQ39" s="221"/>
      <c r="CR39" s="221"/>
      <c r="CS39" s="221"/>
      <c r="CT39" s="221"/>
      <c r="CU39" s="221"/>
      <c r="CV39" s="221"/>
      <c r="CW39" s="221"/>
      <c r="CX39" s="221"/>
      <c r="CY39" s="221"/>
      <c r="CZ39" s="221"/>
      <c r="DA39" s="221"/>
      <c r="DB39" s="221"/>
      <c r="DC39" s="221"/>
      <c r="DD39" s="221"/>
      <c r="DE39" s="221"/>
      <c r="DF39" s="221"/>
      <c r="DG39" s="221"/>
      <c r="DH39" s="221"/>
      <c r="DI39" s="221"/>
    </row>
    <row r="40" spans="1:113" ht="15.75" thickBot="1" x14ac:dyDescent="0.3">
      <c r="A40" s="37" t="s">
        <v>105</v>
      </c>
      <c r="B40" s="28" t="s">
        <v>141</v>
      </c>
      <c r="C40" s="28"/>
      <c r="D40" s="28" t="s">
        <v>102</v>
      </c>
      <c r="E40" s="28" t="s">
        <v>68</v>
      </c>
      <c r="F40" s="42">
        <f>AHP!J$3</f>
        <v>0.14127546501328608</v>
      </c>
      <c r="G40" s="42">
        <f>AHP!J$12</f>
        <v>0.1845703125</v>
      </c>
      <c r="H40" s="53" t="s">
        <v>69</v>
      </c>
      <c r="I40" s="254">
        <f>I34/$C$75</f>
        <v>100.95381849830028</v>
      </c>
      <c r="J40" s="255"/>
      <c r="K40" s="255"/>
      <c r="L40" s="255">
        <f>L34/$C$75</f>
        <v>131.62596394204857</v>
      </c>
      <c r="M40" s="255"/>
      <c r="N40" s="255"/>
      <c r="O40" s="255">
        <f>O34/$C$75</f>
        <v>131.43791271151252</v>
      </c>
      <c r="P40" s="255"/>
      <c r="Q40" s="255"/>
      <c r="R40" s="256">
        <f>R34/$C$75</f>
        <v>163.97077559424909</v>
      </c>
      <c r="S40" s="282"/>
      <c r="T40" s="283"/>
      <c r="U40" s="255">
        <f>U34/$C$75</f>
        <v>163.97077559424909</v>
      </c>
      <c r="V40" s="255"/>
      <c r="W40" s="256"/>
      <c r="X40" s="213"/>
      <c r="Y40" s="214"/>
      <c r="Z40" s="215"/>
      <c r="AA40" s="213"/>
      <c r="AB40" s="214"/>
      <c r="AC40" s="215"/>
      <c r="AD40" s="213"/>
      <c r="AE40" s="214"/>
      <c r="AF40" s="215"/>
      <c r="AG40" s="213"/>
      <c r="AH40" s="214"/>
      <c r="AI40" s="215"/>
      <c r="AJ40" s="213"/>
      <c r="AK40" s="214"/>
      <c r="AL40" s="215"/>
      <c r="AM40" s="250"/>
      <c r="AN40" s="236"/>
      <c r="AO40" s="251"/>
      <c r="AP40" s="250"/>
      <c r="AQ40" s="236"/>
      <c r="AR40" s="251"/>
      <c r="AS40" s="250"/>
      <c r="AT40" s="236"/>
      <c r="AU40" s="251"/>
      <c r="AV40" s="250"/>
      <c r="AW40" s="236"/>
      <c r="AX40" s="251"/>
      <c r="AY40" s="250"/>
      <c r="AZ40" s="236"/>
      <c r="BA40" s="251"/>
      <c r="BB40" s="252">
        <f t="shared" si="4"/>
        <v>0.76807228915662651</v>
      </c>
      <c r="BC40" s="253"/>
      <c r="BD40" s="253"/>
      <c r="BE40" s="252">
        <f t="shared" si="5"/>
        <v>1.0014307228915662</v>
      </c>
      <c r="BF40" s="253"/>
      <c r="BG40" s="253"/>
      <c r="BH40" s="252">
        <f t="shared" si="6"/>
        <v>1</v>
      </c>
      <c r="BI40" s="253"/>
      <c r="BJ40" s="253"/>
      <c r="BK40" s="252">
        <f t="shared" si="7"/>
        <v>1.2475150602409639</v>
      </c>
      <c r="BL40" s="253"/>
      <c r="BM40" s="253"/>
      <c r="BN40" s="252">
        <f t="shared" si="8"/>
        <v>1.2475150602409639</v>
      </c>
      <c r="BO40" s="253"/>
      <c r="BP40" s="253"/>
      <c r="BQ40" s="244">
        <f t="shared" si="9"/>
        <v>0.14176334243222891</v>
      </c>
      <c r="BR40" s="245"/>
      <c r="BS40" s="245"/>
      <c r="BT40" s="244">
        <f t="shared" si="10"/>
        <v>0.18483438147119727</v>
      </c>
      <c r="BU40" s="245"/>
      <c r="BV40" s="245"/>
      <c r="BW40" s="244">
        <f t="shared" si="11"/>
        <v>0.1845703125</v>
      </c>
      <c r="BX40" s="245"/>
      <c r="BY40" s="245"/>
      <c r="BZ40" s="244">
        <f t="shared" si="12"/>
        <v>0.23025424451713103</v>
      </c>
      <c r="CA40" s="245"/>
      <c r="CB40" s="245"/>
      <c r="CC40" s="244">
        <f t="shared" si="13"/>
        <v>0.23025424451713103</v>
      </c>
      <c r="CD40" s="245"/>
      <c r="CE40" s="245"/>
      <c r="CF40" s="221"/>
      <c r="CG40" s="221"/>
      <c r="CH40" s="221"/>
      <c r="CI40" s="221"/>
      <c r="CJ40" s="221"/>
      <c r="CK40" s="221"/>
      <c r="CL40" s="221"/>
      <c r="CM40" s="221"/>
      <c r="CN40" s="221"/>
      <c r="CO40" s="221"/>
      <c r="CP40" s="221"/>
      <c r="CQ40" s="221"/>
      <c r="CR40" s="221"/>
      <c r="CS40" s="221"/>
      <c r="CT40" s="221"/>
      <c r="CU40" s="221"/>
      <c r="CV40" s="221"/>
      <c r="CW40" s="221"/>
      <c r="CX40" s="221"/>
      <c r="CY40" s="221"/>
      <c r="CZ40" s="221"/>
      <c r="DA40" s="221"/>
      <c r="DB40" s="221"/>
      <c r="DC40" s="221"/>
      <c r="DD40" s="221"/>
      <c r="DE40" s="221"/>
      <c r="DF40" s="221"/>
      <c r="DG40" s="221"/>
      <c r="DH40" s="221"/>
      <c r="DI40" s="221"/>
    </row>
    <row r="41" spans="1:113" ht="15.75" thickBot="1" x14ac:dyDescent="0.3">
      <c r="A41" s="37" t="s">
        <v>106</v>
      </c>
      <c r="B41" s="28" t="s">
        <v>111</v>
      </c>
      <c r="C41" s="28"/>
      <c r="D41" s="28" t="s">
        <v>112</v>
      </c>
      <c r="E41" s="28" t="s">
        <v>68</v>
      </c>
      <c r="F41" s="42">
        <f>AHP!J$4</f>
        <v>5.1372896368467674E-2</v>
      </c>
      <c r="G41" s="42">
        <f>AHP!J$13</f>
        <v>0.12451171875</v>
      </c>
      <c r="H41" s="53" t="s">
        <v>69</v>
      </c>
      <c r="I41" s="322">
        <v>3</v>
      </c>
      <c r="J41" s="304"/>
      <c r="K41" s="304"/>
      <c r="L41" s="304">
        <v>4</v>
      </c>
      <c r="M41" s="304"/>
      <c r="N41" s="304"/>
      <c r="O41" s="304">
        <v>4</v>
      </c>
      <c r="P41" s="304"/>
      <c r="Q41" s="304"/>
      <c r="R41" s="305">
        <v>4</v>
      </c>
      <c r="S41" s="314"/>
      <c r="T41" s="315"/>
      <c r="U41" s="304">
        <v>4</v>
      </c>
      <c r="V41" s="304"/>
      <c r="W41" s="305"/>
      <c r="X41" s="208">
        <f t="shared" ref="X41" si="22">MAX(I41:K45)/MAX($O41:$Q45)</f>
        <v>1</v>
      </c>
      <c r="Y41" s="209"/>
      <c r="Z41" s="210"/>
      <c r="AA41" s="208">
        <f t="shared" ref="AA41" si="23">MAX(L41:N45)/MAX($O41:$Q45)</f>
        <v>1</v>
      </c>
      <c r="AB41" s="209"/>
      <c r="AC41" s="210"/>
      <c r="AD41" s="208">
        <f t="shared" ref="AD41" si="24">MAX(O41:Q45)/MAX($O41:$Q45)</f>
        <v>1</v>
      </c>
      <c r="AE41" s="209"/>
      <c r="AF41" s="210"/>
      <c r="AG41" s="208">
        <f t="shared" ref="AG41" si="25">MAX(R41:T45)/MAX($O41:$Q45)</f>
        <v>1</v>
      </c>
      <c r="AH41" s="209"/>
      <c r="AI41" s="210"/>
      <c r="AJ41" s="208">
        <f t="shared" ref="AJ41" si="26">MAX(U41:W45)/MAX($O41:$Q45)</f>
        <v>1</v>
      </c>
      <c r="AK41" s="209"/>
      <c r="AL41" s="210"/>
      <c r="AM41" s="246">
        <f t="shared" ref="AM41" si="27">X41*$F41</f>
        <v>5.1372896368467674E-2</v>
      </c>
      <c r="AN41" s="247"/>
      <c r="AO41" s="248"/>
      <c r="AP41" s="246">
        <f t="shared" ref="AP41" si="28">AA41*$F41</f>
        <v>5.1372896368467674E-2</v>
      </c>
      <c r="AQ41" s="247"/>
      <c r="AR41" s="248"/>
      <c r="AS41" s="246">
        <f t="shared" ref="AS41" si="29">AD41*$F41</f>
        <v>5.1372896368467674E-2</v>
      </c>
      <c r="AT41" s="247"/>
      <c r="AU41" s="248"/>
      <c r="AV41" s="246">
        <f t="shared" ref="AV41" si="30">AG41*$F41</f>
        <v>5.1372896368467674E-2</v>
      </c>
      <c r="AW41" s="247"/>
      <c r="AX41" s="248"/>
      <c r="AY41" s="246">
        <f t="shared" ref="AY41" si="31">AJ41*$F41</f>
        <v>5.1372896368467674E-2</v>
      </c>
      <c r="AZ41" s="247"/>
      <c r="BA41" s="248"/>
      <c r="BB41" s="252">
        <f t="shared" si="4"/>
        <v>0.75</v>
      </c>
      <c r="BC41" s="253"/>
      <c r="BD41" s="253"/>
      <c r="BE41" s="252">
        <f t="shared" si="5"/>
        <v>1</v>
      </c>
      <c r="BF41" s="253"/>
      <c r="BG41" s="253"/>
      <c r="BH41" s="252">
        <f t="shared" si="6"/>
        <v>1</v>
      </c>
      <c r="BI41" s="253"/>
      <c r="BJ41" s="253"/>
      <c r="BK41" s="252">
        <f t="shared" si="7"/>
        <v>1</v>
      </c>
      <c r="BL41" s="253"/>
      <c r="BM41" s="253"/>
      <c r="BN41" s="252">
        <f t="shared" si="8"/>
        <v>1</v>
      </c>
      <c r="BO41" s="253"/>
      <c r="BP41" s="253"/>
      <c r="BQ41" s="244">
        <f t="shared" si="9"/>
        <v>9.33837890625E-2</v>
      </c>
      <c r="BR41" s="245"/>
      <c r="BS41" s="245"/>
      <c r="BT41" s="244">
        <f t="shared" si="10"/>
        <v>0.12451171875</v>
      </c>
      <c r="BU41" s="245"/>
      <c r="BV41" s="245"/>
      <c r="BW41" s="244">
        <f t="shared" si="11"/>
        <v>0.12451171875</v>
      </c>
      <c r="BX41" s="245"/>
      <c r="BY41" s="245"/>
      <c r="BZ41" s="244">
        <f t="shared" si="12"/>
        <v>0.12451171875</v>
      </c>
      <c r="CA41" s="245"/>
      <c r="CB41" s="245"/>
      <c r="CC41" s="244">
        <f t="shared" si="13"/>
        <v>0.12451171875</v>
      </c>
      <c r="CD41" s="245"/>
      <c r="CE41" s="245"/>
      <c r="CF41" s="221"/>
      <c r="CG41" s="221"/>
      <c r="CH41" s="221"/>
      <c r="CI41" s="221"/>
      <c r="CJ41" s="221"/>
      <c r="CK41" s="221"/>
      <c r="CL41" s="221"/>
      <c r="CM41" s="221"/>
      <c r="CN41" s="221"/>
      <c r="CO41" s="221"/>
      <c r="CP41" s="221"/>
      <c r="CQ41" s="221"/>
      <c r="CR41" s="221"/>
      <c r="CS41" s="221"/>
      <c r="CT41" s="221"/>
      <c r="CU41" s="221"/>
      <c r="CV41" s="221"/>
      <c r="CW41" s="221"/>
      <c r="CX41" s="221"/>
      <c r="CY41" s="221"/>
      <c r="CZ41" s="221"/>
      <c r="DA41" s="221"/>
      <c r="DB41" s="221"/>
      <c r="DC41" s="221"/>
      <c r="DD41" s="221"/>
      <c r="DE41" s="221"/>
      <c r="DF41" s="221"/>
      <c r="DG41" s="221"/>
      <c r="DH41" s="221"/>
      <c r="DI41" s="221"/>
    </row>
    <row r="42" spans="1:113" ht="15.75" thickBot="1" x14ac:dyDescent="0.3">
      <c r="A42" s="37" t="s">
        <v>107</v>
      </c>
      <c r="B42" s="28" t="s">
        <v>113</v>
      </c>
      <c r="C42" s="28"/>
      <c r="D42" s="28" t="s">
        <v>112</v>
      </c>
      <c r="E42" s="28" t="s">
        <v>68</v>
      </c>
      <c r="F42" s="42">
        <f>AHP!J$4</f>
        <v>5.1372896368467674E-2</v>
      </c>
      <c r="G42" s="42">
        <f>AHP!J$13</f>
        <v>0.12451171875</v>
      </c>
      <c r="H42" s="53" t="s">
        <v>69</v>
      </c>
      <c r="I42" s="322">
        <v>2</v>
      </c>
      <c r="J42" s="304"/>
      <c r="K42" s="304"/>
      <c r="L42" s="304">
        <v>2</v>
      </c>
      <c r="M42" s="304"/>
      <c r="N42" s="304"/>
      <c r="O42" s="304">
        <v>2</v>
      </c>
      <c r="P42" s="304"/>
      <c r="Q42" s="304"/>
      <c r="R42" s="305">
        <v>2</v>
      </c>
      <c r="S42" s="314"/>
      <c r="T42" s="315"/>
      <c r="U42" s="304">
        <v>2</v>
      </c>
      <c r="V42" s="304"/>
      <c r="W42" s="305"/>
      <c r="X42" s="211"/>
      <c r="Y42" s="207"/>
      <c r="Z42" s="212"/>
      <c r="AA42" s="211"/>
      <c r="AB42" s="207"/>
      <c r="AC42" s="212"/>
      <c r="AD42" s="211"/>
      <c r="AE42" s="207"/>
      <c r="AF42" s="212"/>
      <c r="AG42" s="211"/>
      <c r="AH42" s="207"/>
      <c r="AI42" s="212"/>
      <c r="AJ42" s="211"/>
      <c r="AK42" s="207"/>
      <c r="AL42" s="212"/>
      <c r="AM42" s="211"/>
      <c r="AN42" s="207"/>
      <c r="AO42" s="249"/>
      <c r="AP42" s="211"/>
      <c r="AQ42" s="207"/>
      <c r="AR42" s="249"/>
      <c r="AS42" s="211"/>
      <c r="AT42" s="207"/>
      <c r="AU42" s="249"/>
      <c r="AV42" s="211"/>
      <c r="AW42" s="207"/>
      <c r="AX42" s="249"/>
      <c r="AY42" s="211"/>
      <c r="AZ42" s="207"/>
      <c r="BA42" s="249"/>
      <c r="BB42" s="252">
        <f t="shared" si="4"/>
        <v>1</v>
      </c>
      <c r="BC42" s="253"/>
      <c r="BD42" s="253"/>
      <c r="BE42" s="252">
        <f t="shared" si="5"/>
        <v>1</v>
      </c>
      <c r="BF42" s="253"/>
      <c r="BG42" s="253"/>
      <c r="BH42" s="252">
        <f t="shared" si="6"/>
        <v>1</v>
      </c>
      <c r="BI42" s="253"/>
      <c r="BJ42" s="253"/>
      <c r="BK42" s="252">
        <f t="shared" si="7"/>
        <v>1</v>
      </c>
      <c r="BL42" s="253"/>
      <c r="BM42" s="253"/>
      <c r="BN42" s="252">
        <f t="shared" si="8"/>
        <v>1</v>
      </c>
      <c r="BO42" s="253"/>
      <c r="BP42" s="253"/>
      <c r="BQ42" s="244">
        <f t="shared" si="9"/>
        <v>0.12451171875</v>
      </c>
      <c r="BR42" s="245"/>
      <c r="BS42" s="245"/>
      <c r="BT42" s="244">
        <f t="shared" si="10"/>
        <v>0.12451171875</v>
      </c>
      <c r="BU42" s="245"/>
      <c r="BV42" s="245"/>
      <c r="BW42" s="244">
        <f t="shared" si="11"/>
        <v>0.12451171875</v>
      </c>
      <c r="BX42" s="245"/>
      <c r="BY42" s="245"/>
      <c r="BZ42" s="244">
        <f t="shared" si="12"/>
        <v>0.12451171875</v>
      </c>
      <c r="CA42" s="245"/>
      <c r="CB42" s="245"/>
      <c r="CC42" s="244">
        <f t="shared" si="13"/>
        <v>0.12451171875</v>
      </c>
      <c r="CD42" s="245"/>
      <c r="CE42" s="245"/>
      <c r="CF42" s="221"/>
      <c r="CG42" s="221"/>
      <c r="CH42" s="221"/>
      <c r="CI42" s="221"/>
      <c r="CJ42" s="221"/>
      <c r="CK42" s="221"/>
      <c r="CL42" s="221"/>
      <c r="CM42" s="221"/>
      <c r="CN42" s="221"/>
      <c r="CO42" s="221"/>
      <c r="CP42" s="221"/>
      <c r="CQ42" s="221"/>
      <c r="CR42" s="221"/>
      <c r="CS42" s="221"/>
      <c r="CT42" s="221"/>
      <c r="CU42" s="221"/>
      <c r="CV42" s="221"/>
      <c r="CW42" s="221"/>
      <c r="CX42" s="221"/>
      <c r="CY42" s="221"/>
      <c r="CZ42" s="221"/>
      <c r="DA42" s="221"/>
      <c r="DB42" s="221"/>
      <c r="DC42" s="221"/>
      <c r="DD42" s="221"/>
      <c r="DE42" s="221"/>
      <c r="DF42" s="221"/>
      <c r="DG42" s="221"/>
      <c r="DH42" s="221"/>
      <c r="DI42" s="221"/>
    </row>
    <row r="43" spans="1:113" ht="15.75" thickBot="1" x14ac:dyDescent="0.3">
      <c r="A43" s="37" t="s">
        <v>108</v>
      </c>
      <c r="B43" s="28" t="s">
        <v>114</v>
      </c>
      <c r="C43" s="28"/>
      <c r="D43" s="28" t="s">
        <v>112</v>
      </c>
      <c r="E43" s="28" t="s">
        <v>68</v>
      </c>
      <c r="F43" s="42">
        <f>AHP!J$4</f>
        <v>5.1372896368467674E-2</v>
      </c>
      <c r="G43" s="42">
        <f>AHP!J$13</f>
        <v>0.12451171875</v>
      </c>
      <c r="H43" s="53" t="s">
        <v>69</v>
      </c>
      <c r="I43" s="322">
        <v>4</v>
      </c>
      <c r="J43" s="304"/>
      <c r="K43" s="304"/>
      <c r="L43" s="304">
        <v>4</v>
      </c>
      <c r="M43" s="304"/>
      <c r="N43" s="304"/>
      <c r="O43" s="304">
        <v>4</v>
      </c>
      <c r="P43" s="304"/>
      <c r="Q43" s="304"/>
      <c r="R43" s="305">
        <v>4</v>
      </c>
      <c r="S43" s="314"/>
      <c r="T43" s="315"/>
      <c r="U43" s="304">
        <v>4</v>
      </c>
      <c r="V43" s="304"/>
      <c r="W43" s="305"/>
      <c r="X43" s="211"/>
      <c r="Y43" s="207"/>
      <c r="Z43" s="212"/>
      <c r="AA43" s="211"/>
      <c r="AB43" s="207"/>
      <c r="AC43" s="212"/>
      <c r="AD43" s="211"/>
      <c r="AE43" s="207"/>
      <c r="AF43" s="212"/>
      <c r="AG43" s="211"/>
      <c r="AH43" s="207"/>
      <c r="AI43" s="212"/>
      <c r="AJ43" s="211"/>
      <c r="AK43" s="207"/>
      <c r="AL43" s="212"/>
      <c r="AM43" s="211"/>
      <c r="AN43" s="207"/>
      <c r="AO43" s="249"/>
      <c r="AP43" s="211"/>
      <c r="AQ43" s="207"/>
      <c r="AR43" s="249"/>
      <c r="AS43" s="211"/>
      <c r="AT43" s="207"/>
      <c r="AU43" s="249"/>
      <c r="AV43" s="211"/>
      <c r="AW43" s="207"/>
      <c r="AX43" s="249"/>
      <c r="AY43" s="211"/>
      <c r="AZ43" s="207"/>
      <c r="BA43" s="249"/>
      <c r="BB43" s="252">
        <f t="shared" si="4"/>
        <v>1</v>
      </c>
      <c r="BC43" s="253"/>
      <c r="BD43" s="253"/>
      <c r="BE43" s="252">
        <f t="shared" si="5"/>
        <v>1</v>
      </c>
      <c r="BF43" s="253"/>
      <c r="BG43" s="253"/>
      <c r="BH43" s="252">
        <f t="shared" si="6"/>
        <v>1</v>
      </c>
      <c r="BI43" s="253"/>
      <c r="BJ43" s="253"/>
      <c r="BK43" s="252">
        <f t="shared" si="7"/>
        <v>1</v>
      </c>
      <c r="BL43" s="253"/>
      <c r="BM43" s="253"/>
      <c r="BN43" s="252">
        <f t="shared" si="8"/>
        <v>1</v>
      </c>
      <c r="BO43" s="253"/>
      <c r="BP43" s="253"/>
      <c r="BQ43" s="244">
        <f t="shared" si="9"/>
        <v>0.12451171875</v>
      </c>
      <c r="BR43" s="245"/>
      <c r="BS43" s="245"/>
      <c r="BT43" s="244">
        <f t="shared" si="10"/>
        <v>0.12451171875</v>
      </c>
      <c r="BU43" s="245"/>
      <c r="BV43" s="245"/>
      <c r="BW43" s="244">
        <f t="shared" si="11"/>
        <v>0.12451171875</v>
      </c>
      <c r="BX43" s="245"/>
      <c r="BY43" s="245"/>
      <c r="BZ43" s="244">
        <f t="shared" si="12"/>
        <v>0.12451171875</v>
      </c>
      <c r="CA43" s="245"/>
      <c r="CB43" s="245"/>
      <c r="CC43" s="244">
        <f t="shared" si="13"/>
        <v>0.12451171875</v>
      </c>
      <c r="CD43" s="245"/>
      <c r="CE43" s="245"/>
      <c r="CF43" s="221"/>
      <c r="CG43" s="221"/>
      <c r="CH43" s="221"/>
      <c r="CI43" s="221"/>
      <c r="CJ43" s="221"/>
      <c r="CK43" s="221"/>
      <c r="CL43" s="221"/>
      <c r="CM43" s="221"/>
      <c r="CN43" s="221"/>
      <c r="CO43" s="221"/>
      <c r="CP43" s="221"/>
      <c r="CQ43" s="221"/>
      <c r="CR43" s="221"/>
      <c r="CS43" s="221"/>
      <c r="CT43" s="221"/>
      <c r="CU43" s="221"/>
      <c r="CV43" s="221"/>
      <c r="CW43" s="221"/>
      <c r="CX43" s="221"/>
      <c r="CY43" s="221"/>
      <c r="CZ43" s="221"/>
      <c r="DA43" s="221"/>
      <c r="DB43" s="221"/>
      <c r="DC43" s="221"/>
      <c r="DD43" s="221"/>
      <c r="DE43" s="221"/>
      <c r="DF43" s="221"/>
      <c r="DG43" s="221"/>
      <c r="DH43" s="221"/>
      <c r="DI43" s="221"/>
    </row>
    <row r="44" spans="1:113" ht="15.75" thickBot="1" x14ac:dyDescent="0.3">
      <c r="A44" s="37" t="s">
        <v>109</v>
      </c>
      <c r="B44" s="28" t="s">
        <v>115</v>
      </c>
      <c r="C44" s="28"/>
      <c r="D44" s="28" t="s">
        <v>112</v>
      </c>
      <c r="E44" s="28" t="s">
        <v>68</v>
      </c>
      <c r="F44" s="42">
        <f>AHP!J$4</f>
        <v>5.1372896368467674E-2</v>
      </c>
      <c r="G44" s="42">
        <f>AHP!J$13</f>
        <v>0.12451171875</v>
      </c>
      <c r="H44" s="53" t="s">
        <v>69</v>
      </c>
      <c r="I44" s="322">
        <v>3</v>
      </c>
      <c r="J44" s="304"/>
      <c r="K44" s="304"/>
      <c r="L44" s="304">
        <v>3</v>
      </c>
      <c r="M44" s="304"/>
      <c r="N44" s="304"/>
      <c r="O44" s="304">
        <v>3</v>
      </c>
      <c r="P44" s="304"/>
      <c r="Q44" s="304"/>
      <c r="R44" s="305">
        <v>3</v>
      </c>
      <c r="S44" s="314"/>
      <c r="T44" s="315"/>
      <c r="U44" s="304">
        <v>3</v>
      </c>
      <c r="V44" s="304"/>
      <c r="W44" s="305"/>
      <c r="X44" s="211"/>
      <c r="Y44" s="207"/>
      <c r="Z44" s="212"/>
      <c r="AA44" s="211"/>
      <c r="AB44" s="207"/>
      <c r="AC44" s="212"/>
      <c r="AD44" s="211"/>
      <c r="AE44" s="207"/>
      <c r="AF44" s="212"/>
      <c r="AG44" s="211"/>
      <c r="AH44" s="207"/>
      <c r="AI44" s="212"/>
      <c r="AJ44" s="211"/>
      <c r="AK44" s="207"/>
      <c r="AL44" s="212"/>
      <c r="AM44" s="211"/>
      <c r="AN44" s="207"/>
      <c r="AO44" s="249"/>
      <c r="AP44" s="211"/>
      <c r="AQ44" s="207"/>
      <c r="AR44" s="249"/>
      <c r="AS44" s="211"/>
      <c r="AT44" s="207"/>
      <c r="AU44" s="249"/>
      <c r="AV44" s="211"/>
      <c r="AW44" s="207"/>
      <c r="AX44" s="249"/>
      <c r="AY44" s="211"/>
      <c r="AZ44" s="207"/>
      <c r="BA44" s="249"/>
      <c r="BB44" s="252">
        <f t="shared" si="4"/>
        <v>1</v>
      </c>
      <c r="BC44" s="253"/>
      <c r="BD44" s="253"/>
      <c r="BE44" s="252">
        <f t="shared" si="5"/>
        <v>1</v>
      </c>
      <c r="BF44" s="253"/>
      <c r="BG44" s="253"/>
      <c r="BH44" s="252">
        <f t="shared" si="6"/>
        <v>1</v>
      </c>
      <c r="BI44" s="253"/>
      <c r="BJ44" s="253"/>
      <c r="BK44" s="252">
        <f t="shared" si="7"/>
        <v>1</v>
      </c>
      <c r="BL44" s="253"/>
      <c r="BM44" s="253"/>
      <c r="BN44" s="252">
        <f t="shared" si="8"/>
        <v>1</v>
      </c>
      <c r="BO44" s="253"/>
      <c r="BP44" s="253"/>
      <c r="BQ44" s="244">
        <f t="shared" si="9"/>
        <v>0.12451171875</v>
      </c>
      <c r="BR44" s="245"/>
      <c r="BS44" s="245"/>
      <c r="BT44" s="244">
        <f t="shared" si="10"/>
        <v>0.12451171875</v>
      </c>
      <c r="BU44" s="245"/>
      <c r="BV44" s="245"/>
      <c r="BW44" s="244">
        <f t="shared" si="11"/>
        <v>0.12451171875</v>
      </c>
      <c r="BX44" s="245"/>
      <c r="BY44" s="245"/>
      <c r="BZ44" s="244">
        <f t="shared" si="12"/>
        <v>0.12451171875</v>
      </c>
      <c r="CA44" s="245"/>
      <c r="CB44" s="245"/>
      <c r="CC44" s="244">
        <f t="shared" si="13"/>
        <v>0.12451171875</v>
      </c>
      <c r="CD44" s="245"/>
      <c r="CE44" s="245"/>
      <c r="CF44" s="221"/>
      <c r="CG44" s="221"/>
      <c r="CH44" s="221"/>
      <c r="CI44" s="221"/>
      <c r="CJ44" s="221"/>
      <c r="CK44" s="221"/>
      <c r="CL44" s="221"/>
      <c r="CM44" s="221"/>
      <c r="CN44" s="221"/>
      <c r="CO44" s="221"/>
      <c r="CP44" s="221"/>
      <c r="CQ44" s="221"/>
      <c r="CR44" s="221"/>
      <c r="CS44" s="221"/>
      <c r="CT44" s="221"/>
      <c r="CU44" s="221"/>
      <c r="CV44" s="221"/>
      <c r="CW44" s="221"/>
      <c r="CX44" s="221"/>
      <c r="CY44" s="221"/>
      <c r="CZ44" s="221"/>
      <c r="DA44" s="221"/>
      <c r="DB44" s="221"/>
      <c r="DC44" s="221"/>
      <c r="DD44" s="221"/>
      <c r="DE44" s="221"/>
      <c r="DF44" s="221"/>
      <c r="DG44" s="221"/>
      <c r="DH44" s="221"/>
      <c r="DI44" s="221"/>
    </row>
    <row r="45" spans="1:113" ht="15.75" thickBot="1" x14ac:dyDescent="0.3">
      <c r="A45" s="37" t="s">
        <v>110</v>
      </c>
      <c r="B45" s="28" t="s">
        <v>116</v>
      </c>
      <c r="C45" s="28"/>
      <c r="D45" s="28" t="s">
        <v>112</v>
      </c>
      <c r="E45" s="28" t="s">
        <v>68</v>
      </c>
      <c r="F45" s="42">
        <f>AHP!J$4</f>
        <v>5.1372896368467674E-2</v>
      </c>
      <c r="G45" s="42">
        <f>AHP!J$13</f>
        <v>0.12451171875</v>
      </c>
      <c r="H45" s="53" t="s">
        <v>69</v>
      </c>
      <c r="I45" s="322">
        <v>4</v>
      </c>
      <c r="J45" s="304"/>
      <c r="K45" s="304"/>
      <c r="L45" s="304">
        <v>4</v>
      </c>
      <c r="M45" s="304"/>
      <c r="N45" s="304"/>
      <c r="O45" s="304">
        <v>4</v>
      </c>
      <c r="P45" s="304"/>
      <c r="Q45" s="304"/>
      <c r="R45" s="305">
        <v>4</v>
      </c>
      <c r="S45" s="314"/>
      <c r="T45" s="315"/>
      <c r="U45" s="304">
        <v>4</v>
      </c>
      <c r="V45" s="304"/>
      <c r="W45" s="305"/>
      <c r="X45" s="213"/>
      <c r="Y45" s="214"/>
      <c r="Z45" s="215"/>
      <c r="AA45" s="213"/>
      <c r="AB45" s="214"/>
      <c r="AC45" s="215"/>
      <c r="AD45" s="213"/>
      <c r="AE45" s="214"/>
      <c r="AF45" s="215"/>
      <c r="AG45" s="213"/>
      <c r="AH45" s="214"/>
      <c r="AI45" s="215"/>
      <c r="AJ45" s="213"/>
      <c r="AK45" s="214"/>
      <c r="AL45" s="215"/>
      <c r="AM45" s="250"/>
      <c r="AN45" s="236"/>
      <c r="AO45" s="251"/>
      <c r="AP45" s="250"/>
      <c r="AQ45" s="236"/>
      <c r="AR45" s="251"/>
      <c r="AS45" s="250"/>
      <c r="AT45" s="236"/>
      <c r="AU45" s="251"/>
      <c r="AV45" s="250"/>
      <c r="AW45" s="236"/>
      <c r="AX45" s="251"/>
      <c r="AY45" s="250"/>
      <c r="AZ45" s="236"/>
      <c r="BA45" s="251"/>
      <c r="BB45" s="252">
        <f t="shared" si="4"/>
        <v>1</v>
      </c>
      <c r="BC45" s="253"/>
      <c r="BD45" s="253"/>
      <c r="BE45" s="252">
        <f t="shared" si="5"/>
        <v>1</v>
      </c>
      <c r="BF45" s="253"/>
      <c r="BG45" s="253"/>
      <c r="BH45" s="252">
        <f t="shared" si="6"/>
        <v>1</v>
      </c>
      <c r="BI45" s="253"/>
      <c r="BJ45" s="253"/>
      <c r="BK45" s="252">
        <f t="shared" si="7"/>
        <v>1</v>
      </c>
      <c r="BL45" s="253"/>
      <c r="BM45" s="253"/>
      <c r="BN45" s="252">
        <f t="shared" si="8"/>
        <v>1</v>
      </c>
      <c r="BO45" s="253"/>
      <c r="BP45" s="253"/>
      <c r="BQ45" s="244">
        <f t="shared" si="9"/>
        <v>0.12451171875</v>
      </c>
      <c r="BR45" s="245"/>
      <c r="BS45" s="245"/>
      <c r="BT45" s="244">
        <f t="shared" si="10"/>
        <v>0.12451171875</v>
      </c>
      <c r="BU45" s="245"/>
      <c r="BV45" s="245"/>
      <c r="BW45" s="244">
        <f t="shared" si="11"/>
        <v>0.12451171875</v>
      </c>
      <c r="BX45" s="245"/>
      <c r="BY45" s="245"/>
      <c r="BZ45" s="244">
        <f t="shared" si="12"/>
        <v>0.12451171875</v>
      </c>
      <c r="CA45" s="245"/>
      <c r="CB45" s="245"/>
      <c r="CC45" s="244">
        <f t="shared" si="13"/>
        <v>0.12451171875</v>
      </c>
      <c r="CD45" s="245"/>
      <c r="CE45" s="245"/>
      <c r="CF45" s="221"/>
      <c r="CG45" s="221"/>
      <c r="CH45" s="221"/>
      <c r="CI45" s="221"/>
      <c r="CJ45" s="221"/>
      <c r="CK45" s="221"/>
      <c r="CL45" s="221"/>
      <c r="CM45" s="221"/>
      <c r="CN45" s="221"/>
      <c r="CO45" s="221"/>
      <c r="CP45" s="221"/>
      <c r="CQ45" s="221"/>
      <c r="CR45" s="221"/>
      <c r="CS45" s="221"/>
      <c r="CT45" s="221"/>
      <c r="CU45" s="221"/>
      <c r="CV45" s="221"/>
      <c r="CW45" s="221"/>
      <c r="CX45" s="221"/>
      <c r="CY45" s="221"/>
      <c r="CZ45" s="221"/>
      <c r="DA45" s="221"/>
      <c r="DB45" s="221"/>
      <c r="DC45" s="221"/>
      <c r="DD45" s="221"/>
      <c r="DE45" s="221"/>
      <c r="DF45" s="221"/>
      <c r="DG45" s="221"/>
      <c r="DH45" s="221"/>
      <c r="DI45" s="221"/>
    </row>
    <row r="46" spans="1:113" s="178" customFormat="1" ht="15.75" thickBot="1" x14ac:dyDescent="0.3">
      <c r="A46" s="37" t="s">
        <v>298</v>
      </c>
      <c r="B46" s="43" t="s">
        <v>308</v>
      </c>
      <c r="C46" s="28" t="s">
        <v>190</v>
      </c>
      <c r="D46" s="28" t="s">
        <v>186</v>
      </c>
      <c r="E46" s="28" t="s">
        <v>68</v>
      </c>
      <c r="F46" s="42">
        <f>AHP!J$5</f>
        <v>0.19220549158547387</v>
      </c>
      <c r="G46" s="42">
        <f>AHP!J$14</f>
        <v>4.39453125E-2</v>
      </c>
      <c r="H46" s="53" t="s">
        <v>69</v>
      </c>
      <c r="I46" s="254">
        <f>I10*9.81/I$9</f>
        <v>37.795776277724201</v>
      </c>
      <c r="J46" s="255"/>
      <c r="K46" s="255"/>
      <c r="L46" s="254">
        <f t="shared" ref="L46:U50" si="32">L10*9.81/L$9</f>
        <v>31.6511320754717</v>
      </c>
      <c r="M46" s="255"/>
      <c r="N46" s="255"/>
      <c r="O46" s="254">
        <f t="shared" ref="O46" si="33">O10*9.81/O$9</f>
        <v>36.176362439222046</v>
      </c>
      <c r="P46" s="255"/>
      <c r="Q46" s="255"/>
      <c r="R46" s="254">
        <f t="shared" ref="R46" si="34">R10*9.81/R$9</f>
        <v>26.866282788051215</v>
      </c>
      <c r="S46" s="255"/>
      <c r="T46" s="255"/>
      <c r="U46" s="254">
        <f t="shared" ref="U46" si="35">U10*9.81/U$9</f>
        <v>28.99140402167713</v>
      </c>
      <c r="V46" s="255"/>
      <c r="W46" s="256"/>
      <c r="X46" s="208">
        <f t="shared" ref="X46" si="36">MAX(I46:K50)/MAX($O46:$Q50)</f>
        <v>1.0657153581696712</v>
      </c>
      <c r="Y46" s="209"/>
      <c r="Z46" s="210"/>
      <c r="AA46" s="208">
        <f t="shared" ref="AA46" si="37">MAX(L46:N50)/MAX($O46:$Q50)</f>
        <v>0.89629180272531794</v>
      </c>
      <c r="AB46" s="209"/>
      <c r="AC46" s="210"/>
      <c r="AD46" s="208">
        <f t="shared" ref="AD46" si="38">MAX(O46:Q50)/MAX($O46:$Q50)</f>
        <v>1</v>
      </c>
      <c r="AE46" s="209"/>
      <c r="AF46" s="210"/>
      <c r="AG46" s="208">
        <f t="shared" ref="AG46" si="39">MAX(R46:T50)/MAX($O46:$Q50)</f>
        <v>0.91891752883363931</v>
      </c>
      <c r="AH46" s="209"/>
      <c r="AI46" s="210"/>
      <c r="AJ46" s="208">
        <f t="shared" ref="AJ46" si="40">MAX(U46:W50)/MAX($O46:$Q50)</f>
        <v>1.0663604614475715</v>
      </c>
      <c r="AK46" s="209"/>
      <c r="AL46" s="210"/>
      <c r="AM46" s="246">
        <f t="shared" ref="AM46" si="41">X46*$F46</f>
        <v>0.20483634430719103</v>
      </c>
      <c r="AN46" s="247"/>
      <c r="AO46" s="248"/>
      <c r="AP46" s="246">
        <f t="shared" ref="AP46" si="42">AA46*$F46</f>
        <v>0.1722722065468503</v>
      </c>
      <c r="AQ46" s="247"/>
      <c r="AR46" s="248"/>
      <c r="AS46" s="246">
        <f t="shared" ref="AS46" si="43">AD46*$F46</f>
        <v>0.19220549158547387</v>
      </c>
      <c r="AT46" s="247"/>
      <c r="AU46" s="248"/>
      <c r="AV46" s="246">
        <f t="shared" ref="AV46" si="44">AG46*$F46</f>
        <v>0.1766209953559785</v>
      </c>
      <c r="AW46" s="247"/>
      <c r="AX46" s="248"/>
      <c r="AY46" s="246">
        <f t="shared" ref="AY46" si="45">AJ46*$F46</f>
        <v>0.20496033669984323</v>
      </c>
      <c r="AZ46" s="247"/>
      <c r="BA46" s="248"/>
      <c r="BB46" s="252">
        <f t="shared" si="4"/>
        <v>1.0447644187892811</v>
      </c>
      <c r="BC46" s="253"/>
      <c r="BD46" s="253"/>
      <c r="BE46" s="252">
        <f t="shared" si="5"/>
        <v>0.87491195745971029</v>
      </c>
      <c r="BF46" s="253"/>
      <c r="BG46" s="253"/>
      <c r="BH46" s="252">
        <f t="shared" si="6"/>
        <v>1</v>
      </c>
      <c r="BI46" s="253"/>
      <c r="BJ46" s="253"/>
      <c r="BK46" s="252">
        <f t="shared" si="7"/>
        <v>0.74264743541277278</v>
      </c>
      <c r="BL46" s="253"/>
      <c r="BM46" s="253"/>
      <c r="BN46" s="252">
        <f t="shared" si="8"/>
        <v>0.80139079959694737</v>
      </c>
      <c r="BO46" s="253"/>
      <c r="BP46" s="253"/>
      <c r="BQ46" s="244">
        <f t="shared" si="9"/>
        <v>4.5912498872575827E-2</v>
      </c>
      <c r="BR46" s="245"/>
      <c r="BS46" s="245"/>
      <c r="BT46" s="244">
        <f t="shared" si="10"/>
        <v>3.8448279380553674E-2</v>
      </c>
      <c r="BU46" s="245"/>
      <c r="BV46" s="245"/>
      <c r="BW46" s="244">
        <f t="shared" si="11"/>
        <v>4.39453125E-2</v>
      </c>
      <c r="BX46" s="245"/>
      <c r="BY46" s="245"/>
      <c r="BZ46" s="244">
        <f t="shared" si="12"/>
        <v>3.2635873626537866E-2</v>
      </c>
      <c r="CA46" s="245"/>
      <c r="CB46" s="245"/>
      <c r="CC46" s="244">
        <f t="shared" si="13"/>
        <v>3.5217369122912727E-2</v>
      </c>
      <c r="CD46" s="245"/>
      <c r="CE46" s="245"/>
    </row>
    <row r="47" spans="1:113" s="178" customFormat="1" ht="15.75" thickBot="1" x14ac:dyDescent="0.3">
      <c r="A47" s="37" t="s">
        <v>299</v>
      </c>
      <c r="B47" s="43" t="s">
        <v>309</v>
      </c>
      <c r="C47" s="28" t="s">
        <v>190</v>
      </c>
      <c r="D47" s="28" t="s">
        <v>186</v>
      </c>
      <c r="E47" s="28" t="s">
        <v>68</v>
      </c>
      <c r="F47" s="42">
        <f>AHP!J$5</f>
        <v>0.19220549158547387</v>
      </c>
      <c r="G47" s="42">
        <f>AHP!J$14</f>
        <v>4.39453125E-2</v>
      </c>
      <c r="H47" s="53" t="s">
        <v>69</v>
      </c>
      <c r="I47" s="254">
        <f t="shared" ref="I47:I50" si="46">I11*9.81/I$9</f>
        <v>37.795776277724201</v>
      </c>
      <c r="J47" s="255"/>
      <c r="K47" s="255"/>
      <c r="L47" s="254">
        <f t="shared" si="32"/>
        <v>31.6511320754717</v>
      </c>
      <c r="M47" s="255"/>
      <c r="N47" s="255"/>
      <c r="O47" s="254">
        <f t="shared" si="32"/>
        <v>36.176362439222046</v>
      </c>
      <c r="P47" s="255"/>
      <c r="Q47" s="255"/>
      <c r="R47" s="254">
        <f t="shared" si="32"/>
        <v>26.866282788051215</v>
      </c>
      <c r="S47" s="255"/>
      <c r="T47" s="255"/>
      <c r="U47" s="254">
        <f t="shared" si="32"/>
        <v>28.99140402167713</v>
      </c>
      <c r="V47" s="255"/>
      <c r="W47" s="256"/>
      <c r="X47" s="211"/>
      <c r="Y47" s="207"/>
      <c r="Z47" s="212"/>
      <c r="AA47" s="211"/>
      <c r="AB47" s="207"/>
      <c r="AC47" s="212"/>
      <c r="AD47" s="211"/>
      <c r="AE47" s="207"/>
      <c r="AF47" s="212"/>
      <c r="AG47" s="211"/>
      <c r="AH47" s="207"/>
      <c r="AI47" s="212"/>
      <c r="AJ47" s="211"/>
      <c r="AK47" s="207"/>
      <c r="AL47" s="212"/>
      <c r="AM47" s="211"/>
      <c r="AN47" s="207"/>
      <c r="AO47" s="249"/>
      <c r="AP47" s="211"/>
      <c r="AQ47" s="207"/>
      <c r="AR47" s="249"/>
      <c r="AS47" s="211"/>
      <c r="AT47" s="207"/>
      <c r="AU47" s="249"/>
      <c r="AV47" s="211"/>
      <c r="AW47" s="207"/>
      <c r="AX47" s="249"/>
      <c r="AY47" s="211"/>
      <c r="AZ47" s="207"/>
      <c r="BA47" s="249"/>
      <c r="BB47" s="252">
        <f t="shared" si="4"/>
        <v>1.0447644187892811</v>
      </c>
      <c r="BC47" s="253"/>
      <c r="BD47" s="253"/>
      <c r="BE47" s="252">
        <f t="shared" si="5"/>
        <v>0.87491195745971029</v>
      </c>
      <c r="BF47" s="253"/>
      <c r="BG47" s="253"/>
      <c r="BH47" s="252">
        <f t="shared" si="6"/>
        <v>1</v>
      </c>
      <c r="BI47" s="253"/>
      <c r="BJ47" s="253"/>
      <c r="BK47" s="252">
        <f t="shared" si="7"/>
        <v>0.74264743541277278</v>
      </c>
      <c r="BL47" s="253"/>
      <c r="BM47" s="253"/>
      <c r="BN47" s="252">
        <f t="shared" si="8"/>
        <v>0.80139079959694737</v>
      </c>
      <c r="BO47" s="253"/>
      <c r="BP47" s="253"/>
      <c r="BQ47" s="244">
        <f t="shared" si="9"/>
        <v>4.5912498872575827E-2</v>
      </c>
      <c r="BR47" s="245"/>
      <c r="BS47" s="245"/>
      <c r="BT47" s="244">
        <f t="shared" si="10"/>
        <v>3.8448279380553674E-2</v>
      </c>
      <c r="BU47" s="245"/>
      <c r="BV47" s="245"/>
      <c r="BW47" s="244">
        <f t="shared" si="11"/>
        <v>4.39453125E-2</v>
      </c>
      <c r="BX47" s="245"/>
      <c r="BY47" s="245"/>
      <c r="BZ47" s="244">
        <f t="shared" si="12"/>
        <v>3.2635873626537866E-2</v>
      </c>
      <c r="CA47" s="245"/>
      <c r="CB47" s="245"/>
      <c r="CC47" s="244">
        <f t="shared" si="13"/>
        <v>3.5217369122912727E-2</v>
      </c>
      <c r="CD47" s="245"/>
      <c r="CE47" s="245"/>
    </row>
    <row r="48" spans="1:113" s="178" customFormat="1" ht="15.75" thickBot="1" x14ac:dyDescent="0.3">
      <c r="A48" s="37" t="s">
        <v>300</v>
      </c>
      <c r="B48" s="43" t="s">
        <v>310</v>
      </c>
      <c r="C48" s="28" t="s">
        <v>190</v>
      </c>
      <c r="D48" s="28" t="s">
        <v>186</v>
      </c>
      <c r="E48" s="28" t="s">
        <v>68</v>
      </c>
      <c r="F48" s="42">
        <f>AHP!J$5</f>
        <v>0.19220549158547387</v>
      </c>
      <c r="G48" s="42">
        <f>AHP!J$14</f>
        <v>4.39453125E-2</v>
      </c>
      <c r="H48" s="53" t="s">
        <v>69</v>
      </c>
      <c r="I48" s="254">
        <f t="shared" si="46"/>
        <v>86.088977820636444</v>
      </c>
      <c r="J48" s="255"/>
      <c r="K48" s="255"/>
      <c r="L48" s="254">
        <f t="shared" si="32"/>
        <v>72.402864924607258</v>
      </c>
      <c r="M48" s="255"/>
      <c r="N48" s="255"/>
      <c r="O48" s="254">
        <f t="shared" si="32"/>
        <v>80.78046089951377</v>
      </c>
      <c r="P48" s="255"/>
      <c r="Q48" s="255"/>
      <c r="R48" s="254">
        <f t="shared" si="32"/>
        <v>74.230581507823615</v>
      </c>
      <c r="S48" s="255"/>
      <c r="T48" s="255"/>
      <c r="U48" s="254">
        <f t="shared" si="32"/>
        <v>86.141089560753002</v>
      </c>
      <c r="V48" s="255"/>
      <c r="W48" s="256"/>
      <c r="X48" s="211"/>
      <c r="Y48" s="207"/>
      <c r="Z48" s="212"/>
      <c r="AA48" s="211"/>
      <c r="AB48" s="207"/>
      <c r="AC48" s="212"/>
      <c r="AD48" s="211"/>
      <c r="AE48" s="207"/>
      <c r="AF48" s="212"/>
      <c r="AG48" s="211"/>
      <c r="AH48" s="207"/>
      <c r="AI48" s="212"/>
      <c r="AJ48" s="211"/>
      <c r="AK48" s="207"/>
      <c r="AL48" s="212"/>
      <c r="AM48" s="211"/>
      <c r="AN48" s="207"/>
      <c r="AO48" s="249"/>
      <c r="AP48" s="211"/>
      <c r="AQ48" s="207"/>
      <c r="AR48" s="249"/>
      <c r="AS48" s="211"/>
      <c r="AT48" s="207"/>
      <c r="AU48" s="249"/>
      <c r="AV48" s="211"/>
      <c r="AW48" s="207"/>
      <c r="AX48" s="249"/>
      <c r="AY48" s="211"/>
      <c r="AZ48" s="207"/>
      <c r="BA48" s="249"/>
      <c r="BB48" s="252">
        <f t="shared" si="4"/>
        <v>1.0657153581696712</v>
      </c>
      <c r="BC48" s="253"/>
      <c r="BD48" s="253"/>
      <c r="BE48" s="252">
        <f t="shared" si="5"/>
        <v>0.89629180272531794</v>
      </c>
      <c r="BF48" s="253"/>
      <c r="BG48" s="253"/>
      <c r="BH48" s="252">
        <f t="shared" si="6"/>
        <v>1</v>
      </c>
      <c r="BI48" s="253"/>
      <c r="BJ48" s="253"/>
      <c r="BK48" s="252">
        <f t="shared" si="7"/>
        <v>0.91891752883363931</v>
      </c>
      <c r="BL48" s="253"/>
      <c r="BM48" s="253"/>
      <c r="BN48" s="252">
        <f t="shared" si="8"/>
        <v>1.0663604614475715</v>
      </c>
      <c r="BO48" s="253"/>
      <c r="BP48" s="253"/>
      <c r="BQ48" s="244">
        <f t="shared" si="9"/>
        <v>4.6833194450815629E-2</v>
      </c>
      <c r="BR48" s="245"/>
      <c r="BS48" s="245"/>
      <c r="BT48" s="244">
        <f t="shared" si="10"/>
        <v>3.938782336195245E-2</v>
      </c>
      <c r="BU48" s="245"/>
      <c r="BV48" s="245"/>
      <c r="BW48" s="244">
        <f t="shared" si="11"/>
        <v>4.39453125E-2</v>
      </c>
      <c r="BX48" s="245"/>
      <c r="BY48" s="245"/>
      <c r="BZ48" s="244">
        <f t="shared" si="12"/>
        <v>4.0382117966322038E-2</v>
      </c>
      <c r="CA48" s="245"/>
      <c r="CB48" s="245"/>
      <c r="CC48" s="244">
        <f t="shared" si="13"/>
        <v>4.6861543715957729E-2</v>
      </c>
      <c r="CD48" s="245"/>
      <c r="CE48" s="245"/>
    </row>
    <row r="49" spans="1:113" s="178" customFormat="1" ht="15.75" thickBot="1" x14ac:dyDescent="0.3">
      <c r="A49" s="37" t="s">
        <v>301</v>
      </c>
      <c r="B49" s="43" t="s">
        <v>311</v>
      </c>
      <c r="C49" s="28" t="s">
        <v>190</v>
      </c>
      <c r="D49" s="28" t="s">
        <v>186</v>
      </c>
      <c r="E49" s="28" t="s">
        <v>68</v>
      </c>
      <c r="F49" s="42">
        <f>AHP!J$5</f>
        <v>0.19220549158547387</v>
      </c>
      <c r="G49" s="42">
        <f>AHP!J$14</f>
        <v>4.39453125E-2</v>
      </c>
      <c r="H49" s="53" t="s">
        <v>69</v>
      </c>
      <c r="I49" s="254">
        <f t="shared" si="46"/>
        <v>80.409836065573771</v>
      </c>
      <c r="J49" s="255"/>
      <c r="K49" s="255"/>
      <c r="L49" s="254">
        <f t="shared" si="32"/>
        <v>52.909875266440366</v>
      </c>
      <c r="M49" s="255"/>
      <c r="N49" s="255"/>
      <c r="O49" s="254">
        <f t="shared" si="32"/>
        <v>63.140944084278772</v>
      </c>
      <c r="P49" s="255"/>
      <c r="Q49" s="255"/>
      <c r="R49" s="254">
        <f t="shared" si="32"/>
        <v>49.77730753911807</v>
      </c>
      <c r="S49" s="255"/>
      <c r="T49" s="255"/>
      <c r="U49" s="254">
        <f t="shared" si="32"/>
        <v>49.918098260125497</v>
      </c>
      <c r="V49" s="255"/>
      <c r="W49" s="256"/>
      <c r="X49" s="211"/>
      <c r="Y49" s="207"/>
      <c r="Z49" s="212"/>
      <c r="AA49" s="211"/>
      <c r="AB49" s="207"/>
      <c r="AC49" s="212"/>
      <c r="AD49" s="211"/>
      <c r="AE49" s="207"/>
      <c r="AF49" s="212"/>
      <c r="AG49" s="211"/>
      <c r="AH49" s="207"/>
      <c r="AI49" s="212"/>
      <c r="AJ49" s="211"/>
      <c r="AK49" s="207"/>
      <c r="AL49" s="212"/>
      <c r="AM49" s="211"/>
      <c r="AN49" s="207"/>
      <c r="AO49" s="249"/>
      <c r="AP49" s="211"/>
      <c r="AQ49" s="207"/>
      <c r="AR49" s="249"/>
      <c r="AS49" s="211"/>
      <c r="AT49" s="207"/>
      <c r="AU49" s="249"/>
      <c r="AV49" s="211"/>
      <c r="AW49" s="207"/>
      <c r="AX49" s="249"/>
      <c r="AY49" s="211"/>
      <c r="AZ49" s="207"/>
      <c r="BA49" s="249"/>
      <c r="BB49" s="252">
        <f t="shared" si="4"/>
        <v>1.2734975257614927</v>
      </c>
      <c r="BC49" s="253"/>
      <c r="BD49" s="253"/>
      <c r="BE49" s="252">
        <f t="shared" si="5"/>
        <v>0.83796458912330707</v>
      </c>
      <c r="BF49" s="253"/>
      <c r="BG49" s="253"/>
      <c r="BH49" s="252">
        <f t="shared" si="6"/>
        <v>1</v>
      </c>
      <c r="BI49" s="253"/>
      <c r="BJ49" s="253"/>
      <c r="BK49" s="252">
        <f t="shared" si="7"/>
        <v>0.78835228489261588</v>
      </c>
      <c r="BL49" s="253"/>
      <c r="BM49" s="253"/>
      <c r="BN49" s="252">
        <f t="shared" si="8"/>
        <v>0.79058206975011669</v>
      </c>
      <c r="BO49" s="253"/>
      <c r="BP49" s="253"/>
      <c r="BQ49" s="244">
        <f t="shared" si="9"/>
        <v>5.5964246737565594E-2</v>
      </c>
      <c r="BR49" s="245"/>
      <c r="BS49" s="245"/>
      <c r="BT49" s="244">
        <f t="shared" si="10"/>
        <v>3.6824615732957831E-2</v>
      </c>
      <c r="BU49" s="245"/>
      <c r="BV49" s="245"/>
      <c r="BW49" s="244">
        <f t="shared" si="11"/>
        <v>4.39453125E-2</v>
      </c>
      <c r="BX49" s="245"/>
      <c r="BY49" s="245"/>
      <c r="BZ49" s="244">
        <f t="shared" si="12"/>
        <v>3.4644387519695036E-2</v>
      </c>
      <c r="CA49" s="245"/>
      <c r="CB49" s="245"/>
      <c r="CC49" s="244">
        <f t="shared" si="13"/>
        <v>3.4742376112065675E-2</v>
      </c>
      <c r="CD49" s="245"/>
      <c r="CE49" s="245"/>
    </row>
    <row r="50" spans="1:113" s="178" customFormat="1" ht="15.75" thickBot="1" x14ac:dyDescent="0.3">
      <c r="A50" s="37" t="s">
        <v>302</v>
      </c>
      <c r="B50" s="43" t="s">
        <v>312</v>
      </c>
      <c r="C50" s="28" t="s">
        <v>190</v>
      </c>
      <c r="D50" s="28" t="s">
        <v>186</v>
      </c>
      <c r="E50" s="28" t="s">
        <v>68</v>
      </c>
      <c r="F50" s="42">
        <f>AHP!J$5</f>
        <v>0.19220549158547387</v>
      </c>
      <c r="G50" s="42">
        <f>AHP!J$14</f>
        <v>4.39453125E-2</v>
      </c>
      <c r="H50" s="53" t="s">
        <v>69</v>
      </c>
      <c r="I50" s="254">
        <f t="shared" si="46"/>
        <v>86.088977820636444</v>
      </c>
      <c r="J50" s="255"/>
      <c r="K50" s="255"/>
      <c r="L50" s="254">
        <f t="shared" si="32"/>
        <v>72.402864924607258</v>
      </c>
      <c r="M50" s="255"/>
      <c r="N50" s="255"/>
      <c r="O50" s="254">
        <f t="shared" si="32"/>
        <v>80.78046089951377</v>
      </c>
      <c r="P50" s="255"/>
      <c r="Q50" s="255"/>
      <c r="R50" s="254">
        <f t="shared" si="32"/>
        <v>74.230581507823615</v>
      </c>
      <c r="S50" s="255"/>
      <c r="T50" s="255"/>
      <c r="U50" s="254">
        <f t="shared" si="32"/>
        <v>86.141089560753002</v>
      </c>
      <c r="V50" s="255"/>
      <c r="W50" s="256"/>
      <c r="X50" s="213"/>
      <c r="Y50" s="214"/>
      <c r="Z50" s="215"/>
      <c r="AA50" s="213"/>
      <c r="AB50" s="214"/>
      <c r="AC50" s="215"/>
      <c r="AD50" s="213"/>
      <c r="AE50" s="214"/>
      <c r="AF50" s="215"/>
      <c r="AG50" s="213"/>
      <c r="AH50" s="214"/>
      <c r="AI50" s="215"/>
      <c r="AJ50" s="213"/>
      <c r="AK50" s="214"/>
      <c r="AL50" s="215"/>
      <c r="AM50" s="250"/>
      <c r="AN50" s="236"/>
      <c r="AO50" s="251"/>
      <c r="AP50" s="250"/>
      <c r="AQ50" s="236"/>
      <c r="AR50" s="251"/>
      <c r="AS50" s="250"/>
      <c r="AT50" s="236"/>
      <c r="AU50" s="251"/>
      <c r="AV50" s="250"/>
      <c r="AW50" s="236"/>
      <c r="AX50" s="251"/>
      <c r="AY50" s="250"/>
      <c r="AZ50" s="236"/>
      <c r="BA50" s="251"/>
      <c r="BB50" s="252">
        <f t="shared" si="4"/>
        <v>1.0657153581696712</v>
      </c>
      <c r="BC50" s="253"/>
      <c r="BD50" s="253"/>
      <c r="BE50" s="252">
        <f t="shared" si="5"/>
        <v>0.89629180272531794</v>
      </c>
      <c r="BF50" s="253"/>
      <c r="BG50" s="253"/>
      <c r="BH50" s="252">
        <f t="shared" si="6"/>
        <v>1</v>
      </c>
      <c r="BI50" s="253"/>
      <c r="BJ50" s="253"/>
      <c r="BK50" s="252">
        <f t="shared" si="7"/>
        <v>0.91891752883363931</v>
      </c>
      <c r="BL50" s="253"/>
      <c r="BM50" s="253"/>
      <c r="BN50" s="252">
        <f t="shared" si="8"/>
        <v>1.0663604614475715</v>
      </c>
      <c r="BO50" s="253"/>
      <c r="BP50" s="253"/>
      <c r="BQ50" s="244">
        <f t="shared" si="9"/>
        <v>4.6833194450815629E-2</v>
      </c>
      <c r="BR50" s="245"/>
      <c r="BS50" s="245"/>
      <c r="BT50" s="244">
        <f t="shared" si="10"/>
        <v>3.938782336195245E-2</v>
      </c>
      <c r="BU50" s="245"/>
      <c r="BV50" s="245"/>
      <c r="BW50" s="244">
        <f t="shared" si="11"/>
        <v>4.39453125E-2</v>
      </c>
      <c r="BX50" s="245"/>
      <c r="BY50" s="245"/>
      <c r="BZ50" s="244">
        <f t="shared" si="12"/>
        <v>4.0382117966322038E-2</v>
      </c>
      <c r="CA50" s="245"/>
      <c r="CB50" s="245"/>
      <c r="CC50" s="244">
        <f t="shared" si="13"/>
        <v>4.6861543715957729E-2</v>
      </c>
      <c r="CD50" s="245"/>
      <c r="CE50" s="245"/>
    </row>
    <row r="51" spans="1:113" ht="15.75" thickBot="1" x14ac:dyDescent="0.3">
      <c r="A51" s="37" t="s">
        <v>146</v>
      </c>
      <c r="B51" s="43" t="s">
        <v>303</v>
      </c>
      <c r="C51" s="28" t="s">
        <v>190</v>
      </c>
      <c r="D51" s="28" t="s">
        <v>186</v>
      </c>
      <c r="E51" s="43" t="s">
        <v>68</v>
      </c>
      <c r="F51" s="42">
        <f>AHP!J$6</f>
        <v>0.19220549158547387</v>
      </c>
      <c r="G51" s="42">
        <f>AHP!J$15</f>
        <v>4.39453125E-2</v>
      </c>
      <c r="H51" s="53" t="s">
        <v>69</v>
      </c>
      <c r="I51" s="254">
        <f>I10*9.81/I4</f>
        <v>386.36142387732747</v>
      </c>
      <c r="J51" s="255"/>
      <c r="K51" s="255"/>
      <c r="L51" s="255">
        <f>L10*9.81/L4</f>
        <v>339.19195431472082</v>
      </c>
      <c r="M51" s="255"/>
      <c r="N51" s="255"/>
      <c r="O51" s="255">
        <f>O10*9.81/O4</f>
        <v>421.64468713105083</v>
      </c>
      <c r="P51" s="255"/>
      <c r="Q51" s="255"/>
      <c r="R51" s="256">
        <f>R10*9.81/R4</f>
        <v>373.85187648456071</v>
      </c>
      <c r="S51" s="282"/>
      <c r="T51" s="283"/>
      <c r="U51" s="255">
        <f>U10*9.81/U4</f>
        <v>545.00730563002685</v>
      </c>
      <c r="V51" s="255"/>
      <c r="W51" s="256"/>
      <c r="X51" s="208">
        <f t="shared" ref="X51" si="47">MAX(I51:K55)/MAX($O51:$Q55)</f>
        <v>1.1782224986774139</v>
      </c>
      <c r="Y51" s="209"/>
      <c r="Z51" s="210"/>
      <c r="AA51" s="208">
        <f t="shared" ref="AA51" si="48">MAX(L51:N55)/MAX($O51:$Q55)</f>
        <v>0.75087662130919408</v>
      </c>
      <c r="AB51" s="209"/>
      <c r="AC51" s="210"/>
      <c r="AD51" s="208">
        <f t="shared" ref="AD51" si="49">MAX(O51:Q55)/MAX($O51:$Q55)</f>
        <v>1</v>
      </c>
      <c r="AE51" s="209"/>
      <c r="AF51" s="210"/>
      <c r="AG51" s="208">
        <f t="shared" ref="AG51" si="50">MAX(R51:T55)/MAX($O51:$Q55)</f>
        <v>0.76367605883569367</v>
      </c>
      <c r="AH51" s="209"/>
      <c r="AI51" s="210"/>
      <c r="AJ51" s="208">
        <f t="shared" ref="AJ51" si="51">MAX(U51:W55)/MAX($O51:$Q55)</f>
        <v>1.1132992968068942</v>
      </c>
      <c r="AK51" s="209"/>
      <c r="AL51" s="210"/>
      <c r="AM51" s="246">
        <f t="shared" ref="AM51" si="52">X51*$F51</f>
        <v>0.22646083455535768</v>
      </c>
      <c r="AN51" s="247"/>
      <c r="AO51" s="248"/>
      <c r="AP51" s="246">
        <f t="shared" ref="AP51" si="53">AA51*$F51</f>
        <v>0.14432261011877334</v>
      </c>
      <c r="AQ51" s="247"/>
      <c r="AR51" s="248"/>
      <c r="AS51" s="246">
        <f t="shared" ref="AS51" si="54">AD51*$F51</f>
        <v>0.19220549158547387</v>
      </c>
      <c r="AT51" s="247"/>
      <c r="AU51" s="248"/>
      <c r="AV51" s="246">
        <f t="shared" ref="AV51" si="55">AG51*$F51</f>
        <v>0.14678273230057176</v>
      </c>
      <c r="AW51" s="247"/>
      <c r="AX51" s="248"/>
      <c r="AY51" s="246">
        <f t="shared" ref="AY51" si="56">AJ51*$F51</f>
        <v>0.21398223862453147</v>
      </c>
      <c r="AZ51" s="247"/>
      <c r="BA51" s="248"/>
      <c r="BB51" s="252">
        <f t="shared" si="4"/>
        <v>0.91631991501233589</v>
      </c>
      <c r="BC51" s="253"/>
      <c r="BD51" s="253"/>
      <c r="BE51" s="252">
        <f t="shared" si="5"/>
        <v>0.80444972904235124</v>
      </c>
      <c r="BF51" s="253"/>
      <c r="BG51" s="253"/>
      <c r="BH51" s="252">
        <f t="shared" si="6"/>
        <v>1</v>
      </c>
      <c r="BI51" s="253"/>
      <c r="BJ51" s="253"/>
      <c r="BK51" s="252">
        <f t="shared" si="7"/>
        <v>0.88665145771981302</v>
      </c>
      <c r="BL51" s="253"/>
      <c r="BM51" s="253"/>
      <c r="BN51" s="252">
        <f t="shared" si="8"/>
        <v>1.2925748201367324</v>
      </c>
      <c r="BO51" s="253"/>
      <c r="BP51" s="253"/>
      <c r="BQ51" s="244">
        <f t="shared" si="9"/>
        <v>4.0267965015190539E-2</v>
      </c>
      <c r="BR51" s="245"/>
      <c r="BS51" s="245"/>
      <c r="BT51" s="244">
        <f t="shared" si="10"/>
        <v>3.5351794733306449E-2</v>
      </c>
      <c r="BU51" s="245"/>
      <c r="BV51" s="245"/>
      <c r="BW51" s="244">
        <f t="shared" si="11"/>
        <v>4.39453125E-2</v>
      </c>
      <c r="BX51" s="245"/>
      <c r="BY51" s="245"/>
      <c r="BZ51" s="244">
        <f t="shared" si="12"/>
        <v>3.8964175388077719E-2</v>
      </c>
      <c r="CA51" s="245"/>
      <c r="CB51" s="245"/>
      <c r="CC51" s="244">
        <f t="shared" si="13"/>
        <v>5.6802604400539997E-2</v>
      </c>
      <c r="CD51" s="245"/>
      <c r="CE51" s="245"/>
      <c r="CF51" s="221"/>
      <c r="CG51" s="221"/>
      <c r="CH51" s="221"/>
      <c r="CI51" s="221"/>
      <c r="CJ51" s="221"/>
      <c r="CK51" s="221"/>
      <c r="CL51" s="221"/>
      <c r="CM51" s="221"/>
      <c r="CN51" s="221"/>
      <c r="CO51" s="221"/>
      <c r="CP51" s="221"/>
      <c r="CQ51" s="221"/>
      <c r="CR51" s="221"/>
      <c r="CS51" s="221"/>
      <c r="CT51" s="221"/>
      <c r="CU51" s="221"/>
      <c r="CV51" s="221"/>
      <c r="CW51" s="221"/>
      <c r="CX51" s="221"/>
      <c r="CY51" s="221"/>
      <c r="CZ51" s="221"/>
      <c r="DA51" s="221"/>
      <c r="DB51" s="221"/>
      <c r="DC51" s="221"/>
      <c r="DD51" s="221"/>
      <c r="DE51" s="221"/>
      <c r="DF51" s="221"/>
      <c r="DG51" s="221"/>
      <c r="DH51" s="221"/>
      <c r="DI51" s="221"/>
    </row>
    <row r="52" spans="1:113" ht="15.75" thickBot="1" x14ac:dyDescent="0.3">
      <c r="A52" s="37" t="s">
        <v>147</v>
      </c>
      <c r="B52" s="43" t="s">
        <v>304</v>
      </c>
      <c r="C52" s="28" t="s">
        <v>190</v>
      </c>
      <c r="D52" s="28" t="s">
        <v>186</v>
      </c>
      <c r="E52" s="43" t="s">
        <v>68</v>
      </c>
      <c r="F52" s="42">
        <f>AHP!J$6</f>
        <v>0.19220549158547387</v>
      </c>
      <c r="G52" s="42">
        <f>AHP!J$15</f>
        <v>4.39453125E-2</v>
      </c>
      <c r="H52" s="53" t="s">
        <v>69</v>
      </c>
      <c r="I52" s="254">
        <f>I11*9.81/I5</f>
        <v>386.36142387732747</v>
      </c>
      <c r="J52" s="255"/>
      <c r="K52" s="255"/>
      <c r="L52" s="255">
        <f>L11*9.81/L5</f>
        <v>339.19195431472082</v>
      </c>
      <c r="M52" s="255"/>
      <c r="N52" s="255"/>
      <c r="O52" s="255">
        <f>O11*9.81/O5</f>
        <v>421.64468713105083</v>
      </c>
      <c r="P52" s="255"/>
      <c r="Q52" s="255"/>
      <c r="R52" s="256">
        <f>R11*9.81/R5</f>
        <v>373.85187648456071</v>
      </c>
      <c r="S52" s="282"/>
      <c r="T52" s="283"/>
      <c r="U52" s="255">
        <f>U11*9.81/U5</f>
        <v>545.00730563002685</v>
      </c>
      <c r="V52" s="255"/>
      <c r="W52" s="256"/>
      <c r="X52" s="211"/>
      <c r="Y52" s="207"/>
      <c r="Z52" s="212"/>
      <c r="AA52" s="211"/>
      <c r="AB52" s="207"/>
      <c r="AC52" s="212"/>
      <c r="AD52" s="211"/>
      <c r="AE52" s="207"/>
      <c r="AF52" s="212"/>
      <c r="AG52" s="211"/>
      <c r="AH52" s="207"/>
      <c r="AI52" s="212"/>
      <c r="AJ52" s="211"/>
      <c r="AK52" s="207"/>
      <c r="AL52" s="212"/>
      <c r="AM52" s="211"/>
      <c r="AN52" s="207"/>
      <c r="AO52" s="249"/>
      <c r="AP52" s="211"/>
      <c r="AQ52" s="207"/>
      <c r="AR52" s="249"/>
      <c r="AS52" s="211"/>
      <c r="AT52" s="207"/>
      <c r="AU52" s="249"/>
      <c r="AV52" s="211"/>
      <c r="AW52" s="207"/>
      <c r="AX52" s="249"/>
      <c r="AY52" s="211"/>
      <c r="AZ52" s="207"/>
      <c r="BA52" s="249"/>
      <c r="BB52" s="252">
        <f t="shared" si="4"/>
        <v>0.91631991501233589</v>
      </c>
      <c r="BC52" s="253"/>
      <c r="BD52" s="253"/>
      <c r="BE52" s="252">
        <f t="shared" si="5"/>
        <v>0.80444972904235124</v>
      </c>
      <c r="BF52" s="253"/>
      <c r="BG52" s="253"/>
      <c r="BH52" s="252">
        <f t="shared" si="6"/>
        <v>1</v>
      </c>
      <c r="BI52" s="253"/>
      <c r="BJ52" s="253"/>
      <c r="BK52" s="252">
        <f t="shared" si="7"/>
        <v>0.88665145771981302</v>
      </c>
      <c r="BL52" s="253"/>
      <c r="BM52" s="253"/>
      <c r="BN52" s="252">
        <f t="shared" si="8"/>
        <v>1.2925748201367324</v>
      </c>
      <c r="BO52" s="253"/>
      <c r="BP52" s="253"/>
      <c r="BQ52" s="244">
        <f t="shared" si="9"/>
        <v>4.0267965015190539E-2</v>
      </c>
      <c r="BR52" s="245"/>
      <c r="BS52" s="245"/>
      <c r="BT52" s="244">
        <f t="shared" si="10"/>
        <v>3.5351794733306449E-2</v>
      </c>
      <c r="BU52" s="245"/>
      <c r="BV52" s="245"/>
      <c r="BW52" s="244">
        <f t="shared" si="11"/>
        <v>4.39453125E-2</v>
      </c>
      <c r="BX52" s="245"/>
      <c r="BY52" s="245"/>
      <c r="BZ52" s="244">
        <f t="shared" si="12"/>
        <v>3.8964175388077719E-2</v>
      </c>
      <c r="CA52" s="245"/>
      <c r="CB52" s="245"/>
      <c r="CC52" s="244">
        <f t="shared" si="13"/>
        <v>5.6802604400539997E-2</v>
      </c>
      <c r="CD52" s="245"/>
      <c r="CE52" s="245"/>
      <c r="CF52" s="221"/>
      <c r="CG52" s="221"/>
      <c r="CH52" s="221"/>
      <c r="CI52" s="221"/>
      <c r="CJ52" s="221"/>
      <c r="CK52" s="221"/>
      <c r="CL52" s="221"/>
      <c r="CM52" s="221"/>
      <c r="CN52" s="221"/>
      <c r="CO52" s="221"/>
      <c r="CP52" s="221"/>
      <c r="CQ52" s="221"/>
      <c r="CR52" s="221"/>
      <c r="CS52" s="221"/>
      <c r="CT52" s="221"/>
      <c r="CU52" s="221"/>
      <c r="CV52" s="221"/>
      <c r="CW52" s="221"/>
      <c r="CX52" s="221"/>
      <c r="CY52" s="221"/>
      <c r="CZ52" s="221"/>
      <c r="DA52" s="221"/>
      <c r="DB52" s="221"/>
      <c r="DC52" s="221"/>
      <c r="DD52" s="221"/>
      <c r="DE52" s="221"/>
      <c r="DF52" s="221"/>
      <c r="DG52" s="221"/>
      <c r="DH52" s="221"/>
      <c r="DI52" s="221"/>
    </row>
    <row r="53" spans="1:113" ht="15.75" thickBot="1" x14ac:dyDescent="0.3">
      <c r="A53" s="37" t="s">
        <v>148</v>
      </c>
      <c r="B53" s="43" t="s">
        <v>305</v>
      </c>
      <c r="C53" s="28" t="s">
        <v>190</v>
      </c>
      <c r="D53" s="28" t="s">
        <v>186</v>
      </c>
      <c r="E53" s="43" t="s">
        <v>68</v>
      </c>
      <c r="F53" s="42">
        <f>AHP!J$6</f>
        <v>0.19220549158547387</v>
      </c>
      <c r="G53" s="42">
        <f>AHP!J$15</f>
        <v>4.39453125E-2</v>
      </c>
      <c r="H53" s="53" t="s">
        <v>69</v>
      </c>
      <c r="I53" s="254">
        <f>I12*9.81/I6</f>
        <v>576.78997128499645</v>
      </c>
      <c r="J53" s="255"/>
      <c r="K53" s="255"/>
      <c r="L53" s="255">
        <f>L12*9.81/L6</f>
        <v>367.58600801603205</v>
      </c>
      <c r="M53" s="255"/>
      <c r="N53" s="255"/>
      <c r="O53" s="255">
        <f>O12*9.81/O6</f>
        <v>489.54248618784527</v>
      </c>
      <c r="P53" s="255"/>
      <c r="Q53" s="255"/>
      <c r="R53" s="256">
        <f>R12*9.81/R6</f>
        <v>323.08134472511142</v>
      </c>
      <c r="S53" s="282"/>
      <c r="T53" s="283"/>
      <c r="U53" s="255">
        <f>U12*9.81/U6</f>
        <v>359.96502979737789</v>
      </c>
      <c r="V53" s="255"/>
      <c r="W53" s="256"/>
      <c r="X53" s="211"/>
      <c r="Y53" s="207"/>
      <c r="Z53" s="212"/>
      <c r="AA53" s="211"/>
      <c r="AB53" s="207"/>
      <c r="AC53" s="212"/>
      <c r="AD53" s="211"/>
      <c r="AE53" s="207"/>
      <c r="AF53" s="212"/>
      <c r="AG53" s="211"/>
      <c r="AH53" s="207"/>
      <c r="AI53" s="212"/>
      <c r="AJ53" s="211"/>
      <c r="AK53" s="207"/>
      <c r="AL53" s="212"/>
      <c r="AM53" s="211"/>
      <c r="AN53" s="207"/>
      <c r="AO53" s="249"/>
      <c r="AP53" s="211"/>
      <c r="AQ53" s="207"/>
      <c r="AR53" s="249"/>
      <c r="AS53" s="211"/>
      <c r="AT53" s="207"/>
      <c r="AU53" s="249"/>
      <c r="AV53" s="211"/>
      <c r="AW53" s="207"/>
      <c r="AX53" s="249"/>
      <c r="AY53" s="211"/>
      <c r="AZ53" s="207"/>
      <c r="BA53" s="249"/>
      <c r="BB53" s="252">
        <f t="shared" si="4"/>
        <v>1.1782224986774139</v>
      </c>
      <c r="BC53" s="253"/>
      <c r="BD53" s="253"/>
      <c r="BE53" s="252">
        <f t="shared" si="5"/>
        <v>0.75087662130919408</v>
      </c>
      <c r="BF53" s="253"/>
      <c r="BG53" s="253"/>
      <c r="BH53" s="252">
        <f t="shared" si="6"/>
        <v>1</v>
      </c>
      <c r="BI53" s="253"/>
      <c r="BJ53" s="253"/>
      <c r="BK53" s="252">
        <f t="shared" si="7"/>
        <v>0.65996589436190412</v>
      </c>
      <c r="BL53" s="253"/>
      <c r="BM53" s="253"/>
      <c r="BN53" s="252">
        <f t="shared" si="8"/>
        <v>0.73530906908711813</v>
      </c>
      <c r="BO53" s="253"/>
      <c r="BP53" s="253"/>
      <c r="BQ53" s="244">
        <f t="shared" si="9"/>
        <v>5.1777355898909791E-2</v>
      </c>
      <c r="BR53" s="245"/>
      <c r="BS53" s="245"/>
      <c r="BT53" s="244">
        <f t="shared" si="10"/>
        <v>3.2997507772376693E-2</v>
      </c>
      <c r="BU53" s="245"/>
      <c r="BV53" s="245"/>
      <c r="BW53" s="244">
        <f t="shared" si="11"/>
        <v>4.39453125E-2</v>
      </c>
      <c r="BX53" s="245"/>
      <c r="BY53" s="245"/>
      <c r="BZ53" s="244">
        <f t="shared" si="12"/>
        <v>2.9002407467075865E-2</v>
      </c>
      <c r="CA53" s="245"/>
      <c r="CB53" s="245"/>
      <c r="CC53" s="244">
        <f t="shared" si="13"/>
        <v>3.2313386825117495E-2</v>
      </c>
      <c r="CD53" s="245"/>
      <c r="CE53" s="245"/>
      <c r="CF53" s="221"/>
      <c r="CG53" s="221"/>
      <c r="CH53" s="221"/>
      <c r="CI53" s="221"/>
      <c r="CJ53" s="221"/>
      <c r="CK53" s="221"/>
      <c r="CL53" s="221"/>
      <c r="CM53" s="221"/>
      <c r="CN53" s="221"/>
      <c r="CO53" s="221"/>
      <c r="CP53" s="221"/>
      <c r="CQ53" s="221"/>
      <c r="CR53" s="221"/>
      <c r="CS53" s="221"/>
      <c r="CT53" s="221"/>
      <c r="CU53" s="221"/>
      <c r="CV53" s="221"/>
      <c r="CW53" s="221"/>
      <c r="CX53" s="221"/>
      <c r="CY53" s="221"/>
      <c r="CZ53" s="221"/>
      <c r="DA53" s="221"/>
      <c r="DB53" s="221"/>
      <c r="DC53" s="221"/>
      <c r="DD53" s="221"/>
      <c r="DE53" s="221"/>
      <c r="DF53" s="221"/>
      <c r="DG53" s="221"/>
      <c r="DH53" s="221"/>
      <c r="DI53" s="221"/>
    </row>
    <row r="54" spans="1:113" ht="15.75" thickBot="1" x14ac:dyDescent="0.3">
      <c r="A54" s="37" t="s">
        <v>149</v>
      </c>
      <c r="B54" s="43" t="s">
        <v>306</v>
      </c>
      <c r="C54" s="28" t="s">
        <v>190</v>
      </c>
      <c r="D54" s="28" t="s">
        <v>186</v>
      </c>
      <c r="E54" s="43" t="s">
        <v>68</v>
      </c>
      <c r="F54" s="42">
        <f>AHP!J$6</f>
        <v>0.19220549158547387</v>
      </c>
      <c r="G54" s="42">
        <f>AHP!J$15</f>
        <v>4.39453125E-2</v>
      </c>
      <c r="H54" s="53" t="s">
        <v>69</v>
      </c>
      <c r="I54" s="254">
        <f>I13*9.81/I7</f>
        <v>166.06882053551672</v>
      </c>
      <c r="J54" s="255"/>
      <c r="K54" s="255"/>
      <c r="L54" s="255">
        <f>L13*9.81/L7</f>
        <v>134.41824909747294</v>
      </c>
      <c r="M54" s="255"/>
      <c r="N54" s="255"/>
      <c r="O54" s="255">
        <f>O13*9.81/O7</f>
        <v>135.4765051075853</v>
      </c>
      <c r="P54" s="255"/>
      <c r="Q54" s="255"/>
      <c r="R54" s="256">
        <f>R13*9.81/R7</f>
        <v>131.10088116289526</v>
      </c>
      <c r="S54" s="282"/>
      <c r="T54" s="283"/>
      <c r="U54" s="255">
        <f>U13*9.81/U7</f>
        <v>126.72907494569151</v>
      </c>
      <c r="V54" s="255"/>
      <c r="W54" s="256"/>
      <c r="X54" s="211"/>
      <c r="Y54" s="207"/>
      <c r="Z54" s="212"/>
      <c r="AA54" s="211"/>
      <c r="AB54" s="207"/>
      <c r="AC54" s="212"/>
      <c r="AD54" s="211"/>
      <c r="AE54" s="207"/>
      <c r="AF54" s="212"/>
      <c r="AG54" s="211"/>
      <c r="AH54" s="207"/>
      <c r="AI54" s="212"/>
      <c r="AJ54" s="211"/>
      <c r="AK54" s="207"/>
      <c r="AL54" s="212"/>
      <c r="AM54" s="211"/>
      <c r="AN54" s="207"/>
      <c r="AO54" s="249"/>
      <c r="AP54" s="211"/>
      <c r="AQ54" s="207"/>
      <c r="AR54" s="249"/>
      <c r="AS54" s="211"/>
      <c r="AT54" s="207"/>
      <c r="AU54" s="249"/>
      <c r="AV54" s="211"/>
      <c r="AW54" s="207"/>
      <c r="AX54" s="249"/>
      <c r="AY54" s="211"/>
      <c r="AZ54" s="207"/>
      <c r="BA54" s="249"/>
      <c r="BB54" s="252">
        <f t="shared" si="4"/>
        <v>1.2258127001699468</v>
      </c>
      <c r="BC54" s="253"/>
      <c r="BD54" s="253"/>
      <c r="BE54" s="252">
        <f t="shared" si="5"/>
        <v>0.99218863810169911</v>
      </c>
      <c r="BF54" s="253"/>
      <c r="BG54" s="253"/>
      <c r="BH54" s="252">
        <f t="shared" si="6"/>
        <v>1</v>
      </c>
      <c r="BI54" s="253"/>
      <c r="BJ54" s="253"/>
      <c r="BK54" s="252">
        <f t="shared" si="7"/>
        <v>0.96770197207836706</v>
      </c>
      <c r="BL54" s="253"/>
      <c r="BM54" s="253"/>
      <c r="BN54" s="252">
        <f t="shared" si="8"/>
        <v>0.93543212415357757</v>
      </c>
      <c r="BO54" s="253"/>
      <c r="BP54" s="253"/>
      <c r="BQ54" s="244">
        <f t="shared" si="9"/>
        <v>5.3868722175437117E-2</v>
      </c>
      <c r="BR54" s="245"/>
      <c r="BS54" s="245"/>
      <c r="BT54" s="244">
        <f t="shared" si="10"/>
        <v>4.3602039760328573E-2</v>
      </c>
      <c r="BU54" s="245"/>
      <c r="BV54" s="245"/>
      <c r="BW54" s="244">
        <f t="shared" si="11"/>
        <v>4.39453125E-2</v>
      </c>
      <c r="BX54" s="245"/>
      <c r="BY54" s="245"/>
      <c r="BZ54" s="244">
        <f t="shared" si="12"/>
        <v>4.2525965569850117E-2</v>
      </c>
      <c r="CA54" s="245"/>
      <c r="CB54" s="245"/>
      <c r="CC54" s="244">
        <f t="shared" si="13"/>
        <v>4.1107857018467767E-2</v>
      </c>
      <c r="CD54" s="245"/>
      <c r="CE54" s="245"/>
      <c r="CF54" s="221"/>
      <c r="CG54" s="221"/>
      <c r="CH54" s="221"/>
      <c r="CI54" s="221"/>
      <c r="CJ54" s="221"/>
      <c r="CK54" s="221"/>
      <c r="CL54" s="221"/>
      <c r="CM54" s="221"/>
      <c r="CN54" s="221"/>
      <c r="CO54" s="221"/>
      <c r="CP54" s="221"/>
      <c r="CQ54" s="221"/>
      <c r="CR54" s="221"/>
      <c r="CS54" s="221"/>
      <c r="CT54" s="221"/>
      <c r="CU54" s="221"/>
      <c r="CV54" s="221"/>
      <c r="CW54" s="221"/>
      <c r="CX54" s="221"/>
      <c r="CY54" s="221"/>
      <c r="CZ54" s="221"/>
      <c r="DA54" s="221"/>
      <c r="DB54" s="221"/>
      <c r="DC54" s="221"/>
      <c r="DD54" s="221"/>
      <c r="DE54" s="221"/>
      <c r="DF54" s="221"/>
      <c r="DG54" s="221"/>
      <c r="DH54" s="221"/>
      <c r="DI54" s="221"/>
    </row>
    <row r="55" spans="1:113" ht="15.75" thickBot="1" x14ac:dyDescent="0.3">
      <c r="A55" s="37" t="s">
        <v>150</v>
      </c>
      <c r="B55" s="43" t="s">
        <v>307</v>
      </c>
      <c r="C55" s="28" t="s">
        <v>190</v>
      </c>
      <c r="D55" s="28" t="s">
        <v>186</v>
      </c>
      <c r="E55" s="43" t="s">
        <v>68</v>
      </c>
      <c r="F55" s="42">
        <f>AHP!J$6</f>
        <v>0.19220549158547387</v>
      </c>
      <c r="G55" s="42">
        <f>AHP!J$15</f>
        <v>4.39453125E-2</v>
      </c>
      <c r="H55" s="53" t="s">
        <v>69</v>
      </c>
      <c r="I55" s="254">
        <f>I14*9.81/I8</f>
        <v>576.78997128499645</v>
      </c>
      <c r="J55" s="255"/>
      <c r="K55" s="255"/>
      <c r="L55" s="255">
        <f>L14*9.81/L8</f>
        <v>367.58600801603205</v>
      </c>
      <c r="M55" s="255"/>
      <c r="N55" s="255"/>
      <c r="O55" s="255">
        <f>O14*9.81/O8</f>
        <v>489.54248618784527</v>
      </c>
      <c r="P55" s="255"/>
      <c r="Q55" s="255"/>
      <c r="R55" s="256">
        <f>R14*9.81/R8</f>
        <v>323.08134472511142</v>
      </c>
      <c r="S55" s="282"/>
      <c r="T55" s="283"/>
      <c r="U55" s="255">
        <f>U14*9.81/U8</f>
        <v>359.96502979737789</v>
      </c>
      <c r="V55" s="255"/>
      <c r="W55" s="256"/>
      <c r="X55" s="213"/>
      <c r="Y55" s="214"/>
      <c r="Z55" s="215"/>
      <c r="AA55" s="213"/>
      <c r="AB55" s="214"/>
      <c r="AC55" s="215"/>
      <c r="AD55" s="213"/>
      <c r="AE55" s="214"/>
      <c r="AF55" s="215"/>
      <c r="AG55" s="213"/>
      <c r="AH55" s="214"/>
      <c r="AI55" s="215"/>
      <c r="AJ55" s="213"/>
      <c r="AK55" s="214"/>
      <c r="AL55" s="215"/>
      <c r="AM55" s="250"/>
      <c r="AN55" s="236"/>
      <c r="AO55" s="251"/>
      <c r="AP55" s="250"/>
      <c r="AQ55" s="236"/>
      <c r="AR55" s="251"/>
      <c r="AS55" s="250"/>
      <c r="AT55" s="236"/>
      <c r="AU55" s="251"/>
      <c r="AV55" s="250"/>
      <c r="AW55" s="236"/>
      <c r="AX55" s="251"/>
      <c r="AY55" s="250"/>
      <c r="AZ55" s="236"/>
      <c r="BA55" s="251"/>
      <c r="BB55" s="252">
        <f t="shared" si="4"/>
        <v>1.1782224986774139</v>
      </c>
      <c r="BC55" s="253"/>
      <c r="BD55" s="253"/>
      <c r="BE55" s="252">
        <f t="shared" si="5"/>
        <v>0.75087662130919408</v>
      </c>
      <c r="BF55" s="253"/>
      <c r="BG55" s="253"/>
      <c r="BH55" s="252">
        <f t="shared" si="6"/>
        <v>1</v>
      </c>
      <c r="BI55" s="253"/>
      <c r="BJ55" s="253"/>
      <c r="BK55" s="252">
        <f t="shared" si="7"/>
        <v>0.65996589436190412</v>
      </c>
      <c r="BL55" s="253"/>
      <c r="BM55" s="253"/>
      <c r="BN55" s="252">
        <f t="shared" si="8"/>
        <v>0.73530906908711813</v>
      </c>
      <c r="BO55" s="253"/>
      <c r="BP55" s="253"/>
      <c r="BQ55" s="244">
        <f t="shared" si="9"/>
        <v>5.1777355898909791E-2</v>
      </c>
      <c r="BR55" s="245"/>
      <c r="BS55" s="245"/>
      <c r="BT55" s="244">
        <f t="shared" si="10"/>
        <v>3.2997507772376693E-2</v>
      </c>
      <c r="BU55" s="245"/>
      <c r="BV55" s="245"/>
      <c r="BW55" s="244">
        <f t="shared" si="11"/>
        <v>4.39453125E-2</v>
      </c>
      <c r="BX55" s="245"/>
      <c r="BY55" s="245"/>
      <c r="BZ55" s="244">
        <f t="shared" si="12"/>
        <v>2.9002407467075865E-2</v>
      </c>
      <c r="CA55" s="245"/>
      <c r="CB55" s="245"/>
      <c r="CC55" s="244">
        <f t="shared" si="13"/>
        <v>3.2313386825117495E-2</v>
      </c>
      <c r="CD55" s="245"/>
      <c r="CE55" s="245"/>
      <c r="CF55" s="221"/>
      <c r="CG55" s="221"/>
      <c r="CH55" s="221"/>
      <c r="CI55" s="221"/>
      <c r="CJ55" s="221"/>
      <c r="CK55" s="221"/>
      <c r="CL55" s="221"/>
      <c r="CM55" s="221"/>
      <c r="CN55" s="221"/>
      <c r="CO55" s="221"/>
      <c r="CP55" s="221"/>
      <c r="CQ55" s="221"/>
      <c r="CR55" s="221"/>
      <c r="CS55" s="221"/>
      <c r="CT55" s="221"/>
      <c r="CU55" s="221"/>
      <c r="CV55" s="221"/>
      <c r="CW55" s="221"/>
      <c r="CX55" s="221"/>
      <c r="CY55" s="221"/>
      <c r="CZ55" s="221"/>
      <c r="DA55" s="221"/>
      <c r="DB55" s="221"/>
      <c r="DC55" s="221"/>
      <c r="DD55" s="221"/>
      <c r="DE55" s="221"/>
      <c r="DF55" s="221"/>
      <c r="DG55" s="221"/>
      <c r="DH55" s="221"/>
      <c r="DI55" s="221"/>
    </row>
    <row r="56" spans="1:113" ht="15.75" thickBot="1" x14ac:dyDescent="0.3">
      <c r="A56" s="37" t="s">
        <v>151</v>
      </c>
      <c r="B56" s="43" t="s">
        <v>171</v>
      </c>
      <c r="C56" s="28" t="s">
        <v>191</v>
      </c>
      <c r="D56" s="28" t="s">
        <v>187</v>
      </c>
      <c r="E56" s="43" t="s">
        <v>68</v>
      </c>
      <c r="F56" s="42">
        <f>AHP!J$7</f>
        <v>0.30070859167404784</v>
      </c>
      <c r="G56" s="42">
        <f>AHP!J$16</f>
        <v>6.396484375E-2</v>
      </c>
      <c r="H56" s="53" t="s">
        <v>69</v>
      </c>
      <c r="I56" s="320">
        <f>I10*I15*9.81</f>
        <v>399.87122664514214</v>
      </c>
      <c r="J56" s="296"/>
      <c r="K56" s="296"/>
      <c r="L56" s="296">
        <f>L10*L15*9.81</f>
        <v>691.91842394321941</v>
      </c>
      <c r="M56" s="296"/>
      <c r="N56" s="296"/>
      <c r="O56" s="296">
        <f>O10*O15*9.81</f>
        <v>631.36941736079518</v>
      </c>
      <c r="P56" s="296"/>
      <c r="Q56" s="296"/>
      <c r="R56" s="297">
        <f>R10*R15*9.81</f>
        <v>826.35764291290479</v>
      </c>
      <c r="S56" s="307"/>
      <c r="T56" s="308"/>
      <c r="U56" s="296">
        <f>U10*U15*9.81</f>
        <v>694.62853420976569</v>
      </c>
      <c r="V56" s="296"/>
      <c r="W56" s="297"/>
      <c r="X56" s="208">
        <f t="shared" ref="X56" si="57">MAX(I56:K60)/MAX($O56:$Q60)</f>
        <v>0.63333955628806815</v>
      </c>
      <c r="Y56" s="209"/>
      <c r="Z56" s="210"/>
      <c r="AA56" s="208">
        <f t="shared" ref="AA56" si="58">MAX(L56:N60)/MAX($O56:$Q60)</f>
        <v>1.0959010761647703</v>
      </c>
      <c r="AB56" s="209"/>
      <c r="AC56" s="210"/>
      <c r="AD56" s="208">
        <f t="shared" ref="AD56" si="59">MAX(O56:Q60)/MAX($O56:$Q60)</f>
        <v>1</v>
      </c>
      <c r="AE56" s="209"/>
      <c r="AF56" s="210"/>
      <c r="AG56" s="208">
        <f t="shared" ref="AG56" si="60">MAX(R56:T60)/MAX($O56:$Q60)</f>
        <v>1.4354991825048733</v>
      </c>
      <c r="AH56" s="209"/>
      <c r="AI56" s="210"/>
      <c r="AJ56" s="208">
        <f t="shared" ref="AJ56" si="61">MAX(U56:W60)/MAX($O56:$Q60)</f>
        <v>1.2572814205727423</v>
      </c>
      <c r="AK56" s="209"/>
      <c r="AL56" s="210"/>
      <c r="AM56" s="246">
        <f t="shared" ref="AM56" si="62">X56*$F56</f>
        <v>0.19045064602285133</v>
      </c>
      <c r="AN56" s="247"/>
      <c r="AO56" s="248"/>
      <c r="AP56" s="246">
        <f t="shared" ref="AP56" si="63">AA56*$F56</f>
        <v>0.32954686922758153</v>
      </c>
      <c r="AQ56" s="247"/>
      <c r="AR56" s="248"/>
      <c r="AS56" s="246">
        <f t="shared" ref="AS56" si="64">AD56*$F56</f>
        <v>0.30070859167404784</v>
      </c>
      <c r="AT56" s="247"/>
      <c r="AU56" s="248"/>
      <c r="AV56" s="246">
        <f t="shared" ref="AV56" si="65">AG56*$F56</f>
        <v>0.43166693752028745</v>
      </c>
      <c r="AW56" s="247"/>
      <c r="AX56" s="248"/>
      <c r="AY56" s="246">
        <f t="shared" ref="AY56" si="66">AJ56*$F56</f>
        <v>0.37807532531837557</v>
      </c>
      <c r="AZ56" s="247"/>
      <c r="BA56" s="248"/>
      <c r="BB56" s="252">
        <f t="shared" si="4"/>
        <v>0.63333955628806815</v>
      </c>
      <c r="BC56" s="253"/>
      <c r="BD56" s="253"/>
      <c r="BE56" s="252">
        <f t="shared" si="5"/>
        <v>1.0959010761647703</v>
      </c>
      <c r="BF56" s="253"/>
      <c r="BG56" s="253"/>
      <c r="BH56" s="252">
        <f t="shared" si="6"/>
        <v>1</v>
      </c>
      <c r="BI56" s="253"/>
      <c r="BJ56" s="253"/>
      <c r="BK56" s="252">
        <f t="shared" si="7"/>
        <v>1.3088338145474092</v>
      </c>
      <c r="BL56" s="253"/>
      <c r="BM56" s="253"/>
      <c r="BN56" s="252">
        <f t="shared" si="8"/>
        <v>1.100193508126196</v>
      </c>
      <c r="BO56" s="253"/>
      <c r="BP56" s="253"/>
      <c r="BQ56" s="244">
        <f t="shared" si="9"/>
        <v>4.051146575866061E-2</v>
      </c>
      <c r="BR56" s="245"/>
      <c r="BS56" s="245"/>
      <c r="BT56" s="244">
        <f t="shared" si="10"/>
        <v>7.0099141102336379E-2</v>
      </c>
      <c r="BU56" s="245"/>
      <c r="BV56" s="245"/>
      <c r="BW56" s="244">
        <f t="shared" si="11"/>
        <v>6.396484375E-2</v>
      </c>
      <c r="BX56" s="245"/>
      <c r="BY56" s="245"/>
      <c r="BZ56" s="244">
        <f t="shared" si="12"/>
        <v>8.3719350442241505E-2</v>
      </c>
      <c r="CA56" s="245"/>
      <c r="CB56" s="245"/>
      <c r="CC56" s="244">
        <f t="shared" si="13"/>
        <v>7.0373705842056475E-2</v>
      </c>
      <c r="CD56" s="245"/>
      <c r="CE56" s="245"/>
      <c r="CF56" s="221"/>
      <c r="CG56" s="221"/>
      <c r="CH56" s="221"/>
      <c r="CI56" s="221"/>
      <c r="CJ56" s="221"/>
      <c r="CK56" s="221"/>
      <c r="CL56" s="221"/>
      <c r="CM56" s="221"/>
      <c r="CN56" s="221"/>
      <c r="CO56" s="221"/>
      <c r="CP56" s="221"/>
      <c r="CQ56" s="221"/>
      <c r="CR56" s="221"/>
      <c r="CS56" s="221"/>
      <c r="CT56" s="221"/>
      <c r="CU56" s="221"/>
      <c r="CV56" s="221"/>
      <c r="CW56" s="221"/>
      <c r="CX56" s="221"/>
      <c r="CY56" s="221"/>
      <c r="CZ56" s="221"/>
      <c r="DA56" s="221"/>
      <c r="DB56" s="221"/>
      <c r="DC56" s="221"/>
      <c r="DD56" s="221"/>
      <c r="DE56" s="221"/>
      <c r="DF56" s="221"/>
      <c r="DG56" s="221"/>
      <c r="DH56" s="221"/>
      <c r="DI56" s="221"/>
    </row>
    <row r="57" spans="1:113" ht="15.75" thickBot="1" x14ac:dyDescent="0.3">
      <c r="A57" s="37" t="s">
        <v>152</v>
      </c>
      <c r="B57" s="43" t="s">
        <v>172</v>
      </c>
      <c r="C57" s="28" t="s">
        <v>191</v>
      </c>
      <c r="D57" s="28" t="s">
        <v>187</v>
      </c>
      <c r="E57" s="43" t="s">
        <v>68</v>
      </c>
      <c r="F57" s="42">
        <f>AHP!J$7</f>
        <v>0.30070859167404784</v>
      </c>
      <c r="G57" s="42">
        <f>AHP!J$16</f>
        <v>6.396484375E-2</v>
      </c>
      <c r="H57" s="53" t="s">
        <v>69</v>
      </c>
      <c r="I57" s="320">
        <f>I11*I16*9.81</f>
        <v>399.87122664514214</v>
      </c>
      <c r="J57" s="296"/>
      <c r="K57" s="296"/>
      <c r="L57" s="296">
        <f>L11*L16*9.81</f>
        <v>691.91842394321941</v>
      </c>
      <c r="M57" s="296"/>
      <c r="N57" s="296"/>
      <c r="O57" s="296">
        <f>O11*O16*9.81</f>
        <v>631.36941736079518</v>
      </c>
      <c r="P57" s="296"/>
      <c r="Q57" s="296"/>
      <c r="R57" s="297">
        <f>R11*R16*9.81</f>
        <v>826.35764291290479</v>
      </c>
      <c r="S57" s="307"/>
      <c r="T57" s="308"/>
      <c r="U57" s="296">
        <f>U11*U16*9.81</f>
        <v>694.62853420976569</v>
      </c>
      <c r="V57" s="296"/>
      <c r="W57" s="297"/>
      <c r="X57" s="211"/>
      <c r="Y57" s="207"/>
      <c r="Z57" s="212"/>
      <c r="AA57" s="211"/>
      <c r="AB57" s="207"/>
      <c r="AC57" s="212"/>
      <c r="AD57" s="211"/>
      <c r="AE57" s="207"/>
      <c r="AF57" s="212"/>
      <c r="AG57" s="211"/>
      <c r="AH57" s="207"/>
      <c r="AI57" s="212"/>
      <c r="AJ57" s="211"/>
      <c r="AK57" s="207"/>
      <c r="AL57" s="212"/>
      <c r="AM57" s="211"/>
      <c r="AN57" s="207"/>
      <c r="AO57" s="249"/>
      <c r="AP57" s="211"/>
      <c r="AQ57" s="207"/>
      <c r="AR57" s="249"/>
      <c r="AS57" s="211"/>
      <c r="AT57" s="207"/>
      <c r="AU57" s="249"/>
      <c r="AV57" s="211"/>
      <c r="AW57" s="207"/>
      <c r="AX57" s="249"/>
      <c r="AY57" s="211"/>
      <c r="AZ57" s="207"/>
      <c r="BA57" s="249"/>
      <c r="BB57" s="252">
        <f t="shared" si="4"/>
        <v>0.63333955628806815</v>
      </c>
      <c r="BC57" s="253"/>
      <c r="BD57" s="253"/>
      <c r="BE57" s="252">
        <f t="shared" si="5"/>
        <v>1.0959010761647703</v>
      </c>
      <c r="BF57" s="253"/>
      <c r="BG57" s="253"/>
      <c r="BH57" s="252">
        <f t="shared" si="6"/>
        <v>1</v>
      </c>
      <c r="BI57" s="253"/>
      <c r="BJ57" s="253"/>
      <c r="BK57" s="252">
        <f t="shared" si="7"/>
        <v>1.3088338145474092</v>
      </c>
      <c r="BL57" s="253"/>
      <c r="BM57" s="253"/>
      <c r="BN57" s="252">
        <f t="shared" si="8"/>
        <v>1.100193508126196</v>
      </c>
      <c r="BO57" s="253"/>
      <c r="BP57" s="253"/>
      <c r="BQ57" s="244">
        <f t="shared" si="9"/>
        <v>4.051146575866061E-2</v>
      </c>
      <c r="BR57" s="245"/>
      <c r="BS57" s="245"/>
      <c r="BT57" s="244">
        <f t="shared" si="10"/>
        <v>7.0099141102336379E-2</v>
      </c>
      <c r="BU57" s="245"/>
      <c r="BV57" s="245"/>
      <c r="BW57" s="244">
        <f t="shared" si="11"/>
        <v>6.396484375E-2</v>
      </c>
      <c r="BX57" s="245"/>
      <c r="BY57" s="245"/>
      <c r="BZ57" s="244">
        <f t="shared" si="12"/>
        <v>8.3719350442241505E-2</v>
      </c>
      <c r="CA57" s="245"/>
      <c r="CB57" s="245"/>
      <c r="CC57" s="244">
        <f t="shared" si="13"/>
        <v>7.0373705842056475E-2</v>
      </c>
      <c r="CD57" s="245"/>
      <c r="CE57" s="245"/>
      <c r="CF57" s="221"/>
      <c r="CG57" s="221"/>
      <c r="CH57" s="221"/>
      <c r="CI57" s="221"/>
      <c r="CJ57" s="221"/>
      <c r="CK57" s="221"/>
      <c r="CL57" s="221"/>
      <c r="CM57" s="221"/>
      <c r="CN57" s="221"/>
      <c r="CO57" s="221"/>
      <c r="CP57" s="221"/>
      <c r="CQ57" s="221"/>
      <c r="CR57" s="221"/>
      <c r="CS57" s="221"/>
      <c r="CT57" s="221"/>
      <c r="CU57" s="221"/>
      <c r="CV57" s="221"/>
      <c r="CW57" s="221"/>
      <c r="CX57" s="221"/>
      <c r="CY57" s="221"/>
      <c r="CZ57" s="221"/>
      <c r="DA57" s="221"/>
      <c r="DB57" s="221"/>
      <c r="DC57" s="221"/>
      <c r="DD57" s="221"/>
      <c r="DE57" s="221"/>
      <c r="DF57" s="221"/>
      <c r="DG57" s="221"/>
      <c r="DH57" s="221"/>
      <c r="DI57" s="221"/>
    </row>
    <row r="58" spans="1:113" ht="15.75" thickBot="1" x14ac:dyDescent="0.3">
      <c r="A58" s="37" t="s">
        <v>153</v>
      </c>
      <c r="B58" s="43" t="s">
        <v>173</v>
      </c>
      <c r="C58" s="28" t="s">
        <v>191</v>
      </c>
      <c r="D58" s="28" t="s">
        <v>187</v>
      </c>
      <c r="E58" s="43" t="s">
        <v>68</v>
      </c>
      <c r="F58" s="42">
        <f>AHP!J$7</f>
        <v>0.30070859167404784</v>
      </c>
      <c r="G58" s="42">
        <f>AHP!J$16</f>
        <v>6.396484375E-2</v>
      </c>
      <c r="H58" s="53" t="s">
        <v>69</v>
      </c>
      <c r="I58" s="320">
        <f>I12*I17*9.81</f>
        <v>201.86894467493147</v>
      </c>
      <c r="J58" s="296"/>
      <c r="K58" s="296"/>
      <c r="L58" s="296">
        <f>L12*L17*9.81</f>
        <v>441.59645574379095</v>
      </c>
      <c r="M58" s="296"/>
      <c r="N58" s="296"/>
      <c r="O58" s="296">
        <f>O12*O17*9.81</f>
        <v>382.49137663241447</v>
      </c>
      <c r="P58" s="296"/>
      <c r="Q58" s="296"/>
      <c r="R58" s="297">
        <f>R12*R17*9.81</f>
        <v>901.31414816128415</v>
      </c>
      <c r="S58" s="307"/>
      <c r="T58" s="308"/>
      <c r="U58" s="296">
        <f>U12*U17*9.81</f>
        <v>793.80903796556515</v>
      </c>
      <c r="V58" s="296"/>
      <c r="W58" s="297"/>
      <c r="X58" s="211"/>
      <c r="Y58" s="207"/>
      <c r="Z58" s="212"/>
      <c r="AA58" s="211"/>
      <c r="AB58" s="207"/>
      <c r="AC58" s="212"/>
      <c r="AD58" s="211"/>
      <c r="AE58" s="207"/>
      <c r="AF58" s="212"/>
      <c r="AG58" s="211"/>
      <c r="AH58" s="207"/>
      <c r="AI58" s="212"/>
      <c r="AJ58" s="211"/>
      <c r="AK58" s="207"/>
      <c r="AL58" s="212"/>
      <c r="AM58" s="211"/>
      <c r="AN58" s="207"/>
      <c r="AO58" s="249"/>
      <c r="AP58" s="211"/>
      <c r="AQ58" s="207"/>
      <c r="AR58" s="249"/>
      <c r="AS58" s="211"/>
      <c r="AT58" s="207"/>
      <c r="AU58" s="249"/>
      <c r="AV58" s="211"/>
      <c r="AW58" s="207"/>
      <c r="AX58" s="249"/>
      <c r="AY58" s="211"/>
      <c r="AZ58" s="207"/>
      <c r="BA58" s="249"/>
      <c r="BB58" s="252">
        <f t="shared" si="4"/>
        <v>0.52777384539294725</v>
      </c>
      <c r="BC58" s="253"/>
      <c r="BD58" s="253"/>
      <c r="BE58" s="252">
        <f t="shared" si="5"/>
        <v>1.1545265664072166</v>
      </c>
      <c r="BF58" s="253"/>
      <c r="BG58" s="253"/>
      <c r="BH58" s="252">
        <f t="shared" si="6"/>
        <v>1</v>
      </c>
      <c r="BI58" s="253"/>
      <c r="BJ58" s="253"/>
      <c r="BK58" s="252">
        <f t="shared" si="7"/>
        <v>2.3564299830672359</v>
      </c>
      <c r="BL58" s="253"/>
      <c r="BM58" s="253"/>
      <c r="BN58" s="252">
        <f t="shared" si="8"/>
        <v>2.075364534893656</v>
      </c>
      <c r="BO58" s="253"/>
      <c r="BP58" s="253"/>
      <c r="BQ58" s="244">
        <f t="shared" si="9"/>
        <v>3.3758971555896529E-2</v>
      </c>
      <c r="BR58" s="245"/>
      <c r="BS58" s="245"/>
      <c r="BT58" s="244">
        <f t="shared" si="10"/>
        <v>7.3849111425461605E-2</v>
      </c>
      <c r="BU58" s="245"/>
      <c r="BV58" s="245"/>
      <c r="BW58" s="244">
        <f t="shared" si="11"/>
        <v>6.396484375E-2</v>
      </c>
      <c r="BX58" s="245"/>
      <c r="BY58" s="245"/>
      <c r="BZ58" s="244">
        <f t="shared" si="12"/>
        <v>0.1507286756747109</v>
      </c>
      <c r="CA58" s="245"/>
      <c r="CB58" s="245"/>
      <c r="CC58" s="244">
        <f t="shared" si="13"/>
        <v>0.13275036819876412</v>
      </c>
      <c r="CD58" s="245"/>
      <c r="CE58" s="245"/>
      <c r="CF58" s="221"/>
      <c r="CG58" s="221"/>
      <c r="CH58" s="221"/>
      <c r="CI58" s="221"/>
      <c r="CJ58" s="221"/>
      <c r="CK58" s="221"/>
      <c r="CL58" s="221"/>
      <c r="CM58" s="221"/>
      <c r="CN58" s="221"/>
      <c r="CO58" s="221"/>
      <c r="CP58" s="221"/>
      <c r="CQ58" s="221"/>
      <c r="CR58" s="221"/>
      <c r="CS58" s="221"/>
      <c r="CT58" s="221"/>
      <c r="CU58" s="221"/>
      <c r="CV58" s="221"/>
      <c r="CW58" s="221"/>
      <c r="CX58" s="221"/>
      <c r="CY58" s="221"/>
      <c r="CZ58" s="221"/>
      <c r="DA58" s="221"/>
      <c r="DB58" s="221"/>
      <c r="DC58" s="221"/>
      <c r="DD58" s="221"/>
      <c r="DE58" s="221"/>
      <c r="DF58" s="221"/>
      <c r="DG58" s="221"/>
      <c r="DH58" s="221"/>
      <c r="DI58" s="221"/>
    </row>
    <row r="59" spans="1:113" ht="15.75" thickBot="1" x14ac:dyDescent="0.3">
      <c r="A59" s="37" t="s">
        <v>154</v>
      </c>
      <c r="B59" s="43" t="s">
        <v>174</v>
      </c>
      <c r="C59" s="28" t="s">
        <v>191</v>
      </c>
      <c r="D59" s="28" t="s">
        <v>187</v>
      </c>
      <c r="E59" s="43" t="s">
        <v>68</v>
      </c>
      <c r="F59" s="42">
        <f>AHP!J$7</f>
        <v>0.30070859167404784</v>
      </c>
      <c r="G59" s="42">
        <f>AHP!J$16</f>
        <v>6.396484375E-2</v>
      </c>
      <c r="H59" s="53" t="s">
        <v>69</v>
      </c>
      <c r="I59" s="320">
        <f>I13*I18*9.81</f>
        <v>262.66274999999973</v>
      </c>
      <c r="J59" s="296"/>
      <c r="K59" s="296"/>
      <c r="L59" s="296">
        <f>L13*L18*9.81</f>
        <v>297.57296916000058</v>
      </c>
      <c r="M59" s="296"/>
      <c r="N59" s="296"/>
      <c r="O59" s="296">
        <f>O13*O18*9.81</f>
        <v>267.40745460000016</v>
      </c>
      <c r="P59" s="296"/>
      <c r="Q59" s="296"/>
      <c r="R59" s="297">
        <f>R13*R18*9.81</f>
        <v>906.3302824799996</v>
      </c>
      <c r="S59" s="307"/>
      <c r="T59" s="308"/>
      <c r="U59" s="296">
        <f>U13*U18*9.81</f>
        <v>786.15773342999944</v>
      </c>
      <c r="V59" s="296"/>
      <c r="W59" s="297"/>
      <c r="X59" s="211"/>
      <c r="Y59" s="207"/>
      <c r="Z59" s="212"/>
      <c r="AA59" s="211"/>
      <c r="AB59" s="207"/>
      <c r="AC59" s="212"/>
      <c r="AD59" s="211"/>
      <c r="AE59" s="207"/>
      <c r="AF59" s="212"/>
      <c r="AG59" s="211"/>
      <c r="AH59" s="207"/>
      <c r="AI59" s="212"/>
      <c r="AJ59" s="211"/>
      <c r="AK59" s="207"/>
      <c r="AL59" s="212"/>
      <c r="AM59" s="211"/>
      <c r="AN59" s="207"/>
      <c r="AO59" s="249"/>
      <c r="AP59" s="211"/>
      <c r="AQ59" s="207"/>
      <c r="AR59" s="249"/>
      <c r="AS59" s="211"/>
      <c r="AT59" s="207"/>
      <c r="AU59" s="249"/>
      <c r="AV59" s="211"/>
      <c r="AW59" s="207"/>
      <c r="AX59" s="249"/>
      <c r="AY59" s="211"/>
      <c r="AZ59" s="207"/>
      <c r="BA59" s="249"/>
      <c r="BB59" s="252">
        <f t="shared" si="4"/>
        <v>0.98225664797902601</v>
      </c>
      <c r="BC59" s="253"/>
      <c r="BD59" s="253"/>
      <c r="BE59" s="252">
        <f t="shared" si="5"/>
        <v>1.1128073060084407</v>
      </c>
      <c r="BF59" s="253"/>
      <c r="BG59" s="253"/>
      <c r="BH59" s="252">
        <f t="shared" si="6"/>
        <v>1</v>
      </c>
      <c r="BI59" s="253"/>
      <c r="BJ59" s="253"/>
      <c r="BK59" s="252">
        <f t="shared" si="7"/>
        <v>3.3893231728925746</v>
      </c>
      <c r="BL59" s="253"/>
      <c r="BM59" s="253"/>
      <c r="BN59" s="252">
        <f t="shared" si="8"/>
        <v>2.9399245230689952</v>
      </c>
      <c r="BO59" s="253"/>
      <c r="BP59" s="253"/>
      <c r="BQ59" s="244">
        <f t="shared" si="9"/>
        <v>6.2829893010377155E-2</v>
      </c>
      <c r="BR59" s="245"/>
      <c r="BS59" s="245"/>
      <c r="BT59" s="244">
        <f t="shared" si="10"/>
        <v>7.1180545452688343E-2</v>
      </c>
      <c r="BU59" s="245"/>
      <c r="BV59" s="245"/>
      <c r="BW59" s="244">
        <f t="shared" si="11"/>
        <v>6.396484375E-2</v>
      </c>
      <c r="BX59" s="245"/>
      <c r="BY59" s="245"/>
      <c r="BZ59" s="244">
        <f t="shared" si="12"/>
        <v>0.21679752717232778</v>
      </c>
      <c r="CA59" s="245"/>
      <c r="CB59" s="245"/>
      <c r="CC59" s="244">
        <f t="shared" si="13"/>
        <v>0.18805181275490154</v>
      </c>
      <c r="CD59" s="245"/>
      <c r="CE59" s="245"/>
      <c r="CF59" s="221"/>
      <c r="CG59" s="221"/>
      <c r="CH59" s="221"/>
      <c r="CI59" s="221"/>
      <c r="CJ59" s="221"/>
      <c r="CK59" s="221"/>
      <c r="CL59" s="221"/>
      <c r="CM59" s="221"/>
      <c r="CN59" s="221"/>
      <c r="CO59" s="221"/>
      <c r="CP59" s="221"/>
      <c r="CQ59" s="221"/>
      <c r="CR59" s="221"/>
      <c r="CS59" s="221"/>
      <c r="CT59" s="221"/>
      <c r="CU59" s="221"/>
      <c r="CV59" s="221"/>
      <c r="CW59" s="221"/>
      <c r="CX59" s="221"/>
      <c r="CY59" s="221"/>
      <c r="CZ59" s="221"/>
      <c r="DA59" s="221"/>
      <c r="DB59" s="221"/>
      <c r="DC59" s="221"/>
      <c r="DD59" s="221"/>
      <c r="DE59" s="221"/>
      <c r="DF59" s="221"/>
      <c r="DG59" s="221"/>
      <c r="DH59" s="221"/>
      <c r="DI59" s="221"/>
    </row>
    <row r="60" spans="1:113" ht="15.75" thickBot="1" x14ac:dyDescent="0.3">
      <c r="A60" s="37" t="s">
        <v>155</v>
      </c>
      <c r="B60" s="43" t="s">
        <v>175</v>
      </c>
      <c r="C60" s="28" t="s">
        <v>191</v>
      </c>
      <c r="D60" s="28" t="s">
        <v>187</v>
      </c>
      <c r="E60" s="43" t="s">
        <v>68</v>
      </c>
      <c r="F60" s="42">
        <f>AHP!J$7</f>
        <v>0.30070859167404784</v>
      </c>
      <c r="G60" s="42">
        <f>AHP!J$16</f>
        <v>6.396484375E-2</v>
      </c>
      <c r="H60" s="53" t="s">
        <v>69</v>
      </c>
      <c r="I60" s="320">
        <f>I14*I19*9.81</f>
        <v>201.86894467493147</v>
      </c>
      <c r="J60" s="296"/>
      <c r="K60" s="296"/>
      <c r="L60" s="296">
        <f>L14*L19*9.81</f>
        <v>441.59645574379095</v>
      </c>
      <c r="M60" s="296"/>
      <c r="N60" s="296"/>
      <c r="O60" s="296">
        <f>O14*O19*9.81</f>
        <v>382.49137663241447</v>
      </c>
      <c r="P60" s="296"/>
      <c r="Q60" s="296"/>
      <c r="R60" s="297">
        <f>R14*R19*9.81</f>
        <v>901.31414816128415</v>
      </c>
      <c r="S60" s="307"/>
      <c r="T60" s="308"/>
      <c r="U60" s="296">
        <f>U14*U19*9.81</f>
        <v>793.80903796556515</v>
      </c>
      <c r="V60" s="296"/>
      <c r="W60" s="297"/>
      <c r="X60" s="213"/>
      <c r="Y60" s="214"/>
      <c r="Z60" s="215"/>
      <c r="AA60" s="213"/>
      <c r="AB60" s="214"/>
      <c r="AC60" s="215"/>
      <c r="AD60" s="213"/>
      <c r="AE60" s="214"/>
      <c r="AF60" s="215"/>
      <c r="AG60" s="213"/>
      <c r="AH60" s="214"/>
      <c r="AI60" s="215"/>
      <c r="AJ60" s="213"/>
      <c r="AK60" s="214"/>
      <c r="AL60" s="215"/>
      <c r="AM60" s="250"/>
      <c r="AN60" s="236"/>
      <c r="AO60" s="251"/>
      <c r="AP60" s="250"/>
      <c r="AQ60" s="236"/>
      <c r="AR60" s="251"/>
      <c r="AS60" s="250"/>
      <c r="AT60" s="236"/>
      <c r="AU60" s="251"/>
      <c r="AV60" s="250"/>
      <c r="AW60" s="236"/>
      <c r="AX60" s="251"/>
      <c r="AY60" s="250"/>
      <c r="AZ60" s="236"/>
      <c r="BA60" s="251"/>
      <c r="BB60" s="252">
        <f t="shared" si="4"/>
        <v>0.52777384539294725</v>
      </c>
      <c r="BC60" s="253"/>
      <c r="BD60" s="253"/>
      <c r="BE60" s="252">
        <f t="shared" si="5"/>
        <v>1.1545265664072166</v>
      </c>
      <c r="BF60" s="253"/>
      <c r="BG60" s="253"/>
      <c r="BH60" s="252">
        <f t="shared" si="6"/>
        <v>1</v>
      </c>
      <c r="BI60" s="253"/>
      <c r="BJ60" s="253"/>
      <c r="BK60" s="252">
        <f t="shared" si="7"/>
        <v>2.3564299830672359</v>
      </c>
      <c r="BL60" s="253"/>
      <c r="BM60" s="253"/>
      <c r="BN60" s="252">
        <f t="shared" si="8"/>
        <v>2.075364534893656</v>
      </c>
      <c r="BO60" s="253"/>
      <c r="BP60" s="253"/>
      <c r="BQ60" s="244">
        <f t="shared" si="9"/>
        <v>3.3758971555896529E-2</v>
      </c>
      <c r="BR60" s="245"/>
      <c r="BS60" s="245"/>
      <c r="BT60" s="244">
        <f t="shared" si="10"/>
        <v>7.3849111425461605E-2</v>
      </c>
      <c r="BU60" s="245"/>
      <c r="BV60" s="245"/>
      <c r="BW60" s="244">
        <f t="shared" si="11"/>
        <v>6.396484375E-2</v>
      </c>
      <c r="BX60" s="245"/>
      <c r="BY60" s="245"/>
      <c r="BZ60" s="244">
        <f t="shared" si="12"/>
        <v>0.1507286756747109</v>
      </c>
      <c r="CA60" s="245"/>
      <c r="CB60" s="245"/>
      <c r="CC60" s="244">
        <f t="shared" si="13"/>
        <v>0.13275036819876412</v>
      </c>
      <c r="CD60" s="245"/>
      <c r="CE60" s="245"/>
      <c r="CF60" s="221"/>
      <c r="CG60" s="221"/>
      <c r="CH60" s="221"/>
      <c r="CI60" s="221"/>
      <c r="CJ60" s="221"/>
      <c r="CK60" s="221"/>
      <c r="CL60" s="221"/>
      <c r="CM60" s="221"/>
      <c r="CN60" s="221"/>
      <c r="CO60" s="221"/>
      <c r="CP60" s="221"/>
      <c r="CQ60" s="221"/>
      <c r="CR60" s="221"/>
      <c r="CS60" s="221"/>
      <c r="CT60" s="221"/>
      <c r="CU60" s="221"/>
      <c r="CV60" s="221"/>
      <c r="CW60" s="221"/>
      <c r="CX60" s="221"/>
      <c r="CY60" s="221"/>
      <c r="CZ60" s="221"/>
      <c r="DA60" s="221"/>
      <c r="DB60" s="221"/>
      <c r="DC60" s="221"/>
      <c r="DD60" s="221"/>
      <c r="DE60" s="221"/>
      <c r="DF60" s="221"/>
      <c r="DG60" s="221"/>
      <c r="DH60" s="221"/>
      <c r="DI60" s="221"/>
    </row>
    <row r="61" spans="1:113" ht="15.75" thickBot="1" x14ac:dyDescent="0.3">
      <c r="A61" s="37" t="s">
        <v>156</v>
      </c>
      <c r="B61" s="43" t="s">
        <v>176</v>
      </c>
      <c r="C61" s="28"/>
      <c r="D61" s="28" t="s">
        <v>188</v>
      </c>
      <c r="E61" s="43" t="s">
        <v>68</v>
      </c>
      <c r="F61" s="42">
        <f>AHP!J$8</f>
        <v>9.211691762621789E-2</v>
      </c>
      <c r="G61" s="42">
        <f>AHP!J$17</f>
        <v>0.13623046875</v>
      </c>
      <c r="H61" s="53" t="s">
        <v>69</v>
      </c>
      <c r="I61" s="320">
        <f>I20/(I$9-I$5)</f>
        <v>0.52885985748218534</v>
      </c>
      <c r="J61" s="296"/>
      <c r="K61" s="296"/>
      <c r="L61" s="296">
        <f>L20/(L$9-L$5)</f>
        <v>0.45058772311710926</v>
      </c>
      <c r="M61" s="296"/>
      <c r="N61" s="296"/>
      <c r="O61" s="296">
        <f>O20/(O$9-O$5)</f>
        <v>0.51390581717451522</v>
      </c>
      <c r="P61" s="296"/>
      <c r="Q61" s="296"/>
      <c r="R61" s="297">
        <f>R20/(R$9-R$5)</f>
        <v>0.29610102991662585</v>
      </c>
      <c r="S61" s="307"/>
      <c r="T61" s="308"/>
      <c r="U61" s="296">
        <f>U20/(U$9-U$5)</f>
        <v>0.29356830848019283</v>
      </c>
      <c r="V61" s="296"/>
      <c r="W61" s="297"/>
      <c r="X61" s="208">
        <f t="shared" ref="X61" si="67">MAX(I61:K65)/MAX($O61:$Q65)</f>
        <v>1.0212469502299835</v>
      </c>
      <c r="Y61" s="209"/>
      <c r="Z61" s="210"/>
      <c r="AA61" s="208">
        <f t="shared" ref="AA61" si="68">MAX(L61:N65)/MAX($O61:$Q65)</f>
        <v>1.0025406569597242</v>
      </c>
      <c r="AB61" s="209"/>
      <c r="AC61" s="210"/>
      <c r="AD61" s="208">
        <f t="shared" ref="AD61" si="69">MAX(O61:Q65)/MAX($O61:$Q65)</f>
        <v>1</v>
      </c>
      <c r="AE61" s="209"/>
      <c r="AF61" s="210"/>
      <c r="AG61" s="208">
        <f t="shared" ref="AG61" si="70">MAX(R61:T65)/MAX($O61:$Q65)</f>
        <v>1.0285893482464858</v>
      </c>
      <c r="AH61" s="209"/>
      <c r="AI61" s="210"/>
      <c r="AJ61" s="208">
        <f t="shared" ref="AJ61" si="71">MAX(U61:W65)/MAX($O61:$Q65)</f>
        <v>1.0163134348222245</v>
      </c>
      <c r="AK61" s="209"/>
      <c r="AL61" s="210"/>
      <c r="AM61" s="246">
        <f t="shared" ref="AM61" si="72">X61*$F61</f>
        <v>9.4074121190361626E-2</v>
      </c>
      <c r="AN61" s="247"/>
      <c r="AO61" s="248"/>
      <c r="AP61" s="246">
        <f t="shared" ref="AP61" si="73">AA61*$F61</f>
        <v>9.2350955114093275E-2</v>
      </c>
      <c r="AQ61" s="247"/>
      <c r="AR61" s="248"/>
      <c r="AS61" s="246">
        <f t="shared" ref="AS61" si="74">AD61*$F61</f>
        <v>9.211691762621789E-2</v>
      </c>
      <c r="AT61" s="247"/>
      <c r="AU61" s="248"/>
      <c r="AV61" s="246">
        <f t="shared" ref="AV61" si="75">AG61*$F61</f>
        <v>9.4750480263626688E-2</v>
      </c>
      <c r="AW61" s="247"/>
      <c r="AX61" s="248"/>
      <c r="AY61" s="246">
        <f t="shared" ref="AY61" si="76">AJ61*$F61</f>
        <v>9.3619660957937417E-2</v>
      </c>
      <c r="AZ61" s="247"/>
      <c r="BA61" s="248"/>
      <c r="BB61" s="252">
        <f t="shared" si="4"/>
        <v>1.0290987955534117</v>
      </c>
      <c r="BC61" s="253"/>
      <c r="BD61" s="253"/>
      <c r="BE61" s="252">
        <f t="shared" si="5"/>
        <v>0.87679047027423695</v>
      </c>
      <c r="BF61" s="253"/>
      <c r="BG61" s="253"/>
      <c r="BH61" s="252">
        <f t="shared" si="6"/>
        <v>1</v>
      </c>
      <c r="BI61" s="253"/>
      <c r="BJ61" s="253"/>
      <c r="BK61" s="252">
        <f t="shared" si="7"/>
        <v>0.57617761858506866</v>
      </c>
      <c r="BL61" s="253"/>
      <c r="BM61" s="253"/>
      <c r="BN61" s="252">
        <f t="shared" si="8"/>
        <v>0.57124924192189308</v>
      </c>
      <c r="BO61" s="253"/>
      <c r="BP61" s="253"/>
      <c r="BQ61" s="244">
        <f t="shared" si="9"/>
        <v>0.14019461130830169</v>
      </c>
      <c r="BR61" s="245"/>
      <c r="BS61" s="245"/>
      <c r="BT61" s="244">
        <f t="shared" si="10"/>
        <v>0.11944557676099224</v>
      </c>
      <c r="BU61" s="245"/>
      <c r="BV61" s="245"/>
      <c r="BW61" s="244">
        <f t="shared" si="11"/>
        <v>0.13623046875</v>
      </c>
      <c r="BX61" s="245"/>
      <c r="BY61" s="245"/>
      <c r="BZ61" s="244">
        <f t="shared" si="12"/>
        <v>7.8492947063102614E-2</v>
      </c>
      <c r="CA61" s="245"/>
      <c r="CB61" s="245"/>
      <c r="CC61" s="244">
        <f t="shared" si="13"/>
        <v>7.7821552000101643E-2</v>
      </c>
      <c r="CD61" s="245"/>
      <c r="CE61" s="245"/>
      <c r="CF61" s="221"/>
      <c r="CG61" s="221"/>
      <c r="CH61" s="221"/>
      <c r="CI61" s="221"/>
      <c r="CJ61" s="221"/>
      <c r="CK61" s="221"/>
      <c r="CL61" s="221"/>
      <c r="CM61" s="221"/>
      <c r="CN61" s="221"/>
      <c r="CO61" s="221"/>
      <c r="CP61" s="221"/>
      <c r="CQ61" s="221"/>
      <c r="CR61" s="221"/>
      <c r="CS61" s="221"/>
      <c r="CT61" s="221"/>
      <c r="CU61" s="221"/>
      <c r="CV61" s="221"/>
      <c r="CW61" s="221"/>
      <c r="CX61" s="221"/>
      <c r="CY61" s="221"/>
      <c r="CZ61" s="221"/>
      <c r="DA61" s="221"/>
      <c r="DB61" s="221"/>
      <c r="DC61" s="221"/>
      <c r="DD61" s="221"/>
      <c r="DE61" s="221"/>
      <c r="DF61" s="221"/>
      <c r="DG61" s="221"/>
      <c r="DH61" s="221"/>
      <c r="DI61" s="221"/>
    </row>
    <row r="62" spans="1:113" ht="15.75" thickBot="1" x14ac:dyDescent="0.3">
      <c r="A62" s="37" t="s">
        <v>157</v>
      </c>
      <c r="B62" s="43" t="s">
        <v>177</v>
      </c>
      <c r="C62" s="28"/>
      <c r="D62" s="28" t="s">
        <v>188</v>
      </c>
      <c r="E62" s="43" t="s">
        <v>68</v>
      </c>
      <c r="F62" s="42">
        <f>AHP!J$8</f>
        <v>9.211691762621789E-2</v>
      </c>
      <c r="G62" s="42">
        <f>AHP!J$17</f>
        <v>0.13623046875</v>
      </c>
      <c r="H62" s="53" t="s">
        <v>69</v>
      </c>
      <c r="I62" s="320">
        <f>I21/I$9</f>
        <v>0.47712418300653597</v>
      </c>
      <c r="J62" s="296"/>
      <c r="K62" s="296"/>
      <c r="L62" s="296">
        <f>L21/L$9</f>
        <v>0.40854188047682954</v>
      </c>
      <c r="M62" s="296"/>
      <c r="N62" s="296"/>
      <c r="O62" s="296">
        <f>O21/O$9</f>
        <v>0.4698136142625608</v>
      </c>
      <c r="P62" s="296"/>
      <c r="Q62" s="296"/>
      <c r="R62" s="297">
        <f>R21/R$9</f>
        <v>0.2748221906116643</v>
      </c>
      <c r="S62" s="307"/>
      <c r="T62" s="308"/>
      <c r="U62" s="296">
        <f>U21/U$9</f>
        <v>0.27795208214489447</v>
      </c>
      <c r="V62" s="296"/>
      <c r="W62" s="297"/>
      <c r="X62" s="211"/>
      <c r="Y62" s="207"/>
      <c r="Z62" s="212"/>
      <c r="AA62" s="211"/>
      <c r="AB62" s="207"/>
      <c r="AC62" s="212"/>
      <c r="AD62" s="211"/>
      <c r="AE62" s="207"/>
      <c r="AF62" s="212"/>
      <c r="AG62" s="211"/>
      <c r="AH62" s="207"/>
      <c r="AI62" s="212"/>
      <c r="AJ62" s="211"/>
      <c r="AK62" s="207"/>
      <c r="AL62" s="212"/>
      <c r="AM62" s="211"/>
      <c r="AN62" s="207"/>
      <c r="AO62" s="249"/>
      <c r="AP62" s="211"/>
      <c r="AQ62" s="207"/>
      <c r="AR62" s="249"/>
      <c r="AS62" s="211"/>
      <c r="AT62" s="207"/>
      <c r="AU62" s="249"/>
      <c r="AV62" s="211"/>
      <c r="AW62" s="207"/>
      <c r="AX62" s="249"/>
      <c r="AY62" s="211"/>
      <c r="AZ62" s="207"/>
      <c r="BA62" s="249"/>
      <c r="BB62" s="252">
        <f t="shared" si="4"/>
        <v>1.0155605723675125</v>
      </c>
      <c r="BC62" s="253"/>
      <c r="BD62" s="253"/>
      <c r="BE62" s="252">
        <f t="shared" si="5"/>
        <v>0.86958289005331202</v>
      </c>
      <c r="BF62" s="253"/>
      <c r="BG62" s="253"/>
      <c r="BH62" s="252">
        <f t="shared" si="6"/>
        <v>1</v>
      </c>
      <c r="BI62" s="253"/>
      <c r="BJ62" s="253"/>
      <c r="BK62" s="252">
        <f t="shared" si="7"/>
        <v>0.58496004004276625</v>
      </c>
      <c r="BL62" s="253"/>
      <c r="BM62" s="253"/>
      <c r="BN62" s="252">
        <f t="shared" si="8"/>
        <v>0.59162202564346666</v>
      </c>
      <c r="BO62" s="253"/>
      <c r="BP62" s="253"/>
      <c r="BQ62" s="244">
        <f t="shared" si="9"/>
        <v>0.13835029281764452</v>
      </c>
      <c r="BR62" s="245"/>
      <c r="BS62" s="245"/>
      <c r="BT62" s="244">
        <f t="shared" si="10"/>
        <v>0.11846368472894241</v>
      </c>
      <c r="BU62" s="245"/>
      <c r="BV62" s="245"/>
      <c r="BW62" s="244">
        <f t="shared" si="11"/>
        <v>0.13623046875</v>
      </c>
      <c r="BX62" s="245"/>
      <c r="BY62" s="245"/>
      <c r="BZ62" s="244">
        <f t="shared" si="12"/>
        <v>7.9689380455044811E-2</v>
      </c>
      <c r="CA62" s="245"/>
      <c r="CB62" s="245"/>
      <c r="CC62" s="244">
        <f t="shared" si="13"/>
        <v>8.0596945876233977E-2</v>
      </c>
      <c r="CD62" s="245"/>
      <c r="CE62" s="245"/>
      <c r="CF62" s="221"/>
      <c r="CG62" s="221"/>
      <c r="CH62" s="221"/>
      <c r="CI62" s="221"/>
      <c r="CJ62" s="221"/>
      <c r="CK62" s="221"/>
      <c r="CL62" s="221"/>
      <c r="CM62" s="221"/>
      <c r="CN62" s="221"/>
      <c r="CO62" s="221"/>
      <c r="CP62" s="221"/>
      <c r="CQ62" s="221"/>
      <c r="CR62" s="221"/>
      <c r="CS62" s="221"/>
      <c r="CT62" s="221"/>
      <c r="CU62" s="221"/>
      <c r="CV62" s="221"/>
      <c r="CW62" s="221"/>
      <c r="CX62" s="221"/>
      <c r="CY62" s="221"/>
      <c r="CZ62" s="221"/>
      <c r="DA62" s="221"/>
      <c r="DB62" s="221"/>
      <c r="DC62" s="221"/>
      <c r="DD62" s="221"/>
      <c r="DE62" s="221"/>
      <c r="DF62" s="221"/>
      <c r="DG62" s="221"/>
      <c r="DH62" s="221"/>
      <c r="DI62" s="221"/>
    </row>
    <row r="63" spans="1:113" ht="15.75" thickBot="1" x14ac:dyDescent="0.3">
      <c r="A63" s="37" t="s">
        <v>158</v>
      </c>
      <c r="B63" s="43" t="s">
        <v>178</v>
      </c>
      <c r="C63" s="28"/>
      <c r="D63" s="28" t="s">
        <v>188</v>
      </c>
      <c r="E63" s="43" t="s">
        <v>68</v>
      </c>
      <c r="F63" s="42">
        <f>AHP!J$8</f>
        <v>9.211691762621789E-2</v>
      </c>
      <c r="G63" s="42">
        <f>AHP!J$17</f>
        <v>0.13623046875</v>
      </c>
      <c r="H63" s="53" t="s">
        <v>69</v>
      </c>
      <c r="I63" s="320">
        <f>I22/(I$9-I$4-I$5-I$8)</f>
        <v>0.87962054301602888</v>
      </c>
      <c r="J63" s="296"/>
      <c r="K63" s="296"/>
      <c r="L63" s="296">
        <f>L22/(L$9-L$4-L$5-L$8)</f>
        <v>0.91803278688524603</v>
      </c>
      <c r="M63" s="296"/>
      <c r="N63" s="296"/>
      <c r="O63" s="296">
        <f>O22/(O$9-O$4-O$5-O$8)</f>
        <v>0.94823637196518529</v>
      </c>
      <c r="P63" s="296"/>
      <c r="Q63" s="296"/>
      <c r="R63" s="297">
        <f>R22/(R$9-R$4-R$5-R$8)</f>
        <v>0.90591226954863335</v>
      </c>
      <c r="S63" s="307"/>
      <c r="T63" s="308"/>
      <c r="U63" s="296">
        <f>U22/(U$9-U$4-U$5-U$8)</f>
        <v>1.0318221447253708</v>
      </c>
      <c r="V63" s="296"/>
      <c r="W63" s="297"/>
      <c r="X63" s="211"/>
      <c r="Y63" s="207"/>
      <c r="Z63" s="212"/>
      <c r="AA63" s="211"/>
      <c r="AB63" s="207"/>
      <c r="AC63" s="212"/>
      <c r="AD63" s="211"/>
      <c r="AE63" s="207"/>
      <c r="AF63" s="212"/>
      <c r="AG63" s="211"/>
      <c r="AH63" s="207"/>
      <c r="AI63" s="212"/>
      <c r="AJ63" s="211"/>
      <c r="AK63" s="207"/>
      <c r="AL63" s="212"/>
      <c r="AM63" s="211"/>
      <c r="AN63" s="207"/>
      <c r="AO63" s="249"/>
      <c r="AP63" s="211"/>
      <c r="AQ63" s="207"/>
      <c r="AR63" s="249"/>
      <c r="AS63" s="211"/>
      <c r="AT63" s="207"/>
      <c r="AU63" s="249"/>
      <c r="AV63" s="211"/>
      <c r="AW63" s="207"/>
      <c r="AX63" s="249"/>
      <c r="AY63" s="211"/>
      <c r="AZ63" s="207"/>
      <c r="BA63" s="249"/>
      <c r="BB63" s="252">
        <f t="shared" si="4"/>
        <v>0.92763847604057559</v>
      </c>
      <c r="BC63" s="253"/>
      <c r="BD63" s="253"/>
      <c r="BE63" s="252">
        <f t="shared" si="5"/>
        <v>0.96814762017898193</v>
      </c>
      <c r="BF63" s="253"/>
      <c r="BG63" s="253"/>
      <c r="BH63" s="252">
        <f t="shared" si="6"/>
        <v>1</v>
      </c>
      <c r="BI63" s="253"/>
      <c r="BJ63" s="253"/>
      <c r="BK63" s="252">
        <f t="shared" si="7"/>
        <v>0.95536545141288265</v>
      </c>
      <c r="BL63" s="253"/>
      <c r="BM63" s="253"/>
      <c r="BN63" s="252">
        <f t="shared" si="8"/>
        <v>1.0881486676016836</v>
      </c>
      <c r="BO63" s="253"/>
      <c r="BP63" s="253"/>
      <c r="BQ63" s="244">
        <f t="shared" si="9"/>
        <v>0.12637262442154326</v>
      </c>
      <c r="BR63" s="245"/>
      <c r="BS63" s="245"/>
      <c r="BT63" s="244">
        <f t="shared" si="10"/>
        <v>0.13189120411617966</v>
      </c>
      <c r="BU63" s="245"/>
      <c r="BV63" s="245"/>
      <c r="BW63" s="244">
        <f t="shared" si="11"/>
        <v>0.13623046875</v>
      </c>
      <c r="BX63" s="245"/>
      <c r="BY63" s="245"/>
      <c r="BZ63" s="244">
        <f t="shared" si="12"/>
        <v>0.13014988327353236</v>
      </c>
      <c r="CA63" s="245"/>
      <c r="CB63" s="245"/>
      <c r="CC63" s="244">
        <f t="shared" si="13"/>
        <v>0.14823900305706531</v>
      </c>
      <c r="CD63" s="245"/>
      <c r="CE63" s="245"/>
      <c r="CF63" s="221"/>
      <c r="CG63" s="221"/>
      <c r="CH63" s="221"/>
      <c r="CI63" s="221"/>
      <c r="CJ63" s="221"/>
      <c r="CK63" s="221"/>
      <c r="CL63" s="221"/>
      <c r="CM63" s="221"/>
      <c r="CN63" s="221"/>
      <c r="CO63" s="221"/>
      <c r="CP63" s="221"/>
      <c r="CQ63" s="221"/>
      <c r="CR63" s="221"/>
      <c r="CS63" s="221"/>
      <c r="CT63" s="221"/>
      <c r="CU63" s="221"/>
      <c r="CV63" s="221"/>
      <c r="CW63" s="221"/>
      <c r="CX63" s="221"/>
      <c r="CY63" s="221"/>
      <c r="CZ63" s="221"/>
      <c r="DA63" s="221"/>
      <c r="DB63" s="221"/>
      <c r="DC63" s="221"/>
      <c r="DD63" s="221"/>
      <c r="DE63" s="221"/>
      <c r="DF63" s="221"/>
      <c r="DG63" s="221"/>
      <c r="DH63" s="221"/>
      <c r="DI63" s="221"/>
    </row>
    <row r="64" spans="1:113" ht="15.75" thickBot="1" x14ac:dyDescent="0.3">
      <c r="A64" s="37" t="s">
        <v>159</v>
      </c>
      <c r="B64" s="43" t="s">
        <v>179</v>
      </c>
      <c r="C64" s="28"/>
      <c r="D64" s="28" t="s">
        <v>188</v>
      </c>
      <c r="E64" s="43" t="s">
        <v>68</v>
      </c>
      <c r="F64" s="42">
        <f>AHP!J$8</f>
        <v>9.211691762621789E-2</v>
      </c>
      <c r="G64" s="42">
        <f>AHP!J$17</f>
        <v>0.13623046875</v>
      </c>
      <c r="H64" s="53" t="s">
        <v>69</v>
      </c>
      <c r="I64" s="320">
        <f>I23/(I$9-I$4-I$5-I$6-I$8)</f>
        <v>1.0451175598390172</v>
      </c>
      <c r="J64" s="296"/>
      <c r="K64" s="296"/>
      <c r="L64" s="296">
        <f>L23/(L$9-L$4-L$5-L$6-L$8)</f>
        <v>1.0259740259740262</v>
      </c>
      <c r="M64" s="296"/>
      <c r="N64" s="296"/>
      <c r="O64" s="296">
        <f>O23/(O$9-O$4-O$5-O$6-O$8)</f>
        <v>1.023373983739837</v>
      </c>
      <c r="P64" s="296"/>
      <c r="Q64" s="296"/>
      <c r="R64" s="297">
        <f>R23/(R$9-R$4-R$5-R$6-R$8)</f>
        <v>1.0526315789473688</v>
      </c>
      <c r="S64" s="307"/>
      <c r="T64" s="308"/>
      <c r="U64" s="296">
        <f>U23/(U$9-U$4-U$5-U$6-U$8)</f>
        <v>1.0400687285223371</v>
      </c>
      <c r="V64" s="296"/>
      <c r="W64" s="297"/>
      <c r="X64" s="211"/>
      <c r="Y64" s="207"/>
      <c r="Z64" s="212"/>
      <c r="AA64" s="211"/>
      <c r="AB64" s="207"/>
      <c r="AC64" s="212"/>
      <c r="AD64" s="211"/>
      <c r="AE64" s="207"/>
      <c r="AF64" s="212"/>
      <c r="AG64" s="211"/>
      <c r="AH64" s="207"/>
      <c r="AI64" s="212"/>
      <c r="AJ64" s="211"/>
      <c r="AK64" s="207"/>
      <c r="AL64" s="212"/>
      <c r="AM64" s="211"/>
      <c r="AN64" s="207"/>
      <c r="AO64" s="249"/>
      <c r="AP64" s="211"/>
      <c r="AQ64" s="207"/>
      <c r="AR64" s="249"/>
      <c r="AS64" s="211"/>
      <c r="AT64" s="207"/>
      <c r="AU64" s="249"/>
      <c r="AV64" s="211"/>
      <c r="AW64" s="207"/>
      <c r="AX64" s="249"/>
      <c r="AY64" s="211"/>
      <c r="AZ64" s="207"/>
      <c r="BA64" s="249"/>
      <c r="BB64" s="252">
        <f t="shared" si="4"/>
        <v>1.0212469502299835</v>
      </c>
      <c r="BC64" s="253"/>
      <c r="BD64" s="253"/>
      <c r="BE64" s="252">
        <f t="shared" si="5"/>
        <v>1.0025406569597242</v>
      </c>
      <c r="BF64" s="253"/>
      <c r="BG64" s="253"/>
      <c r="BH64" s="252">
        <f t="shared" si="6"/>
        <v>1</v>
      </c>
      <c r="BI64" s="253"/>
      <c r="BJ64" s="253"/>
      <c r="BK64" s="252">
        <f t="shared" si="7"/>
        <v>1.0285893482464858</v>
      </c>
      <c r="BL64" s="253"/>
      <c r="BM64" s="253"/>
      <c r="BN64" s="252">
        <f t="shared" si="8"/>
        <v>1.0163134348222245</v>
      </c>
      <c r="BO64" s="253"/>
      <c r="BP64" s="253"/>
      <c r="BQ64" s="244">
        <f t="shared" si="9"/>
        <v>0.13912495073933856</v>
      </c>
      <c r="BR64" s="245"/>
      <c r="BS64" s="245"/>
      <c r="BT64" s="244">
        <f t="shared" si="10"/>
        <v>0.13657658363855618</v>
      </c>
      <c r="BU64" s="245"/>
      <c r="BV64" s="245"/>
      <c r="BW64" s="244">
        <f t="shared" si="11"/>
        <v>0.13623046875</v>
      </c>
      <c r="BX64" s="245"/>
      <c r="BY64" s="245"/>
      <c r="BZ64" s="244">
        <f t="shared" si="12"/>
        <v>0.14012520906287576</v>
      </c>
      <c r="CA64" s="245"/>
      <c r="CB64" s="245"/>
      <c r="CC64" s="244">
        <f t="shared" si="13"/>
        <v>0.13845285562275422</v>
      </c>
      <c r="CD64" s="245"/>
      <c r="CE64" s="245"/>
      <c r="CF64" s="221"/>
      <c r="CG64" s="221"/>
      <c r="CH64" s="221"/>
      <c r="CI64" s="221"/>
      <c r="CJ64" s="221"/>
      <c r="CK64" s="221"/>
      <c r="CL64" s="221"/>
      <c r="CM64" s="221"/>
      <c r="CN64" s="221"/>
      <c r="CO64" s="221"/>
      <c r="CP64" s="221"/>
      <c r="CQ64" s="221"/>
      <c r="CR64" s="221"/>
      <c r="CS64" s="221"/>
      <c r="CT64" s="221"/>
      <c r="CU64" s="221"/>
      <c r="CV64" s="221"/>
      <c r="CW64" s="221"/>
      <c r="CX64" s="221"/>
      <c r="CY64" s="221"/>
      <c r="CZ64" s="221"/>
      <c r="DA64" s="221"/>
      <c r="DB64" s="221"/>
      <c r="DC64" s="221"/>
      <c r="DD64" s="221"/>
      <c r="DE64" s="221"/>
      <c r="DF64" s="221"/>
      <c r="DG64" s="221"/>
      <c r="DH64" s="221"/>
      <c r="DI64" s="221"/>
    </row>
    <row r="65" spans="1:113" ht="15.75" thickBot="1" x14ac:dyDescent="0.3">
      <c r="A65" s="48" t="s">
        <v>160</v>
      </c>
      <c r="B65" s="44" t="s">
        <v>180</v>
      </c>
      <c r="C65" s="34"/>
      <c r="D65" s="28" t="s">
        <v>188</v>
      </c>
      <c r="E65" s="44" t="s">
        <v>68</v>
      </c>
      <c r="F65" s="42">
        <f>AHP!J$8</f>
        <v>9.211691762621789E-2</v>
      </c>
      <c r="G65" s="42">
        <f>AHP!J$17</f>
        <v>0.13623046875</v>
      </c>
      <c r="H65" s="66" t="s">
        <v>69</v>
      </c>
      <c r="I65" s="312">
        <f>I24/(I$9-I$4-I$5)</f>
        <v>0.71639802850672707</v>
      </c>
      <c r="J65" s="298"/>
      <c r="K65" s="298"/>
      <c r="L65" s="298">
        <f>L24/(L$9-L$4-L$5)</f>
        <v>0.6957196932932157</v>
      </c>
      <c r="M65" s="298"/>
      <c r="N65" s="298"/>
      <c r="O65" s="298">
        <f>O24/(O$9-O$4-O$5)</f>
        <v>0.75935436537050616</v>
      </c>
      <c r="P65" s="298"/>
      <c r="Q65" s="298"/>
      <c r="R65" s="299">
        <f>R24/(R$9-R$4-R$5)</f>
        <v>0.662834739849824</v>
      </c>
      <c r="S65" s="309"/>
      <c r="T65" s="310"/>
      <c r="U65" s="298">
        <f>U24/(U$9-U$4-U$5)</f>
        <v>0.75550590488349834</v>
      </c>
      <c r="V65" s="298"/>
      <c r="W65" s="299"/>
      <c r="X65" s="213"/>
      <c r="Y65" s="214"/>
      <c r="Z65" s="215"/>
      <c r="AA65" s="213"/>
      <c r="AB65" s="214"/>
      <c r="AC65" s="215"/>
      <c r="AD65" s="213"/>
      <c r="AE65" s="214"/>
      <c r="AF65" s="215"/>
      <c r="AG65" s="213"/>
      <c r="AH65" s="214"/>
      <c r="AI65" s="215"/>
      <c r="AJ65" s="213"/>
      <c r="AK65" s="214"/>
      <c r="AL65" s="215"/>
      <c r="AM65" s="250"/>
      <c r="AN65" s="236"/>
      <c r="AO65" s="251"/>
      <c r="AP65" s="250"/>
      <c r="AQ65" s="236"/>
      <c r="AR65" s="251"/>
      <c r="AS65" s="250"/>
      <c r="AT65" s="236"/>
      <c r="AU65" s="251"/>
      <c r="AV65" s="250"/>
      <c r="AW65" s="236"/>
      <c r="AX65" s="251"/>
      <c r="AY65" s="250"/>
      <c r="AZ65" s="236"/>
      <c r="BA65" s="251"/>
      <c r="BB65" s="252">
        <f t="shared" si="4"/>
        <v>0.94343044720257885</v>
      </c>
      <c r="BC65" s="253"/>
      <c r="BD65" s="253"/>
      <c r="BE65" s="252">
        <f t="shared" si="5"/>
        <v>0.9161989777378291</v>
      </c>
      <c r="BF65" s="253"/>
      <c r="BG65" s="253"/>
      <c r="BH65" s="252">
        <f t="shared" si="6"/>
        <v>1</v>
      </c>
      <c r="BI65" s="253"/>
      <c r="BJ65" s="253"/>
      <c r="BK65" s="252">
        <f t="shared" si="7"/>
        <v>0.87289251247856059</v>
      </c>
      <c r="BL65" s="253"/>
      <c r="BM65" s="253"/>
      <c r="BN65" s="252">
        <f t="shared" si="8"/>
        <v>0.99493193077894526</v>
      </c>
      <c r="BO65" s="253"/>
      <c r="BP65" s="253"/>
      <c r="BQ65" s="293">
        <f t="shared" si="9"/>
        <v>0.12852397205542945</v>
      </c>
      <c r="BR65" s="293"/>
      <c r="BS65" s="293"/>
      <c r="BT65" s="293">
        <f t="shared" si="10"/>
        <v>0.12481421620549528</v>
      </c>
      <c r="BU65" s="293"/>
      <c r="BV65" s="293"/>
      <c r="BW65" s="293">
        <f t="shared" si="11"/>
        <v>0.13623046875</v>
      </c>
      <c r="BX65" s="293"/>
      <c r="BY65" s="293"/>
      <c r="BZ65" s="293">
        <f t="shared" si="12"/>
        <v>0.11891455614331953</v>
      </c>
      <c r="CA65" s="293"/>
      <c r="CB65" s="293"/>
      <c r="CC65" s="293">
        <f t="shared" si="13"/>
        <v>0.13554004330435826</v>
      </c>
      <c r="CD65" s="293"/>
      <c r="CE65" s="293"/>
      <c r="CF65" s="221"/>
      <c r="CG65" s="221"/>
      <c r="CH65" s="221"/>
      <c r="CI65" s="221"/>
      <c r="CJ65" s="221"/>
      <c r="CK65" s="221"/>
      <c r="CL65" s="221"/>
      <c r="CM65" s="221"/>
      <c r="CN65" s="221"/>
      <c r="CO65" s="221"/>
      <c r="CP65" s="221"/>
      <c r="CQ65" s="221"/>
      <c r="CR65" s="221"/>
      <c r="CS65" s="221"/>
      <c r="CT65" s="221"/>
      <c r="CU65" s="221"/>
      <c r="CV65" s="221"/>
      <c r="CW65" s="221"/>
      <c r="CX65" s="221"/>
      <c r="CY65" s="221"/>
      <c r="CZ65" s="221"/>
      <c r="DA65" s="221"/>
      <c r="DB65" s="221"/>
      <c r="DC65" s="221"/>
      <c r="DD65" s="221"/>
      <c r="DE65" s="221"/>
      <c r="DF65" s="221"/>
      <c r="DG65" s="221"/>
      <c r="DH65" s="221"/>
      <c r="DI65" s="221"/>
    </row>
    <row r="66" spans="1:113" ht="15.75" thickBot="1" x14ac:dyDescent="0.3">
      <c r="A66" s="36" t="s">
        <v>161</v>
      </c>
      <c r="B66" s="50" t="s">
        <v>182</v>
      </c>
      <c r="C66" s="45"/>
      <c r="D66" s="45"/>
      <c r="E66" s="45"/>
      <c r="F66" s="45"/>
      <c r="G66" s="45"/>
      <c r="H66" s="45"/>
      <c r="I66" s="313"/>
      <c r="J66" s="300"/>
      <c r="K66" s="300"/>
      <c r="L66" s="300"/>
      <c r="M66" s="300"/>
      <c r="N66" s="300"/>
      <c r="O66" s="300"/>
      <c r="P66" s="300"/>
      <c r="Q66" s="300"/>
      <c r="R66" s="300"/>
      <c r="S66" s="300"/>
      <c r="T66" s="300"/>
      <c r="U66" s="300"/>
      <c r="V66" s="300"/>
      <c r="W66" s="300"/>
      <c r="X66" s="217"/>
      <c r="Y66" s="218"/>
      <c r="Z66" s="218"/>
      <c r="AA66" s="218"/>
      <c r="AB66" s="218"/>
      <c r="AC66" s="218"/>
      <c r="AD66" s="218"/>
      <c r="AE66" s="218"/>
      <c r="AF66" s="218"/>
      <c r="AG66" s="218"/>
      <c r="AH66" s="218"/>
      <c r="AI66" s="218"/>
      <c r="AJ66" s="218"/>
      <c r="AK66" s="218"/>
      <c r="AL66" s="218"/>
      <c r="AM66" s="217"/>
      <c r="AN66" s="218"/>
      <c r="AO66" s="218"/>
      <c r="AP66" s="218"/>
      <c r="AQ66" s="218"/>
      <c r="AR66" s="218"/>
      <c r="AS66" s="218"/>
      <c r="AT66" s="218"/>
      <c r="AU66" s="218"/>
      <c r="AV66" s="218"/>
      <c r="AW66" s="218"/>
      <c r="AX66" s="218"/>
      <c r="AY66" s="218"/>
      <c r="AZ66" s="218"/>
      <c r="BA66" s="218"/>
      <c r="BB66" s="340"/>
      <c r="BC66" s="294"/>
      <c r="BD66" s="294"/>
      <c r="BE66" s="294"/>
      <c r="BF66" s="294"/>
      <c r="BG66" s="294"/>
      <c r="BH66" s="294"/>
      <c r="BI66" s="294"/>
      <c r="BJ66" s="294"/>
      <c r="BK66" s="294"/>
      <c r="BL66" s="294"/>
      <c r="BM66" s="294"/>
      <c r="BN66" s="294"/>
      <c r="BO66" s="294"/>
      <c r="BP66" s="294"/>
      <c r="BQ66" s="257">
        <f t="shared" ref="BQ66" si="77">SUM(BQ$35+BQ36+BQ41+BQ46+BQ51+BQ56+BQ61)</f>
        <v>0.84813109999948799</v>
      </c>
      <c r="BR66" s="257"/>
      <c r="BS66" s="257"/>
      <c r="BT66" s="257">
        <f t="shared" ref="BT66" si="78">SUM(BT$35+BT36+BT41+BT46+BT51+BT56+BT61)</f>
        <v>0.9305149108878138</v>
      </c>
      <c r="BU66" s="257"/>
      <c r="BV66" s="257"/>
      <c r="BW66" s="257">
        <f t="shared" ref="BW66" si="79">SUM(BW$35+BW36+BW41+BW46+BW51+BW56+BW61)</f>
        <v>1</v>
      </c>
      <c r="BX66" s="257"/>
      <c r="BY66" s="257"/>
      <c r="BZ66" s="257">
        <f t="shared" ref="BZ66" si="80">SUM(BZ$35+BZ36+BZ41+BZ46+BZ51+BZ56+BZ61)</f>
        <v>0.95755510190210391</v>
      </c>
      <c r="CA66" s="257"/>
      <c r="CB66" s="257"/>
      <c r="CC66" s="257">
        <f t="shared" ref="CC66" si="81">SUM(CC$35+CC36+CC41+CC46+CC51+CC56+CC61)</f>
        <v>1.0087171013310883</v>
      </c>
      <c r="CD66" s="257"/>
      <c r="CE66" s="257"/>
      <c r="CF66" s="221"/>
      <c r="CG66" s="221"/>
      <c r="CH66" s="221"/>
      <c r="CI66" s="221"/>
      <c r="CJ66" s="221"/>
      <c r="CK66" s="221"/>
      <c r="CL66" s="221"/>
      <c r="CM66" s="221"/>
      <c r="CN66" s="221"/>
      <c r="CO66" s="221"/>
      <c r="CP66" s="221"/>
      <c r="CQ66" s="221"/>
      <c r="CR66" s="221"/>
      <c r="CS66" s="221"/>
      <c r="CT66" s="221"/>
      <c r="CU66" s="221"/>
      <c r="CV66" s="221"/>
      <c r="CW66" s="221"/>
      <c r="CX66" s="221"/>
      <c r="CY66" s="221"/>
      <c r="CZ66" s="221"/>
      <c r="DA66" s="221"/>
      <c r="DB66" s="221"/>
      <c r="DC66" s="221"/>
      <c r="DD66" s="221"/>
      <c r="DE66" s="221"/>
      <c r="DF66" s="221"/>
      <c r="DG66" s="221"/>
      <c r="DH66" s="221"/>
      <c r="DI66" s="221"/>
    </row>
    <row r="67" spans="1:113" ht="15.75" thickBot="1" x14ac:dyDescent="0.3">
      <c r="A67" s="37" t="s">
        <v>162</v>
      </c>
      <c r="B67" s="49" t="s">
        <v>183</v>
      </c>
      <c r="C67" s="46"/>
      <c r="D67" s="46"/>
      <c r="E67" s="46"/>
      <c r="F67" s="46"/>
      <c r="G67" s="46"/>
      <c r="H67" s="46"/>
      <c r="I67" s="313"/>
      <c r="J67" s="300"/>
      <c r="K67" s="300"/>
      <c r="L67" s="300"/>
      <c r="M67" s="300"/>
      <c r="N67" s="300"/>
      <c r="O67" s="300"/>
      <c r="P67" s="300"/>
      <c r="Q67" s="300"/>
      <c r="R67" s="300"/>
      <c r="S67" s="300"/>
      <c r="T67" s="300"/>
      <c r="U67" s="300"/>
      <c r="V67" s="300"/>
      <c r="W67" s="300"/>
      <c r="X67" s="217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  <c r="AJ67" s="218"/>
      <c r="AK67" s="218"/>
      <c r="AL67" s="218"/>
      <c r="AM67" s="217"/>
      <c r="AN67" s="218"/>
      <c r="AO67" s="218"/>
      <c r="AP67" s="218"/>
      <c r="AQ67" s="218"/>
      <c r="AR67" s="218"/>
      <c r="AS67" s="218"/>
      <c r="AT67" s="218"/>
      <c r="AU67" s="218"/>
      <c r="AV67" s="218"/>
      <c r="AW67" s="218"/>
      <c r="AX67" s="218"/>
      <c r="AY67" s="218"/>
      <c r="AZ67" s="218"/>
      <c r="BA67" s="218"/>
      <c r="BB67" s="217"/>
      <c r="BC67" s="218"/>
      <c r="BD67" s="218"/>
      <c r="BE67" s="218"/>
      <c r="BF67" s="218"/>
      <c r="BG67" s="218"/>
      <c r="BH67" s="218"/>
      <c r="BI67" s="218"/>
      <c r="BJ67" s="218"/>
      <c r="BK67" s="218"/>
      <c r="BL67" s="218"/>
      <c r="BM67" s="218"/>
      <c r="BN67" s="218"/>
      <c r="BO67" s="218"/>
      <c r="BP67" s="218"/>
      <c r="BQ67" s="257">
        <f t="shared" ref="BQ67" si="82">SUM(BQ$35+BQ37+BQ42+BQ47+BQ52+BQ57+BQ62)</f>
        <v>0.87741471119633085</v>
      </c>
      <c r="BR67" s="257"/>
      <c r="BS67" s="257"/>
      <c r="BT67" s="257">
        <f t="shared" ref="BT67" si="83">SUM(BT$35+BT37+BT42+BT47+BT52+BT57+BT62)</f>
        <v>0.929533018855764</v>
      </c>
      <c r="BU67" s="257"/>
      <c r="BV67" s="257"/>
      <c r="BW67" s="257">
        <f t="shared" ref="BW67" si="84">SUM(BW$35+BW37+BW42+BW47+BW52+BW57+BW62)</f>
        <v>1</v>
      </c>
      <c r="BX67" s="257"/>
      <c r="BY67" s="257"/>
      <c r="BZ67" s="257">
        <f t="shared" ref="BZ67" si="85">SUM(BZ$35+BZ37+BZ42+BZ47+BZ52+BZ57+BZ62)</f>
        <v>0.95875153529404611</v>
      </c>
      <c r="CA67" s="257"/>
      <c r="CB67" s="257"/>
      <c r="CC67" s="257">
        <f t="shared" ref="CC67" si="86">SUM(CC$35+CC37+CC42+CC47+CC52+CC57+CC62)</f>
        <v>1.0114924952072206</v>
      </c>
      <c r="CD67" s="257"/>
      <c r="CE67" s="257"/>
      <c r="CF67" s="221"/>
      <c r="CG67" s="221"/>
      <c r="CH67" s="221"/>
      <c r="CI67" s="221"/>
      <c r="CJ67" s="221"/>
      <c r="CK67" s="221"/>
      <c r="CL67" s="221"/>
      <c r="CM67" s="221"/>
      <c r="CN67" s="221"/>
      <c r="CO67" s="221"/>
      <c r="CP67" s="221"/>
      <c r="CQ67" s="221"/>
      <c r="CR67" s="221"/>
      <c r="CS67" s="221"/>
      <c r="CT67" s="221"/>
      <c r="CU67" s="221"/>
      <c r="CV67" s="221"/>
      <c r="CW67" s="221"/>
      <c r="CX67" s="221"/>
      <c r="CY67" s="221"/>
      <c r="CZ67" s="221"/>
      <c r="DA67" s="221"/>
      <c r="DB67" s="221"/>
      <c r="DC67" s="221"/>
      <c r="DD67" s="221"/>
      <c r="DE67" s="221"/>
      <c r="DF67" s="221"/>
      <c r="DG67" s="221"/>
      <c r="DH67" s="221"/>
      <c r="DI67" s="221"/>
    </row>
    <row r="68" spans="1:113" ht="15.75" thickBot="1" x14ac:dyDescent="0.3">
      <c r="A68" s="37" t="s">
        <v>163</v>
      </c>
      <c r="B68" s="49" t="s">
        <v>181</v>
      </c>
      <c r="C68" s="46"/>
      <c r="D68" s="46"/>
      <c r="E68" s="46"/>
      <c r="F68" s="46"/>
      <c r="G68" s="46"/>
      <c r="H68" s="46"/>
      <c r="I68" s="313"/>
      <c r="J68" s="300"/>
      <c r="K68" s="300"/>
      <c r="L68" s="300"/>
      <c r="M68" s="300"/>
      <c r="N68" s="300"/>
      <c r="O68" s="300"/>
      <c r="P68" s="300"/>
      <c r="Q68" s="300"/>
      <c r="R68" s="300"/>
      <c r="S68" s="300"/>
      <c r="T68" s="300"/>
      <c r="U68" s="300"/>
      <c r="V68" s="300"/>
      <c r="W68" s="300"/>
      <c r="X68" s="217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  <c r="AJ68" s="218"/>
      <c r="AK68" s="218"/>
      <c r="AL68" s="218"/>
      <c r="AM68" s="217"/>
      <c r="AN68" s="218"/>
      <c r="AO68" s="218"/>
      <c r="AP68" s="218"/>
      <c r="AQ68" s="218"/>
      <c r="AR68" s="218"/>
      <c r="AS68" s="218"/>
      <c r="AT68" s="218"/>
      <c r="AU68" s="218"/>
      <c r="AV68" s="218"/>
      <c r="AW68" s="218"/>
      <c r="AX68" s="218"/>
      <c r="AY68" s="218"/>
      <c r="AZ68" s="218"/>
      <c r="BA68" s="218"/>
      <c r="BB68" s="217"/>
      <c r="BC68" s="218"/>
      <c r="BD68" s="218"/>
      <c r="BE68" s="218"/>
      <c r="BF68" s="218"/>
      <c r="BG68" s="218"/>
      <c r="BH68" s="218"/>
      <c r="BI68" s="218"/>
      <c r="BJ68" s="218"/>
      <c r="BK68" s="218"/>
      <c r="BL68" s="218"/>
      <c r="BM68" s="218"/>
      <c r="BN68" s="218"/>
      <c r="BO68" s="218"/>
      <c r="BP68" s="218"/>
      <c r="BQ68" s="257">
        <f t="shared" ref="BQ68" si="87">SUM(BQ$35+BQ38+BQ43+BQ48+BQ53+BQ58+BQ63)</f>
        <v>0.88309012417606081</v>
      </c>
      <c r="BR68" s="257"/>
      <c r="BS68" s="257"/>
      <c r="BT68" s="257">
        <f t="shared" ref="BT68" si="88">SUM(BT$35+BT38+BT43+BT48+BT53+BT58+BT63)</f>
        <v>0.94554466356383426</v>
      </c>
      <c r="BU68" s="257"/>
      <c r="BV68" s="257"/>
      <c r="BW68" s="257">
        <f t="shared" ref="BW68" si="89">SUM(BW$35+BW38+BW43+BW48+BW53+BW58+BW63)</f>
        <v>1</v>
      </c>
      <c r="BX68" s="257"/>
      <c r="BY68" s="257"/>
      <c r="BZ68" s="257">
        <f t="shared" ref="BZ68" si="90">SUM(BZ$35+BZ38+BZ43+BZ48+BZ53+BZ58+BZ63)</f>
        <v>1.0631019643154387</v>
      </c>
      <c r="CA68" s="257"/>
      <c r="CB68" s="257"/>
      <c r="CC68" s="257">
        <f t="shared" ref="CC68" si="91">SUM(CC$35+CC38+CC43+CC48+CC53+CC58+CC63)</f>
        <v>1.1177622963140357</v>
      </c>
      <c r="CD68" s="257"/>
      <c r="CE68" s="257"/>
      <c r="CF68" s="221"/>
      <c r="CG68" s="221"/>
      <c r="CH68" s="221"/>
      <c r="CI68" s="221"/>
      <c r="CJ68" s="221"/>
      <c r="CK68" s="221"/>
      <c r="CL68" s="221"/>
      <c r="CM68" s="221"/>
      <c r="CN68" s="221"/>
      <c r="CO68" s="221"/>
      <c r="CP68" s="221"/>
      <c r="CQ68" s="221"/>
      <c r="CR68" s="221"/>
      <c r="CS68" s="221"/>
      <c r="CT68" s="221"/>
      <c r="CU68" s="221"/>
      <c r="CV68" s="221"/>
      <c r="CW68" s="221"/>
      <c r="CX68" s="221"/>
      <c r="CY68" s="221"/>
      <c r="CZ68" s="221"/>
      <c r="DA68" s="221"/>
      <c r="DB68" s="221"/>
      <c r="DC68" s="221"/>
      <c r="DD68" s="221"/>
      <c r="DE68" s="221"/>
      <c r="DF68" s="221"/>
      <c r="DG68" s="221"/>
      <c r="DH68" s="221"/>
      <c r="DI68" s="221"/>
    </row>
    <row r="69" spans="1:113" ht="15.75" thickBot="1" x14ac:dyDescent="0.3">
      <c r="A69" s="37" t="s">
        <v>164</v>
      </c>
      <c r="B69" s="49" t="s">
        <v>184</v>
      </c>
      <c r="C69" s="46"/>
      <c r="D69" s="46"/>
      <c r="E69" s="46"/>
      <c r="F69" s="46"/>
      <c r="G69" s="46"/>
      <c r="H69" s="46"/>
      <c r="I69" s="313"/>
      <c r="J69" s="300"/>
      <c r="K69" s="300"/>
      <c r="L69" s="300"/>
      <c r="M69" s="300"/>
      <c r="N69" s="300"/>
      <c r="O69" s="300"/>
      <c r="P69" s="300"/>
      <c r="Q69" s="300"/>
      <c r="R69" s="300"/>
      <c r="S69" s="300"/>
      <c r="T69" s="300"/>
      <c r="U69" s="300"/>
      <c r="V69" s="300"/>
      <c r="W69" s="300"/>
      <c r="X69" s="217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  <c r="AJ69" s="218"/>
      <c r="AK69" s="218"/>
      <c r="AL69" s="218"/>
      <c r="AM69" s="217"/>
      <c r="AN69" s="218"/>
      <c r="AO69" s="218"/>
      <c r="AP69" s="218"/>
      <c r="AQ69" s="218"/>
      <c r="AR69" s="218"/>
      <c r="AS69" s="218"/>
      <c r="AT69" s="218"/>
      <c r="AU69" s="218"/>
      <c r="AV69" s="218"/>
      <c r="AW69" s="218"/>
      <c r="AX69" s="218"/>
      <c r="AY69" s="218"/>
      <c r="AZ69" s="218"/>
      <c r="BA69" s="218"/>
      <c r="BB69" s="217"/>
      <c r="BC69" s="218"/>
      <c r="BD69" s="218"/>
      <c r="BE69" s="218"/>
      <c r="BF69" s="218"/>
      <c r="BG69" s="218"/>
      <c r="BH69" s="218"/>
      <c r="BI69" s="218"/>
      <c r="BJ69" s="218"/>
      <c r="BK69" s="218"/>
      <c r="BL69" s="218"/>
      <c r="BM69" s="218"/>
      <c r="BN69" s="218"/>
      <c r="BO69" s="218"/>
      <c r="BP69" s="218"/>
      <c r="BQ69" s="257">
        <f t="shared" ref="BQ69" si="92">SUM(BQ$35+BQ39+BQ44+BQ49+BQ54+BQ59+BQ64)</f>
        <v>0.93614988439455082</v>
      </c>
      <c r="BR69" s="257"/>
      <c r="BS69" s="257"/>
      <c r="BT69" s="257">
        <f t="shared" ref="BT69" si="93">SUM(BT$35+BT39+BT44+BT49+BT54+BT59+BT64)</f>
        <v>0.95542204115048668</v>
      </c>
      <c r="BU69" s="257"/>
      <c r="BV69" s="257"/>
      <c r="BW69" s="257">
        <f t="shared" ref="BW69" si="94">SUM(BW$35+BW39+BW44+BW49+BW54+BW59+BW64)</f>
        <v>1</v>
      </c>
      <c r="BX69" s="257"/>
      <c r="BY69" s="257"/>
      <c r="BZ69" s="257">
        <f t="shared" ref="BZ69" si="95">SUM(BZ$35+BZ39+BZ44+BZ49+BZ54+BZ59+BZ64)</f>
        <v>1.1468872922769602</v>
      </c>
      <c r="CA69" s="257"/>
      <c r="CB69" s="257"/>
      <c r="CC69" s="257">
        <f t="shared" ref="CC69" si="96">SUM(CC$35+CC39+CC44+CC49+CC54+CC59+CC64)</f>
        <v>1.1599082190437342</v>
      </c>
      <c r="CD69" s="257"/>
      <c r="CE69" s="257"/>
      <c r="CF69" s="221"/>
      <c r="CG69" s="221"/>
      <c r="CH69" s="221"/>
      <c r="CI69" s="221"/>
      <c r="CJ69" s="221"/>
      <c r="CK69" s="221"/>
      <c r="CL69" s="221"/>
      <c r="CM69" s="221"/>
      <c r="CN69" s="221"/>
      <c r="CO69" s="221"/>
      <c r="CP69" s="221"/>
      <c r="CQ69" s="221"/>
      <c r="CR69" s="221"/>
      <c r="CS69" s="221"/>
      <c r="CT69" s="221"/>
      <c r="CU69" s="221"/>
      <c r="CV69" s="221"/>
      <c r="CW69" s="221"/>
      <c r="CX69" s="221"/>
      <c r="CY69" s="221"/>
      <c r="CZ69" s="221"/>
      <c r="DA69" s="221"/>
      <c r="DB69" s="221"/>
      <c r="DC69" s="221"/>
      <c r="DD69" s="221"/>
      <c r="DE69" s="221"/>
      <c r="DF69" s="221"/>
      <c r="DG69" s="221"/>
      <c r="DH69" s="221"/>
      <c r="DI69" s="221"/>
    </row>
    <row r="70" spans="1:113" ht="15.75" thickBot="1" x14ac:dyDescent="0.3">
      <c r="A70" s="38" t="s">
        <v>165</v>
      </c>
      <c r="B70" s="51" t="s">
        <v>185</v>
      </c>
      <c r="C70" s="47"/>
      <c r="D70" s="47"/>
      <c r="E70" s="47"/>
      <c r="F70" s="47"/>
      <c r="G70" s="47"/>
      <c r="H70" s="47"/>
      <c r="I70" s="321"/>
      <c r="J70" s="311"/>
      <c r="K70" s="311"/>
      <c r="L70" s="311"/>
      <c r="M70" s="311"/>
      <c r="N70" s="311"/>
      <c r="O70" s="311"/>
      <c r="P70" s="311"/>
      <c r="Q70" s="311"/>
      <c r="R70" s="311"/>
      <c r="S70" s="311"/>
      <c r="T70" s="311"/>
      <c r="U70" s="311"/>
      <c r="V70" s="311"/>
      <c r="W70" s="311"/>
      <c r="X70" s="219"/>
      <c r="Y70" s="220"/>
      <c r="Z70" s="220"/>
      <c r="AA70" s="220"/>
      <c r="AB70" s="220"/>
      <c r="AC70" s="220"/>
      <c r="AD70" s="220"/>
      <c r="AE70" s="220"/>
      <c r="AF70" s="220"/>
      <c r="AG70" s="220"/>
      <c r="AH70" s="220"/>
      <c r="AI70" s="220"/>
      <c r="AJ70" s="220"/>
      <c r="AK70" s="220"/>
      <c r="AL70" s="220"/>
      <c r="AM70" s="219"/>
      <c r="AN70" s="220"/>
      <c r="AO70" s="220"/>
      <c r="AP70" s="220"/>
      <c r="AQ70" s="220"/>
      <c r="AR70" s="220"/>
      <c r="AS70" s="220"/>
      <c r="AT70" s="220"/>
      <c r="AU70" s="220"/>
      <c r="AV70" s="220"/>
      <c r="AW70" s="220"/>
      <c r="AX70" s="220"/>
      <c r="AY70" s="220"/>
      <c r="AZ70" s="220"/>
      <c r="BA70" s="220"/>
      <c r="BB70" s="219"/>
      <c r="BC70" s="220"/>
      <c r="BD70" s="220"/>
      <c r="BE70" s="220"/>
      <c r="BF70" s="220"/>
      <c r="BG70" s="220"/>
      <c r="BH70" s="220"/>
      <c r="BI70" s="220"/>
      <c r="BJ70" s="220"/>
      <c r="BK70" s="220"/>
      <c r="BL70" s="220"/>
      <c r="BM70" s="220"/>
      <c r="BN70" s="220"/>
      <c r="BO70" s="220"/>
      <c r="BP70" s="220"/>
      <c r="BQ70" s="257">
        <f t="shared" ref="BQ70" si="97">SUM(BQ$35+BQ40+BQ45+BQ50+BQ55+BQ60+BQ65)</f>
        <v>0.88524147180994694</v>
      </c>
      <c r="BR70" s="257"/>
      <c r="BS70" s="257"/>
      <c r="BT70" s="257">
        <f t="shared" ref="BT70" si="98">SUM(BT$35+BT40+BT45+BT50+BT55+BT60+BT65)</f>
        <v>0.93846767565314981</v>
      </c>
      <c r="BU70" s="257"/>
      <c r="BV70" s="257"/>
      <c r="BW70" s="257">
        <f t="shared" ref="BW70" si="99">SUM(BW$35+BW40+BW45+BW50+BW55+BW60+BW65)</f>
        <v>1</v>
      </c>
      <c r="BX70" s="257"/>
      <c r="BY70" s="257"/>
      <c r="BZ70" s="257">
        <f t="shared" ref="BZ70" si="100">SUM(BZ$35+BZ40+BZ45+BZ50+BZ55+BZ60+BZ65)</f>
        <v>1.0518666371852259</v>
      </c>
      <c r="CA70" s="257"/>
      <c r="CB70" s="257"/>
      <c r="CC70" s="257">
        <f t="shared" ref="CC70" si="101">SUM(CC$35+CC40+CC45+CC50+CC55+CC60+CC65)</f>
        <v>1.1050633365613287</v>
      </c>
      <c r="CD70" s="257"/>
      <c r="CE70" s="257"/>
      <c r="CF70" s="221"/>
      <c r="CG70" s="221"/>
      <c r="CH70" s="221"/>
      <c r="CI70" s="221"/>
      <c r="CJ70" s="221"/>
      <c r="CK70" s="221"/>
      <c r="CL70" s="221"/>
      <c r="CM70" s="221"/>
      <c r="CN70" s="221"/>
      <c r="CO70" s="221"/>
      <c r="CP70" s="221"/>
      <c r="CQ70" s="221"/>
      <c r="CR70" s="221"/>
      <c r="CS70" s="221"/>
      <c r="CT70" s="221"/>
      <c r="CU70" s="221"/>
      <c r="CV70" s="221"/>
      <c r="CW70" s="221"/>
      <c r="CX70" s="221"/>
      <c r="CY70" s="221"/>
      <c r="CZ70" s="221"/>
      <c r="DA70" s="221"/>
      <c r="DB70" s="221"/>
      <c r="DC70" s="221"/>
      <c r="DD70" s="221"/>
      <c r="DE70" s="221"/>
      <c r="DF70" s="221"/>
      <c r="DG70" s="221"/>
      <c r="DH70" s="221"/>
      <c r="DI70" s="221"/>
    </row>
    <row r="71" spans="1:113" ht="21.75" customHeight="1" thickBot="1" x14ac:dyDescent="0.4">
      <c r="I71" s="207"/>
      <c r="J71" s="207"/>
      <c r="K71" s="207"/>
      <c r="L71" s="207"/>
      <c r="M71" s="207"/>
      <c r="N71" s="207"/>
      <c r="O71" s="207"/>
      <c r="P71" s="207"/>
      <c r="Q71" s="207"/>
      <c r="R71" s="207"/>
      <c r="S71" s="207"/>
      <c r="T71" s="207"/>
      <c r="U71" s="207"/>
      <c r="V71" s="207"/>
      <c r="W71" s="207"/>
      <c r="X71" s="221"/>
      <c r="Y71" s="221"/>
      <c r="Z71" s="221"/>
      <c r="AA71" s="221"/>
      <c r="AB71" s="221"/>
      <c r="AC71" s="221"/>
      <c r="AD71" s="221"/>
      <c r="AE71" s="221"/>
      <c r="AF71" s="221"/>
      <c r="AG71" s="221"/>
      <c r="AH71" s="221"/>
      <c r="AI71" s="221"/>
      <c r="AJ71" s="221"/>
      <c r="AK71" s="221"/>
      <c r="AL71" s="221"/>
      <c r="AM71" s="290">
        <f>1/SUM(AM35:AO65)</f>
        <v>1.116572154827842</v>
      </c>
      <c r="AN71" s="290"/>
      <c r="AO71" s="290"/>
      <c r="AP71" s="290">
        <f t="shared" ref="AP71" si="102">1/SUM(AP35:AR65)</f>
        <v>1.0439267316067238</v>
      </c>
      <c r="AQ71" s="290"/>
      <c r="AR71" s="290"/>
      <c r="AS71" s="290">
        <f t="shared" ref="AS71" si="103">1/SUM(AS35:AU65)</f>
        <v>1</v>
      </c>
      <c r="AT71" s="290"/>
      <c r="AU71" s="290"/>
      <c r="AV71" s="290">
        <f t="shared" ref="AV71" si="104">1/SUM(AV35:AX65)</f>
        <v>0.89883400937849156</v>
      </c>
      <c r="AW71" s="290"/>
      <c r="AX71" s="290"/>
      <c r="AY71" s="290">
        <f t="shared" ref="AY71" si="105">1/SUM(AY35:BA65)</f>
        <v>0.86451717638255532</v>
      </c>
      <c r="AZ71" s="290"/>
      <c r="BA71" s="290"/>
      <c r="BB71" s="221"/>
      <c r="BC71" s="221"/>
      <c r="BD71" s="221"/>
      <c r="BE71" s="221"/>
      <c r="BF71" s="221"/>
      <c r="BG71" s="221"/>
      <c r="BH71" s="221"/>
      <c r="BI71" s="221"/>
      <c r="BJ71" s="221"/>
      <c r="BK71" s="221"/>
      <c r="BL71" s="221"/>
      <c r="BM71" s="221"/>
      <c r="BN71" s="221"/>
      <c r="BO71" s="221"/>
      <c r="BP71" s="221"/>
      <c r="BQ71" s="290">
        <f t="shared" ref="BQ71" si="106">1/(SUM(BQ66:BS70)/5)</f>
        <v>1.128661218297101</v>
      </c>
      <c r="BR71" s="290"/>
      <c r="BS71" s="290"/>
      <c r="BT71" s="290">
        <f t="shared" ref="BT71" si="107">1/(SUM(BT66:BV70)/5)</f>
        <v>1.0639469775729085</v>
      </c>
      <c r="BU71" s="290"/>
      <c r="BV71" s="290"/>
      <c r="BW71" s="290">
        <f t="shared" ref="BW71" si="108">1/(SUM(BW66:BY70)/5)</f>
        <v>1</v>
      </c>
      <c r="BX71" s="290"/>
      <c r="BY71" s="290"/>
      <c r="BZ71" s="290">
        <f t="shared" ref="BZ71" si="109">1/(SUM(BZ66:CB70)/5)</f>
        <v>0.96559348419288216</v>
      </c>
      <c r="CA71" s="290"/>
      <c r="CB71" s="290"/>
      <c r="CC71" s="290">
        <f t="shared" ref="CC71" si="110">1/(SUM(CC66:CE70)/5)</f>
        <v>0.92542149435740417</v>
      </c>
      <c r="CD71" s="290"/>
      <c r="CE71" s="290"/>
      <c r="CF71" s="221"/>
      <c r="CG71" s="221"/>
      <c r="CH71" s="221"/>
      <c r="CI71" s="221"/>
      <c r="CJ71" s="221"/>
      <c r="CK71" s="221"/>
      <c r="CL71" s="221"/>
      <c r="CM71" s="221"/>
      <c r="CN71" s="221"/>
      <c r="CO71" s="221"/>
      <c r="CP71" s="221"/>
      <c r="CQ71" s="221"/>
      <c r="CR71" s="221"/>
      <c r="CS71" s="221"/>
      <c r="CT71" s="221"/>
      <c r="CU71" s="221"/>
      <c r="CV71" s="221"/>
      <c r="CW71" s="221"/>
      <c r="CX71" s="221"/>
      <c r="CY71" s="221"/>
      <c r="CZ71" s="221"/>
      <c r="DA71" s="221"/>
      <c r="DB71" s="221"/>
      <c r="DC71" s="221"/>
      <c r="DD71" s="221"/>
      <c r="DE71" s="221"/>
      <c r="DF71" s="221"/>
      <c r="DG71" s="221"/>
      <c r="DH71" s="221"/>
      <c r="DI71" s="221"/>
    </row>
    <row r="72" spans="1:113" s="175" customFormat="1" ht="27" customHeight="1" thickBot="1" x14ac:dyDescent="0.45">
      <c r="B72" s="39"/>
      <c r="S72" s="174"/>
      <c r="T72" s="174"/>
      <c r="U72" s="174"/>
      <c r="V72" s="174"/>
      <c r="W72" s="174"/>
      <c r="X72" s="178"/>
      <c r="Y72" s="178"/>
      <c r="Z72" s="178"/>
      <c r="AA72" s="178"/>
      <c r="AB72" s="178"/>
      <c r="AC72" s="178"/>
      <c r="AD72" s="178"/>
      <c r="AE72" s="178"/>
      <c r="AF72" s="178"/>
      <c r="AG72" s="178"/>
      <c r="AH72" s="178"/>
      <c r="AI72" s="178"/>
      <c r="AJ72" s="178"/>
      <c r="AK72" s="178"/>
      <c r="AL72" s="178"/>
      <c r="AM72" s="341" t="s">
        <v>287</v>
      </c>
      <c r="AN72" s="342"/>
      <c r="AO72" s="342"/>
      <c r="AP72" s="342"/>
      <c r="AQ72" s="342"/>
      <c r="AR72" s="342"/>
      <c r="AS72" s="342"/>
      <c r="AT72" s="342"/>
      <c r="AU72" s="342"/>
      <c r="AV72" s="342"/>
      <c r="AW72" s="342"/>
      <c r="AX72" s="342"/>
      <c r="AY72" s="342"/>
      <c r="AZ72" s="342"/>
      <c r="BA72" s="343"/>
      <c r="BQ72" s="341" t="s">
        <v>207</v>
      </c>
      <c r="BR72" s="342"/>
      <c r="BS72" s="342"/>
      <c r="BT72" s="342"/>
      <c r="BU72" s="342"/>
      <c r="BV72" s="342"/>
      <c r="BW72" s="342"/>
      <c r="BX72" s="342"/>
      <c r="BY72" s="342"/>
      <c r="BZ72" s="342"/>
      <c r="CA72" s="342"/>
      <c r="CB72" s="342"/>
      <c r="CC72" s="342"/>
      <c r="CD72" s="342"/>
      <c r="CE72" s="343"/>
    </row>
    <row r="73" spans="1:113" s="175" customFormat="1" ht="16.5" customHeight="1" x14ac:dyDescent="0.4">
      <c r="B73" s="39" t="s">
        <v>134</v>
      </c>
      <c r="I73" s="174"/>
      <c r="J73" s="174"/>
      <c r="K73" s="174"/>
      <c r="L73" s="174"/>
      <c r="M73" s="174"/>
      <c r="N73" s="174"/>
      <c r="O73" s="174"/>
      <c r="P73" s="174"/>
      <c r="Q73" s="174"/>
      <c r="R73" s="174"/>
      <c r="S73" s="174"/>
      <c r="T73" s="174"/>
      <c r="U73" s="174"/>
      <c r="V73" s="174"/>
      <c r="W73" s="174"/>
      <c r="X73" s="178"/>
      <c r="Y73" s="178"/>
      <c r="Z73" s="178"/>
      <c r="AA73" s="178"/>
      <c r="AB73" s="178"/>
      <c r="AC73" s="178"/>
      <c r="AD73" s="178"/>
      <c r="AE73" s="178"/>
      <c r="AF73" s="178"/>
      <c r="AG73" s="178"/>
      <c r="AH73" s="178"/>
      <c r="AI73" s="178"/>
      <c r="AJ73" s="178"/>
      <c r="AK73" s="178"/>
      <c r="AL73" s="178"/>
      <c r="AM73" s="176"/>
      <c r="AN73" s="176"/>
      <c r="AO73" s="176"/>
      <c r="AP73" s="176"/>
      <c r="AQ73" s="176"/>
      <c r="AR73" s="176"/>
      <c r="AS73" s="176"/>
      <c r="AT73" s="176"/>
      <c r="AU73" s="176"/>
      <c r="AV73" s="176"/>
      <c r="AW73" s="176"/>
      <c r="AX73" s="176"/>
      <c r="AY73" s="176"/>
      <c r="AZ73" s="176"/>
      <c r="BA73" s="176"/>
      <c r="BQ73" s="176"/>
      <c r="BR73" s="176"/>
      <c r="BS73" s="176"/>
      <c r="BT73" s="176"/>
      <c r="BU73" s="176"/>
      <c r="BV73" s="176"/>
      <c r="BW73" s="176"/>
      <c r="BX73" s="176"/>
      <c r="BY73" s="176"/>
      <c r="BZ73" s="176"/>
      <c r="CA73" s="176"/>
      <c r="CB73" s="176"/>
      <c r="CC73" s="176"/>
      <c r="CD73" s="176"/>
      <c r="CE73" s="176"/>
    </row>
    <row r="74" spans="1:113" ht="17.25" x14ac:dyDescent="0.25">
      <c r="B74" t="s">
        <v>136</v>
      </c>
      <c r="C74">
        <v>3</v>
      </c>
      <c r="D74" t="s">
        <v>135</v>
      </c>
      <c r="E74" t="s">
        <v>144</v>
      </c>
      <c r="G74" t="s">
        <v>145</v>
      </c>
      <c r="H74" t="s">
        <v>189</v>
      </c>
      <c r="I74" s="207"/>
      <c r="J74" s="207"/>
      <c r="K74" s="207"/>
      <c r="L74" s="207"/>
      <c r="M74" s="207"/>
      <c r="N74" s="207"/>
      <c r="O74" s="207"/>
      <c r="P74" s="207"/>
      <c r="Q74" s="207"/>
      <c r="R74" s="207"/>
      <c r="S74" s="207"/>
      <c r="T74" s="207"/>
      <c r="U74" s="207"/>
      <c r="V74" s="207"/>
      <c r="W74" s="207"/>
      <c r="X74" s="216"/>
      <c r="Y74" s="216"/>
      <c r="Z74" s="216"/>
      <c r="AA74" s="222"/>
      <c r="AB74" s="222"/>
      <c r="AC74" s="222"/>
      <c r="AD74" s="222"/>
      <c r="AE74" s="222"/>
      <c r="AF74" s="222"/>
      <c r="AG74" s="216"/>
      <c r="AH74" s="216"/>
      <c r="AI74" s="216"/>
      <c r="AJ74" s="216"/>
      <c r="AK74" s="216"/>
      <c r="AL74" s="216"/>
      <c r="AM74" s="216"/>
      <c r="AN74" s="216"/>
      <c r="AO74" s="216"/>
      <c r="AP74" s="216" t="s">
        <v>209</v>
      </c>
      <c r="AQ74" s="216"/>
      <c r="AR74" s="216"/>
      <c r="AS74" s="216" t="s">
        <v>214</v>
      </c>
      <c r="AT74" s="216"/>
      <c r="AU74" s="216"/>
      <c r="AV74" s="216" t="s">
        <v>217</v>
      </c>
      <c r="AW74" s="216"/>
      <c r="AX74" s="216"/>
      <c r="AY74" s="216"/>
      <c r="AZ74" s="216"/>
      <c r="BA74" s="216"/>
      <c r="BB74" s="216"/>
      <c r="BC74" s="216"/>
      <c r="BD74" s="216"/>
      <c r="BE74" s="222"/>
      <c r="BF74" s="222"/>
      <c r="BG74" s="222"/>
      <c r="BH74" s="222"/>
      <c r="BI74" s="222"/>
      <c r="BJ74" s="222"/>
      <c r="BK74" s="216"/>
      <c r="BL74" s="216"/>
      <c r="BM74" s="216"/>
      <c r="BN74" s="216"/>
      <c r="BO74" s="216"/>
      <c r="BP74" s="216"/>
      <c r="BQ74" s="216"/>
      <c r="BR74" s="216"/>
      <c r="BS74" s="216"/>
      <c r="BT74" s="222" t="s">
        <v>209</v>
      </c>
      <c r="BU74" s="222"/>
      <c r="BV74" s="222"/>
      <c r="BW74" s="222" t="s">
        <v>210</v>
      </c>
      <c r="BX74" s="222"/>
      <c r="BY74" s="222"/>
      <c r="BZ74" s="216" t="s">
        <v>215</v>
      </c>
      <c r="CA74" s="216"/>
      <c r="CB74" s="216"/>
      <c r="CC74" s="216"/>
      <c r="CD74" s="216"/>
      <c r="CE74" s="216"/>
      <c r="CF74" s="221"/>
      <c r="CG74" s="221"/>
      <c r="CH74" s="221"/>
      <c r="CI74" s="221"/>
      <c r="CJ74" s="221"/>
      <c r="CK74" s="221"/>
      <c r="CL74" s="221"/>
      <c r="CM74" s="221"/>
      <c r="CN74" s="221"/>
      <c r="CO74" s="221"/>
      <c r="CP74" s="221"/>
      <c r="CQ74" s="221"/>
      <c r="CR74" s="221"/>
      <c r="CS74" s="221"/>
      <c r="CT74" s="221"/>
      <c r="CU74" s="175"/>
      <c r="CV74" s="175"/>
      <c r="CW74" s="175"/>
      <c r="CX74" s="175"/>
      <c r="CY74" s="175"/>
      <c r="CZ74" s="175"/>
      <c r="DA74" s="175"/>
      <c r="DB74" s="175"/>
      <c r="DC74" s="175"/>
      <c r="DD74" s="175"/>
      <c r="DE74" s="175"/>
      <c r="DF74" s="175"/>
      <c r="DG74" s="175"/>
      <c r="DH74" s="175"/>
      <c r="DI74" s="175"/>
    </row>
    <row r="75" spans="1:113" x14ac:dyDescent="0.25">
      <c r="B75" t="s">
        <v>142</v>
      </c>
      <c r="C75" s="40">
        <f>(H75/(E75*G75))^(1/2)</f>
        <v>0.1010362971081845</v>
      </c>
      <c r="D75" t="s">
        <v>126</v>
      </c>
      <c r="E75">
        <v>1</v>
      </c>
      <c r="G75">
        <v>0.35</v>
      </c>
      <c r="H75" s="58">
        <f>E75*(G75^3)/12</f>
        <v>3.5729166666666656E-3</v>
      </c>
      <c r="I75" s="207"/>
      <c r="J75" s="207"/>
      <c r="K75" s="207"/>
      <c r="L75" s="207"/>
      <c r="M75" s="207"/>
      <c r="N75" s="207"/>
      <c r="O75" s="207"/>
      <c r="P75" s="207"/>
      <c r="Q75" s="207"/>
      <c r="R75" s="207"/>
      <c r="S75" s="207"/>
      <c r="T75" s="207"/>
      <c r="U75" s="207"/>
      <c r="V75" s="207"/>
      <c r="W75" s="207"/>
      <c r="X75" s="207"/>
      <c r="Y75" s="207"/>
      <c r="Z75" s="207"/>
      <c r="AA75" s="216"/>
      <c r="AB75" s="207"/>
      <c r="AC75" s="207"/>
      <c r="AD75" s="216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16">
        <f>AO3</f>
        <v>4</v>
      </c>
      <c r="AQ75" s="207"/>
      <c r="AR75" s="207"/>
      <c r="AS75" s="291">
        <f>AM71</f>
        <v>1.116572154827842</v>
      </c>
      <c r="AT75" s="291"/>
      <c r="AU75" s="291"/>
      <c r="AV75" s="207">
        <f>AS75/(AS76*(AP75-AP76))</f>
        <v>1.1884318027540204</v>
      </c>
      <c r="AW75" s="207"/>
      <c r="AX75" s="207"/>
      <c r="AY75" s="207"/>
      <c r="AZ75" s="207"/>
      <c r="BA75" s="207"/>
      <c r="BB75" s="207"/>
      <c r="BC75" s="207"/>
      <c r="BD75" s="207"/>
      <c r="BE75" s="216"/>
      <c r="BF75" s="207"/>
      <c r="BG75" s="207"/>
      <c r="BH75" s="216"/>
      <c r="BI75" s="207"/>
      <c r="BJ75" s="207"/>
      <c r="BK75" s="207"/>
      <c r="BL75" s="207"/>
      <c r="BM75" s="207"/>
      <c r="BN75" s="207"/>
      <c r="BO75" s="207"/>
      <c r="BP75" s="207"/>
      <c r="BQ75" s="207"/>
      <c r="BR75" s="207"/>
      <c r="BS75" s="207"/>
      <c r="BT75" s="216">
        <f>BS3</f>
        <v>4</v>
      </c>
      <c r="BU75" s="207"/>
      <c r="BV75" s="207"/>
      <c r="BW75" s="291">
        <f>BQ71</f>
        <v>1.128661218297101</v>
      </c>
      <c r="BX75" s="291"/>
      <c r="BY75" s="291"/>
      <c r="BZ75" s="207">
        <f>BW75/(BW76*(BT75-BT76))</f>
        <v>1.1786940954434693</v>
      </c>
      <c r="CA75" s="207"/>
      <c r="CB75" s="207"/>
      <c r="CC75" s="207"/>
      <c r="CD75" s="207"/>
      <c r="CE75" s="207"/>
      <c r="CF75" s="221"/>
      <c r="CG75" s="221"/>
      <c r="CH75" s="221"/>
      <c r="CI75" s="221"/>
      <c r="CJ75" s="221"/>
      <c r="CK75" s="221"/>
      <c r="CL75" s="221"/>
      <c r="CM75" s="221"/>
      <c r="CN75" s="221"/>
      <c r="CO75" s="221"/>
      <c r="CP75" s="221"/>
      <c r="CQ75" s="221"/>
      <c r="CR75" s="221"/>
      <c r="CS75" s="221"/>
      <c r="CT75" s="221"/>
      <c r="CU75" s="175"/>
      <c r="CV75" s="175"/>
      <c r="CW75" s="175"/>
      <c r="CX75" s="175"/>
      <c r="CY75" s="175"/>
      <c r="CZ75" s="175"/>
      <c r="DA75" s="175"/>
      <c r="DB75" s="175"/>
      <c r="DC75" s="175"/>
      <c r="DD75" s="175"/>
      <c r="DE75" s="175"/>
      <c r="DF75" s="175"/>
      <c r="DG75" s="175"/>
      <c r="DH75" s="175"/>
      <c r="DI75" s="175"/>
    </row>
    <row r="76" spans="1:113" x14ac:dyDescent="0.25">
      <c r="B76" t="s">
        <v>143</v>
      </c>
      <c r="C76" s="40">
        <f>(H76/(E76*G76))^(1/2)</f>
        <v>8.6602540378443865E-2</v>
      </c>
      <c r="D76" t="s">
        <v>126</v>
      </c>
      <c r="E76">
        <v>1</v>
      </c>
      <c r="G76">
        <v>0.3</v>
      </c>
      <c r="H76" s="58">
        <f>E76*(G76^3)/12</f>
        <v>2.2499999999999998E-3</v>
      </c>
      <c r="I76" s="207"/>
      <c r="J76" s="207"/>
      <c r="K76" s="207"/>
      <c r="L76" s="207"/>
      <c r="M76" s="207"/>
      <c r="N76" s="207"/>
      <c r="O76" s="207"/>
      <c r="P76" s="207"/>
      <c r="Q76" s="207"/>
      <c r="R76" s="207"/>
      <c r="S76" s="207"/>
      <c r="T76" s="207"/>
      <c r="U76" s="207"/>
      <c r="V76" s="207"/>
      <c r="W76" s="207"/>
      <c r="X76" s="207"/>
      <c r="Y76" s="207"/>
      <c r="Z76" s="207"/>
      <c r="AA76" s="216"/>
      <c r="AB76" s="207"/>
      <c r="AC76" s="207"/>
      <c r="AD76" s="216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16">
        <f>AR3</f>
        <v>3.1</v>
      </c>
      <c r="AQ76" s="207"/>
      <c r="AR76" s="207"/>
      <c r="AS76" s="291">
        <f>AP71</f>
        <v>1.0439267316067238</v>
      </c>
      <c r="AT76" s="291"/>
      <c r="AU76" s="291"/>
      <c r="AV76" s="207">
        <f>AS76/(AS77*(AP76-AP77))</f>
        <v>2.3228465338746096</v>
      </c>
      <c r="AW76" s="207"/>
      <c r="AX76" s="207"/>
      <c r="AY76" s="207"/>
      <c r="AZ76" s="207"/>
      <c r="BA76" s="207"/>
      <c r="BB76" s="207"/>
      <c r="BC76" s="207"/>
      <c r="BD76" s="207"/>
      <c r="BE76" s="216"/>
      <c r="BF76" s="207"/>
      <c r="BG76" s="207"/>
      <c r="BH76" s="216"/>
      <c r="BI76" s="207"/>
      <c r="BJ76" s="207"/>
      <c r="BK76" s="207"/>
      <c r="BL76" s="207"/>
      <c r="BM76" s="207"/>
      <c r="BN76" s="207"/>
      <c r="BO76" s="207"/>
      <c r="BP76" s="207"/>
      <c r="BQ76" s="207"/>
      <c r="BR76" s="207"/>
      <c r="BS76" s="207"/>
      <c r="BT76" s="216">
        <f>BV3</f>
        <v>3.1</v>
      </c>
      <c r="BU76" s="207"/>
      <c r="BV76" s="207"/>
      <c r="BW76" s="291">
        <f>BT71</f>
        <v>1.0639469775729085</v>
      </c>
      <c r="BX76" s="291"/>
      <c r="BY76" s="291"/>
      <c r="BZ76" s="207">
        <f>BW76/(BW77*(BT76-BT77))</f>
        <v>2.2037161496843316</v>
      </c>
      <c r="CA76" s="207"/>
      <c r="CB76" s="207"/>
      <c r="CC76" s="207"/>
      <c r="CD76" s="207"/>
      <c r="CE76" s="207"/>
      <c r="CF76" s="207"/>
      <c r="CG76" s="207"/>
      <c r="CH76" s="207"/>
      <c r="CI76" s="216"/>
      <c r="CJ76" s="207"/>
      <c r="CK76" s="207"/>
      <c r="CL76" s="216"/>
      <c r="CM76" s="207"/>
      <c r="CN76" s="207"/>
      <c r="CO76" s="207"/>
      <c r="CP76" s="207"/>
      <c r="CQ76" s="207"/>
      <c r="CR76" s="207"/>
      <c r="CS76" s="207"/>
      <c r="CT76" s="207"/>
    </row>
    <row r="77" spans="1:113" x14ac:dyDescent="0.25">
      <c r="I77" s="207"/>
      <c r="J77" s="207"/>
      <c r="K77" s="207"/>
      <c r="L77" s="207"/>
      <c r="M77" s="207"/>
      <c r="N77" s="207"/>
      <c r="O77" s="207"/>
      <c r="P77" s="207"/>
      <c r="Q77" s="207"/>
      <c r="R77" s="207"/>
      <c r="S77" s="207"/>
      <c r="T77" s="207"/>
      <c r="U77" s="207"/>
      <c r="V77" s="207"/>
      <c r="W77" s="207"/>
      <c r="X77" s="207"/>
      <c r="Y77" s="207"/>
      <c r="Z77" s="207"/>
      <c r="AA77" s="216"/>
      <c r="AB77" s="207"/>
      <c r="AC77" s="207"/>
      <c r="AD77" s="216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16">
        <f>AX3</f>
        <v>2.6</v>
      </c>
      <c r="AQ77" s="207"/>
      <c r="AR77" s="207"/>
      <c r="AS77" s="291">
        <f>AV71</f>
        <v>0.89883400937849156</v>
      </c>
      <c r="AT77" s="291"/>
      <c r="AU77" s="291"/>
      <c r="AV77" s="207"/>
      <c r="AW77" s="207"/>
      <c r="AX77" s="207"/>
      <c r="AY77" s="207"/>
      <c r="AZ77" s="207"/>
      <c r="BA77" s="207"/>
      <c r="BB77" s="207"/>
      <c r="BC77" s="207"/>
      <c r="BD77" s="207"/>
      <c r="BE77" s="216"/>
      <c r="BF77" s="207"/>
      <c r="BG77" s="207"/>
      <c r="BH77" s="216"/>
      <c r="BI77" s="207"/>
      <c r="BJ77" s="207"/>
      <c r="BK77" s="207"/>
      <c r="BL77" s="207"/>
      <c r="BM77" s="207"/>
      <c r="BN77" s="207"/>
      <c r="BO77" s="207"/>
      <c r="BP77" s="207"/>
      <c r="BQ77" s="207"/>
      <c r="BR77" s="207"/>
      <c r="BS77" s="207"/>
      <c r="BT77" s="216">
        <f>CB3</f>
        <v>2.6</v>
      </c>
      <c r="BU77" s="207"/>
      <c r="BV77" s="207"/>
      <c r="BW77" s="291">
        <f>BZ71</f>
        <v>0.96559348419288216</v>
      </c>
      <c r="BX77" s="291"/>
      <c r="BY77" s="291"/>
      <c r="BZ77" s="207"/>
      <c r="CA77" s="207"/>
      <c r="CB77" s="207"/>
      <c r="CC77" s="207"/>
      <c r="CD77" s="207"/>
      <c r="CE77" s="207"/>
      <c r="CF77" s="207"/>
      <c r="CG77" s="207"/>
      <c r="CH77" s="207"/>
      <c r="CI77" s="216"/>
      <c r="CJ77" s="207"/>
      <c r="CK77" s="207"/>
      <c r="CL77" s="216"/>
      <c r="CM77" s="207"/>
      <c r="CN77" s="207"/>
      <c r="CO77" s="207"/>
      <c r="CP77" s="207"/>
      <c r="CQ77" s="207"/>
      <c r="CR77" s="207"/>
      <c r="CS77" s="207"/>
      <c r="CT77" s="207"/>
    </row>
    <row r="78" spans="1:113" x14ac:dyDescent="0.25"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07"/>
      <c r="U78" s="207"/>
      <c r="V78" s="207"/>
      <c r="W78" s="207"/>
      <c r="X78" s="207"/>
      <c r="Y78" s="207"/>
      <c r="Z78" s="207"/>
      <c r="AA78" s="216"/>
      <c r="AB78" s="216"/>
      <c r="AC78" s="216"/>
      <c r="AD78" s="216"/>
      <c r="AE78" s="216"/>
      <c r="AF78" s="216"/>
      <c r="AG78" s="207"/>
      <c r="AH78" s="207"/>
      <c r="AI78" s="207"/>
      <c r="AJ78" s="207"/>
      <c r="AK78" s="207"/>
      <c r="AL78" s="207"/>
      <c r="AM78" s="207"/>
      <c r="AN78" s="207"/>
      <c r="AO78" s="207"/>
      <c r="AP78" s="216" t="s">
        <v>211</v>
      </c>
      <c r="AQ78" s="216"/>
      <c r="AR78" s="216"/>
      <c r="AS78" s="216" t="s">
        <v>214</v>
      </c>
      <c r="AT78" s="216"/>
      <c r="AU78" s="216"/>
      <c r="AV78" s="207"/>
      <c r="AW78" s="207"/>
      <c r="AX78" s="207"/>
      <c r="AY78" s="207">
        <f>AVERAGE(AV75,AV76,AV79)</f>
        <v>1.9415694565861525</v>
      </c>
      <c r="AZ78" s="207"/>
      <c r="BA78" s="207"/>
      <c r="BB78" s="207"/>
      <c r="BC78" s="207"/>
      <c r="BD78" s="207"/>
      <c r="BE78" s="216"/>
      <c r="BF78" s="216"/>
      <c r="BG78" s="216"/>
      <c r="BH78" s="216"/>
      <c r="BI78" s="216"/>
      <c r="BJ78" s="216"/>
      <c r="BK78" s="207"/>
      <c r="BL78" s="207"/>
      <c r="BM78" s="207"/>
      <c r="BN78" s="207"/>
      <c r="BO78" s="207"/>
      <c r="BP78" s="207"/>
      <c r="BQ78" s="207"/>
      <c r="BR78" s="207"/>
      <c r="BS78" s="207"/>
      <c r="BT78" s="216" t="s">
        <v>211</v>
      </c>
      <c r="BU78" s="216"/>
      <c r="BV78" s="216"/>
      <c r="BW78" s="216" t="s">
        <v>210</v>
      </c>
      <c r="BX78" s="216"/>
      <c r="BY78" s="216"/>
      <c r="BZ78" s="207"/>
      <c r="CA78" s="207"/>
      <c r="CB78" s="207"/>
      <c r="CC78" s="207">
        <f>AVERAGE(BZ75,BZ76,BZ79)</f>
        <v>1.8478625415035879</v>
      </c>
      <c r="CD78" s="207"/>
      <c r="CE78" s="207"/>
      <c r="CF78" s="207"/>
      <c r="CG78" s="207"/>
      <c r="CH78" s="207"/>
      <c r="CI78" s="216"/>
      <c r="CJ78" s="216"/>
      <c r="CK78" s="216"/>
      <c r="CL78" s="216"/>
      <c r="CM78" s="216"/>
      <c r="CN78" s="216"/>
      <c r="CO78" s="207"/>
      <c r="CP78" s="207"/>
      <c r="CQ78" s="207"/>
      <c r="CR78" s="207"/>
      <c r="CS78" s="207"/>
      <c r="CT78" s="207"/>
    </row>
    <row r="79" spans="1:113" x14ac:dyDescent="0.25">
      <c r="I79" s="207"/>
      <c r="J79" s="207"/>
      <c r="K79" s="207"/>
      <c r="L79" s="207"/>
      <c r="M79" s="207"/>
      <c r="N79" s="207"/>
      <c r="O79" s="207"/>
      <c r="P79" s="207"/>
      <c r="Q79" s="207"/>
      <c r="R79" s="207"/>
      <c r="S79" s="207"/>
      <c r="T79" s="207"/>
      <c r="U79" s="207"/>
      <c r="V79" s="207"/>
      <c r="W79" s="207"/>
      <c r="X79" s="207"/>
      <c r="Y79" s="207"/>
      <c r="Z79" s="207"/>
      <c r="AA79" s="216"/>
      <c r="AB79" s="207"/>
      <c r="AC79" s="207"/>
      <c r="AD79" s="216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16">
        <f>AU3</f>
        <v>3.1</v>
      </c>
      <c r="AQ79" s="207"/>
      <c r="AR79" s="207"/>
      <c r="AS79" s="291">
        <f>AS71</f>
        <v>1</v>
      </c>
      <c r="AT79" s="291"/>
      <c r="AU79" s="291"/>
      <c r="AV79" s="207">
        <f>AS79/(AS80*(AP79-AP80))</f>
        <v>2.3134300331298276</v>
      </c>
      <c r="AW79" s="207"/>
      <c r="AX79" s="207"/>
      <c r="AY79" s="207"/>
      <c r="AZ79" s="207"/>
      <c r="BA79" s="207"/>
      <c r="BB79" s="207"/>
      <c r="BC79" s="207"/>
      <c r="BD79" s="207"/>
      <c r="BE79" s="216"/>
      <c r="BF79" s="207"/>
      <c r="BG79" s="207"/>
      <c r="BH79" s="216"/>
      <c r="BI79" s="207"/>
      <c r="BJ79" s="207"/>
      <c r="BK79" s="207"/>
      <c r="BL79" s="207"/>
      <c r="BM79" s="207"/>
      <c r="BN79" s="207"/>
      <c r="BO79" s="207"/>
      <c r="BP79" s="207"/>
      <c r="BQ79" s="207"/>
      <c r="BR79" s="207"/>
      <c r="BS79" s="207"/>
      <c r="BT79" s="216">
        <f>BY3</f>
        <v>3.1</v>
      </c>
      <c r="BU79" s="207"/>
      <c r="BV79" s="207"/>
      <c r="BW79" s="291">
        <f>BW71</f>
        <v>1</v>
      </c>
      <c r="BX79" s="291"/>
      <c r="BY79" s="291"/>
      <c r="BZ79" s="207">
        <f>BW79/(BW80*(BT79-BT80))</f>
        <v>2.1611773793829627</v>
      </c>
      <c r="CA79" s="207"/>
      <c r="CB79" s="207"/>
      <c r="CC79" s="207"/>
      <c r="CD79" s="207"/>
      <c r="CE79" s="207"/>
      <c r="CF79" s="207"/>
      <c r="CG79" s="207"/>
      <c r="CH79" s="207"/>
      <c r="CI79" s="216"/>
      <c r="CJ79" s="207"/>
      <c r="CK79" s="207"/>
      <c r="CL79" s="216"/>
      <c r="CM79" s="207"/>
      <c r="CN79" s="207"/>
      <c r="CO79" s="207"/>
      <c r="CP79" s="207"/>
      <c r="CQ79" s="207"/>
      <c r="CR79" s="207"/>
      <c r="CS79" s="207"/>
      <c r="CT79" s="207"/>
    </row>
    <row r="80" spans="1:113" x14ac:dyDescent="0.25">
      <c r="I80" s="207"/>
      <c r="J80" s="207"/>
      <c r="K80" s="207"/>
      <c r="L80" s="207"/>
      <c r="M80" s="207"/>
      <c r="N80" s="207"/>
      <c r="O80" s="207"/>
      <c r="P80" s="207"/>
      <c r="Q80" s="207"/>
      <c r="R80" s="207"/>
      <c r="S80" s="207"/>
      <c r="T80" s="207"/>
      <c r="U80" s="207"/>
      <c r="V80" s="207"/>
      <c r="W80" s="207"/>
      <c r="X80" s="207"/>
      <c r="Y80" s="207"/>
      <c r="Z80" s="207"/>
      <c r="AA80" s="216"/>
      <c r="AB80" s="207"/>
      <c r="AC80" s="207"/>
      <c r="AD80" s="216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16">
        <f>BA3</f>
        <v>2.6</v>
      </c>
      <c r="AQ80" s="207"/>
      <c r="AR80" s="207"/>
      <c r="AS80" s="291">
        <f>AY71</f>
        <v>0.86451717638255532</v>
      </c>
      <c r="AT80" s="291"/>
      <c r="AU80" s="291"/>
      <c r="AV80" s="207"/>
      <c r="AW80" s="207"/>
      <c r="AX80" s="207"/>
      <c r="AY80" s="207"/>
      <c r="AZ80" s="207"/>
      <c r="BA80" s="207"/>
      <c r="BB80" s="207"/>
      <c r="BC80" s="207"/>
      <c r="BD80" s="207"/>
      <c r="BE80" s="216"/>
      <c r="BF80" s="207"/>
      <c r="BG80" s="207"/>
      <c r="BH80" s="216"/>
      <c r="BI80" s="207"/>
      <c r="BJ80" s="207"/>
      <c r="BK80" s="207"/>
      <c r="BL80" s="207"/>
      <c r="BM80" s="207"/>
      <c r="BN80" s="207"/>
      <c r="BO80" s="207"/>
      <c r="BP80" s="207"/>
      <c r="BQ80" s="207"/>
      <c r="BR80" s="207"/>
      <c r="BS80" s="207"/>
      <c r="BT80" s="216">
        <f>CE3</f>
        <v>2.6</v>
      </c>
      <c r="BU80" s="207"/>
      <c r="BV80" s="207"/>
      <c r="BW80" s="291">
        <f>CC71</f>
        <v>0.92542149435740417</v>
      </c>
      <c r="BX80" s="291"/>
      <c r="BY80" s="291"/>
      <c r="BZ80" s="207"/>
      <c r="CA80" s="207"/>
      <c r="CB80" s="207"/>
      <c r="CC80" s="207"/>
      <c r="CD80" s="207"/>
      <c r="CE80" s="207"/>
      <c r="CF80" s="207"/>
      <c r="CG80" s="207"/>
      <c r="CH80" s="207"/>
      <c r="CI80" s="216"/>
      <c r="CJ80" s="207"/>
      <c r="CK80" s="207"/>
      <c r="CL80" s="216"/>
      <c r="CM80" s="207"/>
      <c r="CN80" s="207"/>
      <c r="CO80" s="207"/>
      <c r="CP80" s="207"/>
      <c r="CQ80" s="207"/>
      <c r="CR80" s="207"/>
      <c r="CS80" s="207"/>
      <c r="CT80" s="207"/>
    </row>
    <row r="81" spans="9:98" x14ac:dyDescent="0.25">
      <c r="I81" s="207"/>
      <c r="J81" s="207"/>
      <c r="K81" s="207"/>
      <c r="L81" s="207"/>
      <c r="M81" s="207"/>
      <c r="N81" s="207"/>
      <c r="O81" s="207"/>
      <c r="P81" s="207"/>
      <c r="Q81" s="207"/>
      <c r="R81" s="207"/>
      <c r="S81" s="207"/>
      <c r="T81" s="207"/>
      <c r="U81" s="207"/>
      <c r="V81" s="207"/>
      <c r="W81" s="207"/>
      <c r="X81" s="207"/>
      <c r="Y81" s="207"/>
      <c r="Z81" s="207"/>
      <c r="AA81" s="207"/>
      <c r="AB81" s="207"/>
      <c r="AC81" s="207"/>
      <c r="AD81" s="216"/>
      <c r="AE81" s="216"/>
      <c r="AF81" s="216"/>
      <c r="AG81" s="216"/>
      <c r="AH81" s="216"/>
      <c r="AI81" s="216"/>
      <c r="AJ81" s="207"/>
      <c r="AK81" s="207"/>
      <c r="AL81" s="207"/>
      <c r="AM81" s="207"/>
      <c r="AN81" s="207"/>
      <c r="AO81" s="207"/>
      <c r="AP81" s="207" t="s">
        <v>212</v>
      </c>
      <c r="AQ81" s="207"/>
      <c r="AR81" s="207"/>
      <c r="AS81" s="216" t="s">
        <v>214</v>
      </c>
      <c r="AT81" s="216"/>
      <c r="AU81" s="216"/>
      <c r="AV81" s="216" t="s">
        <v>218</v>
      </c>
      <c r="AW81" s="216"/>
      <c r="AX81" s="216"/>
      <c r="AY81" s="207"/>
      <c r="AZ81" s="207"/>
      <c r="BA81" s="207"/>
      <c r="BB81" s="207"/>
      <c r="BC81" s="207"/>
      <c r="BD81" s="207"/>
      <c r="BE81" s="207"/>
      <c r="BF81" s="207"/>
      <c r="BG81" s="207"/>
      <c r="BH81" s="216"/>
      <c r="BI81" s="216"/>
      <c r="BJ81" s="216"/>
      <c r="BK81" s="216"/>
      <c r="BL81" s="216"/>
      <c r="BM81" s="216"/>
      <c r="BN81" s="207"/>
      <c r="BO81" s="207"/>
      <c r="BP81" s="207"/>
      <c r="BQ81" s="207"/>
      <c r="BR81" s="207"/>
      <c r="BS81" s="207"/>
      <c r="BT81" s="207" t="s">
        <v>212</v>
      </c>
      <c r="BU81" s="207"/>
      <c r="BV81" s="207"/>
      <c r="BW81" s="216" t="s">
        <v>210</v>
      </c>
      <c r="BX81" s="216"/>
      <c r="BY81" s="216"/>
      <c r="BZ81" s="216" t="s">
        <v>216</v>
      </c>
      <c r="CA81" s="216"/>
      <c r="CB81" s="216"/>
      <c r="CC81" s="207"/>
      <c r="CD81" s="207"/>
      <c r="CE81" s="207"/>
      <c r="CF81" s="207"/>
      <c r="CG81" s="207"/>
      <c r="CH81" s="207"/>
      <c r="CI81" s="207"/>
      <c r="CJ81" s="207"/>
      <c r="CK81" s="207"/>
      <c r="CL81" s="216"/>
      <c r="CM81" s="216"/>
      <c r="CN81" s="216"/>
      <c r="CO81" s="216"/>
      <c r="CP81" s="216"/>
      <c r="CQ81" s="216"/>
      <c r="CR81" s="207"/>
      <c r="CS81" s="207"/>
      <c r="CT81" s="207"/>
    </row>
    <row r="82" spans="9:98" x14ac:dyDescent="0.25">
      <c r="I82" s="207"/>
      <c r="J82" s="207"/>
      <c r="K82" s="207"/>
      <c r="L82" s="207"/>
      <c r="M82" s="207"/>
      <c r="N82" s="207"/>
      <c r="O82" s="207"/>
      <c r="P82" s="207"/>
      <c r="Q82" s="207"/>
      <c r="R82" s="207"/>
      <c r="S82" s="207"/>
      <c r="T82" s="207"/>
      <c r="U82" s="207"/>
      <c r="V82" s="207"/>
      <c r="W82" s="207"/>
      <c r="X82" s="207"/>
      <c r="Y82" s="207"/>
      <c r="Z82" s="207"/>
      <c r="AA82" s="207"/>
      <c r="AB82" s="207"/>
      <c r="AC82" s="207"/>
      <c r="AD82" s="216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>
        <f>AQ3</f>
        <v>16</v>
      </c>
      <c r="AQ82" s="207"/>
      <c r="AR82" s="207"/>
      <c r="AS82" s="291">
        <f>AP71</f>
        <v>1.0439267316067238</v>
      </c>
      <c r="AT82" s="291"/>
      <c r="AU82" s="291"/>
      <c r="AV82" s="207">
        <f>AS82/(AS83*(AP83-AP82))</f>
        <v>0.52196336580336189</v>
      </c>
      <c r="AW82" s="207"/>
      <c r="AX82" s="207"/>
      <c r="AY82" s="207"/>
      <c r="AZ82" s="207"/>
      <c r="BA82" s="207"/>
      <c r="BB82" s="207"/>
      <c r="BC82" s="207"/>
      <c r="BD82" s="207"/>
      <c r="BE82" s="207"/>
      <c r="BF82" s="207"/>
      <c r="BG82" s="207"/>
      <c r="BH82" s="216"/>
      <c r="BI82" s="207"/>
      <c r="BJ82" s="207"/>
      <c r="BK82" s="207"/>
      <c r="BL82" s="207"/>
      <c r="BM82" s="207"/>
      <c r="BN82" s="207"/>
      <c r="BO82" s="207"/>
      <c r="BP82" s="207"/>
      <c r="BQ82" s="207"/>
      <c r="BR82" s="207"/>
      <c r="BS82" s="207"/>
      <c r="BT82" s="207">
        <f>BU3</f>
        <v>16</v>
      </c>
      <c r="BU82" s="207"/>
      <c r="BV82" s="207"/>
      <c r="BW82" s="291">
        <f>BT71</f>
        <v>1.0639469775729085</v>
      </c>
      <c r="BX82" s="291"/>
      <c r="BY82" s="291"/>
      <c r="BZ82" s="207">
        <f>BW82/(BW83*(BT83-BT82))</f>
        <v>0.53197348878645423</v>
      </c>
      <c r="CA82" s="207"/>
      <c r="CB82" s="207"/>
      <c r="CC82" s="207"/>
      <c r="CD82" s="207"/>
      <c r="CE82" s="207"/>
      <c r="CF82" s="207"/>
      <c r="CG82" s="207"/>
      <c r="CH82" s="207"/>
      <c r="CI82" s="207"/>
      <c r="CJ82" s="207"/>
      <c r="CK82" s="207"/>
      <c r="CL82" s="216"/>
      <c r="CM82" s="207"/>
      <c r="CN82" s="207"/>
      <c r="CO82" s="207"/>
      <c r="CP82" s="207"/>
      <c r="CQ82" s="207"/>
      <c r="CR82" s="207"/>
      <c r="CS82" s="207"/>
      <c r="CT82" s="207"/>
    </row>
    <row r="83" spans="9:98" x14ac:dyDescent="0.25">
      <c r="I83" s="207"/>
      <c r="J83" s="207"/>
      <c r="K83" s="207"/>
      <c r="L83" s="207"/>
      <c r="M83" s="207"/>
      <c r="N83" s="207"/>
      <c r="O83" s="207"/>
      <c r="P83" s="207"/>
      <c r="Q83" s="207"/>
      <c r="R83" s="207"/>
      <c r="S83" s="207"/>
      <c r="T83" s="207"/>
      <c r="U83" s="207"/>
      <c r="V83" s="207"/>
      <c r="W83" s="207"/>
      <c r="X83" s="207"/>
      <c r="Y83" s="207"/>
      <c r="Z83" s="207"/>
      <c r="AA83" s="207"/>
      <c r="AB83" s="207"/>
      <c r="AC83" s="207"/>
      <c r="AD83" s="216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>
        <f>AT3</f>
        <v>18</v>
      </c>
      <c r="AQ83" s="207"/>
      <c r="AR83" s="207"/>
      <c r="AS83" s="291">
        <f>AS71</f>
        <v>1</v>
      </c>
      <c r="AT83" s="291"/>
      <c r="AU83" s="291"/>
      <c r="AV83" s="207"/>
      <c r="AW83" s="207"/>
      <c r="AX83" s="207"/>
      <c r="AY83" s="207"/>
      <c r="AZ83" s="207"/>
      <c r="BA83" s="207"/>
      <c r="BB83" s="207"/>
      <c r="BC83" s="207"/>
      <c r="BD83" s="207"/>
      <c r="BE83" s="207"/>
      <c r="BF83" s="207"/>
      <c r="BG83" s="207"/>
      <c r="BH83" s="216"/>
      <c r="BI83" s="207"/>
      <c r="BJ83" s="207"/>
      <c r="BK83" s="207"/>
      <c r="BL83" s="207"/>
      <c r="BM83" s="207"/>
      <c r="BN83" s="207"/>
      <c r="BO83" s="207"/>
      <c r="BP83" s="207"/>
      <c r="BQ83" s="207"/>
      <c r="BR83" s="207"/>
      <c r="BS83" s="207"/>
      <c r="BT83" s="207">
        <f>BX3</f>
        <v>18</v>
      </c>
      <c r="BU83" s="207"/>
      <c r="BV83" s="207"/>
      <c r="BW83" s="291">
        <f>BW71</f>
        <v>1</v>
      </c>
      <c r="BX83" s="291"/>
      <c r="BY83" s="291"/>
      <c r="BZ83" s="207"/>
      <c r="CA83" s="207"/>
      <c r="CB83" s="207"/>
      <c r="CC83" s="207"/>
      <c r="CD83" s="207"/>
      <c r="CE83" s="207"/>
      <c r="CF83" s="207"/>
      <c r="CG83" s="207"/>
      <c r="CH83" s="207"/>
      <c r="CI83" s="207"/>
      <c r="CJ83" s="207"/>
      <c r="CK83" s="207"/>
      <c r="CL83" s="216"/>
      <c r="CM83" s="207"/>
      <c r="CN83" s="207"/>
      <c r="CO83" s="207"/>
      <c r="CP83" s="207"/>
      <c r="CQ83" s="207"/>
      <c r="CR83" s="207"/>
      <c r="CS83" s="207"/>
      <c r="CT83" s="207"/>
    </row>
    <row r="84" spans="9:98" x14ac:dyDescent="0.25">
      <c r="I84" s="207"/>
      <c r="J84" s="207"/>
      <c r="K84" s="207"/>
      <c r="L84" s="207"/>
      <c r="M84" s="207"/>
      <c r="N84" s="207"/>
      <c r="O84" s="207"/>
      <c r="P84" s="207"/>
      <c r="Q84" s="207"/>
      <c r="R84" s="207"/>
      <c r="S84" s="207"/>
      <c r="T84" s="207"/>
      <c r="U84" s="207"/>
      <c r="V84" s="207"/>
      <c r="W84" s="207"/>
      <c r="X84" s="207"/>
      <c r="Y84" s="207"/>
      <c r="Z84" s="207"/>
      <c r="AA84" s="207"/>
      <c r="AB84" s="207"/>
      <c r="AC84" s="207"/>
      <c r="AD84" s="216"/>
      <c r="AE84" s="216"/>
      <c r="AF84" s="216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 t="s">
        <v>213</v>
      </c>
      <c r="AQ84" s="207"/>
      <c r="AR84" s="207"/>
      <c r="AS84" s="216" t="s">
        <v>214</v>
      </c>
      <c r="AT84" s="216"/>
      <c r="AU84" s="216"/>
      <c r="AV84" s="207"/>
      <c r="AW84" s="207"/>
      <c r="AX84" s="207"/>
      <c r="AY84" s="207">
        <f>AVERAGE(AV82,AV85)</f>
        <v>0.52090538191351832</v>
      </c>
      <c r="AZ84" s="207"/>
      <c r="BA84" s="207"/>
      <c r="BB84" s="207"/>
      <c r="BC84" s="207"/>
      <c r="BD84" s="207"/>
      <c r="BE84" s="207"/>
      <c r="BF84" s="207"/>
      <c r="BG84" s="207"/>
      <c r="BH84" s="216"/>
      <c r="BI84" s="216"/>
      <c r="BJ84" s="216"/>
      <c r="BK84" s="207"/>
      <c r="BL84" s="207"/>
      <c r="BM84" s="207"/>
      <c r="BN84" s="207"/>
      <c r="BO84" s="207"/>
      <c r="BP84" s="207"/>
      <c r="BQ84" s="207"/>
      <c r="BR84" s="207"/>
      <c r="BS84" s="207"/>
      <c r="BT84" s="207" t="s">
        <v>213</v>
      </c>
      <c r="BU84" s="207"/>
      <c r="BV84" s="207"/>
      <c r="BW84" s="216" t="s">
        <v>210</v>
      </c>
      <c r="BX84" s="216"/>
      <c r="BY84" s="216"/>
      <c r="BZ84" s="207"/>
      <c r="CA84" s="207"/>
      <c r="CB84" s="207"/>
      <c r="CC84" s="207">
        <f>AVERAGE(BZ82,BZ85)</f>
        <v>0.52683909385788175</v>
      </c>
      <c r="CD84" s="207"/>
      <c r="CE84" s="207"/>
      <c r="CF84" s="207"/>
      <c r="CG84" s="207"/>
      <c r="CH84" s="207"/>
      <c r="CI84" s="207"/>
      <c r="CJ84" s="207"/>
      <c r="CK84" s="207"/>
      <c r="CL84" s="216"/>
      <c r="CM84" s="216"/>
      <c r="CN84" s="216"/>
      <c r="CO84" s="207"/>
      <c r="CP84" s="207"/>
      <c r="CQ84" s="207"/>
      <c r="CR84" s="207"/>
      <c r="CS84" s="207"/>
      <c r="CT84" s="207"/>
    </row>
    <row r="85" spans="9:98" x14ac:dyDescent="0.25">
      <c r="I85" s="207"/>
      <c r="J85" s="207"/>
      <c r="K85" s="207"/>
      <c r="L85" s="207"/>
      <c r="M85" s="207"/>
      <c r="N85" s="207"/>
      <c r="O85" s="207"/>
      <c r="P85" s="207"/>
      <c r="Q85" s="207"/>
      <c r="R85" s="207"/>
      <c r="S85" s="207"/>
      <c r="T85" s="207"/>
      <c r="U85" s="207"/>
      <c r="V85" s="207"/>
      <c r="W85" s="207"/>
      <c r="X85" s="207"/>
      <c r="Y85" s="207"/>
      <c r="Z85" s="207"/>
      <c r="AA85" s="207"/>
      <c r="AB85" s="207"/>
      <c r="AC85" s="207"/>
      <c r="AD85" s="216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>
        <f>AW3</f>
        <v>16</v>
      </c>
      <c r="AQ85" s="207"/>
      <c r="AR85" s="207"/>
      <c r="AS85" s="291">
        <f>AV71</f>
        <v>0.89883400937849156</v>
      </c>
      <c r="AT85" s="291"/>
      <c r="AU85" s="291"/>
      <c r="AV85" s="207">
        <f>AS85/(AS86*(AP86-AP85))</f>
        <v>0.51984739802367486</v>
      </c>
      <c r="AW85" s="207"/>
      <c r="AX85" s="207"/>
      <c r="AY85" s="207"/>
      <c r="AZ85" s="207"/>
      <c r="BA85" s="207"/>
      <c r="BB85" s="207"/>
      <c r="BC85" s="207"/>
      <c r="BD85" s="207"/>
      <c r="BE85" s="207"/>
      <c r="BF85" s="207"/>
      <c r="BG85" s="207"/>
      <c r="BH85" s="216"/>
      <c r="BI85" s="207"/>
      <c r="BJ85" s="207"/>
      <c r="BK85" s="207"/>
      <c r="BL85" s="207"/>
      <c r="BM85" s="207"/>
      <c r="BN85" s="207"/>
      <c r="BO85" s="207"/>
      <c r="BP85" s="207"/>
      <c r="BQ85" s="207"/>
      <c r="BR85" s="207"/>
      <c r="BS85" s="207"/>
      <c r="BT85" s="207">
        <f>CA3</f>
        <v>16</v>
      </c>
      <c r="BU85" s="207"/>
      <c r="BV85" s="207"/>
      <c r="BW85" s="291">
        <f>BZ71</f>
        <v>0.96559348419288216</v>
      </c>
      <c r="BX85" s="291"/>
      <c r="BY85" s="291"/>
      <c r="BZ85" s="207">
        <f>BW85/(BW86*(BT86-BT85))</f>
        <v>0.52170469892930937</v>
      </c>
      <c r="CA85" s="207"/>
      <c r="CB85" s="207"/>
      <c r="CC85" s="207"/>
      <c r="CD85" s="207"/>
      <c r="CE85" s="207"/>
      <c r="CF85" s="207"/>
      <c r="CG85" s="207"/>
      <c r="CH85" s="207"/>
      <c r="CI85" s="207"/>
      <c r="CJ85" s="207"/>
      <c r="CK85" s="207"/>
      <c r="CL85" s="216"/>
      <c r="CM85" s="207"/>
      <c r="CN85" s="207"/>
      <c r="CO85" s="207"/>
      <c r="CP85" s="207"/>
      <c r="CQ85" s="207"/>
      <c r="CR85" s="207"/>
      <c r="CS85" s="207"/>
      <c r="CT85" s="207"/>
    </row>
    <row r="86" spans="9:98" x14ac:dyDescent="0.25">
      <c r="I86" s="207"/>
      <c r="J86" s="207"/>
      <c r="K86" s="207"/>
      <c r="L86" s="207"/>
      <c r="M86" s="207"/>
      <c r="N86" s="207"/>
      <c r="O86" s="207"/>
      <c r="P86" s="207"/>
      <c r="Q86" s="207"/>
      <c r="R86" s="207"/>
      <c r="S86" s="207"/>
      <c r="T86" s="207"/>
      <c r="U86" s="207"/>
      <c r="V86" s="207"/>
      <c r="W86" s="207"/>
      <c r="X86" s="207"/>
      <c r="Y86" s="207"/>
      <c r="Z86" s="207"/>
      <c r="AA86" s="207"/>
      <c r="AB86" s="207"/>
      <c r="AC86" s="207"/>
      <c r="AD86" s="216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>
        <f>AZ3</f>
        <v>18</v>
      </c>
      <c r="AQ86" s="207"/>
      <c r="AR86" s="207"/>
      <c r="AS86" s="291">
        <f>AY71</f>
        <v>0.86451717638255532</v>
      </c>
      <c r="AT86" s="291"/>
      <c r="AU86" s="291"/>
      <c r="AV86" s="207"/>
      <c r="AW86" s="207"/>
      <c r="AX86" s="207"/>
      <c r="AY86" s="207"/>
      <c r="AZ86" s="207"/>
      <c r="BA86" s="207"/>
      <c r="BB86" s="207"/>
      <c r="BC86" s="207"/>
      <c r="BD86" s="207"/>
      <c r="BE86" s="207"/>
      <c r="BF86" s="207"/>
      <c r="BG86" s="207"/>
      <c r="BH86" s="216"/>
      <c r="BI86" s="207"/>
      <c r="BJ86" s="207"/>
      <c r="BK86" s="207"/>
      <c r="BL86" s="207"/>
      <c r="BM86" s="207"/>
      <c r="BN86" s="207"/>
      <c r="BO86" s="207"/>
      <c r="BP86" s="207"/>
      <c r="BQ86" s="207"/>
      <c r="BR86" s="207"/>
      <c r="BS86" s="207"/>
      <c r="BT86" s="207">
        <f>CD3</f>
        <v>18</v>
      </c>
      <c r="BU86" s="207"/>
      <c r="BV86" s="207"/>
      <c r="BW86" s="291">
        <f>CC71</f>
        <v>0.92542149435740417</v>
      </c>
      <c r="BX86" s="291"/>
      <c r="BY86" s="291"/>
      <c r="BZ86" s="207"/>
      <c r="CA86" s="207"/>
      <c r="CB86" s="207"/>
      <c r="CC86" s="207"/>
      <c r="CD86" s="207"/>
      <c r="CE86" s="207"/>
      <c r="CF86" s="207"/>
      <c r="CG86" s="207"/>
      <c r="CH86" s="207"/>
      <c r="CI86" s="207"/>
      <c r="CJ86" s="207"/>
      <c r="CK86" s="207"/>
      <c r="CL86" s="216"/>
      <c r="CM86" s="207"/>
      <c r="CN86" s="207"/>
      <c r="CO86" s="207"/>
      <c r="CP86" s="207"/>
      <c r="CQ86" s="207"/>
      <c r="CR86" s="207"/>
      <c r="CS86" s="207"/>
      <c r="CT86" s="207"/>
    </row>
    <row r="87" spans="9:98" x14ac:dyDescent="0.25">
      <c r="I87" s="207"/>
      <c r="J87" s="207"/>
      <c r="K87" s="207"/>
      <c r="L87" s="207"/>
      <c r="M87" s="207"/>
      <c r="N87" s="207"/>
      <c r="O87" s="207"/>
      <c r="P87" s="207"/>
      <c r="Q87" s="207"/>
      <c r="R87" s="207"/>
      <c r="S87" s="207"/>
      <c r="T87" s="207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7"/>
      <c r="AS87" s="207"/>
      <c r="AT87" s="207"/>
      <c r="AU87" s="207"/>
      <c r="AV87" s="207"/>
      <c r="AW87" s="207"/>
      <c r="AX87" s="207"/>
      <c r="AY87" s="207">
        <f>AY78/AY84</f>
        <v>3.7272977473450171</v>
      </c>
      <c r="AZ87" s="207"/>
      <c r="BA87" s="207"/>
      <c r="BB87" s="207"/>
      <c r="BC87" s="207"/>
      <c r="BD87" s="207"/>
      <c r="BE87" s="207"/>
      <c r="BF87" s="207"/>
      <c r="BG87" s="207"/>
      <c r="BH87" s="207"/>
      <c r="BI87" s="207"/>
      <c r="BJ87" s="207"/>
      <c r="BK87" s="207"/>
      <c r="BL87" s="207"/>
      <c r="BM87" s="207"/>
      <c r="BN87" s="207"/>
      <c r="BO87" s="207"/>
      <c r="BP87" s="207"/>
      <c r="BQ87" s="207"/>
      <c r="BR87" s="207"/>
      <c r="BS87" s="207"/>
      <c r="BT87" s="207"/>
      <c r="BU87" s="207"/>
      <c r="BV87" s="207"/>
      <c r="BW87" s="207"/>
      <c r="BX87" s="207"/>
      <c r="BY87" s="207"/>
      <c r="BZ87" s="207"/>
      <c r="CA87" s="207"/>
      <c r="CB87" s="207"/>
      <c r="CC87" s="207">
        <f>CC78/CC84</f>
        <v>3.5074514458907271</v>
      </c>
      <c r="CD87" s="207"/>
      <c r="CE87" s="207"/>
      <c r="CF87" s="207"/>
      <c r="CG87" s="207"/>
      <c r="CH87" s="207"/>
      <c r="CI87" s="207"/>
      <c r="CJ87" s="207"/>
      <c r="CK87" s="207"/>
      <c r="CL87" s="207"/>
      <c r="CM87" s="207"/>
      <c r="CN87" s="207"/>
      <c r="CO87" s="207"/>
      <c r="CP87" s="207"/>
      <c r="CQ87" s="207"/>
      <c r="CR87" s="207"/>
      <c r="CS87" s="207"/>
      <c r="CT87" s="207"/>
    </row>
    <row r="88" spans="9:98" x14ac:dyDescent="0.25">
      <c r="I88" s="207"/>
      <c r="J88" s="207"/>
      <c r="K88" s="207"/>
      <c r="L88" s="207"/>
      <c r="M88" s="207"/>
      <c r="N88" s="207"/>
      <c r="O88" s="207"/>
      <c r="P88" s="207"/>
      <c r="Q88" s="207"/>
      <c r="R88" s="207"/>
      <c r="S88" s="207"/>
      <c r="T88" s="207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7"/>
      <c r="AS88" s="207"/>
      <c r="AT88" s="207"/>
      <c r="AU88" s="207"/>
      <c r="AV88" s="207"/>
      <c r="AW88" s="207"/>
      <c r="AX88" s="207"/>
      <c r="AY88" s="207"/>
      <c r="AZ88" s="207"/>
      <c r="BA88" s="207"/>
      <c r="BB88" s="207"/>
      <c r="BC88" s="207"/>
      <c r="BD88" s="207"/>
      <c r="BE88" s="207"/>
      <c r="BF88" s="207"/>
      <c r="BG88" s="207"/>
      <c r="BH88" s="207"/>
      <c r="BI88" s="207"/>
      <c r="BJ88" s="207"/>
      <c r="BK88" s="207"/>
      <c r="BL88" s="207"/>
      <c r="BM88" s="207"/>
      <c r="BN88" s="207"/>
      <c r="BO88" s="207"/>
      <c r="BP88" s="207"/>
      <c r="BQ88" s="207"/>
      <c r="BR88" s="207"/>
      <c r="BS88" s="207"/>
      <c r="BT88" s="207"/>
      <c r="BU88" s="207"/>
      <c r="BV88" s="207"/>
      <c r="BW88" s="207"/>
      <c r="BX88" s="207"/>
      <c r="BY88" s="207"/>
      <c r="BZ88" s="207"/>
      <c r="CA88" s="207"/>
      <c r="CB88" s="207"/>
      <c r="CC88" s="207"/>
      <c r="CD88" s="207"/>
      <c r="CE88" s="207"/>
      <c r="CF88" s="207"/>
      <c r="CG88" s="207"/>
      <c r="CH88" s="207"/>
      <c r="CI88" s="207"/>
      <c r="CJ88" s="207"/>
      <c r="CK88" s="207"/>
      <c r="CL88" s="207"/>
      <c r="CM88" s="207"/>
      <c r="CN88" s="207"/>
      <c r="CO88" s="207"/>
      <c r="CP88" s="207"/>
      <c r="CQ88" s="207"/>
      <c r="CR88" s="207"/>
      <c r="CS88" s="207"/>
      <c r="CT88" s="207"/>
    </row>
    <row r="89" spans="9:98" x14ac:dyDescent="0.25">
      <c r="I89" s="207"/>
      <c r="J89" s="207"/>
      <c r="K89" s="207"/>
      <c r="L89" s="207"/>
      <c r="M89" s="207"/>
      <c r="N89" s="207"/>
      <c r="O89" s="207"/>
      <c r="P89" s="207"/>
      <c r="Q89" s="207"/>
      <c r="R89" s="207"/>
      <c r="S89" s="207"/>
      <c r="T89" s="207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7"/>
      <c r="AS89" s="207"/>
      <c r="AT89" s="207"/>
      <c r="AU89" s="207"/>
      <c r="AV89" s="207"/>
      <c r="AW89" s="207"/>
      <c r="AX89" s="207"/>
      <c r="AY89" s="207"/>
      <c r="AZ89" s="207"/>
      <c r="BA89" s="207"/>
      <c r="BB89" s="207"/>
      <c r="BC89" s="207"/>
      <c r="BD89" s="207"/>
      <c r="BE89" s="207"/>
      <c r="BF89" s="207"/>
      <c r="BG89" s="207"/>
      <c r="BH89" s="207"/>
      <c r="BI89" s="207"/>
      <c r="BJ89" s="207"/>
      <c r="BK89" s="207"/>
      <c r="BL89" s="207"/>
      <c r="BM89" s="207"/>
      <c r="BN89" s="207"/>
      <c r="BO89" s="207"/>
      <c r="BP89" s="207"/>
      <c r="BQ89" s="207"/>
      <c r="BR89" s="207"/>
      <c r="BS89" s="207"/>
      <c r="BT89" s="207"/>
      <c r="BU89" s="207"/>
      <c r="BV89" s="207"/>
      <c r="BW89" s="207"/>
      <c r="BX89" s="207"/>
      <c r="BY89" s="207"/>
      <c r="BZ89" s="207"/>
      <c r="CA89" s="207"/>
      <c r="CB89" s="207"/>
      <c r="CC89" s="207"/>
      <c r="CD89" s="207"/>
      <c r="CE89" s="207"/>
      <c r="CF89" s="207"/>
      <c r="CG89" s="207"/>
      <c r="CH89" s="207"/>
      <c r="CI89" s="207"/>
      <c r="CJ89" s="207"/>
      <c r="CK89" s="207"/>
      <c r="CL89" s="207"/>
      <c r="CM89" s="207"/>
      <c r="CN89" s="207"/>
      <c r="CO89" s="207"/>
      <c r="CP89" s="207"/>
      <c r="CQ89" s="207"/>
      <c r="CR89" s="207"/>
      <c r="CS89" s="207"/>
      <c r="CT89" s="207"/>
    </row>
    <row r="90" spans="9:98" x14ac:dyDescent="0.25">
      <c r="I90" s="207"/>
      <c r="J90" s="207"/>
      <c r="K90" s="207"/>
      <c r="L90" s="207"/>
      <c r="M90" s="207"/>
      <c r="N90" s="207"/>
      <c r="O90" s="207"/>
      <c r="P90" s="207"/>
      <c r="Q90" s="207"/>
      <c r="R90" s="207"/>
      <c r="S90" s="207"/>
      <c r="T90" s="207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7"/>
      <c r="AS90" s="207"/>
      <c r="AT90" s="207"/>
      <c r="AU90" s="207"/>
      <c r="AV90" s="207"/>
      <c r="AW90" s="207"/>
      <c r="AX90" s="207"/>
      <c r="AY90" s="207"/>
      <c r="AZ90" s="207"/>
      <c r="BA90" s="207"/>
      <c r="BB90" s="207"/>
      <c r="BC90" s="207"/>
      <c r="BD90" s="207"/>
      <c r="BE90" s="207"/>
      <c r="BF90" s="207"/>
      <c r="BG90" s="207"/>
      <c r="BH90" s="207"/>
      <c r="BI90" s="207"/>
      <c r="BJ90" s="207"/>
      <c r="BK90" s="207"/>
      <c r="BL90" s="207"/>
      <c r="BM90" s="207"/>
      <c r="BN90" s="207"/>
      <c r="BO90" s="207"/>
      <c r="BP90" s="207"/>
    </row>
    <row r="91" spans="9:98" x14ac:dyDescent="0.25">
      <c r="I91" s="207"/>
      <c r="J91" s="207"/>
      <c r="K91" s="207"/>
      <c r="L91" s="207"/>
      <c r="M91" s="207"/>
      <c r="N91" s="207"/>
      <c r="O91" s="207"/>
      <c r="P91" s="207"/>
      <c r="Q91" s="207"/>
      <c r="R91" s="207"/>
      <c r="S91" s="207"/>
      <c r="T91" s="207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7"/>
      <c r="AS91" s="207"/>
      <c r="AT91" s="207"/>
      <c r="AU91" s="207"/>
      <c r="AV91" s="207"/>
      <c r="AW91" s="207"/>
      <c r="AX91" s="207"/>
      <c r="AY91" s="207"/>
      <c r="AZ91" s="207"/>
      <c r="BA91" s="207"/>
      <c r="BB91" s="207"/>
      <c r="BC91" s="207"/>
      <c r="BD91" s="207"/>
      <c r="BE91" s="207"/>
      <c r="BF91" s="207"/>
      <c r="BG91" s="207"/>
      <c r="BH91" s="207"/>
      <c r="BI91" s="207"/>
      <c r="BJ91" s="207"/>
      <c r="BK91" s="207"/>
      <c r="BL91" s="207"/>
      <c r="BM91" s="207"/>
      <c r="BN91" s="207"/>
      <c r="BO91" s="207"/>
      <c r="BP91" s="207"/>
    </row>
    <row r="92" spans="9:98" x14ac:dyDescent="0.25">
      <c r="I92" s="207"/>
      <c r="J92" s="207"/>
      <c r="K92" s="207"/>
      <c r="L92" s="207"/>
      <c r="M92" s="207"/>
      <c r="N92" s="207"/>
      <c r="O92" s="207"/>
      <c r="P92" s="207"/>
      <c r="Q92" s="207"/>
      <c r="R92" s="207"/>
      <c r="S92" s="207"/>
      <c r="T92" s="207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7"/>
      <c r="AS92" s="207"/>
      <c r="AT92" s="207"/>
      <c r="AU92" s="207"/>
      <c r="AV92" s="207"/>
      <c r="AW92" s="207"/>
      <c r="AX92" s="207"/>
      <c r="AY92" s="207"/>
      <c r="AZ92" s="207"/>
      <c r="BA92" s="207"/>
      <c r="BB92" s="207"/>
      <c r="BC92" s="207"/>
      <c r="BD92" s="207"/>
      <c r="BE92" s="207"/>
      <c r="BF92" s="207"/>
      <c r="BG92" s="207"/>
      <c r="BH92" s="207"/>
      <c r="BI92" s="207"/>
      <c r="BJ92" s="207"/>
      <c r="BK92" s="207"/>
      <c r="BL92" s="207"/>
      <c r="BM92" s="207"/>
      <c r="BN92" s="207"/>
      <c r="BO92" s="207"/>
      <c r="BP92" s="207"/>
    </row>
    <row r="93" spans="9:98" x14ac:dyDescent="0.25">
      <c r="I93" s="207"/>
      <c r="J93" s="207"/>
      <c r="K93" s="207"/>
      <c r="L93" s="207"/>
      <c r="M93" s="207"/>
      <c r="N93" s="207"/>
      <c r="O93" s="207"/>
      <c r="P93" s="207"/>
      <c r="Q93" s="207"/>
      <c r="R93" s="207"/>
      <c r="S93" s="207"/>
      <c r="T93" s="207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7"/>
      <c r="AS93" s="207"/>
      <c r="AT93" s="207"/>
      <c r="AU93" s="207"/>
      <c r="AV93" s="207"/>
      <c r="AW93" s="207"/>
      <c r="AX93" s="207"/>
      <c r="AY93" s="207"/>
      <c r="AZ93" s="207"/>
      <c r="BA93" s="207"/>
      <c r="BB93" s="207"/>
      <c r="BC93" s="207"/>
      <c r="BD93" s="207"/>
      <c r="BE93" s="207"/>
      <c r="BF93" s="207"/>
      <c r="BG93" s="207"/>
      <c r="BH93" s="207"/>
      <c r="BI93" s="207"/>
      <c r="BJ93" s="207"/>
      <c r="BK93" s="207"/>
      <c r="BL93" s="207"/>
      <c r="BM93" s="207"/>
      <c r="BN93" s="207"/>
      <c r="BO93" s="207"/>
      <c r="BP93" s="207"/>
    </row>
    <row r="94" spans="9:98" x14ac:dyDescent="0.25">
      <c r="I94" s="207"/>
      <c r="J94" s="207"/>
      <c r="K94" s="207"/>
      <c r="L94" s="207"/>
      <c r="M94" s="207"/>
      <c r="N94" s="207"/>
      <c r="O94" s="207"/>
      <c r="P94" s="207"/>
      <c r="Q94" s="207"/>
      <c r="R94" s="207"/>
      <c r="S94" s="207"/>
      <c r="T94" s="207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7"/>
      <c r="AS94" s="207"/>
      <c r="AT94" s="207"/>
      <c r="AU94" s="207"/>
      <c r="AV94" s="207"/>
      <c r="AW94" s="207"/>
      <c r="AX94" s="207"/>
      <c r="AY94" s="207"/>
      <c r="AZ94" s="207"/>
      <c r="BA94" s="207"/>
      <c r="BB94" s="207"/>
      <c r="BC94" s="207"/>
      <c r="BD94" s="207"/>
      <c r="BE94" s="207"/>
      <c r="BF94" s="207"/>
      <c r="BG94" s="207"/>
      <c r="BH94" s="207"/>
      <c r="BI94" s="207"/>
      <c r="BJ94" s="207"/>
      <c r="BK94" s="207"/>
      <c r="BL94" s="207"/>
      <c r="BM94" s="207"/>
      <c r="BN94" s="207"/>
      <c r="BO94" s="207"/>
      <c r="BP94" s="207"/>
    </row>
    <row r="95" spans="9:98" x14ac:dyDescent="0.25">
      <c r="I95" s="207"/>
      <c r="J95" s="207"/>
      <c r="K95" s="207"/>
      <c r="L95" s="207"/>
      <c r="M95" s="207"/>
      <c r="N95" s="207"/>
      <c r="O95" s="207"/>
      <c r="P95" s="207"/>
      <c r="Q95" s="207"/>
      <c r="R95" s="207"/>
      <c r="S95" s="207"/>
      <c r="T95" s="207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7"/>
      <c r="AS95" s="207"/>
      <c r="AT95" s="207"/>
      <c r="AU95" s="207"/>
      <c r="AV95" s="207"/>
      <c r="AW95" s="207"/>
      <c r="AX95" s="207"/>
      <c r="AY95" s="207"/>
      <c r="AZ95" s="207"/>
      <c r="BA95" s="207"/>
      <c r="BB95" s="207"/>
      <c r="BC95" s="207"/>
      <c r="BD95" s="207"/>
      <c r="BE95" s="207"/>
      <c r="BF95" s="207"/>
      <c r="BG95" s="207"/>
      <c r="BH95" s="207"/>
      <c r="BI95" s="207"/>
      <c r="BJ95" s="207"/>
      <c r="BK95" s="207"/>
      <c r="BL95" s="207"/>
      <c r="BM95" s="207"/>
      <c r="BN95" s="207"/>
      <c r="BO95" s="207"/>
      <c r="BP95" s="207"/>
    </row>
    <row r="96" spans="9:98" x14ac:dyDescent="0.25">
      <c r="I96" s="207"/>
      <c r="J96" s="207"/>
      <c r="K96" s="207"/>
      <c r="L96" s="207"/>
      <c r="M96" s="207"/>
      <c r="N96" s="207"/>
      <c r="O96" s="207"/>
      <c r="P96" s="207"/>
      <c r="Q96" s="207"/>
      <c r="R96" s="207"/>
      <c r="S96" s="207"/>
      <c r="T96" s="207"/>
      <c r="U96" s="207"/>
      <c r="V96" s="207"/>
      <c r="W96" s="207"/>
      <c r="X96" s="207"/>
      <c r="Y96" s="207"/>
      <c r="Z96" s="207"/>
      <c r="AA96" s="207"/>
      <c r="AB96" s="207"/>
      <c r="AC96" s="207"/>
      <c r="AD96" s="207"/>
      <c r="AE96" s="207"/>
      <c r="AF96" s="207"/>
      <c r="AG96" s="207"/>
      <c r="AH96" s="207"/>
      <c r="AI96" s="207"/>
      <c r="AJ96" s="207"/>
      <c r="AK96" s="207"/>
      <c r="AL96" s="207"/>
      <c r="AM96" s="207"/>
      <c r="AN96" s="207"/>
      <c r="AO96" s="207"/>
      <c r="AP96" s="207"/>
      <c r="AQ96" s="207"/>
      <c r="AR96" s="207"/>
      <c r="AS96" s="207"/>
      <c r="AT96" s="207"/>
      <c r="AU96" s="207"/>
      <c r="AV96" s="207"/>
      <c r="AW96" s="207"/>
      <c r="AX96" s="207"/>
      <c r="AY96" s="207"/>
      <c r="AZ96" s="207"/>
      <c r="BA96" s="207"/>
      <c r="BB96" s="207"/>
      <c r="BC96" s="207"/>
      <c r="BD96" s="207"/>
      <c r="BE96" s="207"/>
      <c r="BF96" s="207"/>
      <c r="BG96" s="207"/>
      <c r="BH96" s="207"/>
      <c r="BI96" s="207"/>
      <c r="BJ96" s="207"/>
      <c r="BK96" s="207"/>
      <c r="BL96" s="207"/>
      <c r="BM96" s="207"/>
      <c r="BN96" s="207"/>
      <c r="BO96" s="207"/>
      <c r="BP96" s="207"/>
    </row>
    <row r="97" spans="9:68" x14ac:dyDescent="0.25">
      <c r="I97" s="207"/>
      <c r="J97" s="207"/>
      <c r="K97" s="207"/>
      <c r="L97" s="207"/>
      <c r="M97" s="207"/>
      <c r="N97" s="207"/>
      <c r="O97" s="207"/>
      <c r="P97" s="207"/>
      <c r="Q97" s="207"/>
      <c r="R97" s="207"/>
      <c r="S97" s="207"/>
      <c r="T97" s="207"/>
      <c r="U97" s="207"/>
      <c r="V97" s="207"/>
      <c r="W97" s="207"/>
      <c r="X97" s="207"/>
      <c r="Y97" s="207"/>
      <c r="Z97" s="207"/>
      <c r="AA97" s="207"/>
      <c r="AB97" s="207"/>
      <c r="AC97" s="207"/>
      <c r="AD97" s="207"/>
      <c r="AE97" s="207"/>
      <c r="AF97" s="207"/>
      <c r="AG97" s="207"/>
      <c r="AH97" s="207"/>
      <c r="AI97" s="207"/>
      <c r="AJ97" s="207"/>
      <c r="AK97" s="207"/>
      <c r="AL97" s="207"/>
      <c r="AM97" s="207"/>
      <c r="AN97" s="207"/>
      <c r="AO97" s="207"/>
      <c r="AP97" s="207"/>
      <c r="AQ97" s="207"/>
      <c r="AR97" s="207"/>
      <c r="AS97" s="207"/>
      <c r="AT97" s="207"/>
      <c r="AU97" s="207"/>
      <c r="AV97" s="207"/>
      <c r="AW97" s="207"/>
      <c r="AX97" s="207"/>
      <c r="AY97" s="207"/>
      <c r="AZ97" s="207"/>
      <c r="BA97" s="207"/>
      <c r="BB97" s="207"/>
      <c r="BC97" s="207"/>
      <c r="BD97" s="207"/>
      <c r="BE97" s="207"/>
      <c r="BF97" s="207"/>
      <c r="BG97" s="207"/>
      <c r="BH97" s="207"/>
      <c r="BI97" s="207"/>
      <c r="BJ97" s="207"/>
      <c r="BK97" s="207"/>
      <c r="BL97" s="207"/>
      <c r="BM97" s="207"/>
      <c r="BN97" s="207"/>
      <c r="BO97" s="207"/>
      <c r="BP97" s="207"/>
    </row>
    <row r="98" spans="9:68" x14ac:dyDescent="0.25">
      <c r="I98" s="207"/>
      <c r="J98" s="207"/>
      <c r="K98" s="207"/>
      <c r="L98" s="207"/>
      <c r="M98" s="207"/>
      <c r="N98" s="207"/>
      <c r="O98" s="207"/>
      <c r="P98" s="207"/>
      <c r="Q98" s="207"/>
      <c r="R98" s="207"/>
      <c r="S98" s="207"/>
      <c r="T98" s="207"/>
      <c r="U98" s="207"/>
      <c r="V98" s="207"/>
      <c r="W98" s="207"/>
      <c r="X98" s="207"/>
      <c r="Y98" s="207"/>
      <c r="Z98" s="207"/>
      <c r="AA98" s="207"/>
      <c r="AB98" s="207"/>
      <c r="AC98" s="207"/>
      <c r="AD98" s="207"/>
      <c r="AE98" s="207"/>
      <c r="AF98" s="207"/>
      <c r="AG98" s="207"/>
      <c r="AH98" s="207"/>
      <c r="AI98" s="207"/>
      <c r="AJ98" s="207"/>
      <c r="AK98" s="207"/>
      <c r="AL98" s="207"/>
      <c r="AM98" s="207"/>
      <c r="AN98" s="207"/>
      <c r="AO98" s="207"/>
      <c r="AP98" s="207"/>
      <c r="AQ98" s="207"/>
      <c r="AR98" s="207"/>
      <c r="AS98" s="207"/>
      <c r="AT98" s="207"/>
      <c r="AU98" s="207"/>
      <c r="AV98" s="207"/>
      <c r="AW98" s="207"/>
      <c r="AX98" s="207"/>
      <c r="AY98" s="207"/>
      <c r="AZ98" s="207"/>
      <c r="BA98" s="207"/>
      <c r="BB98" s="207"/>
      <c r="BC98" s="207"/>
      <c r="BD98" s="207"/>
      <c r="BE98" s="207"/>
      <c r="BF98" s="207"/>
      <c r="BG98" s="207"/>
      <c r="BH98" s="207"/>
      <c r="BI98" s="207"/>
      <c r="BJ98" s="207"/>
      <c r="BK98" s="207"/>
      <c r="BL98" s="207"/>
      <c r="BM98" s="207"/>
      <c r="BN98" s="207"/>
      <c r="BO98" s="207"/>
      <c r="BP98" s="207"/>
    </row>
    <row r="99" spans="9:68" x14ac:dyDescent="0.25">
      <c r="I99" s="207"/>
      <c r="J99" s="207"/>
      <c r="K99" s="207"/>
      <c r="L99" s="207"/>
      <c r="M99" s="207"/>
      <c r="N99" s="207"/>
      <c r="O99" s="207"/>
      <c r="P99" s="207"/>
      <c r="Q99" s="207"/>
      <c r="R99" s="207"/>
      <c r="S99" s="207"/>
      <c r="T99" s="207"/>
      <c r="U99" s="207"/>
      <c r="V99" s="207"/>
      <c r="W99" s="207"/>
      <c r="X99" s="207"/>
      <c r="Y99" s="207"/>
      <c r="Z99" s="207"/>
      <c r="AA99" s="207"/>
      <c r="AB99" s="207"/>
      <c r="AC99" s="207"/>
      <c r="AD99" s="207"/>
      <c r="AE99" s="207"/>
      <c r="AF99" s="207"/>
      <c r="AG99" s="207"/>
      <c r="AH99" s="207"/>
      <c r="AI99" s="207"/>
      <c r="AJ99" s="207"/>
      <c r="AK99" s="207"/>
      <c r="AL99" s="207"/>
      <c r="AM99" s="207"/>
      <c r="AN99" s="207"/>
      <c r="AO99" s="207"/>
      <c r="AP99" s="207"/>
      <c r="AQ99" s="207"/>
      <c r="AR99" s="207"/>
      <c r="AS99" s="207"/>
      <c r="AT99" s="207"/>
      <c r="AU99" s="207"/>
      <c r="AV99" s="207"/>
      <c r="AW99" s="207"/>
      <c r="AX99" s="207"/>
      <c r="AY99" s="207"/>
      <c r="AZ99" s="207"/>
      <c r="BA99" s="207"/>
      <c r="BB99" s="207"/>
      <c r="BC99" s="207"/>
      <c r="BD99" s="207"/>
      <c r="BE99" s="207"/>
      <c r="BF99" s="207"/>
      <c r="BG99" s="207"/>
      <c r="BH99" s="207"/>
      <c r="BI99" s="207"/>
      <c r="BJ99" s="207"/>
      <c r="BK99" s="207"/>
      <c r="BL99" s="207"/>
      <c r="BM99" s="207"/>
      <c r="BN99" s="207"/>
      <c r="BO99" s="207"/>
      <c r="BP99" s="207"/>
    </row>
    <row r="100" spans="9:68" x14ac:dyDescent="0.25">
      <c r="I100" s="207"/>
      <c r="J100" s="207"/>
      <c r="K100" s="207"/>
      <c r="L100" s="207"/>
      <c r="M100" s="207"/>
      <c r="N100" s="207"/>
      <c r="O100" s="207"/>
      <c r="P100" s="207"/>
      <c r="Q100" s="207"/>
      <c r="R100" s="207"/>
      <c r="S100" s="207"/>
      <c r="T100" s="207"/>
      <c r="U100" s="207"/>
      <c r="V100" s="207"/>
      <c r="W100" s="207"/>
      <c r="X100" s="207"/>
      <c r="Y100" s="207"/>
      <c r="Z100" s="207"/>
      <c r="AA100" s="207"/>
      <c r="AB100" s="207"/>
      <c r="AC100" s="207"/>
      <c r="AD100" s="207"/>
      <c r="AE100" s="207"/>
      <c r="AF100" s="207"/>
      <c r="AG100" s="207"/>
      <c r="AH100" s="207"/>
      <c r="AI100" s="207"/>
      <c r="AJ100" s="207"/>
      <c r="AK100" s="207"/>
      <c r="AL100" s="207"/>
      <c r="AM100" s="207"/>
      <c r="AN100" s="207"/>
      <c r="AO100" s="207"/>
      <c r="AP100" s="207"/>
      <c r="AQ100" s="207"/>
      <c r="AR100" s="207"/>
      <c r="AS100" s="207"/>
      <c r="AT100" s="207"/>
      <c r="AU100" s="207"/>
      <c r="AV100" s="207"/>
      <c r="AW100" s="207"/>
      <c r="AX100" s="207"/>
      <c r="AY100" s="207"/>
      <c r="AZ100" s="207"/>
      <c r="BA100" s="207"/>
      <c r="BB100" s="207"/>
      <c r="BC100" s="207"/>
      <c r="BD100" s="207"/>
      <c r="BE100" s="207"/>
      <c r="BF100" s="207"/>
      <c r="BG100" s="207"/>
      <c r="BH100" s="207"/>
      <c r="BI100" s="207"/>
      <c r="BJ100" s="207"/>
      <c r="BK100" s="207"/>
      <c r="BL100" s="207"/>
      <c r="BM100" s="207"/>
      <c r="BN100" s="207"/>
      <c r="BO100" s="207"/>
      <c r="BP100" s="207"/>
    </row>
    <row r="101" spans="9:68" x14ac:dyDescent="0.25">
      <c r="I101" s="207"/>
      <c r="J101" s="207"/>
      <c r="K101" s="207"/>
      <c r="L101" s="207"/>
      <c r="M101" s="207"/>
      <c r="N101" s="207"/>
      <c r="O101" s="207"/>
      <c r="P101" s="207"/>
      <c r="Q101" s="207"/>
      <c r="R101" s="207"/>
      <c r="S101" s="207"/>
      <c r="T101" s="207"/>
      <c r="U101" s="207"/>
      <c r="V101" s="207"/>
      <c r="W101" s="207"/>
      <c r="X101" s="207"/>
      <c r="Y101" s="207"/>
      <c r="Z101" s="207"/>
      <c r="AA101" s="207"/>
      <c r="AB101" s="207"/>
      <c r="AC101" s="207"/>
      <c r="AD101" s="207"/>
      <c r="AE101" s="207"/>
      <c r="AF101" s="207"/>
      <c r="AG101" s="207"/>
      <c r="AH101" s="207"/>
      <c r="AI101" s="207"/>
      <c r="AJ101" s="207"/>
      <c r="AK101" s="207"/>
      <c r="AL101" s="207"/>
      <c r="AM101" s="207"/>
      <c r="AN101" s="207"/>
      <c r="AO101" s="207"/>
      <c r="AP101" s="207"/>
      <c r="AQ101" s="207"/>
      <c r="AR101" s="207"/>
      <c r="AS101" s="207"/>
      <c r="AT101" s="207"/>
      <c r="AU101" s="207"/>
      <c r="AV101" s="207"/>
      <c r="AW101" s="207"/>
      <c r="AX101" s="207"/>
      <c r="AY101" s="207"/>
      <c r="AZ101" s="207"/>
      <c r="BA101" s="207"/>
      <c r="BB101" s="207"/>
      <c r="BC101" s="207"/>
      <c r="BD101" s="207"/>
      <c r="BE101" s="207"/>
      <c r="BF101" s="207"/>
      <c r="BG101" s="207"/>
      <c r="BH101" s="207"/>
      <c r="BI101" s="207"/>
      <c r="BJ101" s="207"/>
      <c r="BK101" s="207"/>
      <c r="BL101" s="207"/>
      <c r="BM101" s="207"/>
      <c r="BN101" s="207"/>
      <c r="BO101" s="207"/>
      <c r="BP101" s="207"/>
    </row>
    <row r="102" spans="9:68" x14ac:dyDescent="0.25"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207"/>
      <c r="W102" s="207"/>
      <c r="X102" s="207"/>
      <c r="Y102" s="207"/>
      <c r="Z102" s="207"/>
      <c r="AA102" s="207"/>
      <c r="AB102" s="207"/>
      <c r="AC102" s="207"/>
      <c r="AD102" s="207"/>
      <c r="AE102" s="207"/>
      <c r="AF102" s="207"/>
      <c r="AG102" s="207"/>
      <c r="AH102" s="207"/>
      <c r="AI102" s="207"/>
      <c r="AJ102" s="207"/>
      <c r="AK102" s="207"/>
      <c r="AL102" s="207"/>
      <c r="AM102" s="207"/>
      <c r="AN102" s="207"/>
      <c r="AO102" s="207"/>
      <c r="AP102" s="207"/>
      <c r="AQ102" s="207"/>
      <c r="AR102" s="207"/>
      <c r="AS102" s="207"/>
      <c r="AT102" s="207"/>
      <c r="AU102" s="207"/>
      <c r="AV102" s="207"/>
      <c r="AW102" s="207"/>
      <c r="AX102" s="207"/>
      <c r="AY102" s="207"/>
      <c r="AZ102" s="207"/>
      <c r="BA102" s="207"/>
      <c r="BB102" s="207"/>
      <c r="BC102" s="207"/>
      <c r="BD102" s="207"/>
      <c r="BE102" s="207"/>
      <c r="BF102" s="207"/>
      <c r="BG102" s="207"/>
      <c r="BH102" s="207"/>
      <c r="BI102" s="207"/>
      <c r="BJ102" s="207"/>
      <c r="BK102" s="207"/>
      <c r="BL102" s="207"/>
      <c r="BM102" s="207"/>
      <c r="BN102" s="207"/>
      <c r="BO102" s="207"/>
      <c r="BP102" s="207"/>
    </row>
    <row r="103" spans="9:68" x14ac:dyDescent="0.25">
      <c r="I103" s="207"/>
      <c r="J103" s="207"/>
      <c r="K103" s="207"/>
      <c r="L103" s="207"/>
      <c r="M103" s="207"/>
      <c r="N103" s="207"/>
      <c r="O103" s="207"/>
      <c r="P103" s="207"/>
      <c r="Q103" s="207"/>
      <c r="R103" s="207"/>
      <c r="S103" s="207"/>
      <c r="T103" s="207"/>
      <c r="U103" s="207"/>
      <c r="V103" s="207"/>
      <c r="W103" s="207"/>
      <c r="X103" s="207"/>
      <c r="Y103" s="207"/>
      <c r="Z103" s="207"/>
      <c r="AA103" s="207"/>
      <c r="AB103" s="207"/>
      <c r="AC103" s="207"/>
      <c r="AD103" s="207"/>
      <c r="AE103" s="207"/>
      <c r="AF103" s="207"/>
      <c r="AG103" s="207"/>
      <c r="AH103" s="207"/>
      <c r="AI103" s="207"/>
      <c r="AJ103" s="207"/>
      <c r="AK103" s="207"/>
      <c r="AL103" s="207"/>
      <c r="AM103" s="207"/>
      <c r="AN103" s="207"/>
      <c r="AO103" s="207"/>
      <c r="AP103" s="207"/>
      <c r="AQ103" s="207"/>
      <c r="AR103" s="207"/>
      <c r="AS103" s="207"/>
      <c r="AT103" s="207"/>
      <c r="AU103" s="207"/>
      <c r="AV103" s="207"/>
      <c r="AW103" s="207"/>
      <c r="AX103" s="207"/>
      <c r="AY103" s="207"/>
      <c r="AZ103" s="207"/>
      <c r="BA103" s="207"/>
      <c r="BB103" s="207"/>
      <c r="BC103" s="207"/>
      <c r="BD103" s="207"/>
      <c r="BE103" s="207"/>
      <c r="BF103" s="207"/>
      <c r="BG103" s="207"/>
      <c r="BH103" s="207"/>
      <c r="BI103" s="207"/>
      <c r="BJ103" s="207"/>
      <c r="BK103" s="207"/>
      <c r="BL103" s="207"/>
      <c r="BM103" s="207"/>
      <c r="BN103" s="207"/>
      <c r="BO103" s="207"/>
      <c r="BP103" s="207"/>
    </row>
    <row r="104" spans="9:68" x14ac:dyDescent="0.25">
      <c r="I104" s="207"/>
      <c r="J104" s="207"/>
      <c r="K104" s="207"/>
      <c r="L104" s="207"/>
      <c r="M104" s="207"/>
      <c r="N104" s="207"/>
      <c r="O104" s="207"/>
      <c r="P104" s="207"/>
      <c r="Q104" s="207"/>
      <c r="R104" s="207"/>
      <c r="S104" s="207"/>
      <c r="T104" s="207"/>
      <c r="U104" s="207"/>
      <c r="V104" s="207"/>
      <c r="W104" s="207"/>
      <c r="X104" s="207"/>
      <c r="Y104" s="207"/>
      <c r="Z104" s="207"/>
      <c r="AA104" s="207"/>
      <c r="AB104" s="207"/>
      <c r="AC104" s="207"/>
      <c r="AD104" s="207"/>
      <c r="AE104" s="207"/>
      <c r="AF104" s="207"/>
      <c r="AG104" s="207"/>
      <c r="AH104" s="207"/>
      <c r="AI104" s="207"/>
      <c r="AJ104" s="207"/>
      <c r="AK104" s="207"/>
      <c r="AL104" s="207"/>
      <c r="AM104" s="207"/>
      <c r="AN104" s="207"/>
      <c r="AO104" s="207"/>
      <c r="AP104" s="207"/>
      <c r="AQ104" s="207"/>
      <c r="AR104" s="207"/>
      <c r="AS104" s="207"/>
      <c r="AT104" s="207"/>
      <c r="AU104" s="207"/>
      <c r="AV104" s="207"/>
      <c r="AW104" s="207"/>
      <c r="AX104" s="207"/>
      <c r="AY104" s="207"/>
      <c r="AZ104" s="207"/>
      <c r="BA104" s="207"/>
      <c r="BB104" s="207"/>
      <c r="BC104" s="207"/>
      <c r="BD104" s="207"/>
      <c r="BE104" s="207"/>
      <c r="BF104" s="207"/>
      <c r="BG104" s="207"/>
      <c r="BH104" s="207"/>
      <c r="BI104" s="207"/>
      <c r="BJ104" s="207"/>
      <c r="BK104" s="207"/>
      <c r="BL104" s="207"/>
      <c r="BM104" s="207"/>
      <c r="BN104" s="207"/>
      <c r="BO104" s="207"/>
      <c r="BP104" s="207"/>
    </row>
  </sheetData>
  <mergeCells count="2718">
    <mergeCell ref="AM102:AO102"/>
    <mergeCell ref="AP102:AR102"/>
    <mergeCell ref="AS102:AU102"/>
    <mergeCell ref="AV102:AX102"/>
    <mergeCell ref="AY102:BA102"/>
    <mergeCell ref="AM103:AO103"/>
    <mergeCell ref="AP103:AR103"/>
    <mergeCell ref="AS103:AU103"/>
    <mergeCell ref="AV103:AX103"/>
    <mergeCell ref="AY103:BA103"/>
    <mergeCell ref="AM104:AO104"/>
    <mergeCell ref="AP104:AR104"/>
    <mergeCell ref="AS104:AU104"/>
    <mergeCell ref="AV104:AX104"/>
    <mergeCell ref="AY104:BA104"/>
    <mergeCell ref="AM98:AO98"/>
    <mergeCell ref="AP98:AR98"/>
    <mergeCell ref="AS98:AU98"/>
    <mergeCell ref="AV98:AX98"/>
    <mergeCell ref="AY98:BA98"/>
    <mergeCell ref="AM99:AO99"/>
    <mergeCell ref="AP99:AR99"/>
    <mergeCell ref="AS99:AU99"/>
    <mergeCell ref="AV99:AX99"/>
    <mergeCell ref="AY99:BA99"/>
    <mergeCell ref="AM100:AO100"/>
    <mergeCell ref="AP100:AR100"/>
    <mergeCell ref="AS100:AU100"/>
    <mergeCell ref="AV100:AX100"/>
    <mergeCell ref="AY100:BA100"/>
    <mergeCell ref="AM101:AO101"/>
    <mergeCell ref="AP101:AR101"/>
    <mergeCell ref="AS101:AU101"/>
    <mergeCell ref="AV101:AX101"/>
    <mergeCell ref="AY101:BA101"/>
    <mergeCell ref="AM94:AO94"/>
    <mergeCell ref="AP94:AR94"/>
    <mergeCell ref="AS94:AU94"/>
    <mergeCell ref="AV94:AX94"/>
    <mergeCell ref="AY94:BA94"/>
    <mergeCell ref="AM95:AO95"/>
    <mergeCell ref="AP95:AR95"/>
    <mergeCell ref="AS95:AU95"/>
    <mergeCell ref="AV95:AX95"/>
    <mergeCell ref="AY95:BA95"/>
    <mergeCell ref="AM96:AO96"/>
    <mergeCell ref="AP96:AR96"/>
    <mergeCell ref="AS96:AU96"/>
    <mergeCell ref="AV96:AX96"/>
    <mergeCell ref="AY96:BA96"/>
    <mergeCell ref="AM97:AO97"/>
    <mergeCell ref="AP97:AR97"/>
    <mergeCell ref="AS97:AU97"/>
    <mergeCell ref="AV97:AX97"/>
    <mergeCell ref="AP90:AR90"/>
    <mergeCell ref="AS90:AU90"/>
    <mergeCell ref="AV90:AX90"/>
    <mergeCell ref="AY90:BA90"/>
    <mergeCell ref="AM91:AO91"/>
    <mergeCell ref="AP91:AR91"/>
    <mergeCell ref="AS91:AU91"/>
    <mergeCell ref="AV91:AX91"/>
    <mergeCell ref="AY91:BA91"/>
    <mergeCell ref="AM92:AO92"/>
    <mergeCell ref="AP92:AR92"/>
    <mergeCell ref="AS92:AU92"/>
    <mergeCell ref="AV92:AX92"/>
    <mergeCell ref="AY92:BA92"/>
    <mergeCell ref="AM93:AO93"/>
    <mergeCell ref="AP93:AR93"/>
    <mergeCell ref="AS93:AU93"/>
    <mergeCell ref="AV93:AX93"/>
    <mergeCell ref="AY93:BA93"/>
    <mergeCell ref="AY97:BA97"/>
    <mergeCell ref="AM84:AO84"/>
    <mergeCell ref="AP84:AR84"/>
    <mergeCell ref="AS84:AU84"/>
    <mergeCell ref="AV84:AX84"/>
    <mergeCell ref="AY84:BA84"/>
    <mergeCell ref="AM85:AO85"/>
    <mergeCell ref="AP85:AR85"/>
    <mergeCell ref="AS85:AU85"/>
    <mergeCell ref="AV85:AX85"/>
    <mergeCell ref="AY85:BA85"/>
    <mergeCell ref="AM86:AO86"/>
    <mergeCell ref="AP86:AR86"/>
    <mergeCell ref="AS86:AU86"/>
    <mergeCell ref="AV86:AX86"/>
    <mergeCell ref="AY86:BA86"/>
    <mergeCell ref="AM87:AO87"/>
    <mergeCell ref="AP87:AR87"/>
    <mergeCell ref="AS87:AU87"/>
    <mergeCell ref="AV87:AX87"/>
    <mergeCell ref="AY87:BA87"/>
    <mergeCell ref="AM88:AO88"/>
    <mergeCell ref="AP88:AR88"/>
    <mergeCell ref="AS88:AU88"/>
    <mergeCell ref="AV88:AX88"/>
    <mergeCell ref="AY88:BA88"/>
    <mergeCell ref="AM89:AO89"/>
    <mergeCell ref="AP89:AR89"/>
    <mergeCell ref="AS89:AU89"/>
    <mergeCell ref="AV89:AX89"/>
    <mergeCell ref="AY89:BA89"/>
    <mergeCell ref="AM90:AO90"/>
    <mergeCell ref="AM80:AO80"/>
    <mergeCell ref="AP80:AR80"/>
    <mergeCell ref="AS80:AU80"/>
    <mergeCell ref="AV80:AX80"/>
    <mergeCell ref="AY80:BA80"/>
    <mergeCell ref="AM81:AO81"/>
    <mergeCell ref="AP81:AR81"/>
    <mergeCell ref="AS81:AU81"/>
    <mergeCell ref="AV81:AX81"/>
    <mergeCell ref="AY81:BA81"/>
    <mergeCell ref="AM82:AO82"/>
    <mergeCell ref="AP82:AR82"/>
    <mergeCell ref="AS82:AU82"/>
    <mergeCell ref="AV82:AX82"/>
    <mergeCell ref="AY82:BA82"/>
    <mergeCell ref="AM83:AO83"/>
    <mergeCell ref="AP83:AR83"/>
    <mergeCell ref="AS83:AU83"/>
    <mergeCell ref="AV83:AX83"/>
    <mergeCell ref="AY83:BA83"/>
    <mergeCell ref="AM76:AO76"/>
    <mergeCell ref="AP76:AR76"/>
    <mergeCell ref="AS76:AU76"/>
    <mergeCell ref="AV76:AX76"/>
    <mergeCell ref="AY76:BA76"/>
    <mergeCell ref="AM77:AO77"/>
    <mergeCell ref="AP77:AR77"/>
    <mergeCell ref="AS77:AU77"/>
    <mergeCell ref="AV77:AX77"/>
    <mergeCell ref="AY77:BA77"/>
    <mergeCell ref="AM78:AO78"/>
    <mergeCell ref="AP78:AR78"/>
    <mergeCell ref="AS78:AU78"/>
    <mergeCell ref="AV78:AX78"/>
    <mergeCell ref="AY78:BA78"/>
    <mergeCell ref="AM79:AO79"/>
    <mergeCell ref="AP79:AR79"/>
    <mergeCell ref="AS79:AU79"/>
    <mergeCell ref="AV79:AX79"/>
    <mergeCell ref="AY79:BA79"/>
    <mergeCell ref="BQ72:CE72"/>
    <mergeCell ref="AM74:AO74"/>
    <mergeCell ref="AP74:AR74"/>
    <mergeCell ref="AS74:AU74"/>
    <mergeCell ref="AV74:AX74"/>
    <mergeCell ref="AY74:BA74"/>
    <mergeCell ref="AM72:BA72"/>
    <mergeCell ref="BQ74:BS74"/>
    <mergeCell ref="BT74:BV74"/>
    <mergeCell ref="BW74:BY74"/>
    <mergeCell ref="BZ74:CB74"/>
    <mergeCell ref="CC74:CE74"/>
    <mergeCell ref="AM75:AO75"/>
    <mergeCell ref="AP75:AR75"/>
    <mergeCell ref="AS75:AU75"/>
    <mergeCell ref="AV75:AX75"/>
    <mergeCell ref="AY75:BA75"/>
    <mergeCell ref="AM67:AO67"/>
    <mergeCell ref="AP67:AR67"/>
    <mergeCell ref="AS67:AU67"/>
    <mergeCell ref="AV67:AX67"/>
    <mergeCell ref="AY67:BA67"/>
    <mergeCell ref="AV68:AX68"/>
    <mergeCell ref="AY68:BA68"/>
    <mergeCell ref="AM69:AO69"/>
    <mergeCell ref="AP69:AR69"/>
    <mergeCell ref="AS69:AU69"/>
    <mergeCell ref="AV69:AX69"/>
    <mergeCell ref="AY69:BA69"/>
    <mergeCell ref="AM70:AO70"/>
    <mergeCell ref="AP70:AR70"/>
    <mergeCell ref="AS70:AU70"/>
    <mergeCell ref="AV70:AX70"/>
    <mergeCell ref="AY70:BA70"/>
    <mergeCell ref="AM51:AO55"/>
    <mergeCell ref="AP51:AR55"/>
    <mergeCell ref="AS51:AU55"/>
    <mergeCell ref="AV51:AX55"/>
    <mergeCell ref="AY51:BA55"/>
    <mergeCell ref="AM56:AO60"/>
    <mergeCell ref="AP56:AR60"/>
    <mergeCell ref="AS56:AU60"/>
    <mergeCell ref="AV56:AX60"/>
    <mergeCell ref="AY56:BA60"/>
    <mergeCell ref="AM61:AO65"/>
    <mergeCell ref="AP61:AR65"/>
    <mergeCell ref="AS61:AU65"/>
    <mergeCell ref="AV61:AX65"/>
    <mergeCell ref="AY61:BA65"/>
    <mergeCell ref="AM66:AO66"/>
    <mergeCell ref="AP66:AR66"/>
    <mergeCell ref="AS66:AU66"/>
    <mergeCell ref="AV66:AX66"/>
    <mergeCell ref="AY66:BA66"/>
    <mergeCell ref="AM23:AO23"/>
    <mergeCell ref="AP23:AR23"/>
    <mergeCell ref="AS23:AU23"/>
    <mergeCell ref="AV23:AX23"/>
    <mergeCell ref="AY23:BA23"/>
    <mergeCell ref="AM24:AO24"/>
    <mergeCell ref="AP24:AR24"/>
    <mergeCell ref="AS24:AU24"/>
    <mergeCell ref="AV24:AX24"/>
    <mergeCell ref="AY24:BA24"/>
    <mergeCell ref="AM36:AO40"/>
    <mergeCell ref="AP36:AR40"/>
    <mergeCell ref="AS36:AU40"/>
    <mergeCell ref="AV36:AX40"/>
    <mergeCell ref="AY36:BA40"/>
    <mergeCell ref="AM41:AO45"/>
    <mergeCell ref="AP41:AR45"/>
    <mergeCell ref="AS41:AU45"/>
    <mergeCell ref="AV41:AX45"/>
    <mergeCell ref="AY41:BA45"/>
    <mergeCell ref="AM19:AO19"/>
    <mergeCell ref="AP19:AR19"/>
    <mergeCell ref="AS19:AU19"/>
    <mergeCell ref="AV19:AX19"/>
    <mergeCell ref="AY19:BA19"/>
    <mergeCell ref="AM20:AO20"/>
    <mergeCell ref="AP20:AR20"/>
    <mergeCell ref="AS20:AU20"/>
    <mergeCell ref="AV20:AX20"/>
    <mergeCell ref="AY20:BA20"/>
    <mergeCell ref="AM21:AO21"/>
    <mergeCell ref="AP21:AR21"/>
    <mergeCell ref="AS21:AU21"/>
    <mergeCell ref="AV21:AX21"/>
    <mergeCell ref="AY21:BA21"/>
    <mergeCell ref="AM22:AO22"/>
    <mergeCell ref="AP22:AR22"/>
    <mergeCell ref="AS22:AU22"/>
    <mergeCell ref="AV22:AX22"/>
    <mergeCell ref="AY22:BA22"/>
    <mergeCell ref="AM15:AO15"/>
    <mergeCell ref="AP15:AR15"/>
    <mergeCell ref="AS15:AU15"/>
    <mergeCell ref="AV15:AX15"/>
    <mergeCell ref="AY15:BA15"/>
    <mergeCell ref="AM16:AO16"/>
    <mergeCell ref="AP16:AR16"/>
    <mergeCell ref="AS16:AU16"/>
    <mergeCell ref="AV16:AX16"/>
    <mergeCell ref="AY16:BA16"/>
    <mergeCell ref="AM17:AO17"/>
    <mergeCell ref="AP17:AR17"/>
    <mergeCell ref="AS17:AU17"/>
    <mergeCell ref="AV17:AX17"/>
    <mergeCell ref="AY17:BA17"/>
    <mergeCell ref="AM18:AO18"/>
    <mergeCell ref="AP18:AR18"/>
    <mergeCell ref="AS18:AU18"/>
    <mergeCell ref="AV18:AX18"/>
    <mergeCell ref="AY18:BA18"/>
    <mergeCell ref="AM11:AO11"/>
    <mergeCell ref="AP11:AR11"/>
    <mergeCell ref="AS11:AU11"/>
    <mergeCell ref="AV11:AX11"/>
    <mergeCell ref="AY11:BA11"/>
    <mergeCell ref="AM12:AO12"/>
    <mergeCell ref="AP12:AR12"/>
    <mergeCell ref="AS12:AU12"/>
    <mergeCell ref="AV12:AX12"/>
    <mergeCell ref="AY12:BA12"/>
    <mergeCell ref="AM13:AO13"/>
    <mergeCell ref="AP13:AR13"/>
    <mergeCell ref="AS13:AU13"/>
    <mergeCell ref="AV13:AX13"/>
    <mergeCell ref="AY13:BA13"/>
    <mergeCell ref="AM14:AO14"/>
    <mergeCell ref="AP14:AR14"/>
    <mergeCell ref="AS14:AU14"/>
    <mergeCell ref="AV14:AX14"/>
    <mergeCell ref="AY14:BA14"/>
    <mergeCell ref="AM7:AO7"/>
    <mergeCell ref="AP7:AR7"/>
    <mergeCell ref="AS7:AU7"/>
    <mergeCell ref="AV7:AX7"/>
    <mergeCell ref="AY7:BA7"/>
    <mergeCell ref="AM8:AO8"/>
    <mergeCell ref="AP8:AR8"/>
    <mergeCell ref="AS8:AU8"/>
    <mergeCell ref="AV8:AX8"/>
    <mergeCell ref="AY8:BA8"/>
    <mergeCell ref="AM9:AO9"/>
    <mergeCell ref="AP9:AR9"/>
    <mergeCell ref="AS9:AU9"/>
    <mergeCell ref="AV9:AX9"/>
    <mergeCell ref="AY9:BA9"/>
    <mergeCell ref="AM10:AO10"/>
    <mergeCell ref="AP10:AR10"/>
    <mergeCell ref="AS10:AU10"/>
    <mergeCell ref="AV10:AX10"/>
    <mergeCell ref="AY10:BA10"/>
    <mergeCell ref="AM1:BA1"/>
    <mergeCell ref="AM2:AM3"/>
    <mergeCell ref="AP2:AP3"/>
    <mergeCell ref="AS2:AS3"/>
    <mergeCell ref="AV2:AV3"/>
    <mergeCell ref="AY2:AY3"/>
    <mergeCell ref="AM4:AO4"/>
    <mergeCell ref="AP4:AR4"/>
    <mergeCell ref="AS4:AU4"/>
    <mergeCell ref="AV4:AX4"/>
    <mergeCell ref="AY4:BA4"/>
    <mergeCell ref="AM5:AO5"/>
    <mergeCell ref="AP5:AR5"/>
    <mergeCell ref="AS5:AU5"/>
    <mergeCell ref="AV5:AX5"/>
    <mergeCell ref="AY5:BA5"/>
    <mergeCell ref="AM6:AO6"/>
    <mergeCell ref="AP6:AR6"/>
    <mergeCell ref="AS6:AU6"/>
    <mergeCell ref="AV6:AX6"/>
    <mergeCell ref="AY6:BA6"/>
    <mergeCell ref="BB104:BD104"/>
    <mergeCell ref="BE104:BG104"/>
    <mergeCell ref="BH104:BJ104"/>
    <mergeCell ref="BK104:BM104"/>
    <mergeCell ref="BB101:BD101"/>
    <mergeCell ref="BE101:BG101"/>
    <mergeCell ref="BH101:BJ101"/>
    <mergeCell ref="BK101:BM101"/>
    <mergeCell ref="BB102:BD102"/>
    <mergeCell ref="BE102:BG102"/>
    <mergeCell ref="BH102:BJ102"/>
    <mergeCell ref="BK102:BM102"/>
    <mergeCell ref="BB103:BD103"/>
    <mergeCell ref="BE103:BG103"/>
    <mergeCell ref="BH103:BJ103"/>
    <mergeCell ref="BK103:BM103"/>
    <mergeCell ref="BB98:BD98"/>
    <mergeCell ref="BE98:BG98"/>
    <mergeCell ref="BH98:BJ98"/>
    <mergeCell ref="BK98:BM98"/>
    <mergeCell ref="BB99:BD99"/>
    <mergeCell ref="BE99:BG99"/>
    <mergeCell ref="BH99:BJ99"/>
    <mergeCell ref="BK99:BM99"/>
    <mergeCell ref="BB100:BD100"/>
    <mergeCell ref="BE100:BG100"/>
    <mergeCell ref="BH100:BJ100"/>
    <mergeCell ref="BK100:BM100"/>
    <mergeCell ref="BB95:BD95"/>
    <mergeCell ref="BE95:BG95"/>
    <mergeCell ref="BH95:BJ95"/>
    <mergeCell ref="BK95:BM95"/>
    <mergeCell ref="BB96:BD96"/>
    <mergeCell ref="BE96:BG96"/>
    <mergeCell ref="BH96:BJ96"/>
    <mergeCell ref="BK96:BM96"/>
    <mergeCell ref="BB97:BD97"/>
    <mergeCell ref="BE97:BG97"/>
    <mergeCell ref="BH97:BJ97"/>
    <mergeCell ref="BK97:BM97"/>
    <mergeCell ref="BB92:BD92"/>
    <mergeCell ref="BE92:BG92"/>
    <mergeCell ref="BH92:BJ92"/>
    <mergeCell ref="BK92:BM92"/>
    <mergeCell ref="BB93:BD93"/>
    <mergeCell ref="BE93:BG93"/>
    <mergeCell ref="BH93:BJ93"/>
    <mergeCell ref="BK93:BM93"/>
    <mergeCell ref="BB94:BD94"/>
    <mergeCell ref="BE94:BG94"/>
    <mergeCell ref="BH94:BJ94"/>
    <mergeCell ref="BK94:BM94"/>
    <mergeCell ref="BB89:BD89"/>
    <mergeCell ref="BE89:BG89"/>
    <mergeCell ref="BH89:BJ89"/>
    <mergeCell ref="BK89:BM89"/>
    <mergeCell ref="BB90:BD90"/>
    <mergeCell ref="BE90:BG90"/>
    <mergeCell ref="BH90:BJ90"/>
    <mergeCell ref="BK90:BM90"/>
    <mergeCell ref="BB91:BD91"/>
    <mergeCell ref="BE91:BG91"/>
    <mergeCell ref="BH91:BJ91"/>
    <mergeCell ref="BK91:BM91"/>
    <mergeCell ref="BB86:BD86"/>
    <mergeCell ref="BE86:BG86"/>
    <mergeCell ref="BH86:BJ86"/>
    <mergeCell ref="BK86:BM86"/>
    <mergeCell ref="BB87:BD87"/>
    <mergeCell ref="BE87:BG87"/>
    <mergeCell ref="BH87:BJ87"/>
    <mergeCell ref="BK87:BM87"/>
    <mergeCell ref="BB88:BD88"/>
    <mergeCell ref="BE88:BG88"/>
    <mergeCell ref="BH88:BJ88"/>
    <mergeCell ref="BK88:BM88"/>
    <mergeCell ref="BB78:BD78"/>
    <mergeCell ref="BE78:BG78"/>
    <mergeCell ref="BH78:BJ78"/>
    <mergeCell ref="BK78:BM78"/>
    <mergeCell ref="BB79:BD79"/>
    <mergeCell ref="BE79:BG79"/>
    <mergeCell ref="BH79:BJ79"/>
    <mergeCell ref="BK79:BM79"/>
    <mergeCell ref="BB83:BD83"/>
    <mergeCell ref="BE83:BG83"/>
    <mergeCell ref="BH83:BJ83"/>
    <mergeCell ref="BK83:BM83"/>
    <mergeCell ref="BB84:BD84"/>
    <mergeCell ref="BE84:BG84"/>
    <mergeCell ref="BH84:BJ84"/>
    <mergeCell ref="BK84:BM84"/>
    <mergeCell ref="BB85:BD85"/>
    <mergeCell ref="BE85:BG85"/>
    <mergeCell ref="BH85:BJ85"/>
    <mergeCell ref="BK85:BM85"/>
    <mergeCell ref="BB80:BD80"/>
    <mergeCell ref="BE80:BG80"/>
    <mergeCell ref="BH80:BJ80"/>
    <mergeCell ref="BK80:BM80"/>
    <mergeCell ref="BB81:BD81"/>
    <mergeCell ref="BE81:BG81"/>
    <mergeCell ref="BH81:BJ81"/>
    <mergeCell ref="BK81:BM81"/>
    <mergeCell ref="BB82:BD82"/>
    <mergeCell ref="BE82:BG82"/>
    <mergeCell ref="BH82:BJ82"/>
    <mergeCell ref="BK82:BM82"/>
    <mergeCell ref="BB67:BD67"/>
    <mergeCell ref="BE67:BG67"/>
    <mergeCell ref="BH67:BJ67"/>
    <mergeCell ref="BK67:BM67"/>
    <mergeCell ref="BB77:BD77"/>
    <mergeCell ref="BE77:BG77"/>
    <mergeCell ref="BH77:BJ77"/>
    <mergeCell ref="BK77:BM77"/>
    <mergeCell ref="BB71:BP71"/>
    <mergeCell ref="BB76:BD76"/>
    <mergeCell ref="BE76:BG76"/>
    <mergeCell ref="BH76:BJ76"/>
    <mergeCell ref="BK76:BM76"/>
    <mergeCell ref="BB68:BD68"/>
    <mergeCell ref="BE68:BG68"/>
    <mergeCell ref="BH68:BJ68"/>
    <mergeCell ref="BK68:BM68"/>
    <mergeCell ref="BN76:BP76"/>
    <mergeCell ref="BN77:BP77"/>
    <mergeCell ref="BB24:BD24"/>
    <mergeCell ref="BE24:BG24"/>
    <mergeCell ref="BH24:BJ24"/>
    <mergeCell ref="BK24:BM24"/>
    <mergeCell ref="BB20:BD20"/>
    <mergeCell ref="BE20:BG20"/>
    <mergeCell ref="BH20:BJ20"/>
    <mergeCell ref="BK20:BM20"/>
    <mergeCell ref="BB21:BD21"/>
    <mergeCell ref="BE21:BG21"/>
    <mergeCell ref="BH21:BJ21"/>
    <mergeCell ref="BK21:BM21"/>
    <mergeCell ref="BB74:BD74"/>
    <mergeCell ref="BE74:BG74"/>
    <mergeCell ref="BH74:BJ74"/>
    <mergeCell ref="BK74:BM74"/>
    <mergeCell ref="BB75:BD75"/>
    <mergeCell ref="BE75:BG75"/>
    <mergeCell ref="BH75:BJ75"/>
    <mergeCell ref="BK75:BM75"/>
    <mergeCell ref="BB69:BD69"/>
    <mergeCell ref="BE69:BG69"/>
    <mergeCell ref="BH69:BJ69"/>
    <mergeCell ref="BK69:BM69"/>
    <mergeCell ref="BB70:BD70"/>
    <mergeCell ref="BE70:BG70"/>
    <mergeCell ref="BH70:BJ70"/>
    <mergeCell ref="BK70:BM70"/>
    <mergeCell ref="BB66:BD66"/>
    <mergeCell ref="BE66:BG66"/>
    <mergeCell ref="BH66:BJ66"/>
    <mergeCell ref="BK66:BM66"/>
    <mergeCell ref="BK15:BM15"/>
    <mergeCell ref="BB16:BD16"/>
    <mergeCell ref="BE16:BG16"/>
    <mergeCell ref="BH16:BJ16"/>
    <mergeCell ref="BK16:BM16"/>
    <mergeCell ref="BB22:BD22"/>
    <mergeCell ref="BE22:BG22"/>
    <mergeCell ref="BH22:BJ22"/>
    <mergeCell ref="BK22:BM22"/>
    <mergeCell ref="BB23:BD23"/>
    <mergeCell ref="BE23:BG23"/>
    <mergeCell ref="BH23:BJ23"/>
    <mergeCell ref="BK23:BM23"/>
    <mergeCell ref="BK18:BM18"/>
    <mergeCell ref="BB19:BD19"/>
    <mergeCell ref="BE19:BG19"/>
    <mergeCell ref="BH19:BJ19"/>
    <mergeCell ref="BK19:BM19"/>
    <mergeCell ref="BE18:BG18"/>
    <mergeCell ref="BH18:BJ18"/>
    <mergeCell ref="BB15:BD15"/>
    <mergeCell ref="BE15:BG15"/>
    <mergeCell ref="BH15:BJ15"/>
    <mergeCell ref="BB12:BD12"/>
    <mergeCell ref="BE12:BG12"/>
    <mergeCell ref="BH12:BJ12"/>
    <mergeCell ref="BB6:BD6"/>
    <mergeCell ref="BE6:BG6"/>
    <mergeCell ref="BH6:BJ6"/>
    <mergeCell ref="BK6:BM6"/>
    <mergeCell ref="BB7:BD7"/>
    <mergeCell ref="BE7:BG7"/>
    <mergeCell ref="BH7:BJ7"/>
    <mergeCell ref="BK7:BM7"/>
    <mergeCell ref="BK12:BM12"/>
    <mergeCell ref="BB13:BD13"/>
    <mergeCell ref="BE13:BG13"/>
    <mergeCell ref="BH13:BJ13"/>
    <mergeCell ref="BK13:BM13"/>
    <mergeCell ref="BB14:BD14"/>
    <mergeCell ref="BE14:BG14"/>
    <mergeCell ref="BH14:BJ14"/>
    <mergeCell ref="BB9:BD9"/>
    <mergeCell ref="BE9:BG9"/>
    <mergeCell ref="BH9:BJ9"/>
    <mergeCell ref="BK9:BM9"/>
    <mergeCell ref="BB8:BD8"/>
    <mergeCell ref="BE8:BG8"/>
    <mergeCell ref="BH8:BJ8"/>
    <mergeCell ref="BK8:BM8"/>
    <mergeCell ref="BB65:BD65"/>
    <mergeCell ref="BE65:BG65"/>
    <mergeCell ref="BH65:BJ65"/>
    <mergeCell ref="BK65:BM65"/>
    <mergeCell ref="BB62:BD62"/>
    <mergeCell ref="BE62:BG62"/>
    <mergeCell ref="BH62:BJ62"/>
    <mergeCell ref="BK62:BM62"/>
    <mergeCell ref="BB63:BD63"/>
    <mergeCell ref="BE63:BG63"/>
    <mergeCell ref="BH63:BJ63"/>
    <mergeCell ref="BK63:BM63"/>
    <mergeCell ref="BB64:BD64"/>
    <mergeCell ref="BE64:BG64"/>
    <mergeCell ref="BH64:BJ64"/>
    <mergeCell ref="BK64:BM64"/>
    <mergeCell ref="BB2:BB3"/>
    <mergeCell ref="BE2:BE3"/>
    <mergeCell ref="BH2:BH3"/>
    <mergeCell ref="BK2:BK3"/>
    <mergeCell ref="BB10:BD10"/>
    <mergeCell ref="BE10:BG10"/>
    <mergeCell ref="BH10:BJ10"/>
    <mergeCell ref="BK10:BM10"/>
    <mergeCell ref="BB11:BD11"/>
    <mergeCell ref="BE11:BG11"/>
    <mergeCell ref="BH11:BJ11"/>
    <mergeCell ref="BK11:BM11"/>
    <mergeCell ref="BB17:BD17"/>
    <mergeCell ref="BE17:BG17"/>
    <mergeCell ref="BH17:BJ17"/>
    <mergeCell ref="BK4:BM4"/>
    <mergeCell ref="BE42:BG42"/>
    <mergeCell ref="BH42:BJ42"/>
    <mergeCell ref="BK42:BM42"/>
    <mergeCell ref="BH44:BJ44"/>
    <mergeCell ref="BK44:BM44"/>
    <mergeCell ref="BB39:BD39"/>
    <mergeCell ref="BE39:BG39"/>
    <mergeCell ref="BH39:BJ39"/>
    <mergeCell ref="BK39:BM39"/>
    <mergeCell ref="BB40:BD40"/>
    <mergeCell ref="BE40:BG40"/>
    <mergeCell ref="BH40:BJ40"/>
    <mergeCell ref="BK40:BM40"/>
    <mergeCell ref="BB61:BD61"/>
    <mergeCell ref="BE61:BG61"/>
    <mergeCell ref="BH61:BJ61"/>
    <mergeCell ref="BK61:BM61"/>
    <mergeCell ref="BB56:BD56"/>
    <mergeCell ref="BE56:BG56"/>
    <mergeCell ref="BH56:BJ56"/>
    <mergeCell ref="BK56:BM56"/>
    <mergeCell ref="BB57:BD57"/>
    <mergeCell ref="BE57:BG57"/>
    <mergeCell ref="BH57:BJ57"/>
    <mergeCell ref="BK57:BM57"/>
    <mergeCell ref="BB58:BD58"/>
    <mergeCell ref="BE58:BG58"/>
    <mergeCell ref="BH58:BJ58"/>
    <mergeCell ref="BK58:BM58"/>
    <mergeCell ref="BB52:BD52"/>
    <mergeCell ref="BE52:BG52"/>
    <mergeCell ref="BH52:BJ52"/>
    <mergeCell ref="A2:C2"/>
    <mergeCell ref="I14:K14"/>
    <mergeCell ref="L17:N17"/>
    <mergeCell ref="L18:N18"/>
    <mergeCell ref="L9:N9"/>
    <mergeCell ref="R2:R3"/>
    <mergeCell ref="R4:T4"/>
    <mergeCell ref="R5:T5"/>
    <mergeCell ref="O2:O3"/>
    <mergeCell ref="I4:K4"/>
    <mergeCell ref="I13:K13"/>
    <mergeCell ref="BK17:BM17"/>
    <mergeCell ref="BK14:BM14"/>
    <mergeCell ref="BB4:BD4"/>
    <mergeCell ref="BE4:BG4"/>
    <mergeCell ref="BH4:BJ4"/>
    <mergeCell ref="BB37:BD37"/>
    <mergeCell ref="BE37:BG37"/>
    <mergeCell ref="BH37:BJ37"/>
    <mergeCell ref="BK37:BM37"/>
    <mergeCell ref="BE36:BG36"/>
    <mergeCell ref="BH36:BJ36"/>
    <mergeCell ref="BK36:BM36"/>
    <mergeCell ref="BB36:BD36"/>
    <mergeCell ref="BE35:BG35"/>
    <mergeCell ref="BH35:BJ35"/>
    <mergeCell ref="BK35:BM35"/>
    <mergeCell ref="BB5:BD5"/>
    <mergeCell ref="BE5:BG5"/>
    <mergeCell ref="BH5:BJ5"/>
    <mergeCell ref="BK5:BM5"/>
    <mergeCell ref="BB18:BD18"/>
    <mergeCell ref="L2:L3"/>
    <mergeCell ref="L10:N10"/>
    <mergeCell ref="L11:N11"/>
    <mergeCell ref="L12:N12"/>
    <mergeCell ref="L13:N13"/>
    <mergeCell ref="L14:N14"/>
    <mergeCell ref="L23:N23"/>
    <mergeCell ref="L24:N24"/>
    <mergeCell ref="L16:N16"/>
    <mergeCell ref="R10:T10"/>
    <mergeCell ref="R11:T11"/>
    <mergeCell ref="R12:T12"/>
    <mergeCell ref="R6:T6"/>
    <mergeCell ref="R7:T7"/>
    <mergeCell ref="R8:T8"/>
    <mergeCell ref="U2:U3"/>
    <mergeCell ref="U4:W4"/>
    <mergeCell ref="O7:Q7"/>
    <mergeCell ref="O8:Q8"/>
    <mergeCell ref="O15:Q15"/>
    <mergeCell ref="R9:T9"/>
    <mergeCell ref="L5:N5"/>
    <mergeCell ref="L6:N6"/>
    <mergeCell ref="L7:N7"/>
    <mergeCell ref="L8:N8"/>
    <mergeCell ref="L15:N15"/>
    <mergeCell ref="L19:N19"/>
    <mergeCell ref="R17:T17"/>
    <mergeCell ref="R18:T18"/>
    <mergeCell ref="R19:T19"/>
    <mergeCell ref="R24:T24"/>
    <mergeCell ref="O4:Q4"/>
    <mergeCell ref="D2:D3"/>
    <mergeCell ref="E2:E3"/>
    <mergeCell ref="G2:G3"/>
    <mergeCell ref="H2:H3"/>
    <mergeCell ref="I5:K5"/>
    <mergeCell ref="I6:K6"/>
    <mergeCell ref="I7:K7"/>
    <mergeCell ref="I8:K8"/>
    <mergeCell ref="I51:K51"/>
    <mergeCell ref="I54:K54"/>
    <mergeCell ref="I25:K25"/>
    <mergeCell ref="I26:K26"/>
    <mergeCell ref="I27:K27"/>
    <mergeCell ref="I28:K28"/>
    <mergeCell ref="I29:K29"/>
    <mergeCell ref="I2:I3"/>
    <mergeCell ref="I35:K35"/>
    <mergeCell ref="I10:K10"/>
    <mergeCell ref="I11:K11"/>
    <mergeCell ref="I12:K12"/>
    <mergeCell ref="F2:F3"/>
    <mergeCell ref="I43:K43"/>
    <mergeCell ref="I17:K17"/>
    <mergeCell ref="I18:K18"/>
    <mergeCell ref="I19:K19"/>
    <mergeCell ref="I9:K9"/>
    <mergeCell ref="I36:K36"/>
    <mergeCell ref="I37:K37"/>
    <mergeCell ref="I24:K24"/>
    <mergeCell ref="I52:K52"/>
    <mergeCell ref="I46:K46"/>
    <mergeCell ref="L88:N88"/>
    <mergeCell ref="L89:N89"/>
    <mergeCell ref="L90:N90"/>
    <mergeCell ref="I71:K71"/>
    <mergeCell ref="I74:K74"/>
    <mergeCell ref="I75:K75"/>
    <mergeCell ref="I44:K44"/>
    <mergeCell ref="I45:K45"/>
    <mergeCell ref="I20:K20"/>
    <mergeCell ref="I21:K21"/>
    <mergeCell ref="I22:K22"/>
    <mergeCell ref="I23:K23"/>
    <mergeCell ref="I15:K15"/>
    <mergeCell ref="I16:K16"/>
    <mergeCell ref="I30:K30"/>
    <mergeCell ref="I31:K31"/>
    <mergeCell ref="I32:K32"/>
    <mergeCell ref="I33:K33"/>
    <mergeCell ref="I34:K34"/>
    <mergeCell ref="I55:K55"/>
    <mergeCell ref="I61:K61"/>
    <mergeCell ref="I62:K62"/>
    <mergeCell ref="I63:K63"/>
    <mergeCell ref="I64:K64"/>
    <mergeCell ref="I38:K38"/>
    <mergeCell ref="I39:K39"/>
    <mergeCell ref="I40:K40"/>
    <mergeCell ref="I41:K41"/>
    <mergeCell ref="I42:K42"/>
    <mergeCell ref="I76:K76"/>
    <mergeCell ref="I56:K56"/>
    <mergeCell ref="I57:K57"/>
    <mergeCell ref="I58:K58"/>
    <mergeCell ref="I59:K59"/>
    <mergeCell ref="I60:K60"/>
    <mergeCell ref="I100:K100"/>
    <mergeCell ref="I67:K67"/>
    <mergeCell ref="I68:K68"/>
    <mergeCell ref="I69:K69"/>
    <mergeCell ref="I70:K70"/>
    <mergeCell ref="I84:K84"/>
    <mergeCell ref="I85:K85"/>
    <mergeCell ref="I86:K86"/>
    <mergeCell ref="I87:K87"/>
    <mergeCell ref="I77:K77"/>
    <mergeCell ref="I78:K78"/>
    <mergeCell ref="I79:K79"/>
    <mergeCell ref="I80:K80"/>
    <mergeCell ref="I81:K81"/>
    <mergeCell ref="I101:K101"/>
    <mergeCell ref="I102:K102"/>
    <mergeCell ref="I103:K103"/>
    <mergeCell ref="I104:K104"/>
    <mergeCell ref="I94:K94"/>
    <mergeCell ref="I95:K95"/>
    <mergeCell ref="I96:K96"/>
    <mergeCell ref="I97:K97"/>
    <mergeCell ref="I98:K98"/>
    <mergeCell ref="I99:K99"/>
    <mergeCell ref="I88:K88"/>
    <mergeCell ref="I89:K89"/>
    <mergeCell ref="I90:K90"/>
    <mergeCell ref="I91:K91"/>
    <mergeCell ref="I92:K92"/>
    <mergeCell ref="I93:K93"/>
    <mergeCell ref="I82:K82"/>
    <mergeCell ref="I83:K83"/>
    <mergeCell ref="L44:N44"/>
    <mergeCell ref="L45:N45"/>
    <mergeCell ref="L20:N20"/>
    <mergeCell ref="L21:N21"/>
    <mergeCell ref="L25:N25"/>
    <mergeCell ref="L26:N26"/>
    <mergeCell ref="L27:N27"/>
    <mergeCell ref="L28:N28"/>
    <mergeCell ref="L55:N55"/>
    <mergeCell ref="L51:N51"/>
    <mergeCell ref="L54:N54"/>
    <mergeCell ref="L29:N29"/>
    <mergeCell ref="L30:N30"/>
    <mergeCell ref="L31:N31"/>
    <mergeCell ref="L32:N32"/>
    <mergeCell ref="L33:N33"/>
    <mergeCell ref="L34:N34"/>
    <mergeCell ref="L52:N52"/>
    <mergeCell ref="L46:N46"/>
    <mergeCell ref="L92:N92"/>
    <mergeCell ref="L81:N81"/>
    <mergeCell ref="L82:N82"/>
    <mergeCell ref="L83:N83"/>
    <mergeCell ref="L84:N84"/>
    <mergeCell ref="L85:N85"/>
    <mergeCell ref="L86:N86"/>
    <mergeCell ref="L4:N4"/>
    <mergeCell ref="L66:N66"/>
    <mergeCell ref="L67:N67"/>
    <mergeCell ref="L68:N68"/>
    <mergeCell ref="L69:N69"/>
    <mergeCell ref="L70:N70"/>
    <mergeCell ref="L60:N60"/>
    <mergeCell ref="L61:N61"/>
    <mergeCell ref="L62:N62"/>
    <mergeCell ref="L63:N63"/>
    <mergeCell ref="L64:N64"/>
    <mergeCell ref="L65:N65"/>
    <mergeCell ref="L77:N77"/>
    <mergeCell ref="L78:N78"/>
    <mergeCell ref="L22:N22"/>
    <mergeCell ref="L37:N37"/>
    <mergeCell ref="L38:N38"/>
    <mergeCell ref="L39:N39"/>
    <mergeCell ref="L40:N40"/>
    <mergeCell ref="L41:N41"/>
    <mergeCell ref="L42:N42"/>
    <mergeCell ref="L75:N75"/>
    <mergeCell ref="L76:N76"/>
    <mergeCell ref="L36:N36"/>
    <mergeCell ref="L43:N43"/>
    <mergeCell ref="L99:N99"/>
    <mergeCell ref="L100:N100"/>
    <mergeCell ref="L101:N101"/>
    <mergeCell ref="L102:N102"/>
    <mergeCell ref="L103:N103"/>
    <mergeCell ref="L104:N104"/>
    <mergeCell ref="L93:N93"/>
    <mergeCell ref="L94:N94"/>
    <mergeCell ref="L95:N95"/>
    <mergeCell ref="L96:N96"/>
    <mergeCell ref="L97:N97"/>
    <mergeCell ref="L98:N98"/>
    <mergeCell ref="O14:Q14"/>
    <mergeCell ref="O25:Q25"/>
    <mergeCell ref="O26:Q26"/>
    <mergeCell ref="O27:Q27"/>
    <mergeCell ref="O28:Q28"/>
    <mergeCell ref="O29:Q29"/>
    <mergeCell ref="O42:Q42"/>
    <mergeCell ref="O43:Q43"/>
    <mergeCell ref="O24:Q24"/>
    <mergeCell ref="O71:Q71"/>
    <mergeCell ref="O74:Q74"/>
    <mergeCell ref="O75:Q75"/>
    <mergeCell ref="O44:Q44"/>
    <mergeCell ref="O45:Q45"/>
    <mergeCell ref="O20:Q20"/>
    <mergeCell ref="O21:Q21"/>
    <mergeCell ref="L79:N79"/>
    <mergeCell ref="L80:N80"/>
    <mergeCell ref="L87:N87"/>
    <mergeCell ref="L91:N91"/>
    <mergeCell ref="O104:Q104"/>
    <mergeCell ref="O51:Q51"/>
    <mergeCell ref="O54:Q54"/>
    <mergeCell ref="O65:Q65"/>
    <mergeCell ref="O66:Q66"/>
    <mergeCell ref="O76:Q76"/>
    <mergeCell ref="O56:Q56"/>
    <mergeCell ref="O57:Q57"/>
    <mergeCell ref="O58:Q58"/>
    <mergeCell ref="O59:Q59"/>
    <mergeCell ref="O60:Q60"/>
    <mergeCell ref="O55:Q55"/>
    <mergeCell ref="O6:Q6"/>
    <mergeCell ref="O94:Q94"/>
    <mergeCell ref="O95:Q95"/>
    <mergeCell ref="O96:Q96"/>
    <mergeCell ref="O97:Q97"/>
    <mergeCell ref="O98:Q98"/>
    <mergeCell ref="O35:Q35"/>
    <mergeCell ref="O10:Q10"/>
    <mergeCell ref="O11:Q11"/>
    <mergeCell ref="O12:Q12"/>
    <mergeCell ref="O13:Q13"/>
    <mergeCell ref="O16:Q16"/>
    <mergeCell ref="O61:Q61"/>
    <mergeCell ref="O62:Q62"/>
    <mergeCell ref="O63:Q63"/>
    <mergeCell ref="O64:Q64"/>
    <mergeCell ref="O99:Q99"/>
    <mergeCell ref="O88:Q88"/>
    <mergeCell ref="O89:Q89"/>
    <mergeCell ref="O90:Q90"/>
    <mergeCell ref="O38:Q38"/>
    <mergeCell ref="O39:Q39"/>
    <mergeCell ref="O40:Q40"/>
    <mergeCell ref="O41:Q41"/>
    <mergeCell ref="O17:Q17"/>
    <mergeCell ref="O18:Q18"/>
    <mergeCell ref="O19:Q19"/>
    <mergeCell ref="O9:Q9"/>
    <mergeCell ref="O36:Q36"/>
    <mergeCell ref="O37:Q37"/>
    <mergeCell ref="O5:Q5"/>
    <mergeCell ref="O22:Q22"/>
    <mergeCell ref="O23:Q23"/>
    <mergeCell ref="O30:Q30"/>
    <mergeCell ref="R33:T33"/>
    <mergeCell ref="R34:T34"/>
    <mergeCell ref="R13:T13"/>
    <mergeCell ref="R14:T14"/>
    <mergeCell ref="O68:Q68"/>
    <mergeCell ref="O69:Q69"/>
    <mergeCell ref="O70:Q70"/>
    <mergeCell ref="R16:T16"/>
    <mergeCell ref="R39:T39"/>
    <mergeCell ref="O31:Q31"/>
    <mergeCell ref="R15:T15"/>
    <mergeCell ref="R43:T43"/>
    <mergeCell ref="R44:T44"/>
    <mergeCell ref="R45:T45"/>
    <mergeCell ref="R20:T20"/>
    <mergeCell ref="R21:T21"/>
    <mergeCell ref="R22:T22"/>
    <mergeCell ref="R25:T25"/>
    <mergeCell ref="R26:T26"/>
    <mergeCell ref="R27:T27"/>
    <mergeCell ref="R28:T28"/>
    <mergeCell ref="R51:T51"/>
    <mergeCell ref="R54:T54"/>
    <mergeCell ref="R36:T36"/>
    <mergeCell ref="R29:T29"/>
    <mergeCell ref="R30:T30"/>
    <mergeCell ref="R31:T31"/>
    <mergeCell ref="R32:T32"/>
    <mergeCell ref="R38:T38"/>
    <mergeCell ref="R40:T40"/>
    <mergeCell ref="R41:T41"/>
    <mergeCell ref="R42:T42"/>
    <mergeCell ref="R23:T23"/>
    <mergeCell ref="R35:T35"/>
    <mergeCell ref="O52:Q52"/>
    <mergeCell ref="R52:T52"/>
    <mergeCell ref="O100:Q100"/>
    <mergeCell ref="O101:Q101"/>
    <mergeCell ref="O102:Q102"/>
    <mergeCell ref="O103:Q103"/>
    <mergeCell ref="O84:Q84"/>
    <mergeCell ref="O85:Q85"/>
    <mergeCell ref="O86:Q86"/>
    <mergeCell ref="O87:Q87"/>
    <mergeCell ref="O77:Q77"/>
    <mergeCell ref="O78:Q78"/>
    <mergeCell ref="O79:Q79"/>
    <mergeCell ref="O80:Q80"/>
    <mergeCell ref="O81:Q81"/>
    <mergeCell ref="R37:T37"/>
    <mergeCell ref="O33:Q33"/>
    <mergeCell ref="O34:Q34"/>
    <mergeCell ref="R103:T103"/>
    <mergeCell ref="R77:T77"/>
    <mergeCell ref="R78:T78"/>
    <mergeCell ref="R79:T79"/>
    <mergeCell ref="R67:T67"/>
    <mergeCell ref="R68:T68"/>
    <mergeCell ref="R69:T69"/>
    <mergeCell ref="R70:T70"/>
    <mergeCell ref="R75:T75"/>
    <mergeCell ref="R76:T76"/>
    <mergeCell ref="O91:Q91"/>
    <mergeCell ref="O92:Q92"/>
    <mergeCell ref="O93:Q93"/>
    <mergeCell ref="O82:Q82"/>
    <mergeCell ref="O83:Q83"/>
    <mergeCell ref="O67:Q67"/>
    <mergeCell ref="R104:T104"/>
    <mergeCell ref="R93:T93"/>
    <mergeCell ref="R94:T94"/>
    <mergeCell ref="R95:T95"/>
    <mergeCell ref="R96:T96"/>
    <mergeCell ref="R97:T97"/>
    <mergeCell ref="R98:T98"/>
    <mergeCell ref="R80:T80"/>
    <mergeCell ref="R87:T87"/>
    <mergeCell ref="R88:T88"/>
    <mergeCell ref="R89:T89"/>
    <mergeCell ref="R90:T90"/>
    <mergeCell ref="R91:T91"/>
    <mergeCell ref="R92:T92"/>
    <mergeCell ref="R81:T81"/>
    <mergeCell ref="R82:T82"/>
    <mergeCell ref="R83:T83"/>
    <mergeCell ref="R84:T84"/>
    <mergeCell ref="R85:T85"/>
    <mergeCell ref="R86:T86"/>
    <mergeCell ref="R99:T99"/>
    <mergeCell ref="R100:T100"/>
    <mergeCell ref="R101:T101"/>
    <mergeCell ref="R102:T102"/>
    <mergeCell ref="BK52:BM52"/>
    <mergeCell ref="I53:K53"/>
    <mergeCell ref="L53:N53"/>
    <mergeCell ref="O53:Q53"/>
    <mergeCell ref="R53:T53"/>
    <mergeCell ref="R55:T55"/>
    <mergeCell ref="L56:N56"/>
    <mergeCell ref="L57:N57"/>
    <mergeCell ref="R71:T71"/>
    <mergeCell ref="R74:T74"/>
    <mergeCell ref="R66:T66"/>
    <mergeCell ref="R56:T56"/>
    <mergeCell ref="R57:T57"/>
    <mergeCell ref="R58:T58"/>
    <mergeCell ref="R59:T59"/>
    <mergeCell ref="R60:T60"/>
    <mergeCell ref="R61:T61"/>
    <mergeCell ref="R62:T62"/>
    <mergeCell ref="R63:T63"/>
    <mergeCell ref="R64:T64"/>
    <mergeCell ref="R65:T65"/>
    <mergeCell ref="U70:W70"/>
    <mergeCell ref="U71:W71"/>
    <mergeCell ref="U74:W74"/>
    <mergeCell ref="BB55:BD55"/>
    <mergeCell ref="L58:N58"/>
    <mergeCell ref="L59:N59"/>
    <mergeCell ref="L71:N71"/>
    <mergeCell ref="L74:N74"/>
    <mergeCell ref="I65:K65"/>
    <mergeCell ref="I66:K66"/>
    <mergeCell ref="BB59:BD59"/>
    <mergeCell ref="BE59:BG59"/>
    <mergeCell ref="BH59:BJ59"/>
    <mergeCell ref="BK59:BM59"/>
    <mergeCell ref="BB60:BD60"/>
    <mergeCell ref="BE38:BG38"/>
    <mergeCell ref="BH38:BJ38"/>
    <mergeCell ref="BK38:BM38"/>
    <mergeCell ref="BB41:BD41"/>
    <mergeCell ref="BE41:BG41"/>
    <mergeCell ref="BH41:BJ41"/>
    <mergeCell ref="BK41:BM41"/>
    <mergeCell ref="BB54:BD54"/>
    <mergeCell ref="BE54:BG54"/>
    <mergeCell ref="BH54:BJ54"/>
    <mergeCell ref="BK54:BM54"/>
    <mergeCell ref="BB51:BD51"/>
    <mergeCell ref="BE51:BG51"/>
    <mergeCell ref="BH51:BJ51"/>
    <mergeCell ref="BH55:BJ55"/>
    <mergeCell ref="BK55:BM55"/>
    <mergeCell ref="BK53:BM53"/>
    <mergeCell ref="BB53:BD53"/>
    <mergeCell ref="BE53:BG53"/>
    <mergeCell ref="BH53:BJ53"/>
    <mergeCell ref="BB38:BD38"/>
    <mergeCell ref="BB45:BD45"/>
    <mergeCell ref="BE45:BG45"/>
    <mergeCell ref="BH45:BJ45"/>
    <mergeCell ref="BK45:BM45"/>
    <mergeCell ref="BB43:BD43"/>
    <mergeCell ref="BE43:BG43"/>
    <mergeCell ref="BH43:BJ43"/>
    <mergeCell ref="U59:W59"/>
    <mergeCell ref="U60:W60"/>
    <mergeCell ref="BE60:BG60"/>
    <mergeCell ref="BH60:BJ60"/>
    <mergeCell ref="BK60:BM60"/>
    <mergeCell ref="BE55:BG55"/>
    <mergeCell ref="BK51:BM51"/>
    <mergeCell ref="U5:W5"/>
    <mergeCell ref="U6:W6"/>
    <mergeCell ref="U7:W7"/>
    <mergeCell ref="U8:W8"/>
    <mergeCell ref="U9:W9"/>
    <mergeCell ref="U10:W10"/>
    <mergeCell ref="U11:W11"/>
    <mergeCell ref="U12:W12"/>
    <mergeCell ref="U13:W13"/>
    <mergeCell ref="U14:W14"/>
    <mergeCell ref="U15:W15"/>
    <mergeCell ref="U16:W16"/>
    <mergeCell ref="U17:W17"/>
    <mergeCell ref="U18:W18"/>
    <mergeCell ref="U19:W19"/>
    <mergeCell ref="U20:W20"/>
    <mergeCell ref="U21:W21"/>
    <mergeCell ref="U22:W22"/>
    <mergeCell ref="U23:W23"/>
    <mergeCell ref="U24:W24"/>
    <mergeCell ref="U35:W35"/>
    <mergeCell ref="U25:W25"/>
    <mergeCell ref="U26:W26"/>
    <mergeCell ref="U27:W27"/>
    <mergeCell ref="U28:W28"/>
    <mergeCell ref="U104:W104"/>
    <mergeCell ref="I1:W1"/>
    <mergeCell ref="U77:W77"/>
    <mergeCell ref="U78:W78"/>
    <mergeCell ref="U79:W79"/>
    <mergeCell ref="U80:W80"/>
    <mergeCell ref="U81:W81"/>
    <mergeCell ref="U82:W82"/>
    <mergeCell ref="U83:W83"/>
    <mergeCell ref="U84:W84"/>
    <mergeCell ref="U85:W85"/>
    <mergeCell ref="U86:W86"/>
    <mergeCell ref="U87:W87"/>
    <mergeCell ref="U88:W88"/>
    <mergeCell ref="U89:W89"/>
    <mergeCell ref="U90:W90"/>
    <mergeCell ref="U91:W91"/>
    <mergeCell ref="U92:W92"/>
    <mergeCell ref="U93:W93"/>
    <mergeCell ref="U39:W39"/>
    <mergeCell ref="U40:W40"/>
    <mergeCell ref="U41:W41"/>
    <mergeCell ref="U42:W42"/>
    <mergeCell ref="U43:W43"/>
    <mergeCell ref="U44:W44"/>
    <mergeCell ref="U45:W45"/>
    <mergeCell ref="U51:W51"/>
    <mergeCell ref="U52:W52"/>
    <mergeCell ref="U53:W53"/>
    <mergeCell ref="U54:W54"/>
    <mergeCell ref="U55:W55"/>
    <mergeCell ref="U31:W31"/>
    <mergeCell ref="U29:W29"/>
    <mergeCell ref="U30:W30"/>
    <mergeCell ref="U103:W103"/>
    <mergeCell ref="U32:W32"/>
    <mergeCell ref="U33:W33"/>
    <mergeCell ref="U34:W34"/>
    <mergeCell ref="U36:W36"/>
    <mergeCell ref="U37:W37"/>
    <mergeCell ref="U38:W38"/>
    <mergeCell ref="U61:W61"/>
    <mergeCell ref="U62:W62"/>
    <mergeCell ref="U63:W63"/>
    <mergeCell ref="U64:W64"/>
    <mergeCell ref="U65:W65"/>
    <mergeCell ref="U66:W66"/>
    <mergeCell ref="U67:W67"/>
    <mergeCell ref="U68:W68"/>
    <mergeCell ref="U69:W69"/>
    <mergeCell ref="U94:W94"/>
    <mergeCell ref="U95:W95"/>
    <mergeCell ref="U96:W96"/>
    <mergeCell ref="U97:W97"/>
    <mergeCell ref="U98:W98"/>
    <mergeCell ref="U99:W99"/>
    <mergeCell ref="U100:W100"/>
    <mergeCell ref="U101:W101"/>
    <mergeCell ref="U102:W102"/>
    <mergeCell ref="U56:W56"/>
    <mergeCell ref="U57:W57"/>
    <mergeCell ref="U58:W58"/>
    <mergeCell ref="U75:W75"/>
    <mergeCell ref="U76:W76"/>
    <mergeCell ref="BK43:BM43"/>
    <mergeCell ref="BB44:BD44"/>
    <mergeCell ref="BE44:BG44"/>
    <mergeCell ref="BB42:BD42"/>
    <mergeCell ref="BN36:BP36"/>
    <mergeCell ref="BN37:BP37"/>
    <mergeCell ref="BN38:BP38"/>
    <mergeCell ref="BN39:BP39"/>
    <mergeCell ref="BN40:BP40"/>
    <mergeCell ref="BN70:BP70"/>
    <mergeCell ref="BN74:BP74"/>
    <mergeCell ref="BN75:BP75"/>
    <mergeCell ref="BN2:BN3"/>
    <mergeCell ref="BN4:BP4"/>
    <mergeCell ref="BN5:BP5"/>
    <mergeCell ref="BN6:BP6"/>
    <mergeCell ref="BN7:BP7"/>
    <mergeCell ref="BN8:BP8"/>
    <mergeCell ref="BN9:BP9"/>
    <mergeCell ref="BN10:BP10"/>
    <mergeCell ref="BN11:BP11"/>
    <mergeCell ref="BN12:BP12"/>
    <mergeCell ref="BN13:BP13"/>
    <mergeCell ref="BN14:BP14"/>
    <mergeCell ref="BN15:BP15"/>
    <mergeCell ref="BN16:BP16"/>
    <mergeCell ref="BN17:BP17"/>
    <mergeCell ref="BN18:BP18"/>
    <mergeCell ref="BN19:BP19"/>
    <mergeCell ref="BN20:BP20"/>
    <mergeCell ref="BN21:BP21"/>
    <mergeCell ref="BN22:BP22"/>
    <mergeCell ref="BN23:BP23"/>
    <mergeCell ref="BN24:BP24"/>
    <mergeCell ref="BN35:BP35"/>
    <mergeCell ref="BN78:BP78"/>
    <mergeCell ref="BN79:BP79"/>
    <mergeCell ref="BN80:BP80"/>
    <mergeCell ref="BN41:BP41"/>
    <mergeCell ref="BN42:BP42"/>
    <mergeCell ref="BN43:BP43"/>
    <mergeCell ref="BN44:BP44"/>
    <mergeCell ref="BN45:BP45"/>
    <mergeCell ref="BN51:BP51"/>
    <mergeCell ref="BN52:BP52"/>
    <mergeCell ref="BN53:BP53"/>
    <mergeCell ref="BN54:BP54"/>
    <mergeCell ref="BN55:BP55"/>
    <mergeCell ref="BN56:BP56"/>
    <mergeCell ref="BN57:BP57"/>
    <mergeCell ref="BN58:BP58"/>
    <mergeCell ref="BN59:BP59"/>
    <mergeCell ref="BN60:BP60"/>
    <mergeCell ref="BN61:BP61"/>
    <mergeCell ref="BN62:BP62"/>
    <mergeCell ref="BN98:BP98"/>
    <mergeCell ref="BN99:BP99"/>
    <mergeCell ref="BN100:BP100"/>
    <mergeCell ref="BN101:BP101"/>
    <mergeCell ref="BN102:BP102"/>
    <mergeCell ref="BN103:BP103"/>
    <mergeCell ref="BN104:BP104"/>
    <mergeCell ref="BB1:BP1"/>
    <mergeCell ref="BN81:BP81"/>
    <mergeCell ref="BN82:BP82"/>
    <mergeCell ref="BN83:BP83"/>
    <mergeCell ref="BN84:BP84"/>
    <mergeCell ref="BN85:BP85"/>
    <mergeCell ref="BN86:BP86"/>
    <mergeCell ref="BN87:BP87"/>
    <mergeCell ref="BN88:BP88"/>
    <mergeCell ref="BN89:BP89"/>
    <mergeCell ref="BN90:BP90"/>
    <mergeCell ref="BN91:BP91"/>
    <mergeCell ref="BN92:BP92"/>
    <mergeCell ref="BN93:BP93"/>
    <mergeCell ref="BN94:BP94"/>
    <mergeCell ref="BN95:BP95"/>
    <mergeCell ref="BN96:BP96"/>
    <mergeCell ref="BN97:BP97"/>
    <mergeCell ref="BN63:BP63"/>
    <mergeCell ref="BN64:BP64"/>
    <mergeCell ref="BN65:BP65"/>
    <mergeCell ref="BN66:BP66"/>
    <mergeCell ref="BN67:BP67"/>
    <mergeCell ref="BN68:BP68"/>
    <mergeCell ref="BN69:BP69"/>
    <mergeCell ref="BQ1:CE1"/>
    <mergeCell ref="CF1:CT1"/>
    <mergeCell ref="BQ2:BQ3"/>
    <mergeCell ref="BT2:BT3"/>
    <mergeCell ref="BW2:BW3"/>
    <mergeCell ref="BZ2:BZ3"/>
    <mergeCell ref="CC2:CC3"/>
    <mergeCell ref="CF2:CF3"/>
    <mergeCell ref="CI2:CI3"/>
    <mergeCell ref="CL2:CL3"/>
    <mergeCell ref="CO2:CO3"/>
    <mergeCell ref="CR2:CR3"/>
    <mergeCell ref="BQ4:BS4"/>
    <mergeCell ref="BQ5:BS5"/>
    <mergeCell ref="BQ6:BS6"/>
    <mergeCell ref="CI4:CK4"/>
    <mergeCell ref="CI5:CK5"/>
    <mergeCell ref="CI6:CK6"/>
    <mergeCell ref="CR4:CT4"/>
    <mergeCell ref="CR5:CT5"/>
    <mergeCell ref="CR6:CT6"/>
    <mergeCell ref="CC4:CE4"/>
    <mergeCell ref="CC5:CE5"/>
    <mergeCell ref="CC6:CE6"/>
    <mergeCell ref="CF4:CH4"/>
    <mergeCell ref="CF5:CH5"/>
    <mergeCell ref="CF6:CH6"/>
    <mergeCell ref="CO4:CQ4"/>
    <mergeCell ref="CO5:CQ5"/>
    <mergeCell ref="CO6:CQ6"/>
    <mergeCell ref="CL4:CN4"/>
    <mergeCell ref="CL5:CN5"/>
    <mergeCell ref="BQ24:BS24"/>
    <mergeCell ref="BQ35:BS35"/>
    <mergeCell ref="BQ36:BS36"/>
    <mergeCell ref="BQ37:BS37"/>
    <mergeCell ref="BQ38:BS38"/>
    <mergeCell ref="BQ39:BS39"/>
    <mergeCell ref="BQ40:BS40"/>
    <mergeCell ref="BQ7:BS7"/>
    <mergeCell ref="BQ8:BS8"/>
    <mergeCell ref="BQ9:BS9"/>
    <mergeCell ref="BQ10:BS10"/>
    <mergeCell ref="BQ11:BS11"/>
    <mergeCell ref="BQ12:BS12"/>
    <mergeCell ref="BQ13:BS13"/>
    <mergeCell ref="BQ14:BS14"/>
    <mergeCell ref="BQ15:BS15"/>
    <mergeCell ref="BQ16:BS16"/>
    <mergeCell ref="BQ17:BS17"/>
    <mergeCell ref="BQ18:BS18"/>
    <mergeCell ref="BQ19:BS19"/>
    <mergeCell ref="BQ20:BS20"/>
    <mergeCell ref="BQ21:BS21"/>
    <mergeCell ref="BQ22:BS22"/>
    <mergeCell ref="BQ23:BS23"/>
    <mergeCell ref="BQ65:BS65"/>
    <mergeCell ref="BT4:BV4"/>
    <mergeCell ref="BT5:BV5"/>
    <mergeCell ref="BT6:BV6"/>
    <mergeCell ref="BT7:BV7"/>
    <mergeCell ref="BT8:BV8"/>
    <mergeCell ref="BT9:BV9"/>
    <mergeCell ref="BT10:BV10"/>
    <mergeCell ref="BT11:BV11"/>
    <mergeCell ref="BT12:BV12"/>
    <mergeCell ref="BT13:BV13"/>
    <mergeCell ref="BT14:BV14"/>
    <mergeCell ref="BT15:BV15"/>
    <mergeCell ref="BT16:BV16"/>
    <mergeCell ref="BT17:BV17"/>
    <mergeCell ref="BT18:BV18"/>
    <mergeCell ref="BT19:BV19"/>
    <mergeCell ref="BT20:BV20"/>
    <mergeCell ref="BT21:BV21"/>
    <mergeCell ref="BT22:BV22"/>
    <mergeCell ref="BT23:BV23"/>
    <mergeCell ref="BT24:BV24"/>
    <mergeCell ref="BT35:BV35"/>
    <mergeCell ref="BQ41:BS41"/>
    <mergeCell ref="BQ42:BS42"/>
    <mergeCell ref="BQ43:BS43"/>
    <mergeCell ref="BQ44:BS44"/>
    <mergeCell ref="BQ45:BS45"/>
    <mergeCell ref="BQ51:BS51"/>
    <mergeCell ref="BQ52:BS52"/>
    <mergeCell ref="BQ53:BS53"/>
    <mergeCell ref="BQ54:BS54"/>
    <mergeCell ref="BT36:BV36"/>
    <mergeCell ref="BT37:BV37"/>
    <mergeCell ref="BT38:BV38"/>
    <mergeCell ref="BT39:BV39"/>
    <mergeCell ref="BT40:BV40"/>
    <mergeCell ref="BT41:BV41"/>
    <mergeCell ref="BT42:BV42"/>
    <mergeCell ref="BQ63:BS63"/>
    <mergeCell ref="BQ64:BS64"/>
    <mergeCell ref="BQ55:BS55"/>
    <mergeCell ref="BQ56:BS56"/>
    <mergeCell ref="BQ57:BS57"/>
    <mergeCell ref="BQ58:BS58"/>
    <mergeCell ref="BQ59:BS59"/>
    <mergeCell ref="BQ60:BS60"/>
    <mergeCell ref="BQ61:BS61"/>
    <mergeCell ref="BQ62:BS62"/>
    <mergeCell ref="BT43:BV43"/>
    <mergeCell ref="BT44:BV44"/>
    <mergeCell ref="BT45:BV45"/>
    <mergeCell ref="BT51:BV51"/>
    <mergeCell ref="BT52:BV52"/>
    <mergeCell ref="BT53:BV53"/>
    <mergeCell ref="BT54:BV54"/>
    <mergeCell ref="BT55:BV55"/>
    <mergeCell ref="BT56:BV56"/>
    <mergeCell ref="BT57:BV57"/>
    <mergeCell ref="BT58:BV58"/>
    <mergeCell ref="BT59:BV59"/>
    <mergeCell ref="BT60:BV60"/>
    <mergeCell ref="BT61:BV61"/>
    <mergeCell ref="BT62:BV62"/>
    <mergeCell ref="BT63:BV63"/>
    <mergeCell ref="BT64:BV64"/>
    <mergeCell ref="BW62:BY62"/>
    <mergeCell ref="BW63:BY63"/>
    <mergeCell ref="BW64:BY64"/>
    <mergeCell ref="BW65:BY65"/>
    <mergeCell ref="BW36:BY36"/>
    <mergeCell ref="BW37:BY37"/>
    <mergeCell ref="BW38:BY38"/>
    <mergeCell ref="BW39:BY39"/>
    <mergeCell ref="BW40:BY40"/>
    <mergeCell ref="BW41:BY41"/>
    <mergeCell ref="BW42:BY42"/>
    <mergeCell ref="BW43:BY43"/>
    <mergeCell ref="BW44:BY44"/>
    <mergeCell ref="BT65:BV65"/>
    <mergeCell ref="BW4:BY4"/>
    <mergeCell ref="BW5:BY5"/>
    <mergeCell ref="BW6:BY6"/>
    <mergeCell ref="BW7:BY7"/>
    <mergeCell ref="BW8:BY8"/>
    <mergeCell ref="BW9:BY9"/>
    <mergeCell ref="BW10:BY10"/>
    <mergeCell ref="BW11:BY11"/>
    <mergeCell ref="BW12:BY12"/>
    <mergeCell ref="BW13:BY13"/>
    <mergeCell ref="BW14:BY14"/>
    <mergeCell ref="BW15:BY15"/>
    <mergeCell ref="BW16:BY16"/>
    <mergeCell ref="BW17:BY17"/>
    <mergeCell ref="BW18:BY18"/>
    <mergeCell ref="BW19:BY19"/>
    <mergeCell ref="BW20:BY20"/>
    <mergeCell ref="BW21:BY21"/>
    <mergeCell ref="BZ21:CB21"/>
    <mergeCell ref="BZ22:CB22"/>
    <mergeCell ref="BZ23:CB23"/>
    <mergeCell ref="BZ24:CB24"/>
    <mergeCell ref="BZ35:CB35"/>
    <mergeCell ref="BW45:BY45"/>
    <mergeCell ref="BW51:BY51"/>
    <mergeCell ref="BW52:BY52"/>
    <mergeCell ref="BW53:BY53"/>
    <mergeCell ref="BW54:BY54"/>
    <mergeCell ref="BW55:BY55"/>
    <mergeCell ref="BW56:BY56"/>
    <mergeCell ref="BW57:BY57"/>
    <mergeCell ref="BW58:BY58"/>
    <mergeCell ref="BW59:BY59"/>
    <mergeCell ref="BW48:BY48"/>
    <mergeCell ref="BZ48:CB48"/>
    <mergeCell ref="BW60:BY60"/>
    <mergeCell ref="BW61:BY61"/>
    <mergeCell ref="BW22:BY22"/>
    <mergeCell ref="BW23:BY23"/>
    <mergeCell ref="BW24:BY24"/>
    <mergeCell ref="BW35:BY35"/>
    <mergeCell ref="BZ4:CB4"/>
    <mergeCell ref="BZ5:CB5"/>
    <mergeCell ref="BZ6:CB6"/>
    <mergeCell ref="BZ7:CB7"/>
    <mergeCell ref="BZ8:CB8"/>
    <mergeCell ref="BZ9:CB9"/>
    <mergeCell ref="BZ10:CB10"/>
    <mergeCell ref="BZ11:CB11"/>
    <mergeCell ref="BZ12:CB12"/>
    <mergeCell ref="BZ13:CB13"/>
    <mergeCell ref="BZ14:CB14"/>
    <mergeCell ref="BZ15:CB15"/>
    <mergeCell ref="BZ16:CB16"/>
    <mergeCell ref="BZ17:CB17"/>
    <mergeCell ref="BZ18:CB18"/>
    <mergeCell ref="BZ19:CB19"/>
    <mergeCell ref="BZ20:CB20"/>
    <mergeCell ref="BZ52:CB52"/>
    <mergeCell ref="BZ53:CB53"/>
    <mergeCell ref="BZ54:CB54"/>
    <mergeCell ref="BZ55:CB55"/>
    <mergeCell ref="BZ56:CB56"/>
    <mergeCell ref="BZ57:CB57"/>
    <mergeCell ref="BZ58:CB58"/>
    <mergeCell ref="BZ59:CB59"/>
    <mergeCell ref="BZ60:CB60"/>
    <mergeCell ref="BZ61:CB61"/>
    <mergeCell ref="BZ62:CB62"/>
    <mergeCell ref="BZ63:CB63"/>
    <mergeCell ref="BZ64:CB64"/>
    <mergeCell ref="BZ65:CB65"/>
    <mergeCell ref="BZ36:CB36"/>
    <mergeCell ref="BZ37:CB37"/>
    <mergeCell ref="BZ38:CB38"/>
    <mergeCell ref="BZ39:CB39"/>
    <mergeCell ref="BZ40:CB40"/>
    <mergeCell ref="BZ41:CB41"/>
    <mergeCell ref="BZ42:CB42"/>
    <mergeCell ref="BZ43:CB43"/>
    <mergeCell ref="BZ44:CB44"/>
    <mergeCell ref="BZ45:CB45"/>
    <mergeCell ref="BZ51:CB51"/>
    <mergeCell ref="CC7:CE7"/>
    <mergeCell ref="CC8:CE8"/>
    <mergeCell ref="CC9:CE9"/>
    <mergeCell ref="CC10:CE10"/>
    <mergeCell ref="CC11:CE11"/>
    <mergeCell ref="CC12:CE12"/>
    <mergeCell ref="CC13:CE13"/>
    <mergeCell ref="CC14:CE14"/>
    <mergeCell ref="CC15:CE15"/>
    <mergeCell ref="CC16:CE16"/>
    <mergeCell ref="CC17:CE17"/>
    <mergeCell ref="CC18:CE18"/>
    <mergeCell ref="CC19:CE19"/>
    <mergeCell ref="CC20:CE20"/>
    <mergeCell ref="CC58:CE58"/>
    <mergeCell ref="CC59:CE59"/>
    <mergeCell ref="CC60:CE60"/>
    <mergeCell ref="CC54:CE54"/>
    <mergeCell ref="CC55:CE55"/>
    <mergeCell ref="CC56:CE56"/>
    <mergeCell ref="CC57:CE57"/>
    <mergeCell ref="CC21:CE21"/>
    <mergeCell ref="CC22:CE22"/>
    <mergeCell ref="CC23:CE23"/>
    <mergeCell ref="CC24:CE24"/>
    <mergeCell ref="CC35:CE35"/>
    <mergeCell ref="CC61:CE61"/>
    <mergeCell ref="CC62:CE62"/>
    <mergeCell ref="CC63:CE63"/>
    <mergeCell ref="CC64:CE64"/>
    <mergeCell ref="CC65:CE65"/>
    <mergeCell ref="CC36:CE36"/>
    <mergeCell ref="CC37:CE37"/>
    <mergeCell ref="CC38:CE38"/>
    <mergeCell ref="CC39:CE39"/>
    <mergeCell ref="CC40:CE40"/>
    <mergeCell ref="CC41:CE41"/>
    <mergeCell ref="CC42:CE42"/>
    <mergeCell ref="CC43:CE43"/>
    <mergeCell ref="CC44:CE44"/>
    <mergeCell ref="CC45:CE45"/>
    <mergeCell ref="CC51:CE51"/>
    <mergeCell ref="CC52:CE52"/>
    <mergeCell ref="CC53:CE53"/>
    <mergeCell ref="CC48:CE48"/>
    <mergeCell ref="CF7:CH7"/>
    <mergeCell ref="CF8:CH8"/>
    <mergeCell ref="CF9:CH9"/>
    <mergeCell ref="CF10:CH10"/>
    <mergeCell ref="CF11:CH11"/>
    <mergeCell ref="CF12:CH12"/>
    <mergeCell ref="CF13:CH13"/>
    <mergeCell ref="CF14:CH14"/>
    <mergeCell ref="CF15:CH15"/>
    <mergeCell ref="CF16:CH16"/>
    <mergeCell ref="CF17:CH17"/>
    <mergeCell ref="CF18:CH18"/>
    <mergeCell ref="CF19:CH19"/>
    <mergeCell ref="CF20:CH20"/>
    <mergeCell ref="CF56:CH56"/>
    <mergeCell ref="CF57:CH57"/>
    <mergeCell ref="CF58:CH58"/>
    <mergeCell ref="CF21:CH21"/>
    <mergeCell ref="CF22:CH22"/>
    <mergeCell ref="CF23:CH23"/>
    <mergeCell ref="CF24:CH24"/>
    <mergeCell ref="CF35:CH35"/>
    <mergeCell ref="CF25:CH25"/>
    <mergeCell ref="CF26:CH26"/>
    <mergeCell ref="CF27:CH27"/>
    <mergeCell ref="CF28:CH28"/>
    <mergeCell ref="CF29:CH29"/>
    <mergeCell ref="CF30:CH30"/>
    <mergeCell ref="CF31:CH31"/>
    <mergeCell ref="CF32:CH32"/>
    <mergeCell ref="CF61:CH61"/>
    <mergeCell ref="CF62:CH62"/>
    <mergeCell ref="CF63:CH63"/>
    <mergeCell ref="CF64:CH64"/>
    <mergeCell ref="CF65:CH65"/>
    <mergeCell ref="CF33:CH33"/>
    <mergeCell ref="CF34:CH34"/>
    <mergeCell ref="CF36:CH36"/>
    <mergeCell ref="CF37:CH37"/>
    <mergeCell ref="CF38:CH38"/>
    <mergeCell ref="CF39:CH39"/>
    <mergeCell ref="CF40:CH40"/>
    <mergeCell ref="CF41:CH41"/>
    <mergeCell ref="CF42:CH42"/>
    <mergeCell ref="CF43:CH43"/>
    <mergeCell ref="CF44:CH44"/>
    <mergeCell ref="CF45:CH45"/>
    <mergeCell ref="CF51:CH51"/>
    <mergeCell ref="CF52:CH52"/>
    <mergeCell ref="CF53:CH53"/>
    <mergeCell ref="CF54:CH54"/>
    <mergeCell ref="CF55:CH55"/>
    <mergeCell ref="CI7:CK7"/>
    <mergeCell ref="CI8:CK8"/>
    <mergeCell ref="CI9:CK9"/>
    <mergeCell ref="CI10:CK10"/>
    <mergeCell ref="CI11:CK11"/>
    <mergeCell ref="CI12:CK12"/>
    <mergeCell ref="CI13:CK13"/>
    <mergeCell ref="CI14:CK14"/>
    <mergeCell ref="CI15:CK15"/>
    <mergeCell ref="CI16:CK16"/>
    <mergeCell ref="CI17:CK17"/>
    <mergeCell ref="CI18:CK18"/>
    <mergeCell ref="CI19:CK19"/>
    <mergeCell ref="CI20:CK20"/>
    <mergeCell ref="CI21:CK21"/>
    <mergeCell ref="CI22:CK22"/>
    <mergeCell ref="CI23:CK23"/>
    <mergeCell ref="CI24:CK24"/>
    <mergeCell ref="CI35:CK35"/>
    <mergeCell ref="CI25:CK25"/>
    <mergeCell ref="CI26:CK26"/>
    <mergeCell ref="CI27:CK27"/>
    <mergeCell ref="CI28:CK28"/>
    <mergeCell ref="CI29:CK29"/>
    <mergeCell ref="CI30:CK30"/>
    <mergeCell ref="CI31:CK31"/>
    <mergeCell ref="CI32:CK32"/>
    <mergeCell ref="CI33:CK33"/>
    <mergeCell ref="CI34:CK34"/>
    <mergeCell ref="CI36:CK36"/>
    <mergeCell ref="CI37:CK37"/>
    <mergeCell ref="CI38:CK38"/>
    <mergeCell ref="CI39:CK39"/>
    <mergeCell ref="CI40:CK40"/>
    <mergeCell ref="CL6:CN6"/>
    <mergeCell ref="CL7:CN7"/>
    <mergeCell ref="CL8:CN8"/>
    <mergeCell ref="CL9:CN9"/>
    <mergeCell ref="CL10:CN10"/>
    <mergeCell ref="CL11:CN11"/>
    <mergeCell ref="CL12:CN12"/>
    <mergeCell ref="CL13:CN13"/>
    <mergeCell ref="CL14:CN14"/>
    <mergeCell ref="CL15:CN15"/>
    <mergeCell ref="CL16:CN16"/>
    <mergeCell ref="CL17:CN17"/>
    <mergeCell ref="CL18:CN18"/>
    <mergeCell ref="CL19:CN19"/>
    <mergeCell ref="CL20:CN20"/>
    <mergeCell ref="CL43:CN43"/>
    <mergeCell ref="CL44:CN44"/>
    <mergeCell ref="CL21:CN21"/>
    <mergeCell ref="CL22:CN22"/>
    <mergeCell ref="CL23:CN23"/>
    <mergeCell ref="CL24:CN24"/>
    <mergeCell ref="CL35:CN35"/>
    <mergeCell ref="CL25:CN25"/>
    <mergeCell ref="CL26:CN26"/>
    <mergeCell ref="CL27:CN27"/>
    <mergeCell ref="CL28:CN28"/>
    <mergeCell ref="CL29:CN29"/>
    <mergeCell ref="CL30:CN30"/>
    <mergeCell ref="CL31:CN31"/>
    <mergeCell ref="CL32:CN32"/>
    <mergeCell ref="CL33:CN33"/>
    <mergeCell ref="CL34:CN34"/>
    <mergeCell ref="CL36:CN36"/>
    <mergeCell ref="CL37:CN37"/>
    <mergeCell ref="CL38:CN38"/>
    <mergeCell ref="CL39:CN39"/>
    <mergeCell ref="CL40:CN40"/>
    <mergeCell ref="CL41:CN41"/>
    <mergeCell ref="CL42:CN42"/>
    <mergeCell ref="CO7:CQ7"/>
    <mergeCell ref="CO8:CQ8"/>
    <mergeCell ref="CO9:CQ9"/>
    <mergeCell ref="CO10:CQ10"/>
    <mergeCell ref="CO11:CQ11"/>
    <mergeCell ref="CO12:CQ12"/>
    <mergeCell ref="CO13:CQ13"/>
    <mergeCell ref="CO14:CQ14"/>
    <mergeCell ref="CO15:CQ15"/>
    <mergeCell ref="CO16:CQ16"/>
    <mergeCell ref="CO17:CQ17"/>
    <mergeCell ref="CO18:CQ18"/>
    <mergeCell ref="CO19:CQ19"/>
    <mergeCell ref="CO20:CQ20"/>
    <mergeCell ref="CO21:CQ21"/>
    <mergeCell ref="CO22:CQ22"/>
    <mergeCell ref="CO23:CQ23"/>
    <mergeCell ref="CO24:CQ24"/>
    <mergeCell ref="CO35:CQ35"/>
    <mergeCell ref="CO25:CQ25"/>
    <mergeCell ref="CO26:CQ26"/>
    <mergeCell ref="CR35:CT35"/>
    <mergeCell ref="CR25:CT25"/>
    <mergeCell ref="CR26:CT26"/>
    <mergeCell ref="CR27:CT27"/>
    <mergeCell ref="CR28:CT28"/>
    <mergeCell ref="CO54:CQ54"/>
    <mergeCell ref="CO55:CQ55"/>
    <mergeCell ref="CR32:CT32"/>
    <mergeCell ref="CR33:CT33"/>
    <mergeCell ref="CR34:CT34"/>
    <mergeCell ref="CR36:CT36"/>
    <mergeCell ref="CR37:CT37"/>
    <mergeCell ref="CR38:CT38"/>
    <mergeCell ref="CO56:CQ56"/>
    <mergeCell ref="CO57:CQ57"/>
    <mergeCell ref="CO27:CQ27"/>
    <mergeCell ref="CO28:CQ28"/>
    <mergeCell ref="CO29:CQ29"/>
    <mergeCell ref="CO30:CQ30"/>
    <mergeCell ref="CO31:CQ31"/>
    <mergeCell ref="CO32:CQ32"/>
    <mergeCell ref="CO33:CQ33"/>
    <mergeCell ref="CO34:CQ34"/>
    <mergeCell ref="CO36:CQ36"/>
    <mergeCell ref="CO37:CQ37"/>
    <mergeCell ref="CO38:CQ38"/>
    <mergeCell ref="CO39:CQ39"/>
    <mergeCell ref="CO40:CQ40"/>
    <mergeCell ref="CO41:CQ41"/>
    <mergeCell ref="CO42:CQ42"/>
    <mergeCell ref="CO43:CQ43"/>
    <mergeCell ref="CO44:CQ44"/>
    <mergeCell ref="CO51:CQ51"/>
    <mergeCell ref="CO52:CQ52"/>
    <mergeCell ref="CO53:CQ53"/>
    <mergeCell ref="CR7:CT7"/>
    <mergeCell ref="CR8:CT8"/>
    <mergeCell ref="CR9:CT9"/>
    <mergeCell ref="CR10:CT10"/>
    <mergeCell ref="CR11:CT11"/>
    <mergeCell ref="CR12:CT12"/>
    <mergeCell ref="CR13:CT13"/>
    <mergeCell ref="CR14:CT14"/>
    <mergeCell ref="CR15:CT15"/>
    <mergeCell ref="CR16:CT16"/>
    <mergeCell ref="CR17:CT17"/>
    <mergeCell ref="CR18:CT18"/>
    <mergeCell ref="CR19:CT19"/>
    <mergeCell ref="CR20:CT20"/>
    <mergeCell ref="CR29:CT29"/>
    <mergeCell ref="CR30:CT30"/>
    <mergeCell ref="CR31:CT31"/>
    <mergeCell ref="CR21:CT21"/>
    <mergeCell ref="CR22:CT22"/>
    <mergeCell ref="CR23:CT23"/>
    <mergeCell ref="CR24:CT24"/>
    <mergeCell ref="CF70:CH70"/>
    <mergeCell ref="CR52:CT52"/>
    <mergeCell ref="CR53:CT53"/>
    <mergeCell ref="CR54:CT54"/>
    <mergeCell ref="CR55:CT55"/>
    <mergeCell ref="CR56:CT56"/>
    <mergeCell ref="CR57:CT57"/>
    <mergeCell ref="CR58:CT58"/>
    <mergeCell ref="CR59:CT59"/>
    <mergeCell ref="CR60:CT60"/>
    <mergeCell ref="CR61:CT61"/>
    <mergeCell ref="CR62:CT62"/>
    <mergeCell ref="CR63:CT63"/>
    <mergeCell ref="CR64:CT64"/>
    <mergeCell ref="CR65:CT65"/>
    <mergeCell ref="CO45:CQ45"/>
    <mergeCell ref="CO58:CQ58"/>
    <mergeCell ref="CO59:CQ59"/>
    <mergeCell ref="CO60:CQ60"/>
    <mergeCell ref="CO61:CQ61"/>
    <mergeCell ref="CO62:CQ62"/>
    <mergeCell ref="CO63:CQ63"/>
    <mergeCell ref="CL58:CN58"/>
    <mergeCell ref="CI45:CK45"/>
    <mergeCell ref="CI51:CK51"/>
    <mergeCell ref="CI52:CK52"/>
    <mergeCell ref="CI53:CK53"/>
    <mergeCell ref="CI54:CK54"/>
    <mergeCell ref="CI55:CK55"/>
    <mergeCell ref="CI56:CK56"/>
    <mergeCell ref="CI57:CK57"/>
    <mergeCell ref="CL45:CN45"/>
    <mergeCell ref="CL63:CN63"/>
    <mergeCell ref="CL64:CN64"/>
    <mergeCell ref="CI63:CK63"/>
    <mergeCell ref="CI64:CK64"/>
    <mergeCell ref="CI65:CK65"/>
    <mergeCell ref="CI58:CK58"/>
    <mergeCell ref="CI59:CK59"/>
    <mergeCell ref="CI60:CK60"/>
    <mergeCell ref="CR39:CT39"/>
    <mergeCell ref="CR40:CT40"/>
    <mergeCell ref="CR41:CT41"/>
    <mergeCell ref="CR42:CT42"/>
    <mergeCell ref="CR43:CT43"/>
    <mergeCell ref="CR44:CT44"/>
    <mergeCell ref="CR45:CT45"/>
    <mergeCell ref="CR51:CT51"/>
    <mergeCell ref="CC67:CE67"/>
    <mergeCell ref="CC66:CE66"/>
    <mergeCell ref="CI41:CK41"/>
    <mergeCell ref="CI42:CK42"/>
    <mergeCell ref="CI43:CK43"/>
    <mergeCell ref="CI44:CK44"/>
    <mergeCell ref="CL51:CN51"/>
    <mergeCell ref="CL52:CN52"/>
    <mergeCell ref="CL54:CN54"/>
    <mergeCell ref="CL55:CN55"/>
    <mergeCell ref="CL56:CN56"/>
    <mergeCell ref="CL57:CN57"/>
    <mergeCell ref="CI61:CK61"/>
    <mergeCell ref="CI62:CK62"/>
    <mergeCell ref="CF59:CH59"/>
    <mergeCell ref="CF60:CH60"/>
    <mergeCell ref="CO66:CQ66"/>
    <mergeCell ref="CR68:CT68"/>
    <mergeCell ref="CR67:CT67"/>
    <mergeCell ref="CR66:CT66"/>
    <mergeCell ref="CF69:CH69"/>
    <mergeCell ref="CF68:CH68"/>
    <mergeCell ref="CF67:CH67"/>
    <mergeCell ref="CF66:CH66"/>
    <mergeCell ref="CO67:CQ67"/>
    <mergeCell ref="CO68:CQ68"/>
    <mergeCell ref="CO69:CQ69"/>
    <mergeCell ref="CO70:CQ70"/>
    <mergeCell ref="BZ69:CB69"/>
    <mergeCell ref="BW67:BY67"/>
    <mergeCell ref="CO64:CQ64"/>
    <mergeCell ref="CO65:CQ65"/>
    <mergeCell ref="CL53:CN53"/>
    <mergeCell ref="CI67:CK67"/>
    <mergeCell ref="CI66:CK66"/>
    <mergeCell ref="CL70:CN70"/>
    <mergeCell ref="CL69:CN69"/>
    <mergeCell ref="CL68:CN68"/>
    <mergeCell ref="CL67:CN67"/>
    <mergeCell ref="CL66:CN66"/>
    <mergeCell ref="CI70:CK70"/>
    <mergeCell ref="CI69:CK69"/>
    <mergeCell ref="CI68:CK68"/>
    <mergeCell ref="CL65:CN65"/>
    <mergeCell ref="CL59:CN59"/>
    <mergeCell ref="CL60:CN60"/>
    <mergeCell ref="CL61:CN61"/>
    <mergeCell ref="CL62:CN62"/>
    <mergeCell ref="BQ70:BS70"/>
    <mergeCell ref="BQ69:BS69"/>
    <mergeCell ref="BQ68:BS68"/>
    <mergeCell ref="BQ67:BS67"/>
    <mergeCell ref="BQ66:BS66"/>
    <mergeCell ref="BT70:BV70"/>
    <mergeCell ref="BT69:BV69"/>
    <mergeCell ref="BT68:BV68"/>
    <mergeCell ref="BT67:BV67"/>
    <mergeCell ref="BT66:BV66"/>
    <mergeCell ref="BW66:BY66"/>
    <mergeCell ref="BZ68:CB68"/>
    <mergeCell ref="BZ67:CB67"/>
    <mergeCell ref="BZ66:CB66"/>
    <mergeCell ref="CC70:CE70"/>
    <mergeCell ref="CC69:CE69"/>
    <mergeCell ref="CC68:CE68"/>
    <mergeCell ref="BW68:BY68"/>
    <mergeCell ref="BW69:BY69"/>
    <mergeCell ref="BW70:BY70"/>
    <mergeCell ref="CF74:CH74"/>
    <mergeCell ref="CI74:CK74"/>
    <mergeCell ref="CL74:CN74"/>
    <mergeCell ref="CO74:CQ74"/>
    <mergeCell ref="CR74:CT74"/>
    <mergeCell ref="BQ75:BS75"/>
    <mergeCell ref="BT75:BV75"/>
    <mergeCell ref="BW75:BY75"/>
    <mergeCell ref="BZ75:CB75"/>
    <mergeCell ref="CC75:CE75"/>
    <mergeCell ref="CF75:CH75"/>
    <mergeCell ref="CI75:CK75"/>
    <mergeCell ref="CL75:CN75"/>
    <mergeCell ref="CO75:CQ75"/>
    <mergeCell ref="CR75:CT75"/>
    <mergeCell ref="BQ76:BS76"/>
    <mergeCell ref="BT76:BV76"/>
    <mergeCell ref="BW76:BY76"/>
    <mergeCell ref="BZ76:CB76"/>
    <mergeCell ref="CC76:CE76"/>
    <mergeCell ref="CF76:CH76"/>
    <mergeCell ref="CI76:CK76"/>
    <mergeCell ref="CL76:CN76"/>
    <mergeCell ref="CO76:CQ76"/>
    <mergeCell ref="CR76:CT76"/>
    <mergeCell ref="BQ77:BS77"/>
    <mergeCell ref="BT77:BV77"/>
    <mergeCell ref="BW77:BY77"/>
    <mergeCell ref="BZ77:CB77"/>
    <mergeCell ref="CC77:CE77"/>
    <mergeCell ref="CF77:CH77"/>
    <mergeCell ref="CI77:CK77"/>
    <mergeCell ref="CL77:CN77"/>
    <mergeCell ref="CO77:CQ77"/>
    <mergeCell ref="CR77:CT77"/>
    <mergeCell ref="BQ78:BS78"/>
    <mergeCell ref="BT78:BV78"/>
    <mergeCell ref="BW78:BY78"/>
    <mergeCell ref="BZ78:CB78"/>
    <mergeCell ref="CC78:CE78"/>
    <mergeCell ref="CF78:CH78"/>
    <mergeCell ref="CI78:CK78"/>
    <mergeCell ref="CL78:CN78"/>
    <mergeCell ref="CO78:CQ78"/>
    <mergeCell ref="CR78:CT78"/>
    <mergeCell ref="BQ79:BS79"/>
    <mergeCell ref="BT79:BV79"/>
    <mergeCell ref="BW79:BY79"/>
    <mergeCell ref="BZ79:CB79"/>
    <mergeCell ref="CC79:CE79"/>
    <mergeCell ref="CF79:CH79"/>
    <mergeCell ref="CI79:CK79"/>
    <mergeCell ref="CL79:CN79"/>
    <mergeCell ref="CO79:CQ79"/>
    <mergeCell ref="CR79:CT79"/>
    <mergeCell ref="BQ80:BS80"/>
    <mergeCell ref="BT80:BV80"/>
    <mergeCell ref="BW80:BY80"/>
    <mergeCell ref="BZ80:CB80"/>
    <mergeCell ref="CC80:CE80"/>
    <mergeCell ref="CF80:CH80"/>
    <mergeCell ref="CI80:CK80"/>
    <mergeCell ref="CL80:CN80"/>
    <mergeCell ref="CO80:CQ80"/>
    <mergeCell ref="CR80:CT80"/>
    <mergeCell ref="BQ81:BS81"/>
    <mergeCell ref="BT81:BV81"/>
    <mergeCell ref="BW81:BY81"/>
    <mergeCell ref="BZ81:CB81"/>
    <mergeCell ref="CC81:CE81"/>
    <mergeCell ref="CF81:CH81"/>
    <mergeCell ref="CI81:CK81"/>
    <mergeCell ref="CL81:CN81"/>
    <mergeCell ref="CO81:CQ81"/>
    <mergeCell ref="CR81:CT81"/>
    <mergeCell ref="BQ82:BS82"/>
    <mergeCell ref="BT82:BV82"/>
    <mergeCell ref="BW82:BY82"/>
    <mergeCell ref="BZ82:CB82"/>
    <mergeCell ref="CC82:CE82"/>
    <mergeCell ref="CF82:CH82"/>
    <mergeCell ref="CI82:CK82"/>
    <mergeCell ref="CL82:CN82"/>
    <mergeCell ref="CO82:CQ82"/>
    <mergeCell ref="CR82:CT82"/>
    <mergeCell ref="BQ83:BS83"/>
    <mergeCell ref="BT83:BV83"/>
    <mergeCell ref="BW83:BY83"/>
    <mergeCell ref="BZ83:CB83"/>
    <mergeCell ref="CC83:CE83"/>
    <mergeCell ref="CF83:CH83"/>
    <mergeCell ref="CI83:CK83"/>
    <mergeCell ref="CL83:CN83"/>
    <mergeCell ref="CO83:CQ83"/>
    <mergeCell ref="CR83:CT83"/>
    <mergeCell ref="BQ84:BS84"/>
    <mergeCell ref="BT84:BV84"/>
    <mergeCell ref="BW84:BY84"/>
    <mergeCell ref="BZ84:CB84"/>
    <mergeCell ref="CC84:CE84"/>
    <mergeCell ref="CF84:CH84"/>
    <mergeCell ref="CI84:CK84"/>
    <mergeCell ref="CL84:CN84"/>
    <mergeCell ref="CO84:CQ84"/>
    <mergeCell ref="CR84:CT84"/>
    <mergeCell ref="BQ85:BS85"/>
    <mergeCell ref="BT85:BV85"/>
    <mergeCell ref="BW85:BY85"/>
    <mergeCell ref="BZ85:CB85"/>
    <mergeCell ref="CC85:CE85"/>
    <mergeCell ref="CF85:CH85"/>
    <mergeCell ref="CI85:CK85"/>
    <mergeCell ref="CL85:CN85"/>
    <mergeCell ref="CO85:CQ85"/>
    <mergeCell ref="CR85:CT85"/>
    <mergeCell ref="BQ86:BS86"/>
    <mergeCell ref="BT86:BV86"/>
    <mergeCell ref="BW86:BY86"/>
    <mergeCell ref="BZ86:CB86"/>
    <mergeCell ref="CC86:CE86"/>
    <mergeCell ref="CF86:CH86"/>
    <mergeCell ref="CI86:CK86"/>
    <mergeCell ref="CL86:CN86"/>
    <mergeCell ref="CO86:CQ86"/>
    <mergeCell ref="CR86:CT86"/>
    <mergeCell ref="BQ87:BS87"/>
    <mergeCell ref="BT87:BV87"/>
    <mergeCell ref="BW87:BY87"/>
    <mergeCell ref="BZ87:CB87"/>
    <mergeCell ref="CC87:CE87"/>
    <mergeCell ref="CF87:CH87"/>
    <mergeCell ref="CI87:CK87"/>
    <mergeCell ref="CL87:CN87"/>
    <mergeCell ref="CO87:CQ87"/>
    <mergeCell ref="CR87:CT87"/>
    <mergeCell ref="BQ88:BS88"/>
    <mergeCell ref="BT88:BV88"/>
    <mergeCell ref="BW88:BY88"/>
    <mergeCell ref="BZ88:CB88"/>
    <mergeCell ref="CC88:CE88"/>
    <mergeCell ref="CF88:CH88"/>
    <mergeCell ref="CI88:CK88"/>
    <mergeCell ref="CL88:CN88"/>
    <mergeCell ref="CO88:CQ88"/>
    <mergeCell ref="CR88:CT88"/>
    <mergeCell ref="BQ89:BS89"/>
    <mergeCell ref="BT89:BV89"/>
    <mergeCell ref="BW89:BY89"/>
    <mergeCell ref="BZ89:CB89"/>
    <mergeCell ref="CC89:CE89"/>
    <mergeCell ref="CF89:CH89"/>
    <mergeCell ref="CI89:CK89"/>
    <mergeCell ref="CL89:CN89"/>
    <mergeCell ref="CO89:CQ89"/>
    <mergeCell ref="CR89:CT89"/>
    <mergeCell ref="CU1:DI1"/>
    <mergeCell ref="CU2:CU3"/>
    <mergeCell ref="CX2:CX3"/>
    <mergeCell ref="DA2:DA3"/>
    <mergeCell ref="DD2:DD3"/>
    <mergeCell ref="DG2:DG3"/>
    <mergeCell ref="CU4:CW4"/>
    <mergeCell ref="CX4:CZ4"/>
    <mergeCell ref="DA4:DC4"/>
    <mergeCell ref="DD4:DF4"/>
    <mergeCell ref="DG4:DI4"/>
    <mergeCell ref="CU5:CW5"/>
    <mergeCell ref="CX5:CZ5"/>
    <mergeCell ref="DA5:DC5"/>
    <mergeCell ref="DD5:DF5"/>
    <mergeCell ref="DG5:DI5"/>
    <mergeCell ref="CU6:CW6"/>
    <mergeCell ref="CX6:CZ6"/>
    <mergeCell ref="DA6:DC6"/>
    <mergeCell ref="DD6:DF6"/>
    <mergeCell ref="DG6:DI6"/>
    <mergeCell ref="CU7:CW7"/>
    <mergeCell ref="CX7:CZ7"/>
    <mergeCell ref="DA7:DC7"/>
    <mergeCell ref="DD7:DF7"/>
    <mergeCell ref="DG7:DI7"/>
    <mergeCell ref="CU8:CW8"/>
    <mergeCell ref="CX8:CZ8"/>
    <mergeCell ref="DA8:DC8"/>
    <mergeCell ref="DD8:DF8"/>
    <mergeCell ref="DG8:DI8"/>
    <mergeCell ref="CU9:CW9"/>
    <mergeCell ref="CX9:CZ9"/>
    <mergeCell ref="DA9:DC9"/>
    <mergeCell ref="DD9:DF9"/>
    <mergeCell ref="DG9:DI9"/>
    <mergeCell ref="CU10:CW10"/>
    <mergeCell ref="CX10:CZ10"/>
    <mergeCell ref="DA10:DC10"/>
    <mergeCell ref="DD10:DF10"/>
    <mergeCell ref="DG10:DI10"/>
    <mergeCell ref="CU11:CW11"/>
    <mergeCell ref="CX11:CZ11"/>
    <mergeCell ref="DA11:DC11"/>
    <mergeCell ref="DD11:DF11"/>
    <mergeCell ref="DG11:DI11"/>
    <mergeCell ref="CU12:CW12"/>
    <mergeCell ref="CX12:CZ12"/>
    <mergeCell ref="DA12:DC12"/>
    <mergeCell ref="DD12:DF12"/>
    <mergeCell ref="DG12:DI12"/>
    <mergeCell ref="CU13:CW13"/>
    <mergeCell ref="CX13:CZ13"/>
    <mergeCell ref="DA13:DC13"/>
    <mergeCell ref="DD13:DF13"/>
    <mergeCell ref="DG13:DI13"/>
    <mergeCell ref="CU14:CW14"/>
    <mergeCell ref="CX14:CZ14"/>
    <mergeCell ref="DA14:DC14"/>
    <mergeCell ref="DD14:DF14"/>
    <mergeCell ref="DG14:DI14"/>
    <mergeCell ref="CU15:CW15"/>
    <mergeCell ref="CX15:CZ15"/>
    <mergeCell ref="DA15:DC15"/>
    <mergeCell ref="DD15:DF15"/>
    <mergeCell ref="DG15:DI15"/>
    <mergeCell ref="CU16:CW16"/>
    <mergeCell ref="CX16:CZ16"/>
    <mergeCell ref="DA16:DC16"/>
    <mergeCell ref="DD16:DF16"/>
    <mergeCell ref="DG16:DI16"/>
    <mergeCell ref="CU17:CW17"/>
    <mergeCell ref="CX17:CZ17"/>
    <mergeCell ref="DA17:DC17"/>
    <mergeCell ref="DD17:DF17"/>
    <mergeCell ref="DG17:DI17"/>
    <mergeCell ref="CU18:CW18"/>
    <mergeCell ref="CX18:CZ18"/>
    <mergeCell ref="DA18:DC18"/>
    <mergeCell ref="DD18:DF18"/>
    <mergeCell ref="DG18:DI18"/>
    <mergeCell ref="CU19:CW19"/>
    <mergeCell ref="CX19:CZ19"/>
    <mergeCell ref="DA19:DC19"/>
    <mergeCell ref="DD19:DF19"/>
    <mergeCell ref="DG19:DI19"/>
    <mergeCell ref="CU20:CW20"/>
    <mergeCell ref="CX20:CZ20"/>
    <mergeCell ref="DA20:DC20"/>
    <mergeCell ref="DD20:DF20"/>
    <mergeCell ref="DG20:DI20"/>
    <mergeCell ref="CU21:CW21"/>
    <mergeCell ref="CX21:CZ21"/>
    <mergeCell ref="DA21:DC21"/>
    <mergeCell ref="DD21:DF21"/>
    <mergeCell ref="DG21:DI21"/>
    <mergeCell ref="CU22:CW22"/>
    <mergeCell ref="CX22:CZ22"/>
    <mergeCell ref="DA22:DC22"/>
    <mergeCell ref="DD22:DF22"/>
    <mergeCell ref="DG22:DI22"/>
    <mergeCell ref="CU23:CW23"/>
    <mergeCell ref="CX23:CZ23"/>
    <mergeCell ref="DA23:DC23"/>
    <mergeCell ref="DD23:DF23"/>
    <mergeCell ref="DG23:DI23"/>
    <mergeCell ref="CU24:CW24"/>
    <mergeCell ref="CX24:CZ24"/>
    <mergeCell ref="DA24:DC24"/>
    <mergeCell ref="DD24:DF24"/>
    <mergeCell ref="DG24:DI24"/>
    <mergeCell ref="CU35:CW35"/>
    <mergeCell ref="CX35:CZ35"/>
    <mergeCell ref="DA35:DC35"/>
    <mergeCell ref="DD35:DF35"/>
    <mergeCell ref="DG35:DI35"/>
    <mergeCell ref="CU25:CW25"/>
    <mergeCell ref="CX25:CZ25"/>
    <mergeCell ref="DA25:DC25"/>
    <mergeCell ref="DD25:DF25"/>
    <mergeCell ref="DG25:DI25"/>
    <mergeCell ref="CU26:CW26"/>
    <mergeCell ref="CX26:CZ26"/>
    <mergeCell ref="DA26:DC26"/>
    <mergeCell ref="DD26:DF26"/>
    <mergeCell ref="DG26:DI26"/>
    <mergeCell ref="CU27:CW27"/>
    <mergeCell ref="CX27:CZ27"/>
    <mergeCell ref="DA27:DC27"/>
    <mergeCell ref="DD27:DF27"/>
    <mergeCell ref="DG27:DI27"/>
    <mergeCell ref="CU28:CW28"/>
    <mergeCell ref="CX28:CZ28"/>
    <mergeCell ref="DA28:DC28"/>
    <mergeCell ref="DD28:DF28"/>
    <mergeCell ref="DG28:DI28"/>
    <mergeCell ref="CU29:CW29"/>
    <mergeCell ref="CX29:CZ29"/>
    <mergeCell ref="DA29:DC29"/>
    <mergeCell ref="DD29:DF29"/>
    <mergeCell ref="DG29:DI29"/>
    <mergeCell ref="CU30:CW30"/>
    <mergeCell ref="CX30:CZ30"/>
    <mergeCell ref="DA30:DC30"/>
    <mergeCell ref="DD30:DF30"/>
    <mergeCell ref="DG30:DI30"/>
    <mergeCell ref="CU31:CW31"/>
    <mergeCell ref="CX31:CZ31"/>
    <mergeCell ref="DA31:DC31"/>
    <mergeCell ref="DD31:DF31"/>
    <mergeCell ref="DG31:DI31"/>
    <mergeCell ref="CU32:CW32"/>
    <mergeCell ref="CX32:CZ32"/>
    <mergeCell ref="DA32:DC32"/>
    <mergeCell ref="DD32:DF32"/>
    <mergeCell ref="DG32:DI32"/>
    <mergeCell ref="CU33:CW33"/>
    <mergeCell ref="CX33:CZ33"/>
    <mergeCell ref="DA33:DC33"/>
    <mergeCell ref="DD33:DF33"/>
    <mergeCell ref="DG33:DI33"/>
    <mergeCell ref="CU34:CW34"/>
    <mergeCell ref="CX34:CZ34"/>
    <mergeCell ref="DA34:DC34"/>
    <mergeCell ref="DD34:DF34"/>
    <mergeCell ref="DG34:DI34"/>
    <mergeCell ref="CU36:CW36"/>
    <mergeCell ref="CX36:CZ36"/>
    <mergeCell ref="DA36:DC36"/>
    <mergeCell ref="DD36:DF36"/>
    <mergeCell ref="DG36:DI36"/>
    <mergeCell ref="CU37:CW37"/>
    <mergeCell ref="CX37:CZ37"/>
    <mergeCell ref="DA37:DC37"/>
    <mergeCell ref="DD37:DF37"/>
    <mergeCell ref="DG37:DI37"/>
    <mergeCell ref="CU38:CW38"/>
    <mergeCell ref="CX38:CZ38"/>
    <mergeCell ref="DA38:DC38"/>
    <mergeCell ref="DD38:DF38"/>
    <mergeCell ref="DG38:DI38"/>
    <mergeCell ref="CU39:CW39"/>
    <mergeCell ref="CX39:CZ39"/>
    <mergeCell ref="DA39:DC39"/>
    <mergeCell ref="DD39:DF39"/>
    <mergeCell ref="DG39:DI39"/>
    <mergeCell ref="CU40:CW40"/>
    <mergeCell ref="CX40:CZ40"/>
    <mergeCell ref="DA40:DC40"/>
    <mergeCell ref="DD40:DF40"/>
    <mergeCell ref="DG40:DI40"/>
    <mergeCell ref="CU41:CW41"/>
    <mergeCell ref="CX41:CZ41"/>
    <mergeCell ref="DA41:DC41"/>
    <mergeCell ref="DD41:DF41"/>
    <mergeCell ref="DG41:DI41"/>
    <mergeCell ref="CU42:CW42"/>
    <mergeCell ref="CX42:CZ42"/>
    <mergeCell ref="DA42:DC42"/>
    <mergeCell ref="DD42:DF42"/>
    <mergeCell ref="DG42:DI42"/>
    <mergeCell ref="CU43:CW43"/>
    <mergeCell ref="CX43:CZ43"/>
    <mergeCell ref="DA43:DC43"/>
    <mergeCell ref="DD43:DF43"/>
    <mergeCell ref="DG43:DI43"/>
    <mergeCell ref="CU44:CW44"/>
    <mergeCell ref="CX44:CZ44"/>
    <mergeCell ref="DA44:DC44"/>
    <mergeCell ref="DD44:DF44"/>
    <mergeCell ref="DG44:DI44"/>
    <mergeCell ref="CU45:CW45"/>
    <mergeCell ref="CX45:CZ45"/>
    <mergeCell ref="DA45:DC45"/>
    <mergeCell ref="DD45:DF45"/>
    <mergeCell ref="DG45:DI45"/>
    <mergeCell ref="CU51:CW51"/>
    <mergeCell ref="CX51:CZ51"/>
    <mergeCell ref="DA51:DC51"/>
    <mergeCell ref="DD51:DF51"/>
    <mergeCell ref="DG51:DI51"/>
    <mergeCell ref="CU52:CW52"/>
    <mergeCell ref="CX52:CZ52"/>
    <mergeCell ref="DA52:DC52"/>
    <mergeCell ref="DD52:DF52"/>
    <mergeCell ref="DG52:DI52"/>
    <mergeCell ref="CU53:CW53"/>
    <mergeCell ref="CX53:CZ53"/>
    <mergeCell ref="DA53:DC53"/>
    <mergeCell ref="DD53:DF53"/>
    <mergeCell ref="DG53:DI53"/>
    <mergeCell ref="CU54:CW54"/>
    <mergeCell ref="CX54:CZ54"/>
    <mergeCell ref="DA54:DC54"/>
    <mergeCell ref="DD54:DF54"/>
    <mergeCell ref="DG54:DI54"/>
    <mergeCell ref="CU55:CW55"/>
    <mergeCell ref="CX55:CZ55"/>
    <mergeCell ref="DA55:DC55"/>
    <mergeCell ref="DD55:DF55"/>
    <mergeCell ref="DG55:DI55"/>
    <mergeCell ref="CU56:CW56"/>
    <mergeCell ref="CX56:CZ56"/>
    <mergeCell ref="DA56:DC56"/>
    <mergeCell ref="DD56:DF56"/>
    <mergeCell ref="DG56:DI56"/>
    <mergeCell ref="CU57:CW57"/>
    <mergeCell ref="CX57:CZ57"/>
    <mergeCell ref="DA57:DC57"/>
    <mergeCell ref="DD57:DF57"/>
    <mergeCell ref="DG57:DI57"/>
    <mergeCell ref="CU58:CW58"/>
    <mergeCell ref="CX58:CZ58"/>
    <mergeCell ref="DA58:DC58"/>
    <mergeCell ref="DD58:DF58"/>
    <mergeCell ref="DG58:DI58"/>
    <mergeCell ref="CU59:CW59"/>
    <mergeCell ref="CX59:CZ59"/>
    <mergeCell ref="DA59:DC59"/>
    <mergeCell ref="DD59:DF59"/>
    <mergeCell ref="DG59:DI59"/>
    <mergeCell ref="CU60:CW60"/>
    <mergeCell ref="CX60:CZ60"/>
    <mergeCell ref="DA60:DC60"/>
    <mergeCell ref="DD60:DF60"/>
    <mergeCell ref="DG60:DI60"/>
    <mergeCell ref="CU61:CW61"/>
    <mergeCell ref="CX61:CZ61"/>
    <mergeCell ref="DA61:DC61"/>
    <mergeCell ref="DD61:DF61"/>
    <mergeCell ref="DG61:DI61"/>
    <mergeCell ref="CU62:CW62"/>
    <mergeCell ref="CX62:CZ62"/>
    <mergeCell ref="DA62:DC62"/>
    <mergeCell ref="DD62:DF62"/>
    <mergeCell ref="DG62:DI62"/>
    <mergeCell ref="CU63:CW63"/>
    <mergeCell ref="CX63:CZ63"/>
    <mergeCell ref="DA63:DC63"/>
    <mergeCell ref="DD63:DF63"/>
    <mergeCell ref="DG63:DI63"/>
    <mergeCell ref="CU64:CW64"/>
    <mergeCell ref="CX64:CZ64"/>
    <mergeCell ref="DA64:DC64"/>
    <mergeCell ref="DD64:DF64"/>
    <mergeCell ref="DG64:DI64"/>
    <mergeCell ref="CU65:CW65"/>
    <mergeCell ref="CX65:CZ65"/>
    <mergeCell ref="DA65:DC65"/>
    <mergeCell ref="DD65:DF65"/>
    <mergeCell ref="DG65:DI65"/>
    <mergeCell ref="CX66:CZ66"/>
    <mergeCell ref="DA66:DC66"/>
    <mergeCell ref="DD66:DF66"/>
    <mergeCell ref="DG66:DI66"/>
    <mergeCell ref="CU67:CW67"/>
    <mergeCell ref="CX67:CZ67"/>
    <mergeCell ref="DA67:DC67"/>
    <mergeCell ref="DD67:DF67"/>
    <mergeCell ref="DG67:DI67"/>
    <mergeCell ref="CU71:DI71"/>
    <mergeCell ref="AS71:AU71"/>
    <mergeCell ref="AM71:AO71"/>
    <mergeCell ref="CC71:CE71"/>
    <mergeCell ref="BW71:BY71"/>
    <mergeCell ref="BQ71:BS71"/>
    <mergeCell ref="AV71:AX71"/>
    <mergeCell ref="AP71:AR71"/>
    <mergeCell ref="BZ71:CB71"/>
    <mergeCell ref="BT71:BV71"/>
    <mergeCell ref="AY71:BA71"/>
    <mergeCell ref="CU68:CW68"/>
    <mergeCell ref="CX68:CZ68"/>
    <mergeCell ref="DA68:DC68"/>
    <mergeCell ref="DD68:DF68"/>
    <mergeCell ref="DG68:DI68"/>
    <mergeCell ref="CU69:CW69"/>
    <mergeCell ref="CX69:CZ69"/>
    <mergeCell ref="DA69:DC69"/>
    <mergeCell ref="DD69:DF69"/>
    <mergeCell ref="DG69:DI69"/>
    <mergeCell ref="CU70:CW70"/>
    <mergeCell ref="CF71:CT71"/>
    <mergeCell ref="CX70:CZ70"/>
    <mergeCell ref="DA70:DC70"/>
    <mergeCell ref="DD70:DF70"/>
    <mergeCell ref="DG70:DI70"/>
    <mergeCell ref="CR69:CT69"/>
    <mergeCell ref="CR70:CT70"/>
    <mergeCell ref="BZ70:CB70"/>
    <mergeCell ref="AM68:AO68"/>
    <mergeCell ref="AP68:AR68"/>
    <mergeCell ref="AS68:AU68"/>
    <mergeCell ref="D25:H25"/>
    <mergeCell ref="D26:H26"/>
    <mergeCell ref="D27:H27"/>
    <mergeCell ref="D28:H28"/>
    <mergeCell ref="D29:H29"/>
    <mergeCell ref="D30:H30"/>
    <mergeCell ref="D31:H31"/>
    <mergeCell ref="D32:H32"/>
    <mergeCell ref="D33:H33"/>
    <mergeCell ref="D34:H34"/>
    <mergeCell ref="BB25:BP34"/>
    <mergeCell ref="AM25:BA34"/>
    <mergeCell ref="BQ25:CE34"/>
    <mergeCell ref="L35:N35"/>
    <mergeCell ref="O32:Q32"/>
    <mergeCell ref="AY35:BA35"/>
    <mergeCell ref="AV35:AX35"/>
    <mergeCell ref="AS35:AU35"/>
    <mergeCell ref="AP35:AR35"/>
    <mergeCell ref="AM35:AO35"/>
    <mergeCell ref="BB35:BD35"/>
    <mergeCell ref="CU66:CW66"/>
    <mergeCell ref="O46:Q46"/>
    <mergeCell ref="R46:T46"/>
    <mergeCell ref="U46:W46"/>
    <mergeCell ref="I47:K47"/>
    <mergeCell ref="I48:K48"/>
    <mergeCell ref="I49:K49"/>
    <mergeCell ref="I50:K50"/>
    <mergeCell ref="L47:N47"/>
    <mergeCell ref="O47:Q47"/>
    <mergeCell ref="R47:T47"/>
    <mergeCell ref="U47:W47"/>
    <mergeCell ref="L48:N48"/>
    <mergeCell ref="O48:Q48"/>
    <mergeCell ref="R48:T48"/>
    <mergeCell ref="U48:W48"/>
    <mergeCell ref="L49:N49"/>
    <mergeCell ref="O49:Q49"/>
    <mergeCell ref="R49:T49"/>
    <mergeCell ref="U49:W49"/>
    <mergeCell ref="L50:N50"/>
    <mergeCell ref="O50:Q50"/>
    <mergeCell ref="R50:T50"/>
    <mergeCell ref="U50:W50"/>
    <mergeCell ref="BB46:BD46"/>
    <mergeCell ref="BE46:BG46"/>
    <mergeCell ref="BH46:BJ46"/>
    <mergeCell ref="BK46:BM46"/>
    <mergeCell ref="BN46:BP46"/>
    <mergeCell ref="BB47:BD47"/>
    <mergeCell ref="BE47:BG47"/>
    <mergeCell ref="BH47:BJ47"/>
    <mergeCell ref="BK47:BM47"/>
    <mergeCell ref="BN47:BP47"/>
    <mergeCell ref="BB48:BD48"/>
    <mergeCell ref="BE48:BG48"/>
    <mergeCell ref="BH48:BJ48"/>
    <mergeCell ref="BK48:BM48"/>
    <mergeCell ref="BN48:BP48"/>
    <mergeCell ref="BB49:BD49"/>
    <mergeCell ref="BE49:BG49"/>
    <mergeCell ref="BH49:BJ49"/>
    <mergeCell ref="BK49:BM49"/>
    <mergeCell ref="BN49:BP49"/>
    <mergeCell ref="BQ49:BS49"/>
    <mergeCell ref="BT49:BV49"/>
    <mergeCell ref="BW49:BY49"/>
    <mergeCell ref="BZ49:CB49"/>
    <mergeCell ref="CC49:CE49"/>
    <mergeCell ref="BQ50:BS50"/>
    <mergeCell ref="BT50:BV50"/>
    <mergeCell ref="BW50:BY50"/>
    <mergeCell ref="BZ50:CB50"/>
    <mergeCell ref="CC50:CE50"/>
    <mergeCell ref="AM46:AO50"/>
    <mergeCell ref="AP46:AR50"/>
    <mergeCell ref="AS46:AU50"/>
    <mergeCell ref="AV46:AX50"/>
    <mergeCell ref="AY46:BA50"/>
    <mergeCell ref="BB50:BD50"/>
    <mergeCell ref="BE50:BG50"/>
    <mergeCell ref="BH50:BJ50"/>
    <mergeCell ref="BK50:BM50"/>
    <mergeCell ref="BN50:BP50"/>
    <mergeCell ref="BQ46:BS46"/>
    <mergeCell ref="BT46:BV46"/>
    <mergeCell ref="BW46:BY46"/>
    <mergeCell ref="BZ46:CB46"/>
    <mergeCell ref="CC46:CE46"/>
    <mergeCell ref="BQ47:BS47"/>
    <mergeCell ref="BT47:BV47"/>
    <mergeCell ref="BW47:BY47"/>
    <mergeCell ref="BZ47:CB47"/>
    <mergeCell ref="CC47:CE47"/>
    <mergeCell ref="BQ48:BS48"/>
    <mergeCell ref="BT48:BV48"/>
    <mergeCell ref="X1:AL1"/>
    <mergeCell ref="X2:X3"/>
    <mergeCell ref="AA2:AA3"/>
    <mergeCell ref="AD2:AD3"/>
    <mergeCell ref="AG2:AG3"/>
    <mergeCell ref="AJ2:AJ3"/>
    <mergeCell ref="X4:Z4"/>
    <mergeCell ref="AA4:AC4"/>
    <mergeCell ref="AD4:AF4"/>
    <mergeCell ref="AG4:AI4"/>
    <mergeCell ref="AJ4:AL4"/>
    <mergeCell ref="X5:Z5"/>
    <mergeCell ref="AA5:AC5"/>
    <mergeCell ref="AD5:AF5"/>
    <mergeCell ref="AG5:AI5"/>
    <mergeCell ref="AJ5:AL5"/>
    <mergeCell ref="X6:Z6"/>
    <mergeCell ref="AA6:AC6"/>
    <mergeCell ref="AD6:AF6"/>
    <mergeCell ref="AG6:AI6"/>
    <mergeCell ref="AJ6:AL6"/>
    <mergeCell ref="X7:Z7"/>
    <mergeCell ref="AA7:AC7"/>
    <mergeCell ref="AD7:AF7"/>
    <mergeCell ref="AG7:AI7"/>
    <mergeCell ref="AJ7:AL7"/>
    <mergeCell ref="X8:Z8"/>
    <mergeCell ref="AA8:AC8"/>
    <mergeCell ref="AD8:AF8"/>
    <mergeCell ref="AG8:AI8"/>
    <mergeCell ref="AJ8:AL8"/>
    <mergeCell ref="X9:Z9"/>
    <mergeCell ref="AA9:AC9"/>
    <mergeCell ref="AD9:AF9"/>
    <mergeCell ref="AG9:AI9"/>
    <mergeCell ref="AJ9:AL9"/>
    <mergeCell ref="X10:Z10"/>
    <mergeCell ref="AA10:AC10"/>
    <mergeCell ref="AD10:AF10"/>
    <mergeCell ref="AG10:AI10"/>
    <mergeCell ref="AJ10:AL10"/>
    <mergeCell ref="X11:Z11"/>
    <mergeCell ref="AA11:AC11"/>
    <mergeCell ref="AD11:AF11"/>
    <mergeCell ref="AG11:AI11"/>
    <mergeCell ref="AJ11:AL11"/>
    <mergeCell ref="X12:Z12"/>
    <mergeCell ref="AA12:AC12"/>
    <mergeCell ref="AD12:AF12"/>
    <mergeCell ref="AG12:AI12"/>
    <mergeCell ref="AJ12:AL12"/>
    <mergeCell ref="X13:Z13"/>
    <mergeCell ref="AA13:AC13"/>
    <mergeCell ref="AD13:AF13"/>
    <mergeCell ref="AG13:AI13"/>
    <mergeCell ref="AJ13:AL13"/>
    <mergeCell ref="X14:Z14"/>
    <mergeCell ref="AA14:AC14"/>
    <mergeCell ref="AD14:AF14"/>
    <mergeCell ref="AG14:AI14"/>
    <mergeCell ref="AJ14:AL14"/>
    <mergeCell ref="AA22:AC22"/>
    <mergeCell ref="AD22:AF22"/>
    <mergeCell ref="AG22:AI22"/>
    <mergeCell ref="AJ22:AL22"/>
    <mergeCell ref="X15:Z15"/>
    <mergeCell ref="AA15:AC15"/>
    <mergeCell ref="AD15:AF15"/>
    <mergeCell ref="AG15:AI15"/>
    <mergeCell ref="AJ15:AL15"/>
    <mergeCell ref="X16:Z16"/>
    <mergeCell ref="AA16:AC16"/>
    <mergeCell ref="AD16:AF16"/>
    <mergeCell ref="AG16:AI16"/>
    <mergeCell ref="AJ16:AL16"/>
    <mergeCell ref="X17:Z17"/>
    <mergeCell ref="AA17:AC17"/>
    <mergeCell ref="AD17:AF17"/>
    <mergeCell ref="AG17:AI17"/>
    <mergeCell ref="AJ17:AL17"/>
    <mergeCell ref="X18:Z18"/>
    <mergeCell ref="AA18:AC18"/>
    <mergeCell ref="AD18:AF18"/>
    <mergeCell ref="AG18:AI18"/>
    <mergeCell ref="AJ18:AL18"/>
    <mergeCell ref="X23:Z23"/>
    <mergeCell ref="AA23:AC23"/>
    <mergeCell ref="AD23:AF23"/>
    <mergeCell ref="AG23:AI23"/>
    <mergeCell ref="AJ23:AL23"/>
    <mergeCell ref="X24:Z24"/>
    <mergeCell ref="AA24:AC24"/>
    <mergeCell ref="AD24:AF24"/>
    <mergeCell ref="AG24:AI24"/>
    <mergeCell ref="AJ24:AL24"/>
    <mergeCell ref="X25:AL34"/>
    <mergeCell ref="X35:Z35"/>
    <mergeCell ref="AA35:AC35"/>
    <mergeCell ref="AD35:AF35"/>
    <mergeCell ref="AG35:AI35"/>
    <mergeCell ref="AJ35:AL35"/>
    <mergeCell ref="X19:Z19"/>
    <mergeCell ref="AA19:AC19"/>
    <mergeCell ref="AD19:AF19"/>
    <mergeCell ref="AG19:AI19"/>
    <mergeCell ref="AJ19:AL19"/>
    <mergeCell ref="X20:Z20"/>
    <mergeCell ref="AA20:AC20"/>
    <mergeCell ref="AD20:AF20"/>
    <mergeCell ref="AG20:AI20"/>
    <mergeCell ref="AJ20:AL20"/>
    <mergeCell ref="X21:Z21"/>
    <mergeCell ref="AA21:AC21"/>
    <mergeCell ref="AD21:AF21"/>
    <mergeCell ref="AG21:AI21"/>
    <mergeCell ref="AJ21:AL21"/>
    <mergeCell ref="X22:Z22"/>
    <mergeCell ref="X66:Z66"/>
    <mergeCell ref="AA66:AC66"/>
    <mergeCell ref="AD66:AF66"/>
    <mergeCell ref="AG66:AI66"/>
    <mergeCell ref="AJ66:AL66"/>
    <mergeCell ref="X67:Z67"/>
    <mergeCell ref="AA67:AC67"/>
    <mergeCell ref="AD67:AF67"/>
    <mergeCell ref="AG67:AI67"/>
    <mergeCell ref="AJ67:AL67"/>
    <mergeCell ref="X68:Z68"/>
    <mergeCell ref="AA68:AC68"/>
    <mergeCell ref="AD68:AF68"/>
    <mergeCell ref="AG68:AI68"/>
    <mergeCell ref="AJ68:AL68"/>
    <mergeCell ref="AD61:AF65"/>
    <mergeCell ref="AG61:AI65"/>
    <mergeCell ref="AJ61:AL65"/>
    <mergeCell ref="X69:Z69"/>
    <mergeCell ref="AA69:AC69"/>
    <mergeCell ref="AD69:AF69"/>
    <mergeCell ref="AG69:AI69"/>
    <mergeCell ref="AJ69:AL69"/>
    <mergeCell ref="X70:Z70"/>
    <mergeCell ref="AA70:AC70"/>
    <mergeCell ref="AD70:AF70"/>
    <mergeCell ref="AG70:AI70"/>
    <mergeCell ref="AJ70:AL70"/>
    <mergeCell ref="X71:AL71"/>
    <mergeCell ref="X74:Z74"/>
    <mergeCell ref="AA74:AC74"/>
    <mergeCell ref="AD74:AF74"/>
    <mergeCell ref="AG74:AI74"/>
    <mergeCell ref="AJ74:AL74"/>
    <mergeCell ref="X75:Z75"/>
    <mergeCell ref="AA75:AC75"/>
    <mergeCell ref="AD75:AF75"/>
    <mergeCell ref="AG75:AI75"/>
    <mergeCell ref="AJ75:AL75"/>
    <mergeCell ref="X76:Z76"/>
    <mergeCell ref="AA76:AC76"/>
    <mergeCell ref="AD76:AF76"/>
    <mergeCell ref="AG76:AI76"/>
    <mergeCell ref="AJ76:AL76"/>
    <mergeCell ref="X77:Z77"/>
    <mergeCell ref="AA77:AC77"/>
    <mergeCell ref="AD77:AF77"/>
    <mergeCell ref="AG77:AI77"/>
    <mergeCell ref="AJ77:AL77"/>
    <mergeCell ref="X78:Z78"/>
    <mergeCell ref="AA78:AC78"/>
    <mergeCell ref="AD78:AF78"/>
    <mergeCell ref="AG78:AI78"/>
    <mergeCell ref="AJ78:AL78"/>
    <mergeCell ref="X79:Z79"/>
    <mergeCell ref="AA79:AC79"/>
    <mergeCell ref="AD79:AF79"/>
    <mergeCell ref="AG79:AI79"/>
    <mergeCell ref="AJ79:AL79"/>
    <mergeCell ref="X80:Z80"/>
    <mergeCell ref="AA80:AC80"/>
    <mergeCell ref="AD80:AF80"/>
    <mergeCell ref="AG80:AI80"/>
    <mergeCell ref="AJ80:AL80"/>
    <mergeCell ref="X81:Z81"/>
    <mergeCell ref="AA81:AC81"/>
    <mergeCell ref="AD81:AF81"/>
    <mergeCell ref="AG81:AI81"/>
    <mergeCell ref="AJ81:AL81"/>
    <mergeCell ref="X82:Z82"/>
    <mergeCell ref="AA82:AC82"/>
    <mergeCell ref="AD82:AF82"/>
    <mergeCell ref="AG82:AI82"/>
    <mergeCell ref="AJ82:AL82"/>
    <mergeCell ref="X83:Z83"/>
    <mergeCell ref="AA83:AC83"/>
    <mergeCell ref="AD83:AF83"/>
    <mergeCell ref="AG83:AI83"/>
    <mergeCell ref="AJ83:AL83"/>
    <mergeCell ref="X84:Z84"/>
    <mergeCell ref="AA84:AC84"/>
    <mergeCell ref="AD84:AF84"/>
    <mergeCell ref="AG84:AI84"/>
    <mergeCell ref="AJ84:AL84"/>
    <mergeCell ref="X85:Z85"/>
    <mergeCell ref="AA85:AC85"/>
    <mergeCell ref="AD85:AF85"/>
    <mergeCell ref="AG85:AI85"/>
    <mergeCell ref="AJ85:AL85"/>
    <mergeCell ref="X86:Z86"/>
    <mergeCell ref="AA86:AC86"/>
    <mergeCell ref="AD86:AF86"/>
    <mergeCell ref="AG86:AI86"/>
    <mergeCell ref="AJ86:AL86"/>
    <mergeCell ref="X87:Z87"/>
    <mergeCell ref="AA87:AC87"/>
    <mergeCell ref="AD87:AF87"/>
    <mergeCell ref="AG87:AI87"/>
    <mergeCell ref="AJ87:AL87"/>
    <mergeCell ref="X88:Z88"/>
    <mergeCell ref="AA88:AC88"/>
    <mergeCell ref="AD88:AF88"/>
    <mergeCell ref="AG88:AI88"/>
    <mergeCell ref="AJ88:AL88"/>
    <mergeCell ref="X89:Z89"/>
    <mergeCell ref="AA89:AC89"/>
    <mergeCell ref="AD89:AF89"/>
    <mergeCell ref="AG89:AI89"/>
    <mergeCell ref="AJ89:AL89"/>
    <mergeCell ref="X90:Z90"/>
    <mergeCell ref="AA90:AC90"/>
    <mergeCell ref="AD90:AF90"/>
    <mergeCell ref="AG90:AI90"/>
    <mergeCell ref="AJ90:AL90"/>
    <mergeCell ref="X91:Z91"/>
    <mergeCell ref="AA91:AC91"/>
    <mergeCell ref="AD91:AF91"/>
    <mergeCell ref="AG91:AI91"/>
    <mergeCell ref="AJ91:AL91"/>
    <mergeCell ref="X92:Z92"/>
    <mergeCell ref="AA92:AC92"/>
    <mergeCell ref="AD92:AF92"/>
    <mergeCell ref="AG92:AI92"/>
    <mergeCell ref="AJ92:AL92"/>
    <mergeCell ref="X93:Z93"/>
    <mergeCell ref="AA93:AC93"/>
    <mergeCell ref="AD93:AF93"/>
    <mergeCell ref="AG93:AI93"/>
    <mergeCell ref="AJ93:AL93"/>
    <mergeCell ref="X94:Z94"/>
    <mergeCell ref="AA94:AC94"/>
    <mergeCell ref="AD94:AF94"/>
    <mergeCell ref="AG94:AI94"/>
    <mergeCell ref="AJ94:AL94"/>
    <mergeCell ref="X95:Z95"/>
    <mergeCell ref="AA95:AC95"/>
    <mergeCell ref="AD95:AF95"/>
    <mergeCell ref="AG95:AI95"/>
    <mergeCell ref="AJ95:AL95"/>
    <mergeCell ref="X96:Z96"/>
    <mergeCell ref="AA96:AC96"/>
    <mergeCell ref="AD96:AF96"/>
    <mergeCell ref="AG96:AI96"/>
    <mergeCell ref="AJ96:AL96"/>
    <mergeCell ref="X97:Z97"/>
    <mergeCell ref="AA97:AC97"/>
    <mergeCell ref="AD97:AF97"/>
    <mergeCell ref="AG97:AI97"/>
    <mergeCell ref="AJ97:AL97"/>
    <mergeCell ref="X98:Z98"/>
    <mergeCell ref="AA98:AC98"/>
    <mergeCell ref="AD98:AF98"/>
    <mergeCell ref="AG98:AI98"/>
    <mergeCell ref="AJ98:AL98"/>
    <mergeCell ref="X99:Z99"/>
    <mergeCell ref="AA99:AC99"/>
    <mergeCell ref="AD99:AF99"/>
    <mergeCell ref="AG99:AI99"/>
    <mergeCell ref="AJ99:AL99"/>
    <mergeCell ref="X100:Z100"/>
    <mergeCell ref="AA100:AC100"/>
    <mergeCell ref="AD100:AF100"/>
    <mergeCell ref="AG100:AI100"/>
    <mergeCell ref="AJ100:AL100"/>
    <mergeCell ref="X101:Z101"/>
    <mergeCell ref="AA101:AC101"/>
    <mergeCell ref="AD101:AF101"/>
    <mergeCell ref="AG101:AI101"/>
    <mergeCell ref="AJ101:AL101"/>
    <mergeCell ref="X102:Z102"/>
    <mergeCell ref="AA102:AC102"/>
    <mergeCell ref="AD102:AF102"/>
    <mergeCell ref="AG102:AI102"/>
    <mergeCell ref="AJ102:AL102"/>
    <mergeCell ref="X103:Z103"/>
    <mergeCell ref="AA103:AC103"/>
    <mergeCell ref="AD103:AF103"/>
    <mergeCell ref="AG103:AI103"/>
    <mergeCell ref="AJ103:AL103"/>
    <mergeCell ref="X104:Z104"/>
    <mergeCell ref="AA104:AC104"/>
    <mergeCell ref="AD104:AF104"/>
    <mergeCell ref="AG104:AI104"/>
    <mergeCell ref="AJ104:AL104"/>
    <mergeCell ref="X36:Z40"/>
    <mergeCell ref="AA36:AC40"/>
    <mergeCell ref="AD36:AF40"/>
    <mergeCell ref="AG36:AI40"/>
    <mergeCell ref="AJ36:AL40"/>
    <mergeCell ref="X41:Z45"/>
    <mergeCell ref="AA41:AC45"/>
    <mergeCell ref="AD41:AF45"/>
    <mergeCell ref="AG41:AI45"/>
    <mergeCell ref="AJ41:AL45"/>
    <mergeCell ref="X46:Z50"/>
    <mergeCell ref="AA46:AC50"/>
    <mergeCell ref="AD46:AF50"/>
    <mergeCell ref="AG46:AI50"/>
    <mergeCell ref="AJ46:AL50"/>
    <mergeCell ref="X51:Z55"/>
    <mergeCell ref="AA51:AC55"/>
    <mergeCell ref="AD51:AF55"/>
    <mergeCell ref="AG51:AI55"/>
    <mergeCell ref="AJ51:AL55"/>
    <mergeCell ref="X56:Z60"/>
    <mergeCell ref="AA56:AC60"/>
    <mergeCell ref="AD56:AF60"/>
    <mergeCell ref="AG56:AI60"/>
    <mergeCell ref="AJ56:AL60"/>
    <mergeCell ref="X61:Z65"/>
    <mergeCell ref="AA61:AC65"/>
  </mergeCells>
  <conditionalFormatting sqref="BB4:BM9">
    <cfRule type="colorScale" priority="57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BN4:BP9">
    <cfRule type="colorScale" priority="46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AM4:AX9">
    <cfRule type="colorScale" priority="36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AY4:BA9">
    <cfRule type="colorScale" priority="34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BQ4:CB9">
    <cfRule type="colorScale" priority="24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CC4:CE9">
    <cfRule type="colorScale" priority="22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BB10:BM24">
    <cfRule type="colorScale" priority="10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BN10:BP24">
    <cfRule type="colorScale" priority="106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M10:AX24">
    <cfRule type="colorScale" priority="10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Y10:BA24">
    <cfRule type="colorScale" priority="10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BQ10:CB24">
    <cfRule type="colorScale" priority="10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C10:CE24">
    <cfRule type="colorScale" priority="11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M35:BA36 AM41:BA41 AM46:BA46 AM51:BA51 AM56:BA56 AM61:BA6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35:CE6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71:CE71 AM71:BA71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66:CE70">
    <cfRule type="colorScale" priority="11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X4:AI9">
    <cfRule type="colorScale" priority="2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AJ4:AL9">
    <cfRule type="colorScale" priority="1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X10:AI24">
    <cfRule type="colorScale" priority="3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J10:AL24">
    <cfRule type="colorScale" priority="4">
      <colorScale>
        <cfvo type="min"/>
        <cfvo type="num" val="1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paperSize="8" scale="5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="120" zoomScaleNormal="120" workbookViewId="0">
      <selection activeCell="F24" sqref="F24"/>
    </sheetView>
  </sheetViews>
  <sheetFormatPr defaultRowHeight="15" x14ac:dyDescent="0.25"/>
  <cols>
    <col min="1" max="2" width="32" bestFit="1" customWidth="1"/>
    <col min="3" max="3" width="25.140625" bestFit="1" customWidth="1"/>
    <col min="4" max="4" width="27.7109375" bestFit="1" customWidth="1"/>
    <col min="5" max="5" width="23.5703125" style="178" bestFit="1" customWidth="1"/>
    <col min="6" max="6" width="25" bestFit="1" customWidth="1"/>
    <col min="7" max="7" width="7.28515625" bestFit="1" customWidth="1"/>
    <col min="8" max="8" width="9.7109375" bestFit="1" customWidth="1"/>
    <col min="9" max="9" width="12.28515625" bestFit="1" customWidth="1"/>
    <col min="10" max="10" width="13.140625" bestFit="1" customWidth="1"/>
  </cols>
  <sheetData>
    <row r="1" spans="1:10" ht="15.75" thickBot="1" x14ac:dyDescent="0.3">
      <c r="A1" s="90" t="s">
        <v>290</v>
      </c>
      <c r="B1" s="87" t="s">
        <v>67</v>
      </c>
      <c r="C1" s="88" t="s">
        <v>199</v>
      </c>
      <c r="D1" s="88" t="s">
        <v>200</v>
      </c>
      <c r="E1" s="88" t="s">
        <v>296</v>
      </c>
      <c r="F1" s="88" t="s">
        <v>297</v>
      </c>
      <c r="G1" s="88" t="s">
        <v>202</v>
      </c>
      <c r="H1" s="89" t="s">
        <v>203</v>
      </c>
      <c r="I1" s="95" t="s">
        <v>292</v>
      </c>
      <c r="J1" s="95" t="s">
        <v>293</v>
      </c>
    </row>
    <row r="2" spans="1:10" x14ac:dyDescent="0.25">
      <c r="A2" s="92" t="s">
        <v>67</v>
      </c>
      <c r="B2" s="78">
        <v>1</v>
      </c>
      <c r="C2" s="42">
        <v>0.2</v>
      </c>
      <c r="D2" s="42">
        <v>0.25</v>
      </c>
      <c r="E2" s="42">
        <v>0.2</v>
      </c>
      <c r="F2" s="42">
        <v>0.2</v>
      </c>
      <c r="G2" s="42">
        <v>0.2</v>
      </c>
      <c r="H2" s="80">
        <v>0.2</v>
      </c>
      <c r="I2" s="186">
        <v>6.8000000000000005E-2</v>
      </c>
      <c r="J2" s="179">
        <f>I2/$I$9</f>
        <v>3.0115146147032774E-2</v>
      </c>
    </row>
    <row r="3" spans="1:10" x14ac:dyDescent="0.25">
      <c r="A3" s="93" t="s">
        <v>199</v>
      </c>
      <c r="B3" s="70">
        <v>5</v>
      </c>
      <c r="C3" s="67">
        <v>1</v>
      </c>
      <c r="D3" s="28">
        <v>4</v>
      </c>
      <c r="E3" s="28">
        <v>0.5</v>
      </c>
      <c r="F3" s="28">
        <v>0.5</v>
      </c>
      <c r="G3" s="181">
        <f>1/3</f>
        <v>0.33333333333333331</v>
      </c>
      <c r="H3" s="71">
        <v>3</v>
      </c>
      <c r="I3" s="186">
        <v>0.31900000000000001</v>
      </c>
      <c r="J3" s="179">
        <f t="shared" ref="J3:J8" si="0">I3/$I$9</f>
        <v>0.14127546501328608</v>
      </c>
    </row>
    <row r="4" spans="1:10" x14ac:dyDescent="0.25">
      <c r="A4" s="93" t="s">
        <v>200</v>
      </c>
      <c r="B4" s="70">
        <v>4</v>
      </c>
      <c r="C4" s="28">
        <v>0.25</v>
      </c>
      <c r="D4" s="67">
        <v>1</v>
      </c>
      <c r="E4" s="43">
        <v>0.25</v>
      </c>
      <c r="F4" s="28">
        <v>0.25</v>
      </c>
      <c r="G4" s="42">
        <v>0.2</v>
      </c>
      <c r="H4" s="71">
        <v>0.25</v>
      </c>
      <c r="I4" s="186">
        <v>0.11600000000000001</v>
      </c>
      <c r="J4" s="179">
        <f t="shared" si="0"/>
        <v>5.1372896368467674E-2</v>
      </c>
    </row>
    <row r="5" spans="1:10" s="178" customFormat="1" x14ac:dyDescent="0.25">
      <c r="A5" s="93" t="s">
        <v>296</v>
      </c>
      <c r="B5" s="70">
        <v>5</v>
      </c>
      <c r="C5" s="28">
        <v>2</v>
      </c>
      <c r="D5" s="43">
        <v>4</v>
      </c>
      <c r="E5" s="67">
        <v>1</v>
      </c>
      <c r="F5" s="28">
        <v>1</v>
      </c>
      <c r="G5" s="28">
        <v>0.5</v>
      </c>
      <c r="H5" s="71">
        <v>3</v>
      </c>
      <c r="I5" s="186">
        <v>0.434</v>
      </c>
      <c r="J5" s="179">
        <f t="shared" si="0"/>
        <v>0.19220549158547387</v>
      </c>
    </row>
    <row r="6" spans="1:10" x14ac:dyDescent="0.25">
      <c r="A6" s="93" t="s">
        <v>297</v>
      </c>
      <c r="B6" s="70">
        <v>5</v>
      </c>
      <c r="C6" s="28">
        <v>2</v>
      </c>
      <c r="D6" s="28">
        <v>4</v>
      </c>
      <c r="E6" s="28">
        <v>1</v>
      </c>
      <c r="F6" s="67">
        <v>1</v>
      </c>
      <c r="G6" s="28">
        <v>0.5</v>
      </c>
      <c r="H6" s="71">
        <v>3</v>
      </c>
      <c r="I6" s="186">
        <v>0.434</v>
      </c>
      <c r="J6" s="179">
        <f t="shared" si="0"/>
        <v>0.19220549158547387</v>
      </c>
    </row>
    <row r="7" spans="1:10" x14ac:dyDescent="0.25">
      <c r="A7" s="93" t="s">
        <v>202</v>
      </c>
      <c r="B7" s="70">
        <v>5</v>
      </c>
      <c r="C7" s="28">
        <v>3</v>
      </c>
      <c r="D7" s="28">
        <v>5</v>
      </c>
      <c r="E7" s="28">
        <v>2</v>
      </c>
      <c r="F7" s="28">
        <v>2</v>
      </c>
      <c r="G7" s="67">
        <v>1</v>
      </c>
      <c r="H7" s="71">
        <v>4</v>
      </c>
      <c r="I7" s="186">
        <v>0.67900000000000005</v>
      </c>
      <c r="J7" s="179">
        <f t="shared" si="0"/>
        <v>0.30070859167404784</v>
      </c>
    </row>
    <row r="8" spans="1:10" ht="15.75" thickBot="1" x14ac:dyDescent="0.3">
      <c r="A8" s="94" t="s">
        <v>203</v>
      </c>
      <c r="B8" s="77">
        <v>5</v>
      </c>
      <c r="C8" s="177">
        <f>1/3</f>
        <v>0.33333333333333331</v>
      </c>
      <c r="D8" s="31">
        <v>4</v>
      </c>
      <c r="E8" s="177">
        <f t="shared" ref="E8:F8" si="1">1/3</f>
        <v>0.33333333333333331</v>
      </c>
      <c r="F8" s="177">
        <f t="shared" si="1"/>
        <v>0.33333333333333331</v>
      </c>
      <c r="G8" s="31">
        <v>0.25</v>
      </c>
      <c r="H8" s="72">
        <v>1</v>
      </c>
      <c r="I8" s="186">
        <v>0.20799999999999999</v>
      </c>
      <c r="J8" s="179">
        <f t="shared" si="0"/>
        <v>9.211691762621789E-2</v>
      </c>
    </row>
    <row r="9" spans="1:10" ht="15.75" thickBot="1" x14ac:dyDescent="0.3">
      <c r="A9" s="95"/>
      <c r="I9">
        <f>SUM(I2:I8)</f>
        <v>2.258</v>
      </c>
      <c r="J9" s="58"/>
    </row>
    <row r="10" spans="1:10" ht="15.75" thickBot="1" x14ac:dyDescent="0.3">
      <c r="A10" s="180" t="s">
        <v>291</v>
      </c>
      <c r="B10" s="182" t="s">
        <v>67</v>
      </c>
      <c r="C10" s="88" t="s">
        <v>199</v>
      </c>
      <c r="D10" s="88" t="s">
        <v>200</v>
      </c>
      <c r="E10" s="88" t="s">
        <v>296</v>
      </c>
      <c r="F10" s="88" t="s">
        <v>297</v>
      </c>
      <c r="G10" s="88" t="s">
        <v>202</v>
      </c>
      <c r="H10" s="89" t="s">
        <v>203</v>
      </c>
      <c r="J10" s="58"/>
    </row>
    <row r="11" spans="1:10" x14ac:dyDescent="0.25">
      <c r="A11" s="184" t="s">
        <v>67</v>
      </c>
      <c r="B11" s="183">
        <v>1</v>
      </c>
      <c r="C11" s="29">
        <v>4</v>
      </c>
      <c r="D11" s="29">
        <v>4</v>
      </c>
      <c r="E11" s="29">
        <v>5</v>
      </c>
      <c r="F11" s="29">
        <v>5</v>
      </c>
      <c r="G11" s="29">
        <v>5</v>
      </c>
      <c r="H11" s="30">
        <v>4</v>
      </c>
      <c r="I11" s="186">
        <v>0.82499999999999996</v>
      </c>
      <c r="J11" s="58">
        <f t="shared" ref="J11:J17" si="2">I11/$I$18</f>
        <v>0.40283203124999994</v>
      </c>
    </row>
    <row r="12" spans="1:10" x14ac:dyDescent="0.25">
      <c r="A12" s="93" t="s">
        <v>199</v>
      </c>
      <c r="B12" s="70">
        <v>0.25</v>
      </c>
      <c r="C12" s="67">
        <v>1</v>
      </c>
      <c r="D12" s="28">
        <v>2</v>
      </c>
      <c r="E12" s="28">
        <v>4</v>
      </c>
      <c r="F12" s="28">
        <v>4</v>
      </c>
      <c r="G12" s="28">
        <v>3</v>
      </c>
      <c r="H12" s="71">
        <v>2</v>
      </c>
      <c r="I12" s="186">
        <v>0.378</v>
      </c>
      <c r="J12" s="58">
        <f t="shared" si="2"/>
        <v>0.1845703125</v>
      </c>
    </row>
    <row r="13" spans="1:10" x14ac:dyDescent="0.25">
      <c r="A13" s="93" t="s">
        <v>200</v>
      </c>
      <c r="B13" s="70">
        <v>0.25</v>
      </c>
      <c r="C13" s="28">
        <v>0.5</v>
      </c>
      <c r="D13" s="67">
        <v>1</v>
      </c>
      <c r="E13" s="43">
        <v>3</v>
      </c>
      <c r="F13" s="28">
        <v>3</v>
      </c>
      <c r="G13" s="28">
        <v>3</v>
      </c>
      <c r="H13" s="71">
        <v>1</v>
      </c>
      <c r="I13" s="186">
        <v>0.255</v>
      </c>
      <c r="J13" s="58">
        <f t="shared" si="2"/>
        <v>0.12451171875</v>
      </c>
    </row>
    <row r="14" spans="1:10" s="178" customFormat="1" x14ac:dyDescent="0.25">
      <c r="A14" s="93" t="s">
        <v>296</v>
      </c>
      <c r="B14" s="70">
        <v>0.2</v>
      </c>
      <c r="C14" s="28">
        <v>0.25</v>
      </c>
      <c r="D14" s="181">
        <f t="shared" ref="D14:D15" si="3">1/3</f>
        <v>0.33333333333333331</v>
      </c>
      <c r="E14" s="67">
        <v>1</v>
      </c>
      <c r="F14" s="28">
        <v>1</v>
      </c>
      <c r="G14" s="28">
        <v>0.5</v>
      </c>
      <c r="H14" s="71">
        <v>0.25</v>
      </c>
      <c r="I14" s="186">
        <v>0.09</v>
      </c>
      <c r="J14" s="58">
        <f t="shared" si="2"/>
        <v>4.39453125E-2</v>
      </c>
    </row>
    <row r="15" spans="1:10" x14ac:dyDescent="0.25">
      <c r="A15" s="93" t="s">
        <v>297</v>
      </c>
      <c r="B15" s="70">
        <v>0.2</v>
      </c>
      <c r="C15" s="28">
        <v>0.25</v>
      </c>
      <c r="D15" s="181">
        <f t="shared" si="3"/>
        <v>0.33333333333333331</v>
      </c>
      <c r="E15" s="28">
        <v>1</v>
      </c>
      <c r="F15" s="67">
        <v>1</v>
      </c>
      <c r="G15" s="28">
        <v>0.5</v>
      </c>
      <c r="H15" s="71">
        <v>0.25</v>
      </c>
      <c r="I15" s="186">
        <v>0.09</v>
      </c>
      <c r="J15" s="58">
        <f t="shared" si="2"/>
        <v>4.39453125E-2</v>
      </c>
    </row>
    <row r="16" spans="1:10" x14ac:dyDescent="0.25">
      <c r="A16" s="93" t="s">
        <v>202</v>
      </c>
      <c r="B16" s="70">
        <v>0.2</v>
      </c>
      <c r="C16" s="181">
        <f t="shared" ref="C16:D16" si="4">1/3</f>
        <v>0.33333333333333331</v>
      </c>
      <c r="D16" s="181">
        <f t="shared" si="4"/>
        <v>0.33333333333333331</v>
      </c>
      <c r="E16" s="28">
        <v>2</v>
      </c>
      <c r="F16" s="28">
        <v>2</v>
      </c>
      <c r="G16" s="67">
        <v>1</v>
      </c>
      <c r="H16" s="185">
        <f>1/3</f>
        <v>0.33333333333333331</v>
      </c>
      <c r="I16" s="186">
        <v>0.13100000000000001</v>
      </c>
      <c r="J16" s="58">
        <f t="shared" si="2"/>
        <v>6.396484375E-2</v>
      </c>
    </row>
    <row r="17" spans="1:10" ht="15.75" thickBot="1" x14ac:dyDescent="0.3">
      <c r="A17" s="94" t="s">
        <v>203</v>
      </c>
      <c r="B17" s="77">
        <v>0.25</v>
      </c>
      <c r="C17" s="31">
        <v>0.5</v>
      </c>
      <c r="D17" s="31">
        <v>1</v>
      </c>
      <c r="E17" s="31">
        <v>4</v>
      </c>
      <c r="F17" s="31">
        <v>4</v>
      </c>
      <c r="G17" s="31">
        <v>3</v>
      </c>
      <c r="H17" s="72">
        <v>1</v>
      </c>
      <c r="I17" s="186">
        <v>0.27900000000000003</v>
      </c>
      <c r="J17" s="58">
        <f t="shared" si="2"/>
        <v>0.13623046875</v>
      </c>
    </row>
    <row r="18" spans="1:10" x14ac:dyDescent="0.25">
      <c r="I18">
        <f>SUM(I11:I17)</f>
        <v>2.048</v>
      </c>
    </row>
    <row r="21" spans="1:10" x14ac:dyDescent="0.25">
      <c r="A21" s="178"/>
      <c r="B21" s="178"/>
      <c r="C21" s="178"/>
      <c r="D21" s="178"/>
    </row>
    <row r="22" spans="1:10" x14ac:dyDescent="0.25">
      <c r="A22" s="178"/>
      <c r="B22" s="178"/>
      <c r="C22" s="178"/>
      <c r="D22" s="178"/>
    </row>
    <row r="23" spans="1:10" x14ac:dyDescent="0.25">
      <c r="A23" s="178"/>
      <c r="B23" s="178"/>
      <c r="C23" s="178"/>
      <c r="D23" s="178"/>
    </row>
    <row r="24" spans="1:10" x14ac:dyDescent="0.25">
      <c r="A24" s="178"/>
      <c r="B24" s="178"/>
      <c r="C24" s="178"/>
      <c r="D24" s="178"/>
    </row>
    <row r="25" spans="1:10" x14ac:dyDescent="0.25">
      <c r="A25" s="178"/>
      <c r="B25" s="178"/>
      <c r="C25" s="178"/>
      <c r="D25" s="178"/>
      <c r="E25" s="68"/>
    </row>
    <row r="26" spans="1:10" x14ac:dyDescent="0.25">
      <c r="A26" s="178"/>
      <c r="B26" s="178"/>
      <c r="C26" s="178"/>
      <c r="D26" s="178"/>
      <c r="E26" s="68"/>
    </row>
    <row r="27" spans="1:10" x14ac:dyDescent="0.25">
      <c r="A27" s="178"/>
      <c r="B27" s="178"/>
      <c r="C27" s="178"/>
      <c r="D27" s="178"/>
      <c r="E27" s="68"/>
    </row>
    <row r="28" spans="1:10" x14ac:dyDescent="0.25">
      <c r="A28" s="178"/>
      <c r="B28" s="178"/>
      <c r="C28" s="178"/>
      <c r="D28" s="178"/>
    </row>
    <row r="29" spans="1:10" x14ac:dyDescent="0.25">
      <c r="A29" s="69"/>
    </row>
    <row r="30" spans="1:10" x14ac:dyDescent="0.25">
      <c r="A30" s="69"/>
    </row>
    <row r="31" spans="1:10" x14ac:dyDescent="0.25">
      <c r="A31" s="68"/>
    </row>
    <row r="32" spans="1:10" x14ac:dyDescent="0.25">
      <c r="A32" s="69"/>
    </row>
    <row r="33" spans="1:1" x14ac:dyDescent="0.25">
      <c r="A33" s="69"/>
    </row>
    <row r="34" spans="1:1" x14ac:dyDescent="0.25">
      <c r="A34" s="69"/>
    </row>
    <row r="35" spans="1:1" x14ac:dyDescent="0.25">
      <c r="A35" s="69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K12" sqref="K12:K19"/>
    </sheetView>
  </sheetViews>
  <sheetFormatPr defaultRowHeight="15" x14ac:dyDescent="0.25"/>
  <cols>
    <col min="1" max="2" width="32" bestFit="1" customWidth="1"/>
    <col min="3" max="3" width="8" bestFit="1" customWidth="1"/>
    <col min="4" max="4" width="7" bestFit="1" customWidth="1"/>
    <col min="5" max="5" width="25.140625" bestFit="1" customWidth="1"/>
    <col min="6" max="6" width="27.7109375" bestFit="1" customWidth="1"/>
    <col min="7" max="7" width="14" bestFit="1" customWidth="1"/>
    <col min="8" max="8" width="7.28515625" bestFit="1" customWidth="1"/>
    <col min="9" max="9" width="9.7109375" bestFit="1" customWidth="1"/>
  </cols>
  <sheetData>
    <row r="1" spans="1:11" ht="15.75" thickBot="1" x14ac:dyDescent="0.3">
      <c r="A1" s="90" t="s">
        <v>196</v>
      </c>
      <c r="B1" s="87" t="s">
        <v>67</v>
      </c>
      <c r="C1" s="88" t="s">
        <v>198</v>
      </c>
      <c r="D1" s="88" t="s">
        <v>2</v>
      </c>
      <c r="E1" s="88" t="s">
        <v>199</v>
      </c>
      <c r="F1" s="88" t="s">
        <v>200</v>
      </c>
      <c r="G1" s="88" t="s">
        <v>201</v>
      </c>
      <c r="H1" s="88" t="s">
        <v>202</v>
      </c>
      <c r="I1" s="89" t="s">
        <v>203</v>
      </c>
      <c r="J1" s="91" t="s">
        <v>206</v>
      </c>
      <c r="K1" s="90" t="s">
        <v>219</v>
      </c>
    </row>
    <row r="2" spans="1:11" x14ac:dyDescent="0.25">
      <c r="A2" s="92" t="s">
        <v>67</v>
      </c>
      <c r="B2" s="78"/>
      <c r="C2" s="79">
        <v>0</v>
      </c>
      <c r="D2" s="42">
        <v>0</v>
      </c>
      <c r="E2" s="42">
        <v>0</v>
      </c>
      <c r="F2" s="42">
        <v>0</v>
      </c>
      <c r="G2" s="42">
        <v>0</v>
      </c>
      <c r="H2" s="42">
        <v>0</v>
      </c>
      <c r="I2" s="80">
        <v>0</v>
      </c>
      <c r="J2" s="81">
        <f>SUM(B2:I2)</f>
        <v>0</v>
      </c>
      <c r="K2" s="86">
        <f>J2+1</f>
        <v>1</v>
      </c>
    </row>
    <row r="3" spans="1:11" x14ac:dyDescent="0.25">
      <c r="A3" s="93" t="s">
        <v>198</v>
      </c>
      <c r="B3" s="76">
        <v>1</v>
      </c>
      <c r="C3" s="67"/>
      <c r="D3" s="28">
        <v>0</v>
      </c>
      <c r="E3" s="28">
        <v>0</v>
      </c>
      <c r="F3" s="28">
        <v>1</v>
      </c>
      <c r="G3" s="28">
        <v>0</v>
      </c>
      <c r="H3" s="28">
        <v>0</v>
      </c>
      <c r="I3" s="71">
        <v>0</v>
      </c>
      <c r="J3" s="82">
        <f t="shared" ref="J3:J9" si="0">SUM(B3:I3)</f>
        <v>2</v>
      </c>
      <c r="K3" s="84">
        <f t="shared" ref="K3:K9" si="1">J3+1</f>
        <v>3</v>
      </c>
    </row>
    <row r="4" spans="1:11" x14ac:dyDescent="0.25">
      <c r="A4" s="93" t="s">
        <v>2</v>
      </c>
      <c r="B4" s="70">
        <v>1</v>
      </c>
      <c r="C4" s="28">
        <v>1</v>
      </c>
      <c r="D4" s="67"/>
      <c r="E4" s="28">
        <v>0</v>
      </c>
      <c r="F4" s="28">
        <v>1</v>
      </c>
      <c r="G4" s="28">
        <v>0</v>
      </c>
      <c r="H4" s="28">
        <v>0</v>
      </c>
      <c r="I4" s="71">
        <v>0</v>
      </c>
      <c r="J4" s="82">
        <f t="shared" si="0"/>
        <v>3</v>
      </c>
      <c r="K4" s="84">
        <f t="shared" si="1"/>
        <v>4</v>
      </c>
    </row>
    <row r="5" spans="1:11" x14ac:dyDescent="0.25">
      <c r="A5" s="93" t="s">
        <v>199</v>
      </c>
      <c r="B5" s="70">
        <v>1</v>
      </c>
      <c r="C5" s="28">
        <v>1</v>
      </c>
      <c r="D5" s="28">
        <v>1</v>
      </c>
      <c r="E5" s="67"/>
      <c r="F5" s="28">
        <v>1</v>
      </c>
      <c r="G5" s="28">
        <v>0</v>
      </c>
      <c r="H5" s="28">
        <v>0</v>
      </c>
      <c r="I5" s="71">
        <v>1</v>
      </c>
      <c r="J5" s="82">
        <f t="shared" si="0"/>
        <v>5</v>
      </c>
      <c r="K5" s="84">
        <f t="shared" si="1"/>
        <v>6</v>
      </c>
    </row>
    <row r="6" spans="1:11" x14ac:dyDescent="0.25">
      <c r="A6" s="93" t="s">
        <v>200</v>
      </c>
      <c r="B6" s="70">
        <v>1</v>
      </c>
      <c r="C6" s="28">
        <v>0</v>
      </c>
      <c r="D6" s="28">
        <v>0</v>
      </c>
      <c r="E6" s="28">
        <v>0</v>
      </c>
      <c r="F6" s="67"/>
      <c r="G6" s="28">
        <v>0</v>
      </c>
      <c r="H6" s="28">
        <v>0</v>
      </c>
      <c r="I6" s="71">
        <v>0</v>
      </c>
      <c r="J6" s="82">
        <f t="shared" si="0"/>
        <v>1</v>
      </c>
      <c r="K6" s="84">
        <f t="shared" si="1"/>
        <v>2</v>
      </c>
    </row>
    <row r="7" spans="1:11" x14ac:dyDescent="0.25">
      <c r="A7" s="93" t="s">
        <v>201</v>
      </c>
      <c r="B7" s="70">
        <v>1</v>
      </c>
      <c r="C7" s="28">
        <v>1</v>
      </c>
      <c r="D7" s="28">
        <v>1</v>
      </c>
      <c r="E7" s="28">
        <v>1</v>
      </c>
      <c r="F7" s="28">
        <v>1</v>
      </c>
      <c r="G7" s="67"/>
      <c r="H7" s="28">
        <v>0</v>
      </c>
      <c r="I7" s="71">
        <v>1</v>
      </c>
      <c r="J7" s="82">
        <f t="shared" si="0"/>
        <v>6</v>
      </c>
      <c r="K7" s="84">
        <f t="shared" si="1"/>
        <v>7</v>
      </c>
    </row>
    <row r="8" spans="1:11" x14ac:dyDescent="0.25">
      <c r="A8" s="93" t="s">
        <v>202</v>
      </c>
      <c r="B8" s="70">
        <v>1</v>
      </c>
      <c r="C8" s="28">
        <v>1</v>
      </c>
      <c r="D8" s="28">
        <v>1</v>
      </c>
      <c r="E8" s="28">
        <v>1</v>
      </c>
      <c r="F8" s="28">
        <v>1</v>
      </c>
      <c r="G8" s="28">
        <v>1</v>
      </c>
      <c r="H8" s="67"/>
      <c r="I8" s="71">
        <v>1</v>
      </c>
      <c r="J8" s="82">
        <f t="shared" si="0"/>
        <v>7</v>
      </c>
      <c r="K8" s="84">
        <f t="shared" si="1"/>
        <v>8</v>
      </c>
    </row>
    <row r="9" spans="1:11" ht="15.75" thickBot="1" x14ac:dyDescent="0.3">
      <c r="A9" s="94" t="s">
        <v>203</v>
      </c>
      <c r="B9" s="77">
        <v>1</v>
      </c>
      <c r="C9" s="31">
        <v>1</v>
      </c>
      <c r="D9" s="31">
        <v>1</v>
      </c>
      <c r="E9" s="31">
        <v>0</v>
      </c>
      <c r="F9" s="31">
        <v>1</v>
      </c>
      <c r="G9" s="31">
        <v>0</v>
      </c>
      <c r="H9" s="31">
        <v>0</v>
      </c>
      <c r="I9" s="72"/>
      <c r="J9" s="83">
        <f t="shared" si="0"/>
        <v>4</v>
      </c>
      <c r="K9" s="85">
        <f t="shared" si="1"/>
        <v>5</v>
      </c>
    </row>
    <row r="10" spans="1:11" ht="15.75" thickBot="1" x14ac:dyDescent="0.3">
      <c r="A10" s="95"/>
    </row>
    <row r="11" spans="1:11" ht="15.75" thickBot="1" x14ac:dyDescent="0.3">
      <c r="A11" s="90" t="s">
        <v>197</v>
      </c>
      <c r="B11" s="87" t="s">
        <v>67</v>
      </c>
      <c r="C11" s="88" t="s">
        <v>198</v>
      </c>
      <c r="D11" s="88" t="s">
        <v>2</v>
      </c>
      <c r="E11" s="88" t="s">
        <v>199</v>
      </c>
      <c r="F11" s="88" t="s">
        <v>200</v>
      </c>
      <c r="G11" s="88" t="s">
        <v>201</v>
      </c>
      <c r="H11" s="88" t="s">
        <v>202</v>
      </c>
      <c r="I11" s="89" t="s">
        <v>203</v>
      </c>
      <c r="J11" s="90" t="s">
        <v>206</v>
      </c>
      <c r="K11" s="90" t="s">
        <v>219</v>
      </c>
    </row>
    <row r="12" spans="1:11" x14ac:dyDescent="0.25">
      <c r="A12" s="92" t="s">
        <v>67</v>
      </c>
      <c r="B12" s="78"/>
      <c r="C12" s="79">
        <v>1</v>
      </c>
      <c r="D12" s="42">
        <v>1</v>
      </c>
      <c r="E12" s="42">
        <v>1</v>
      </c>
      <c r="F12" s="42">
        <v>1</v>
      </c>
      <c r="G12" s="42">
        <v>1</v>
      </c>
      <c r="H12" s="42">
        <v>1</v>
      </c>
      <c r="I12" s="80">
        <v>0.5</v>
      </c>
      <c r="J12" s="73">
        <f>SUM(B12:I12)</f>
        <v>6.5</v>
      </c>
      <c r="K12" s="86">
        <f>J12+1</f>
        <v>7.5</v>
      </c>
    </row>
    <row r="13" spans="1:11" x14ac:dyDescent="0.25">
      <c r="A13" s="93" t="s">
        <v>198</v>
      </c>
      <c r="B13" s="76">
        <v>0</v>
      </c>
      <c r="C13" s="67"/>
      <c r="D13" s="28">
        <v>0</v>
      </c>
      <c r="E13" s="28">
        <v>0</v>
      </c>
      <c r="F13" s="28">
        <v>0</v>
      </c>
      <c r="G13" s="28">
        <v>1</v>
      </c>
      <c r="H13" s="28">
        <v>0</v>
      </c>
      <c r="I13" s="71">
        <v>0</v>
      </c>
      <c r="J13" s="74">
        <f t="shared" ref="J13:J19" si="2">SUM(B13:I13)</f>
        <v>1</v>
      </c>
      <c r="K13" s="84">
        <f t="shared" ref="K13:K19" si="3">J13+1</f>
        <v>2</v>
      </c>
    </row>
    <row r="14" spans="1:11" x14ac:dyDescent="0.25">
      <c r="A14" s="93" t="s">
        <v>2</v>
      </c>
      <c r="B14" s="70">
        <v>0</v>
      </c>
      <c r="C14" s="28">
        <v>1</v>
      </c>
      <c r="D14" s="67"/>
      <c r="E14" s="28">
        <v>1</v>
      </c>
      <c r="F14" s="28">
        <v>1</v>
      </c>
      <c r="G14" s="28">
        <v>1</v>
      </c>
      <c r="H14" s="28">
        <v>1</v>
      </c>
      <c r="I14" s="71">
        <v>0</v>
      </c>
      <c r="J14" s="74">
        <f t="shared" si="2"/>
        <v>5</v>
      </c>
      <c r="K14" s="84">
        <f t="shared" si="3"/>
        <v>6</v>
      </c>
    </row>
    <row r="15" spans="1:11" x14ac:dyDescent="0.25">
      <c r="A15" s="93" t="s">
        <v>199</v>
      </c>
      <c r="B15" s="70">
        <v>0</v>
      </c>
      <c r="C15" s="28">
        <v>1</v>
      </c>
      <c r="D15" s="28">
        <v>0</v>
      </c>
      <c r="E15" s="67"/>
      <c r="F15" s="28">
        <v>1</v>
      </c>
      <c r="G15" s="28">
        <v>1</v>
      </c>
      <c r="H15" s="28">
        <v>1</v>
      </c>
      <c r="I15" s="71">
        <v>0</v>
      </c>
      <c r="J15" s="74">
        <f t="shared" si="2"/>
        <v>4</v>
      </c>
      <c r="K15" s="84">
        <f t="shared" si="3"/>
        <v>5</v>
      </c>
    </row>
    <row r="16" spans="1:11" x14ac:dyDescent="0.25">
      <c r="A16" s="93" t="s">
        <v>200</v>
      </c>
      <c r="B16" s="70">
        <v>0</v>
      </c>
      <c r="C16" s="28">
        <v>1</v>
      </c>
      <c r="D16" s="28">
        <v>0</v>
      </c>
      <c r="E16" s="28">
        <v>0</v>
      </c>
      <c r="F16" s="67"/>
      <c r="G16" s="28">
        <v>1</v>
      </c>
      <c r="H16" s="28">
        <v>1</v>
      </c>
      <c r="I16" s="71">
        <v>0</v>
      </c>
      <c r="J16" s="74">
        <f t="shared" si="2"/>
        <v>3</v>
      </c>
      <c r="K16" s="84">
        <f t="shared" si="3"/>
        <v>4</v>
      </c>
    </row>
    <row r="17" spans="1:11" x14ac:dyDescent="0.25">
      <c r="A17" s="93" t="s">
        <v>201</v>
      </c>
      <c r="B17" s="70">
        <v>0</v>
      </c>
      <c r="C17" s="28">
        <v>0</v>
      </c>
      <c r="D17" s="28">
        <v>0</v>
      </c>
      <c r="E17" s="28">
        <v>0</v>
      </c>
      <c r="F17" s="28">
        <v>0</v>
      </c>
      <c r="G17" s="67"/>
      <c r="H17" s="28">
        <v>0</v>
      </c>
      <c r="I17" s="71">
        <v>0</v>
      </c>
      <c r="J17" s="74">
        <f t="shared" si="2"/>
        <v>0</v>
      </c>
      <c r="K17" s="84">
        <f t="shared" si="3"/>
        <v>1</v>
      </c>
    </row>
    <row r="18" spans="1:11" x14ac:dyDescent="0.25">
      <c r="A18" s="93" t="s">
        <v>202</v>
      </c>
      <c r="B18" s="70">
        <v>0</v>
      </c>
      <c r="C18" s="28">
        <v>1</v>
      </c>
      <c r="D18" s="28">
        <v>0</v>
      </c>
      <c r="E18" s="28">
        <v>0</v>
      </c>
      <c r="F18" s="28">
        <v>0</v>
      </c>
      <c r="G18" s="28">
        <v>1</v>
      </c>
      <c r="H18" s="67"/>
      <c r="I18" s="71">
        <v>0</v>
      </c>
      <c r="J18" s="74">
        <f t="shared" si="2"/>
        <v>2</v>
      </c>
      <c r="K18" s="84">
        <f t="shared" si="3"/>
        <v>3</v>
      </c>
    </row>
    <row r="19" spans="1:11" ht="15.75" thickBot="1" x14ac:dyDescent="0.3">
      <c r="A19" s="94" t="s">
        <v>203</v>
      </c>
      <c r="B19" s="77">
        <v>0.5</v>
      </c>
      <c r="C19" s="31">
        <v>1</v>
      </c>
      <c r="D19" s="31">
        <v>1</v>
      </c>
      <c r="E19" s="31">
        <v>1</v>
      </c>
      <c r="F19" s="31">
        <v>1</v>
      </c>
      <c r="G19" s="31">
        <v>1</v>
      </c>
      <c r="H19" s="31">
        <v>1</v>
      </c>
      <c r="I19" s="72"/>
      <c r="J19" s="75">
        <f t="shared" si="2"/>
        <v>6.5</v>
      </c>
      <c r="K19" s="85">
        <f t="shared" si="3"/>
        <v>7.5</v>
      </c>
    </row>
    <row r="20" spans="1:11" x14ac:dyDescent="0.25">
      <c r="A20" s="68"/>
    </row>
    <row r="21" spans="1:11" x14ac:dyDescent="0.25">
      <c r="A21" s="68"/>
    </row>
    <row r="22" spans="1:11" x14ac:dyDescent="0.25">
      <c r="A22" s="68"/>
    </row>
    <row r="23" spans="1:11" x14ac:dyDescent="0.25">
      <c r="A23" s="68"/>
    </row>
    <row r="24" spans="1:11" x14ac:dyDescent="0.25">
      <c r="A24" s="69"/>
    </row>
    <row r="25" spans="1:11" x14ac:dyDescent="0.25">
      <c r="A25" s="69"/>
    </row>
    <row r="26" spans="1:11" x14ac:dyDescent="0.25">
      <c r="A26" s="69"/>
    </row>
    <row r="27" spans="1:11" x14ac:dyDescent="0.25">
      <c r="A27" s="69"/>
    </row>
    <row r="28" spans="1:11" x14ac:dyDescent="0.25">
      <c r="A28" s="68"/>
    </row>
    <row r="29" spans="1:11" x14ac:dyDescent="0.25">
      <c r="A29" s="69"/>
    </row>
    <row r="30" spans="1:11" x14ac:dyDescent="0.25">
      <c r="A30" s="69"/>
    </row>
    <row r="31" spans="1:11" x14ac:dyDescent="0.25">
      <c r="A31" s="69"/>
    </row>
    <row r="32" spans="1:11" x14ac:dyDescent="0.25">
      <c r="A32" s="69"/>
    </row>
    <row r="33" spans="1:1" x14ac:dyDescent="0.25">
      <c r="A33" s="68"/>
    </row>
    <row r="34" spans="1:1" x14ac:dyDescent="0.25">
      <c r="A34" s="69"/>
    </row>
    <row r="35" spans="1:1" x14ac:dyDescent="0.25">
      <c r="A35" s="69"/>
    </row>
    <row r="36" spans="1:1" x14ac:dyDescent="0.25">
      <c r="A36" s="69"/>
    </row>
    <row r="37" spans="1:1" x14ac:dyDescent="0.25">
      <c r="A37" s="6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8"/>
  <sheetViews>
    <sheetView topLeftCell="AY1" workbookViewId="0">
      <selection activeCell="AY8" sqref="AY8"/>
    </sheetView>
  </sheetViews>
  <sheetFormatPr defaultRowHeight="11.25" x14ac:dyDescent="0.2"/>
  <cols>
    <col min="1" max="1" width="4.28515625" style="105" bestFit="1" customWidth="1"/>
    <col min="2" max="2" width="24.85546875" style="105" customWidth="1"/>
    <col min="3" max="3" width="5.7109375" style="105" bestFit="1" customWidth="1"/>
    <col min="4" max="10" width="9.140625" style="126"/>
    <col min="11" max="11" width="32.42578125" style="126" bestFit="1" customWidth="1"/>
    <col min="12" max="18" width="9.140625" style="126"/>
    <col min="19" max="19" width="9.140625" style="105"/>
    <col min="20" max="20" width="30.5703125" style="105" bestFit="1" customWidth="1"/>
    <col min="21" max="28" width="9.140625" style="105"/>
    <col min="29" max="29" width="24.28515625" style="105" bestFit="1" customWidth="1"/>
    <col min="30" max="36" width="9.140625" style="105"/>
    <col min="37" max="37" width="24.28515625" style="105" bestFit="1" customWidth="1"/>
    <col min="38" max="44" width="9.140625" style="105"/>
    <col min="45" max="45" width="24.28515625" style="105" bestFit="1" customWidth="1"/>
    <col min="46" max="51" width="9.140625" style="105"/>
    <col min="52" max="52" width="11.5703125" style="105" bestFit="1" customWidth="1"/>
    <col min="53" max="58" width="9.140625" style="105"/>
    <col min="59" max="59" width="15.42578125" style="105" customWidth="1"/>
    <col min="60" max="65" width="9.140625" style="105"/>
    <col min="66" max="66" width="18.28515625" style="105" bestFit="1" customWidth="1"/>
    <col min="67" max="67" width="18.5703125" style="105" customWidth="1"/>
    <col min="68" max="16384" width="9.140625" style="105"/>
  </cols>
  <sheetData>
    <row r="1" spans="1:72" ht="42" customHeight="1" x14ac:dyDescent="0.25">
      <c r="A1" s="370" t="s">
        <v>26</v>
      </c>
      <c r="B1" s="371"/>
      <c r="C1" s="372"/>
      <c r="D1" s="363" t="s">
        <v>128</v>
      </c>
      <c r="E1" s="365" t="s">
        <v>132</v>
      </c>
      <c r="F1" s="365" t="s">
        <v>131</v>
      </c>
      <c r="G1" s="365" t="s">
        <v>220</v>
      </c>
      <c r="H1" s="359" t="s">
        <v>221</v>
      </c>
      <c r="I1" s="105"/>
      <c r="J1" s="370" t="s">
        <v>26</v>
      </c>
      <c r="K1" s="371"/>
      <c r="L1" s="372"/>
      <c r="M1" s="363" t="s">
        <v>128</v>
      </c>
      <c r="N1" s="365" t="s">
        <v>132</v>
      </c>
      <c r="O1" s="365" t="s">
        <v>131</v>
      </c>
      <c r="P1" s="365" t="s">
        <v>220</v>
      </c>
      <c r="Q1" s="359" t="s">
        <v>221</v>
      </c>
      <c r="R1" s="105"/>
      <c r="S1" s="370" t="s">
        <v>26</v>
      </c>
      <c r="T1" s="371"/>
      <c r="U1" s="372"/>
      <c r="V1" s="363" t="s">
        <v>128</v>
      </c>
      <c r="W1" s="365" t="s">
        <v>132</v>
      </c>
      <c r="X1" s="365" t="s">
        <v>131</v>
      </c>
      <c r="Y1" s="365" t="s">
        <v>220</v>
      </c>
      <c r="Z1" s="359" t="s">
        <v>221</v>
      </c>
      <c r="AB1" s="377" t="s">
        <v>26</v>
      </c>
      <c r="AC1" s="378"/>
      <c r="AD1" s="373" t="s">
        <v>128</v>
      </c>
      <c r="AE1" s="375" t="s">
        <v>132</v>
      </c>
      <c r="AF1" s="375" t="s">
        <v>131</v>
      </c>
      <c r="AG1" s="375" t="s">
        <v>220</v>
      </c>
      <c r="AH1" s="359" t="s">
        <v>221</v>
      </c>
      <c r="AJ1" s="377" t="s">
        <v>26</v>
      </c>
      <c r="AK1" s="378"/>
      <c r="AL1" s="373" t="s">
        <v>128</v>
      </c>
      <c r="AM1" s="375" t="s">
        <v>132</v>
      </c>
      <c r="AN1" s="375" t="s">
        <v>131</v>
      </c>
      <c r="AO1" s="375" t="s">
        <v>220</v>
      </c>
      <c r="AP1" s="359" t="s">
        <v>221</v>
      </c>
      <c r="AR1" s="377" t="s">
        <v>26</v>
      </c>
      <c r="AS1" s="378"/>
      <c r="AT1" s="373" t="s">
        <v>128</v>
      </c>
      <c r="AU1" s="375" t="s">
        <v>132</v>
      </c>
      <c r="AV1" s="375" t="s">
        <v>131</v>
      </c>
      <c r="AW1" s="375" t="s">
        <v>220</v>
      </c>
      <c r="AX1" s="359" t="s">
        <v>221</v>
      </c>
      <c r="AZ1" s="361" t="s">
        <v>283</v>
      </c>
      <c r="BA1" s="363" t="s">
        <v>128</v>
      </c>
      <c r="BB1" s="365" t="s">
        <v>132</v>
      </c>
      <c r="BC1" s="365" t="s">
        <v>131</v>
      </c>
      <c r="BD1" s="365" t="s">
        <v>220</v>
      </c>
      <c r="BE1" s="359" t="s">
        <v>221</v>
      </c>
      <c r="BG1" s="361" t="s">
        <v>288</v>
      </c>
      <c r="BH1" s="363" t="s">
        <v>128</v>
      </c>
      <c r="BI1" s="365" t="s">
        <v>132</v>
      </c>
      <c r="BJ1" s="365" t="s">
        <v>131</v>
      </c>
      <c r="BK1" s="365" t="s">
        <v>220</v>
      </c>
      <c r="BL1" s="359" t="s">
        <v>221</v>
      </c>
    </row>
    <row r="2" spans="1:72" ht="12" thickBot="1" x14ac:dyDescent="0.25">
      <c r="A2" s="106" t="s">
        <v>27</v>
      </c>
      <c r="B2" s="107" t="s">
        <v>28</v>
      </c>
      <c r="C2" s="108" t="s">
        <v>123</v>
      </c>
      <c r="D2" s="367"/>
      <c r="E2" s="368"/>
      <c r="F2" s="368"/>
      <c r="G2" s="368"/>
      <c r="H2" s="369"/>
      <c r="I2" s="105"/>
      <c r="J2" s="106" t="s">
        <v>27</v>
      </c>
      <c r="K2" s="107" t="s">
        <v>28</v>
      </c>
      <c r="L2" s="108" t="s">
        <v>123</v>
      </c>
      <c r="M2" s="367"/>
      <c r="N2" s="368"/>
      <c r="O2" s="368"/>
      <c r="P2" s="368"/>
      <c r="Q2" s="369"/>
      <c r="R2" s="105"/>
      <c r="S2" s="106" t="s">
        <v>27</v>
      </c>
      <c r="T2" s="107" t="s">
        <v>28</v>
      </c>
      <c r="U2" s="108" t="s">
        <v>123</v>
      </c>
      <c r="V2" s="367"/>
      <c r="W2" s="368"/>
      <c r="X2" s="368"/>
      <c r="Y2" s="368"/>
      <c r="Z2" s="369"/>
      <c r="AB2" s="146" t="s">
        <v>27</v>
      </c>
      <c r="AC2" s="147" t="s">
        <v>28</v>
      </c>
      <c r="AD2" s="374"/>
      <c r="AE2" s="376"/>
      <c r="AF2" s="376"/>
      <c r="AG2" s="376"/>
      <c r="AH2" s="369"/>
      <c r="AJ2" s="146" t="s">
        <v>27</v>
      </c>
      <c r="AK2" s="147" t="s">
        <v>28</v>
      </c>
      <c r="AL2" s="374"/>
      <c r="AM2" s="376"/>
      <c r="AN2" s="376"/>
      <c r="AO2" s="376"/>
      <c r="AP2" s="369"/>
      <c r="AR2" s="146" t="s">
        <v>27</v>
      </c>
      <c r="AS2" s="147" t="s">
        <v>28</v>
      </c>
      <c r="AT2" s="374"/>
      <c r="AU2" s="376"/>
      <c r="AV2" s="376"/>
      <c r="AW2" s="376"/>
      <c r="AX2" s="369"/>
      <c r="AZ2" s="362"/>
      <c r="BA2" s="364"/>
      <c r="BB2" s="366"/>
      <c r="BC2" s="366"/>
      <c r="BD2" s="366"/>
      <c r="BE2" s="360"/>
      <c r="BG2" s="362"/>
      <c r="BH2" s="364"/>
      <c r="BI2" s="366"/>
      <c r="BJ2" s="366"/>
      <c r="BK2" s="366"/>
      <c r="BL2" s="360"/>
    </row>
    <row r="3" spans="1:72" ht="15" customHeight="1" thickBot="1" x14ac:dyDescent="0.3">
      <c r="A3" s="109" t="s">
        <v>29</v>
      </c>
      <c r="B3" s="110" t="s">
        <v>67</v>
      </c>
      <c r="C3" s="111"/>
      <c r="D3" s="112">
        <v>80</v>
      </c>
      <c r="E3" s="113">
        <v>80</v>
      </c>
      <c r="F3" s="113">
        <v>90</v>
      </c>
      <c r="G3" s="113">
        <v>80</v>
      </c>
      <c r="H3" s="114">
        <v>90</v>
      </c>
      <c r="I3" s="105"/>
      <c r="J3" s="109" t="s">
        <v>237</v>
      </c>
      <c r="K3" s="110" t="s">
        <v>88</v>
      </c>
      <c r="L3" s="111" t="s">
        <v>277</v>
      </c>
      <c r="M3" s="112">
        <v>0.91300000000000003</v>
      </c>
      <c r="N3" s="113">
        <v>1.1819999999999999</v>
      </c>
      <c r="O3" s="113">
        <v>0.84699999999999998</v>
      </c>
      <c r="P3" s="113">
        <v>1.2629999999999999</v>
      </c>
      <c r="Q3" s="114">
        <v>0.746</v>
      </c>
      <c r="R3" s="105"/>
      <c r="S3" s="109" t="s">
        <v>252</v>
      </c>
      <c r="T3" s="110" t="s">
        <v>71</v>
      </c>
      <c r="U3" s="111" t="s">
        <v>124</v>
      </c>
      <c r="V3" s="112">
        <f t="shared" ref="V3:Z7" si="0">$C$22*D4</f>
        <v>35.957999999999998</v>
      </c>
      <c r="W3" s="113">
        <f t="shared" si="0"/>
        <v>40.869</v>
      </c>
      <c r="X3" s="113">
        <f t="shared" si="0"/>
        <v>36.405000000000001</v>
      </c>
      <c r="Y3" s="113">
        <f t="shared" si="0"/>
        <v>48.132000000000005</v>
      </c>
      <c r="Z3" s="114">
        <f t="shared" si="0"/>
        <v>41.445</v>
      </c>
      <c r="AB3" s="148" t="s">
        <v>29</v>
      </c>
      <c r="AC3" s="149" t="s">
        <v>67</v>
      </c>
      <c r="AD3" s="102">
        <v>0.88888888888888884</v>
      </c>
      <c r="AE3" s="103">
        <v>0.88888888888888884</v>
      </c>
      <c r="AF3" s="103">
        <v>1</v>
      </c>
      <c r="AG3" s="103">
        <v>0.88888888888888884</v>
      </c>
      <c r="AH3" s="104">
        <v>1</v>
      </c>
      <c r="AJ3" s="148" t="s">
        <v>29</v>
      </c>
      <c r="AK3" s="149" t="s">
        <v>67</v>
      </c>
      <c r="AL3" s="102">
        <v>0.80184240585220912</v>
      </c>
      <c r="AM3" s="103">
        <v>0.80184240585220912</v>
      </c>
      <c r="AN3" s="103">
        <v>1</v>
      </c>
      <c r="AO3" s="103">
        <v>0.80184240585220912</v>
      </c>
      <c r="AP3" s="103">
        <v>1</v>
      </c>
      <c r="AR3" s="148" t="s">
        <v>29</v>
      </c>
      <c r="AS3" s="149" t="s">
        <v>67</v>
      </c>
      <c r="AT3" s="102">
        <v>0.97098354341464688</v>
      </c>
      <c r="AU3" s="103">
        <v>0.97098354341464688</v>
      </c>
      <c r="AV3" s="103">
        <v>1</v>
      </c>
      <c r="AW3" s="103">
        <v>0.97098354341464688</v>
      </c>
      <c r="AX3" s="103">
        <v>1</v>
      </c>
      <c r="AZ3" s="154" t="s">
        <v>7</v>
      </c>
      <c r="BA3" s="157">
        <v>6.011566664016974</v>
      </c>
      <c r="BB3" s="158">
        <v>1.4844426413842453</v>
      </c>
      <c r="BC3" s="158">
        <v>1</v>
      </c>
      <c r="BD3" s="158">
        <v>1.2309618520351835</v>
      </c>
      <c r="BE3" s="159">
        <v>1.120586871341738</v>
      </c>
      <c r="BG3" s="154" t="s">
        <v>7</v>
      </c>
      <c r="BH3" s="169">
        <v>8.1128620451473044</v>
      </c>
      <c r="BI3" s="170">
        <v>1.3559341033410952</v>
      </c>
      <c r="BJ3" s="170">
        <v>1</v>
      </c>
      <c r="BK3" s="170">
        <v>0.61440005465083591</v>
      </c>
      <c r="BL3" s="170">
        <v>0.49362699468409527</v>
      </c>
      <c r="BN3" s="202"/>
    </row>
    <row r="4" spans="1:72" ht="15" customHeight="1" x14ac:dyDescent="0.25">
      <c r="A4" s="115" t="s">
        <v>222</v>
      </c>
      <c r="B4" s="116" t="s">
        <v>76</v>
      </c>
      <c r="C4" s="117" t="s">
        <v>278</v>
      </c>
      <c r="D4" s="118">
        <v>11.986000000000001</v>
      </c>
      <c r="E4" s="119">
        <v>13.622999999999999</v>
      </c>
      <c r="F4" s="119">
        <v>12.135</v>
      </c>
      <c r="G4" s="119">
        <v>16.044</v>
      </c>
      <c r="H4" s="120">
        <v>13.815</v>
      </c>
      <c r="I4" s="105"/>
      <c r="J4" s="115" t="s">
        <v>238</v>
      </c>
      <c r="K4" s="116" t="s">
        <v>90</v>
      </c>
      <c r="L4" s="117" t="s">
        <v>277</v>
      </c>
      <c r="M4" s="118">
        <v>0.91300000000000003</v>
      </c>
      <c r="N4" s="119">
        <v>1.1819999999999999</v>
      </c>
      <c r="O4" s="119">
        <v>0.84699999999999998</v>
      </c>
      <c r="P4" s="119">
        <v>1.2629999999999999</v>
      </c>
      <c r="Q4" s="120">
        <v>0.746</v>
      </c>
      <c r="R4" s="105"/>
      <c r="S4" s="115" t="s">
        <v>253</v>
      </c>
      <c r="T4" s="116" t="s">
        <v>72</v>
      </c>
      <c r="U4" s="117" t="s">
        <v>124</v>
      </c>
      <c r="V4" s="118">
        <f t="shared" si="0"/>
        <v>35.957999999999998</v>
      </c>
      <c r="W4" s="119">
        <f t="shared" si="0"/>
        <v>40.869</v>
      </c>
      <c r="X4" s="119">
        <f t="shared" si="0"/>
        <v>36.405000000000001</v>
      </c>
      <c r="Y4" s="119">
        <f t="shared" si="0"/>
        <v>48.132000000000005</v>
      </c>
      <c r="Z4" s="120">
        <f t="shared" si="0"/>
        <v>41.445</v>
      </c>
      <c r="AB4" s="115" t="s">
        <v>222</v>
      </c>
      <c r="AC4" s="150" t="s">
        <v>76</v>
      </c>
      <c r="AD4" s="96">
        <v>0.98772146683147921</v>
      </c>
      <c r="AE4" s="97">
        <v>1.122620519159456</v>
      </c>
      <c r="AF4" s="97">
        <v>1</v>
      </c>
      <c r="AG4" s="97">
        <v>1.3221260815822002</v>
      </c>
      <c r="AH4" s="98">
        <v>1.1384425216316441</v>
      </c>
      <c r="AJ4" s="115" t="s">
        <v>222</v>
      </c>
      <c r="AK4" s="150" t="s">
        <v>76</v>
      </c>
      <c r="AL4" s="96">
        <v>0.99384177152677544</v>
      </c>
      <c r="AM4" s="97">
        <v>1.0595378800021527</v>
      </c>
      <c r="AN4" s="97">
        <v>1</v>
      </c>
      <c r="AO4" s="97">
        <v>1.1498374152819173</v>
      </c>
      <c r="AP4" s="97">
        <v>1.0669782198487672</v>
      </c>
      <c r="AR4" s="115" t="s">
        <v>222</v>
      </c>
      <c r="AS4" s="150" t="s">
        <v>76</v>
      </c>
      <c r="AT4" s="96">
        <v>0.99077689333715413</v>
      </c>
      <c r="AU4" s="97">
        <v>1.0906232002470542</v>
      </c>
      <c r="AV4" s="97">
        <v>1</v>
      </c>
      <c r="AW4" s="97">
        <v>1.2329760891125532</v>
      </c>
      <c r="AX4" s="97">
        <v>1.1021312876108151</v>
      </c>
      <c r="AZ4" s="153" t="s">
        <v>284</v>
      </c>
      <c r="BA4" s="160">
        <v>4.6220272598486467</v>
      </c>
      <c r="BB4" s="161">
        <v>1.5075960352131823</v>
      </c>
      <c r="BC4" s="161">
        <v>1</v>
      </c>
      <c r="BD4" s="161">
        <v>1.1965371599435377</v>
      </c>
      <c r="BE4" s="162">
        <v>1.0493260933905049</v>
      </c>
      <c r="BG4" s="153" t="s">
        <v>284</v>
      </c>
      <c r="BH4" s="171">
        <v>7.1432157999226602</v>
      </c>
      <c r="BI4" s="161">
        <v>1.3699970358871503</v>
      </c>
      <c r="BJ4" s="161">
        <v>1</v>
      </c>
      <c r="BK4" s="161">
        <v>0.60289124423046336</v>
      </c>
      <c r="BL4" s="161">
        <v>0.47247140588662556</v>
      </c>
      <c r="BN4" s="203"/>
      <c r="BO4" s="344"/>
      <c r="BP4" s="347" t="s">
        <v>128</v>
      </c>
      <c r="BQ4" s="351" t="s">
        <v>132</v>
      </c>
      <c r="BR4" s="351" t="s">
        <v>131</v>
      </c>
      <c r="BS4" s="351" t="s">
        <v>220</v>
      </c>
      <c r="BT4" s="355" t="s">
        <v>221</v>
      </c>
    </row>
    <row r="5" spans="1:72" ht="15" x14ac:dyDescent="0.25">
      <c r="A5" s="115" t="s">
        <v>223</v>
      </c>
      <c r="B5" s="116" t="s">
        <v>78</v>
      </c>
      <c r="C5" s="117" t="s">
        <v>278</v>
      </c>
      <c r="D5" s="118">
        <v>11.986000000000001</v>
      </c>
      <c r="E5" s="119">
        <v>13.622999999999999</v>
      </c>
      <c r="F5" s="119">
        <v>12.135</v>
      </c>
      <c r="G5" s="119">
        <v>16.044</v>
      </c>
      <c r="H5" s="120">
        <v>13.815</v>
      </c>
      <c r="I5" s="105"/>
      <c r="J5" s="115" t="s">
        <v>239</v>
      </c>
      <c r="K5" s="116" t="s">
        <v>91</v>
      </c>
      <c r="L5" s="117" t="s">
        <v>277</v>
      </c>
      <c r="M5" s="118">
        <v>1.393</v>
      </c>
      <c r="N5" s="119">
        <v>2.4950000000000001</v>
      </c>
      <c r="O5" s="119">
        <v>1.629</v>
      </c>
      <c r="P5" s="119">
        <v>4.0380000000000003</v>
      </c>
      <c r="Q5" s="120">
        <v>3.3559999999999999</v>
      </c>
      <c r="R5" s="105"/>
      <c r="S5" s="115" t="s">
        <v>254</v>
      </c>
      <c r="T5" s="116" t="s">
        <v>73</v>
      </c>
      <c r="U5" s="117" t="s">
        <v>124</v>
      </c>
      <c r="V5" s="118">
        <f t="shared" si="0"/>
        <v>81.902999999999992</v>
      </c>
      <c r="W5" s="119">
        <f t="shared" si="0"/>
        <v>93.489000000000004</v>
      </c>
      <c r="X5" s="119">
        <f t="shared" si="0"/>
        <v>81.290999999999997</v>
      </c>
      <c r="Y5" s="119">
        <f t="shared" si="0"/>
        <v>132.98699999999999</v>
      </c>
      <c r="Z5" s="120">
        <f t="shared" si="0"/>
        <v>123.14400000000001</v>
      </c>
      <c r="AB5" s="115" t="s">
        <v>223</v>
      </c>
      <c r="AC5" s="150" t="s">
        <v>78</v>
      </c>
      <c r="AD5" s="96">
        <v>0.98772146683147921</v>
      </c>
      <c r="AE5" s="97">
        <v>1.122620519159456</v>
      </c>
      <c r="AF5" s="97">
        <v>1</v>
      </c>
      <c r="AG5" s="97">
        <v>1.3221260815822002</v>
      </c>
      <c r="AH5" s="98">
        <v>1.1384425216316441</v>
      </c>
      <c r="AJ5" s="115" t="s">
        <v>223</v>
      </c>
      <c r="AK5" s="150" t="s">
        <v>78</v>
      </c>
      <c r="AL5" s="96">
        <v>0.99384177152677544</v>
      </c>
      <c r="AM5" s="97">
        <v>1.0595378800021527</v>
      </c>
      <c r="AN5" s="97">
        <v>1</v>
      </c>
      <c r="AO5" s="97">
        <v>1.1498374152819173</v>
      </c>
      <c r="AP5" s="97">
        <v>1.0669782198487672</v>
      </c>
      <c r="AR5" s="115" t="s">
        <v>223</v>
      </c>
      <c r="AS5" s="150" t="s">
        <v>78</v>
      </c>
      <c r="AT5" s="96">
        <v>0.99077689333715413</v>
      </c>
      <c r="AU5" s="97">
        <v>1.0906232002470542</v>
      </c>
      <c r="AV5" s="97">
        <v>1</v>
      </c>
      <c r="AW5" s="97">
        <v>1.2329760891125532</v>
      </c>
      <c r="AX5" s="97">
        <v>1.1021312876108151</v>
      </c>
      <c r="AZ5" s="153" t="s">
        <v>6</v>
      </c>
      <c r="BA5" s="160">
        <v>4.5808772274606069</v>
      </c>
      <c r="BB5" s="161">
        <v>1.1871590012038562</v>
      </c>
      <c r="BC5" s="161">
        <v>1</v>
      </c>
      <c r="BD5" s="161">
        <v>0.33729703620053275</v>
      </c>
      <c r="BE5" s="162">
        <v>0.23575447698691168</v>
      </c>
      <c r="BG5" s="153" t="s">
        <v>6</v>
      </c>
      <c r="BH5" s="171">
        <v>5.8623658136082213</v>
      </c>
      <c r="BI5" s="161">
        <v>1.1918386303051778</v>
      </c>
      <c r="BJ5" s="161">
        <v>1</v>
      </c>
      <c r="BK5" s="161">
        <v>0.16160879351178498</v>
      </c>
      <c r="BL5" s="161">
        <v>0.15074259063462073</v>
      </c>
      <c r="BN5" s="203"/>
      <c r="BO5" s="345"/>
      <c r="BP5" s="348"/>
      <c r="BQ5" s="352"/>
      <c r="BR5" s="352"/>
      <c r="BS5" s="352"/>
      <c r="BT5" s="356"/>
    </row>
    <row r="6" spans="1:72" ht="15" x14ac:dyDescent="0.25">
      <c r="A6" s="115" t="s">
        <v>224</v>
      </c>
      <c r="B6" s="116" t="s">
        <v>79</v>
      </c>
      <c r="C6" s="117" t="s">
        <v>278</v>
      </c>
      <c r="D6" s="118">
        <v>27.300999999999998</v>
      </c>
      <c r="E6" s="119">
        <v>31.163</v>
      </c>
      <c r="F6" s="119">
        <v>27.097000000000001</v>
      </c>
      <c r="G6" s="119">
        <v>44.329000000000001</v>
      </c>
      <c r="H6" s="120">
        <v>41.048000000000002</v>
      </c>
      <c r="I6" s="105"/>
      <c r="J6" s="115" t="s">
        <v>240</v>
      </c>
      <c r="K6" s="116" t="s">
        <v>92</v>
      </c>
      <c r="L6" s="117" t="s">
        <v>277</v>
      </c>
      <c r="M6" s="118">
        <v>4.5190000000000001</v>
      </c>
      <c r="N6" s="119">
        <v>4.9859999999999998</v>
      </c>
      <c r="O6" s="119">
        <v>4.601</v>
      </c>
      <c r="P6" s="119">
        <v>6.673</v>
      </c>
      <c r="Q6" s="120">
        <v>5.524</v>
      </c>
      <c r="R6" s="105"/>
      <c r="S6" s="115" t="s">
        <v>255</v>
      </c>
      <c r="T6" s="116" t="s">
        <v>74</v>
      </c>
      <c r="U6" s="117" t="s">
        <v>124</v>
      </c>
      <c r="V6" s="118">
        <f t="shared" si="0"/>
        <v>76.5</v>
      </c>
      <c r="W6" s="119">
        <f t="shared" si="0"/>
        <v>68.319000000000003</v>
      </c>
      <c r="X6" s="119">
        <f t="shared" si="0"/>
        <v>63.54</v>
      </c>
      <c r="Y6" s="119">
        <f t="shared" si="0"/>
        <v>89.177999999999997</v>
      </c>
      <c r="Z6" s="120">
        <f t="shared" si="0"/>
        <v>71.36099999999999</v>
      </c>
      <c r="AB6" s="115" t="s">
        <v>224</v>
      </c>
      <c r="AC6" s="150" t="s">
        <v>79</v>
      </c>
      <c r="AD6" s="96">
        <v>1.0075285086909989</v>
      </c>
      <c r="AE6" s="97">
        <v>1.1500535114588331</v>
      </c>
      <c r="AF6" s="97">
        <v>1</v>
      </c>
      <c r="AG6" s="97">
        <v>1.6359375576632098</v>
      </c>
      <c r="AH6" s="98">
        <v>1.514854042882976</v>
      </c>
      <c r="AJ6" s="115" t="s">
        <v>224</v>
      </c>
      <c r="AK6" s="150" t="s">
        <v>79</v>
      </c>
      <c r="AL6" s="96">
        <v>1.0037571960842915</v>
      </c>
      <c r="AM6" s="97">
        <v>1.0724054790324569</v>
      </c>
      <c r="AN6" s="97">
        <v>1</v>
      </c>
      <c r="AO6" s="97">
        <v>1.2790377467702858</v>
      </c>
      <c r="AP6" s="97">
        <v>1.2307940700551721</v>
      </c>
      <c r="AR6" s="115" t="s">
        <v>224</v>
      </c>
      <c r="AS6" s="150" t="s">
        <v>79</v>
      </c>
      <c r="AT6" s="96">
        <v>1.005641084512096</v>
      </c>
      <c r="AU6" s="97">
        <v>1.1105510735076387</v>
      </c>
      <c r="AV6" s="97">
        <v>1</v>
      </c>
      <c r="AW6" s="97">
        <v>1.4465219969327934</v>
      </c>
      <c r="AX6" s="97">
        <v>1.3654572029102452</v>
      </c>
      <c r="AZ6" s="153" t="s">
        <v>4</v>
      </c>
      <c r="BA6" s="160">
        <v>2.1738742106332705</v>
      </c>
      <c r="BB6" s="161">
        <v>1.1055925627733303</v>
      </c>
      <c r="BC6" s="161">
        <v>1</v>
      </c>
      <c r="BD6" s="161">
        <v>0.21950155547008629</v>
      </c>
      <c r="BE6" s="162">
        <v>0.22579632903561631</v>
      </c>
      <c r="BG6" s="153" t="s">
        <v>4</v>
      </c>
      <c r="BH6" s="171">
        <v>1.2249226353978919</v>
      </c>
      <c r="BI6" s="161">
        <v>0.79509696186833911</v>
      </c>
      <c r="BJ6" s="161">
        <v>1</v>
      </c>
      <c r="BK6" s="161">
        <v>4.0916653183394429E-2</v>
      </c>
      <c r="BL6" s="161">
        <v>6.7229127254093551E-2</v>
      </c>
      <c r="BN6" s="203"/>
      <c r="BO6" s="345"/>
      <c r="BP6" s="349"/>
      <c r="BQ6" s="353"/>
      <c r="BR6" s="353"/>
      <c r="BS6" s="353"/>
      <c r="BT6" s="357"/>
    </row>
    <row r="7" spans="1:72" ht="15.75" thickBot="1" x14ac:dyDescent="0.3">
      <c r="A7" s="115" t="s">
        <v>225</v>
      </c>
      <c r="B7" s="116" t="s">
        <v>80</v>
      </c>
      <c r="C7" s="117" t="s">
        <v>278</v>
      </c>
      <c r="D7" s="121">
        <v>25.5</v>
      </c>
      <c r="E7" s="119">
        <v>22.773</v>
      </c>
      <c r="F7" s="119">
        <v>21.18</v>
      </c>
      <c r="G7" s="119">
        <v>29.725999999999999</v>
      </c>
      <c r="H7" s="120">
        <v>23.786999999999999</v>
      </c>
      <c r="I7" s="105"/>
      <c r="J7" s="115" t="s">
        <v>241</v>
      </c>
      <c r="K7" s="116" t="s">
        <v>93</v>
      </c>
      <c r="L7" s="117" t="s">
        <v>277</v>
      </c>
      <c r="M7" s="118">
        <v>1.393</v>
      </c>
      <c r="N7" s="119">
        <v>2.4950000000000001</v>
      </c>
      <c r="O7" s="119">
        <v>1.629</v>
      </c>
      <c r="P7" s="119">
        <v>4.0380000000000003</v>
      </c>
      <c r="Q7" s="120">
        <v>3.3559999999999999</v>
      </c>
      <c r="R7" s="105"/>
      <c r="S7" s="115" t="s">
        <v>256</v>
      </c>
      <c r="T7" s="116" t="s">
        <v>75</v>
      </c>
      <c r="U7" s="117" t="s">
        <v>124</v>
      </c>
      <c r="V7" s="118">
        <f t="shared" si="0"/>
        <v>81.902999999999992</v>
      </c>
      <c r="W7" s="119">
        <f t="shared" si="0"/>
        <v>93.489000000000004</v>
      </c>
      <c r="X7" s="119">
        <f t="shared" si="0"/>
        <v>81.290999999999997</v>
      </c>
      <c r="Y7" s="119">
        <f t="shared" si="0"/>
        <v>132.98699999999999</v>
      </c>
      <c r="Z7" s="120">
        <f t="shared" si="0"/>
        <v>123.14400000000001</v>
      </c>
      <c r="AB7" s="115" t="s">
        <v>225</v>
      </c>
      <c r="AC7" s="150" t="s">
        <v>80</v>
      </c>
      <c r="AD7" s="96">
        <v>1.2039660056657224</v>
      </c>
      <c r="AE7" s="97">
        <v>1.0752124645892351</v>
      </c>
      <c r="AF7" s="97">
        <v>1</v>
      </c>
      <c r="AG7" s="97">
        <v>1.4034938621340887</v>
      </c>
      <c r="AH7" s="98">
        <v>1.1230878186968838</v>
      </c>
      <c r="AJ7" s="115" t="s">
        <v>225</v>
      </c>
      <c r="AK7" s="150" t="s">
        <v>80</v>
      </c>
      <c r="AL7" s="96">
        <v>1.0972538474144087</v>
      </c>
      <c r="AM7" s="97">
        <v>1.0369245221274475</v>
      </c>
      <c r="AN7" s="97">
        <v>1</v>
      </c>
      <c r="AO7" s="97">
        <v>1.1846914628434226</v>
      </c>
      <c r="AP7" s="97">
        <v>1.0597583775072901</v>
      </c>
      <c r="AR7" s="115" t="s">
        <v>225</v>
      </c>
      <c r="AS7" s="150" t="s">
        <v>80</v>
      </c>
      <c r="AT7" s="96">
        <v>1.1493721468144562</v>
      </c>
      <c r="AU7" s="97">
        <v>1.0558949621196549</v>
      </c>
      <c r="AV7" s="97">
        <v>1</v>
      </c>
      <c r="AW7" s="97">
        <v>1.2894600407237902</v>
      </c>
      <c r="AX7" s="97">
        <v>1.0909636678370234</v>
      </c>
      <c r="AZ7" s="155" t="s">
        <v>285</v>
      </c>
      <c r="BA7" s="163">
        <v>4.438158166746728</v>
      </c>
      <c r="BB7" s="164">
        <v>1.3164927630575247</v>
      </c>
      <c r="BC7" s="164">
        <v>1</v>
      </c>
      <c r="BD7" s="164">
        <v>0.39951119836166016</v>
      </c>
      <c r="BE7" s="165">
        <v>0.27886102645347788</v>
      </c>
      <c r="BG7" s="155" t="s">
        <v>285</v>
      </c>
      <c r="BH7" s="172">
        <v>5.7399617344853597</v>
      </c>
      <c r="BI7" s="164">
        <v>1.276900867592019</v>
      </c>
      <c r="BJ7" s="164">
        <v>1</v>
      </c>
      <c r="BK7" s="164">
        <v>0.18091556914268939</v>
      </c>
      <c r="BL7" s="164">
        <v>0.16859883004785234</v>
      </c>
      <c r="BN7" s="203"/>
      <c r="BO7" s="345"/>
      <c r="BP7" s="349"/>
      <c r="BQ7" s="353"/>
      <c r="BR7" s="353"/>
      <c r="BS7" s="353"/>
      <c r="BT7" s="357"/>
    </row>
    <row r="8" spans="1:72" ht="21.75" thickBot="1" x14ac:dyDescent="0.4">
      <c r="A8" s="115" t="s">
        <v>226</v>
      </c>
      <c r="B8" s="116" t="s">
        <v>81</v>
      </c>
      <c r="C8" s="117" t="s">
        <v>278</v>
      </c>
      <c r="D8" s="118">
        <v>27.300999999999998</v>
      </c>
      <c r="E8" s="119">
        <v>31.163</v>
      </c>
      <c r="F8" s="119">
        <v>27.097000000000001</v>
      </c>
      <c r="G8" s="119">
        <v>44.329000000000001</v>
      </c>
      <c r="H8" s="120">
        <v>41.048000000000002</v>
      </c>
      <c r="I8" s="105"/>
      <c r="J8" s="115" t="s">
        <v>36</v>
      </c>
      <c r="K8" s="116" t="s">
        <v>100</v>
      </c>
      <c r="L8" s="117" t="s">
        <v>277</v>
      </c>
      <c r="M8" s="118">
        <v>9.3330000000000002</v>
      </c>
      <c r="N8" s="119">
        <v>12.667</v>
      </c>
      <c r="O8" s="119">
        <v>9.8719999999999999</v>
      </c>
      <c r="P8" s="119">
        <v>17.574999999999999</v>
      </c>
      <c r="Q8" s="120">
        <v>14.023999999999999</v>
      </c>
      <c r="R8" s="105"/>
      <c r="S8" s="115" t="s">
        <v>257</v>
      </c>
      <c r="T8" s="116" t="s">
        <v>137</v>
      </c>
      <c r="U8" s="117"/>
      <c r="V8" s="118">
        <f t="shared" ref="V8:Z9" si="1">D9/$C$24</f>
        <v>98.784631058344971</v>
      </c>
      <c r="W8" s="119">
        <f t="shared" si="1"/>
        <v>140.49241450460352</v>
      </c>
      <c r="X8" s="119">
        <f t="shared" si="1"/>
        <v>140.48086749921976</v>
      </c>
      <c r="Y8" s="119">
        <f t="shared" si="1"/>
        <v>183.55119758076583</v>
      </c>
      <c r="Z8" s="120">
        <f t="shared" si="1"/>
        <v>183.55119758076583</v>
      </c>
      <c r="AB8" s="115" t="s">
        <v>226</v>
      </c>
      <c r="AC8" s="150" t="s">
        <v>81</v>
      </c>
      <c r="AD8" s="96">
        <v>1.0075285086909989</v>
      </c>
      <c r="AE8" s="97">
        <v>1.1500535114588331</v>
      </c>
      <c r="AF8" s="97">
        <v>1</v>
      </c>
      <c r="AG8" s="97">
        <v>1.6359375576632098</v>
      </c>
      <c r="AH8" s="98">
        <v>1.514854042882976</v>
      </c>
      <c r="AJ8" s="115" t="s">
        <v>226</v>
      </c>
      <c r="AK8" s="150" t="s">
        <v>81</v>
      </c>
      <c r="AL8" s="96">
        <v>1.0037571960842915</v>
      </c>
      <c r="AM8" s="97">
        <v>1.0724054790324569</v>
      </c>
      <c r="AN8" s="97">
        <v>1</v>
      </c>
      <c r="AO8" s="97">
        <v>1.2790377467702858</v>
      </c>
      <c r="AP8" s="97">
        <v>1.2307940700551721</v>
      </c>
      <c r="AR8" s="115" t="s">
        <v>226</v>
      </c>
      <c r="AS8" s="150" t="s">
        <v>81</v>
      </c>
      <c r="AT8" s="96">
        <v>1.005641084512096</v>
      </c>
      <c r="AU8" s="97">
        <v>1.1105510735076387</v>
      </c>
      <c r="AV8" s="97">
        <v>1</v>
      </c>
      <c r="AW8" s="97">
        <v>1.4465219969327934</v>
      </c>
      <c r="AX8" s="97">
        <v>1.3654572029102452</v>
      </c>
      <c r="AZ8" s="156" t="s">
        <v>286</v>
      </c>
      <c r="BA8" s="166">
        <v>4.3653007057412463</v>
      </c>
      <c r="BB8" s="167">
        <v>1.3202566007264278</v>
      </c>
      <c r="BC8" s="167">
        <v>1</v>
      </c>
      <c r="BD8" s="167">
        <v>0.67676176040220004</v>
      </c>
      <c r="BE8" s="168">
        <v>0.58206495944164982</v>
      </c>
      <c r="BG8" s="156" t="s">
        <v>286</v>
      </c>
      <c r="BH8" s="173">
        <v>5.6166656057122868</v>
      </c>
      <c r="BI8" s="167">
        <v>1.1979535197987563</v>
      </c>
      <c r="BJ8" s="167">
        <v>1</v>
      </c>
      <c r="BK8" s="167">
        <v>0.32014646294383359</v>
      </c>
      <c r="BL8" s="167">
        <v>0.27053378970145747</v>
      </c>
      <c r="BN8" s="203"/>
      <c r="BO8" s="345"/>
      <c r="BP8" s="349"/>
      <c r="BQ8" s="353"/>
      <c r="BR8" s="353"/>
      <c r="BS8" s="353"/>
      <c r="BT8" s="357"/>
    </row>
    <row r="9" spans="1:72" ht="15.75" thickBot="1" x14ac:dyDescent="0.3">
      <c r="A9" s="115" t="s">
        <v>227</v>
      </c>
      <c r="B9" s="116" t="s">
        <v>82</v>
      </c>
      <c r="C9" s="117" t="s">
        <v>126</v>
      </c>
      <c r="D9" s="118">
        <v>8.5549999999999997</v>
      </c>
      <c r="E9" s="119">
        <v>12.167</v>
      </c>
      <c r="F9" s="119">
        <v>12.166</v>
      </c>
      <c r="G9" s="119">
        <v>15.896000000000001</v>
      </c>
      <c r="H9" s="120">
        <v>15.896000000000001</v>
      </c>
      <c r="I9" s="105"/>
      <c r="J9" s="115" t="s">
        <v>242</v>
      </c>
      <c r="K9" s="116" t="s">
        <v>95</v>
      </c>
      <c r="L9" s="117" t="s">
        <v>126</v>
      </c>
      <c r="M9" s="118">
        <f>SQRT((8.125-7.057)^2+(0.67-0.29)^2)</f>
        <v>1.1335889907722283</v>
      </c>
      <c r="N9" s="119">
        <f>SQRT((7.97-6.273)^2+(0.621-0.307)^2)</f>
        <v>1.7258056089838161</v>
      </c>
      <c r="O9" s="119">
        <f>SQRT((8.03-6.293)^2+(0.553-0.224)^2)</f>
        <v>1.7678829146750634</v>
      </c>
      <c r="P9" s="119">
        <f>SQRT((7.514-5.785)^2+(0.572-0.301)^2)</f>
        <v>1.7501091394538799</v>
      </c>
      <c r="Q9" s="120">
        <f>SQRT((7.397-5.714)^2+(0.501-0.207)^2)</f>
        <v>1.708486172024813</v>
      </c>
      <c r="R9" s="105"/>
      <c r="S9" s="115" t="s">
        <v>258</v>
      </c>
      <c r="T9" s="116" t="s">
        <v>138</v>
      </c>
      <c r="U9" s="117"/>
      <c r="V9" s="118">
        <f t="shared" si="1"/>
        <v>98.784631058344971</v>
      </c>
      <c r="W9" s="119">
        <f t="shared" si="1"/>
        <v>140.49241450460352</v>
      </c>
      <c r="X9" s="119">
        <f t="shared" si="1"/>
        <v>140.48086749921976</v>
      </c>
      <c r="Y9" s="119">
        <f t="shared" si="1"/>
        <v>183.55119758076583</v>
      </c>
      <c r="Z9" s="120">
        <f t="shared" si="1"/>
        <v>183.55119758076583</v>
      </c>
      <c r="AB9" s="115" t="s">
        <v>227</v>
      </c>
      <c r="AC9" s="150" t="s">
        <v>82</v>
      </c>
      <c r="AD9" s="96">
        <v>0.70318921584744365</v>
      </c>
      <c r="AE9" s="97">
        <v>1.0000821962847279</v>
      </c>
      <c r="AF9" s="97">
        <v>1</v>
      </c>
      <c r="AG9" s="97">
        <v>1.30659214203518</v>
      </c>
      <c r="AH9" s="98">
        <v>1.30659214203518</v>
      </c>
      <c r="AJ9" s="115" t="s">
        <v>227</v>
      </c>
      <c r="AK9" s="150" t="s">
        <v>82</v>
      </c>
      <c r="AL9" s="96">
        <v>0.58966900803652855</v>
      </c>
      <c r="AM9" s="97">
        <v>1.0001232969606431</v>
      </c>
      <c r="AN9" s="97">
        <v>1</v>
      </c>
      <c r="AO9" s="97">
        <v>1.4935166307415171</v>
      </c>
      <c r="AP9" s="97">
        <v>1.4935166307415171</v>
      </c>
      <c r="AR9" s="115" t="s">
        <v>227</v>
      </c>
      <c r="AS9" s="150" t="s">
        <v>82</v>
      </c>
      <c r="AT9" s="96">
        <v>0.70318921584744365</v>
      </c>
      <c r="AU9" s="97">
        <v>1.0000821962847279</v>
      </c>
      <c r="AV9" s="97">
        <v>1</v>
      </c>
      <c r="AW9" s="97">
        <v>1.30659214203518</v>
      </c>
      <c r="AX9" s="97">
        <v>1.30659214203518</v>
      </c>
      <c r="BN9" s="203"/>
      <c r="BO9" s="346"/>
      <c r="BP9" s="350"/>
      <c r="BQ9" s="354"/>
      <c r="BR9" s="354"/>
      <c r="BS9" s="354"/>
      <c r="BT9" s="358"/>
    </row>
    <row r="10" spans="1:72" ht="21" x14ac:dyDescent="0.35">
      <c r="A10" s="115" t="s">
        <v>228</v>
      </c>
      <c r="B10" s="116" t="s">
        <v>84</v>
      </c>
      <c r="C10" s="117" t="s">
        <v>126</v>
      </c>
      <c r="D10" s="118">
        <v>8.5549999999999997</v>
      </c>
      <c r="E10" s="119">
        <v>12.167</v>
      </c>
      <c r="F10" s="119">
        <v>12.166</v>
      </c>
      <c r="G10" s="119">
        <v>15.896000000000001</v>
      </c>
      <c r="H10" s="120">
        <v>15.896000000000001</v>
      </c>
      <c r="I10" s="105"/>
      <c r="J10" s="115" t="s">
        <v>243</v>
      </c>
      <c r="K10" s="116" t="s">
        <v>96</v>
      </c>
      <c r="L10" s="117" t="s">
        <v>126</v>
      </c>
      <c r="M10" s="118">
        <f>SQRT((8.125-7.057)^2+(0.67-0.29)^2)</f>
        <v>1.1335889907722283</v>
      </c>
      <c r="N10" s="119">
        <f>SQRT((7.97-6.273)^2+(0.621-0.307)^2)</f>
        <v>1.7258056089838161</v>
      </c>
      <c r="O10" s="119">
        <f>SQRT((8.03-6.293)^2+(0.553-0.224)^2)</f>
        <v>1.7678829146750634</v>
      </c>
      <c r="P10" s="119">
        <f>SQRT((7.514-5.785)^2+(0.572-0.301)^2)</f>
        <v>1.7501091394538799</v>
      </c>
      <c r="Q10" s="120">
        <f>SQRT((7.397-5.714)^2+(0.501-0.207)^2)</f>
        <v>1.708486172024813</v>
      </c>
      <c r="R10" s="105"/>
      <c r="S10" s="115" t="s">
        <v>259</v>
      </c>
      <c r="T10" s="116" t="s">
        <v>139</v>
      </c>
      <c r="U10" s="117"/>
      <c r="V10" s="118">
        <f t="shared" ref="V10:Z12" si="2">D11/$C$23</f>
        <v>100.95381849830028</v>
      </c>
      <c r="W10" s="119">
        <f t="shared" si="2"/>
        <v>131.62596394204857</v>
      </c>
      <c r="X10" s="119">
        <f t="shared" si="2"/>
        <v>131.43791271151252</v>
      </c>
      <c r="Y10" s="119">
        <f t="shared" si="2"/>
        <v>163.97077559424909</v>
      </c>
      <c r="Z10" s="120">
        <f t="shared" si="2"/>
        <v>163.97077559424909</v>
      </c>
      <c r="AB10" s="115" t="s">
        <v>228</v>
      </c>
      <c r="AC10" s="150" t="s">
        <v>84</v>
      </c>
      <c r="AD10" s="96">
        <v>0.70318921584744365</v>
      </c>
      <c r="AE10" s="97">
        <v>1.0000821962847279</v>
      </c>
      <c r="AF10" s="97">
        <v>1</v>
      </c>
      <c r="AG10" s="97">
        <v>1.30659214203518</v>
      </c>
      <c r="AH10" s="98">
        <v>1.30659214203518</v>
      </c>
      <c r="AJ10" s="115" t="s">
        <v>228</v>
      </c>
      <c r="AK10" s="150" t="s">
        <v>84</v>
      </c>
      <c r="AL10" s="96">
        <v>0.58966900803652855</v>
      </c>
      <c r="AM10" s="97">
        <v>1.0001232969606431</v>
      </c>
      <c r="AN10" s="97">
        <v>1</v>
      </c>
      <c r="AO10" s="97">
        <v>1.4935166307415171</v>
      </c>
      <c r="AP10" s="97">
        <v>1.4935166307415171</v>
      </c>
      <c r="AR10" s="115" t="s">
        <v>228</v>
      </c>
      <c r="AS10" s="150" t="s">
        <v>84</v>
      </c>
      <c r="AT10" s="96">
        <v>0.70318921584744365</v>
      </c>
      <c r="AU10" s="97">
        <v>1.0000821962847279</v>
      </c>
      <c r="AV10" s="97">
        <v>1</v>
      </c>
      <c r="AW10" s="97">
        <v>1.30659214203518</v>
      </c>
      <c r="AX10" s="97">
        <v>1.30659214203518</v>
      </c>
      <c r="AZ10" s="105" t="s">
        <v>282</v>
      </c>
      <c r="BG10" s="105" t="s">
        <v>289</v>
      </c>
      <c r="BO10" s="189" t="s">
        <v>314</v>
      </c>
      <c r="BP10" s="199">
        <v>16</v>
      </c>
      <c r="BQ10" s="200">
        <v>16</v>
      </c>
      <c r="BR10" s="200">
        <v>18</v>
      </c>
      <c r="BS10" s="200">
        <v>16</v>
      </c>
      <c r="BT10" s="201">
        <v>18</v>
      </c>
    </row>
    <row r="11" spans="1:72" ht="21" x14ac:dyDescent="0.35">
      <c r="A11" s="115" t="s">
        <v>229</v>
      </c>
      <c r="B11" s="116" t="s">
        <v>85</v>
      </c>
      <c r="C11" s="117" t="s">
        <v>126</v>
      </c>
      <c r="D11" s="118">
        <v>10.199999999999999</v>
      </c>
      <c r="E11" s="119">
        <v>13.298999999999999</v>
      </c>
      <c r="F11" s="119">
        <v>13.28</v>
      </c>
      <c r="G11" s="119">
        <v>16.567</v>
      </c>
      <c r="H11" s="120">
        <v>16.567</v>
      </c>
      <c r="I11" s="105"/>
      <c r="J11" s="115" t="s">
        <v>244</v>
      </c>
      <c r="K11" s="116" t="s">
        <v>97</v>
      </c>
      <c r="L11" s="117" t="s">
        <v>126</v>
      </c>
      <c r="M11" s="118">
        <f>SQRT((11.136-11.006)^2+(1.135-0.92)^2)</f>
        <v>0.25124689052802174</v>
      </c>
      <c r="N11" s="119">
        <f>SQRT((11.564-11.515)^2+(1.444-0.965)^2)</f>
        <v>0.48149974039453014</v>
      </c>
      <c r="O11" s="119">
        <f>SQRT((11.695-11.59)^2+(1.3-0.832)^2)</f>
        <v>0.47963423564211943</v>
      </c>
      <c r="P11" s="119">
        <f>SQRT((12.502-12.009)^2+(1.537-1.053)^2)</f>
        <v>0.69087263659809273</v>
      </c>
      <c r="Q11" s="120">
        <f>SQRT((12.49-12.037)^2+(1.335-0.859)^2)</f>
        <v>0.6571034926098015</v>
      </c>
      <c r="R11" s="105"/>
      <c r="S11" s="115" t="s">
        <v>260</v>
      </c>
      <c r="T11" s="116" t="s">
        <v>140</v>
      </c>
      <c r="U11" s="117"/>
      <c r="V11" s="118">
        <f t="shared" si="2"/>
        <v>101.06269026334748</v>
      </c>
      <c r="W11" s="119">
        <f t="shared" si="2"/>
        <v>131.62596394204857</v>
      </c>
      <c r="X11" s="119">
        <f t="shared" si="2"/>
        <v>131.56657934293193</v>
      </c>
      <c r="Y11" s="119">
        <f t="shared" si="2"/>
        <v>164.0994422256685</v>
      </c>
      <c r="Z11" s="120">
        <f t="shared" si="2"/>
        <v>164.0994422256685</v>
      </c>
      <c r="AB11" s="115" t="s">
        <v>229</v>
      </c>
      <c r="AC11" s="150" t="s">
        <v>85</v>
      </c>
      <c r="AD11" s="96">
        <v>0.76807228915662651</v>
      </c>
      <c r="AE11" s="97">
        <v>1.0014307228915662</v>
      </c>
      <c r="AF11" s="97">
        <v>1</v>
      </c>
      <c r="AG11" s="97">
        <v>1.2475150602409639</v>
      </c>
      <c r="AH11" s="98">
        <v>1.2475150602409639</v>
      </c>
      <c r="AJ11" s="115" t="s">
        <v>229</v>
      </c>
      <c r="AK11" s="150" t="s">
        <v>85</v>
      </c>
      <c r="AL11" s="96">
        <v>0.67313650746263631</v>
      </c>
      <c r="AM11" s="97">
        <v>1.0021468517674044</v>
      </c>
      <c r="AN11" s="97">
        <v>1</v>
      </c>
      <c r="AO11" s="97">
        <v>1.3933771870912137</v>
      </c>
      <c r="AP11" s="97">
        <v>1.3933771870912137</v>
      </c>
      <c r="AR11" s="115" t="s">
        <v>229</v>
      </c>
      <c r="AS11" s="150" t="s">
        <v>85</v>
      </c>
      <c r="AT11" s="96">
        <v>0.76807228915662651</v>
      </c>
      <c r="AU11" s="97">
        <v>1.0014307228915662</v>
      </c>
      <c r="AV11" s="97">
        <v>1</v>
      </c>
      <c r="AW11" s="97">
        <v>1.2475150602409639</v>
      </c>
      <c r="AX11" s="97">
        <v>1.2475150602409639</v>
      </c>
      <c r="BO11" s="190" t="s">
        <v>315</v>
      </c>
      <c r="BP11" s="192" t="s">
        <v>24</v>
      </c>
      <c r="BQ11" s="187">
        <v>3.1</v>
      </c>
      <c r="BR11" s="187">
        <v>3.1</v>
      </c>
      <c r="BS11" s="187">
        <v>2.6</v>
      </c>
      <c r="BT11" s="188">
        <v>2.6</v>
      </c>
    </row>
    <row r="12" spans="1:72" ht="21" x14ac:dyDescent="0.35">
      <c r="A12" s="115" t="s">
        <v>230</v>
      </c>
      <c r="B12" s="116" t="s">
        <v>86</v>
      </c>
      <c r="C12" s="117" t="s">
        <v>126</v>
      </c>
      <c r="D12" s="118">
        <v>10.211</v>
      </c>
      <c r="E12" s="119">
        <v>13.298999999999999</v>
      </c>
      <c r="F12" s="119">
        <v>13.292999999999999</v>
      </c>
      <c r="G12" s="119">
        <v>16.579999999999998</v>
      </c>
      <c r="H12" s="120">
        <v>16.579999999999998</v>
      </c>
      <c r="I12" s="105"/>
      <c r="J12" s="115" t="s">
        <v>245</v>
      </c>
      <c r="K12" s="116" t="s">
        <v>98</v>
      </c>
      <c r="L12" s="117" t="s">
        <v>126</v>
      </c>
      <c r="M12" s="118">
        <f>10.987-10.637</f>
        <v>0.34999999999999964</v>
      </c>
      <c r="N12" s="119">
        <f>11.458-11.014</f>
        <v>0.44400000000000084</v>
      </c>
      <c r="O12" s="119">
        <f>11.464-11.035</f>
        <v>0.42900000000000027</v>
      </c>
      <c r="P12" s="119">
        <f>12.339-11.303</f>
        <v>1.0359999999999996</v>
      </c>
      <c r="Q12" s="120">
        <f>12.299-11.176</f>
        <v>1.1229999999999993</v>
      </c>
      <c r="R12" s="105"/>
      <c r="S12" s="115" t="s">
        <v>261</v>
      </c>
      <c r="T12" s="116" t="s">
        <v>141</v>
      </c>
      <c r="U12" s="117"/>
      <c r="V12" s="118">
        <f t="shared" si="2"/>
        <v>100.95381849830028</v>
      </c>
      <c r="W12" s="119">
        <f t="shared" si="2"/>
        <v>131.62596394204857</v>
      </c>
      <c r="X12" s="119">
        <f t="shared" si="2"/>
        <v>131.43791271151252</v>
      </c>
      <c r="Y12" s="119">
        <f t="shared" si="2"/>
        <v>163.97077559424909</v>
      </c>
      <c r="Z12" s="120">
        <f t="shared" si="2"/>
        <v>163.97077559424909</v>
      </c>
      <c r="AB12" s="115" t="s">
        <v>230</v>
      </c>
      <c r="AC12" s="150" t="s">
        <v>86</v>
      </c>
      <c r="AD12" s="96">
        <v>0.76814864966523744</v>
      </c>
      <c r="AE12" s="97">
        <v>1.0004513653802753</v>
      </c>
      <c r="AF12" s="97">
        <v>1</v>
      </c>
      <c r="AG12" s="97">
        <v>1.247273000827503</v>
      </c>
      <c r="AH12" s="98">
        <v>1.247273000827503</v>
      </c>
      <c r="AJ12" s="115" t="s">
        <v>230</v>
      </c>
      <c r="AK12" s="150" t="s">
        <v>86</v>
      </c>
      <c r="AL12" s="96">
        <v>0.67323689317697188</v>
      </c>
      <c r="AM12" s="97">
        <v>1.0006771244636816</v>
      </c>
      <c r="AN12" s="97">
        <v>1</v>
      </c>
      <c r="AO12" s="97">
        <v>1.3929716644879571</v>
      </c>
      <c r="AP12" s="97">
        <v>1.3929716644879571</v>
      </c>
      <c r="AR12" s="115" t="s">
        <v>230</v>
      </c>
      <c r="AS12" s="150" t="s">
        <v>86</v>
      </c>
      <c r="AT12" s="96">
        <v>0.76814864966523744</v>
      </c>
      <c r="AU12" s="97">
        <v>1.0004513653802753</v>
      </c>
      <c r="AV12" s="97">
        <v>1</v>
      </c>
      <c r="AW12" s="97">
        <v>1.247273000827503</v>
      </c>
      <c r="AX12" s="97">
        <v>1.247273000827503</v>
      </c>
      <c r="BO12" s="190" t="s">
        <v>316</v>
      </c>
      <c r="BP12" s="193">
        <v>1.116572154827842</v>
      </c>
      <c r="BQ12" s="194">
        <v>1.0439267316067238</v>
      </c>
      <c r="BR12" s="194">
        <v>1</v>
      </c>
      <c r="BS12" s="194">
        <v>0.89883400937849156</v>
      </c>
      <c r="BT12" s="195">
        <v>0.86451717638255532</v>
      </c>
    </row>
    <row r="13" spans="1:72" ht="21.75" thickBot="1" x14ac:dyDescent="0.4">
      <c r="A13" s="115" t="s">
        <v>231</v>
      </c>
      <c r="B13" s="116" t="s">
        <v>87</v>
      </c>
      <c r="C13" s="117" t="s">
        <v>126</v>
      </c>
      <c r="D13" s="118">
        <v>10.199999999999999</v>
      </c>
      <c r="E13" s="119">
        <v>13.298999999999999</v>
      </c>
      <c r="F13" s="119">
        <v>13.28</v>
      </c>
      <c r="G13" s="119">
        <v>16.567</v>
      </c>
      <c r="H13" s="120">
        <v>16.567</v>
      </c>
      <c r="I13" s="105"/>
      <c r="J13" s="115" t="s">
        <v>246</v>
      </c>
      <c r="K13" s="116" t="s">
        <v>99</v>
      </c>
      <c r="L13" s="117" t="s">
        <v>126</v>
      </c>
      <c r="M13" s="118">
        <f>SQRT((11.136-11.006)^2+(1.135-0.92)^2)</f>
        <v>0.25124689052802174</v>
      </c>
      <c r="N13" s="119">
        <f>SQRT((11.564-11.515)^2+(1.444-0.965)^2)</f>
        <v>0.48149974039453014</v>
      </c>
      <c r="O13" s="119">
        <f>SQRT((11.695-11.59)^2+(1.3-0.832)^2)</f>
        <v>0.47963423564211943</v>
      </c>
      <c r="P13" s="119">
        <f>SQRT((12.502-12.009)^2+(1.537-1.053)^2)</f>
        <v>0.69087263659809273</v>
      </c>
      <c r="Q13" s="120">
        <f>SQRT((12.49-12.037)^2+(1.335-0.859)^2)</f>
        <v>0.6571034926098015</v>
      </c>
      <c r="R13" s="105"/>
      <c r="S13" s="115" t="s">
        <v>262</v>
      </c>
      <c r="T13" s="122" t="s">
        <v>166</v>
      </c>
      <c r="U13" s="117" t="s">
        <v>190</v>
      </c>
      <c r="V13" s="118">
        <f t="shared" ref="V13:Z17" si="3">V3*9.81/M3</f>
        <v>386.36142387732747</v>
      </c>
      <c r="W13" s="119">
        <f t="shared" si="3"/>
        <v>339.19195431472082</v>
      </c>
      <c r="X13" s="119">
        <f t="shared" si="3"/>
        <v>421.64468713105083</v>
      </c>
      <c r="Y13" s="119">
        <f t="shared" si="3"/>
        <v>373.85187648456071</v>
      </c>
      <c r="Z13" s="120">
        <f t="shared" si="3"/>
        <v>545.00730563002685</v>
      </c>
      <c r="AB13" s="115" t="s">
        <v>231</v>
      </c>
      <c r="AC13" s="150" t="s">
        <v>87</v>
      </c>
      <c r="AD13" s="96">
        <v>0.76807228915662651</v>
      </c>
      <c r="AE13" s="97">
        <v>1.0014307228915662</v>
      </c>
      <c r="AF13" s="97">
        <v>1</v>
      </c>
      <c r="AG13" s="97">
        <v>1.2475150602409639</v>
      </c>
      <c r="AH13" s="98">
        <v>1.2475150602409639</v>
      </c>
      <c r="AJ13" s="115" t="s">
        <v>231</v>
      </c>
      <c r="AK13" s="150" t="s">
        <v>87</v>
      </c>
      <c r="AL13" s="96">
        <v>0.67313650746263631</v>
      </c>
      <c r="AM13" s="97">
        <v>1.0021468517674044</v>
      </c>
      <c r="AN13" s="97">
        <v>1</v>
      </c>
      <c r="AO13" s="97">
        <v>1.3933771870912137</v>
      </c>
      <c r="AP13" s="97">
        <v>1.3933771870912137</v>
      </c>
      <c r="AR13" s="115" t="s">
        <v>231</v>
      </c>
      <c r="AS13" s="150" t="s">
        <v>87</v>
      </c>
      <c r="AT13" s="96">
        <v>0.76807228915662651</v>
      </c>
      <c r="AU13" s="97">
        <v>1.0014307228915662</v>
      </c>
      <c r="AV13" s="97">
        <v>1</v>
      </c>
      <c r="AW13" s="97">
        <v>1.2475150602409639</v>
      </c>
      <c r="AX13" s="97">
        <v>1.2475150602409639</v>
      </c>
      <c r="BO13" s="191" t="s">
        <v>317</v>
      </c>
      <c r="BP13" s="196">
        <v>1.128661218297101</v>
      </c>
      <c r="BQ13" s="197">
        <v>1.0639469775729085</v>
      </c>
      <c r="BR13" s="197">
        <v>1</v>
      </c>
      <c r="BS13" s="197">
        <v>0.96559348419288216</v>
      </c>
      <c r="BT13" s="198">
        <v>0.92542149435740417</v>
      </c>
    </row>
    <row r="14" spans="1:72" ht="15" x14ac:dyDescent="0.25">
      <c r="A14" s="115" t="s">
        <v>232</v>
      </c>
      <c r="B14" s="116" t="s">
        <v>111</v>
      </c>
      <c r="C14" s="117"/>
      <c r="D14" s="123">
        <v>3</v>
      </c>
      <c r="E14" s="124">
        <v>4</v>
      </c>
      <c r="F14" s="124">
        <v>4</v>
      </c>
      <c r="G14" s="124">
        <v>4</v>
      </c>
      <c r="H14" s="125">
        <v>4</v>
      </c>
      <c r="I14" s="105"/>
      <c r="J14" s="115" t="s">
        <v>247</v>
      </c>
      <c r="K14" s="116" t="s">
        <v>117</v>
      </c>
      <c r="L14" s="117" t="s">
        <v>277</v>
      </c>
      <c r="M14" s="118">
        <v>4.4530000000000003</v>
      </c>
      <c r="N14" s="119">
        <v>5.1749999999999998</v>
      </c>
      <c r="O14" s="119">
        <v>4.6379999999999999</v>
      </c>
      <c r="P14" s="119">
        <v>4.83</v>
      </c>
      <c r="Q14" s="120">
        <v>3.8980000000000001</v>
      </c>
      <c r="S14" s="115" t="s">
        <v>263</v>
      </c>
      <c r="T14" s="122" t="s">
        <v>168</v>
      </c>
      <c r="U14" s="117" t="s">
        <v>190</v>
      </c>
      <c r="V14" s="118">
        <f t="shared" si="3"/>
        <v>386.36142387732747</v>
      </c>
      <c r="W14" s="119">
        <f t="shared" si="3"/>
        <v>339.19195431472082</v>
      </c>
      <c r="X14" s="119">
        <f t="shared" si="3"/>
        <v>421.64468713105083</v>
      </c>
      <c r="Y14" s="119">
        <f t="shared" si="3"/>
        <v>373.85187648456071</v>
      </c>
      <c r="Z14" s="120">
        <f t="shared" si="3"/>
        <v>545.00730563002685</v>
      </c>
      <c r="AB14" s="115" t="s">
        <v>232</v>
      </c>
      <c r="AC14" s="150" t="s">
        <v>111</v>
      </c>
      <c r="AD14" s="96">
        <v>0.75</v>
      </c>
      <c r="AE14" s="97">
        <v>1</v>
      </c>
      <c r="AF14" s="97">
        <v>1</v>
      </c>
      <c r="AG14" s="97">
        <v>1</v>
      </c>
      <c r="AH14" s="98">
        <v>1</v>
      </c>
      <c r="AJ14" s="115" t="s">
        <v>232</v>
      </c>
      <c r="AK14" s="150" t="s">
        <v>111</v>
      </c>
      <c r="AL14" s="96">
        <v>0.75</v>
      </c>
      <c r="AM14" s="97">
        <v>1</v>
      </c>
      <c r="AN14" s="97">
        <v>1</v>
      </c>
      <c r="AO14" s="97">
        <v>1</v>
      </c>
      <c r="AP14" s="97">
        <v>1</v>
      </c>
      <c r="AR14" s="115" t="s">
        <v>232</v>
      </c>
      <c r="AS14" s="150" t="s">
        <v>111</v>
      </c>
      <c r="AT14" s="96">
        <v>0.8660254037844386</v>
      </c>
      <c r="AU14" s="97">
        <v>1</v>
      </c>
      <c r="AV14" s="97">
        <v>1</v>
      </c>
      <c r="AW14" s="97">
        <v>1</v>
      </c>
      <c r="AX14" s="97">
        <v>1</v>
      </c>
    </row>
    <row r="15" spans="1:72" ht="15" x14ac:dyDescent="0.25">
      <c r="A15" s="115" t="s">
        <v>233</v>
      </c>
      <c r="B15" s="116" t="s">
        <v>113</v>
      </c>
      <c r="C15" s="117"/>
      <c r="D15" s="123">
        <v>2</v>
      </c>
      <c r="E15" s="124">
        <v>2</v>
      </c>
      <c r="F15" s="124">
        <v>2</v>
      </c>
      <c r="G15" s="124">
        <v>2</v>
      </c>
      <c r="H15" s="125">
        <v>2</v>
      </c>
      <c r="I15" s="105"/>
      <c r="J15" s="115" t="s">
        <v>248</v>
      </c>
      <c r="K15" s="116" t="s">
        <v>119</v>
      </c>
      <c r="L15" s="117" t="s">
        <v>277</v>
      </c>
      <c r="M15" s="118">
        <v>4.4530000000000003</v>
      </c>
      <c r="N15" s="119">
        <v>5.1749999999999998</v>
      </c>
      <c r="O15" s="119">
        <v>4.6379999999999999</v>
      </c>
      <c r="P15" s="119">
        <v>4.83</v>
      </c>
      <c r="Q15" s="120">
        <v>3.8980000000000001</v>
      </c>
      <c r="S15" s="115" t="s">
        <v>264</v>
      </c>
      <c r="T15" s="122" t="s">
        <v>167</v>
      </c>
      <c r="U15" s="117" t="s">
        <v>190</v>
      </c>
      <c r="V15" s="118">
        <f t="shared" si="3"/>
        <v>576.78997128499645</v>
      </c>
      <c r="W15" s="119">
        <f t="shared" si="3"/>
        <v>367.58600801603205</v>
      </c>
      <c r="X15" s="119">
        <f t="shared" si="3"/>
        <v>489.54248618784527</v>
      </c>
      <c r="Y15" s="119">
        <f t="shared" si="3"/>
        <v>323.08134472511142</v>
      </c>
      <c r="Z15" s="120">
        <f t="shared" si="3"/>
        <v>359.96502979737789</v>
      </c>
      <c r="AB15" s="115" t="s">
        <v>233</v>
      </c>
      <c r="AC15" s="150" t="s">
        <v>113</v>
      </c>
      <c r="AD15" s="96">
        <v>1</v>
      </c>
      <c r="AE15" s="97">
        <v>1</v>
      </c>
      <c r="AF15" s="97">
        <v>1</v>
      </c>
      <c r="AG15" s="97">
        <v>1</v>
      </c>
      <c r="AH15" s="98">
        <v>1</v>
      </c>
      <c r="AJ15" s="115" t="s">
        <v>233</v>
      </c>
      <c r="AK15" s="150" t="s">
        <v>113</v>
      </c>
      <c r="AL15" s="96">
        <v>1</v>
      </c>
      <c r="AM15" s="97">
        <v>1</v>
      </c>
      <c r="AN15" s="97">
        <v>1</v>
      </c>
      <c r="AO15" s="97">
        <v>1</v>
      </c>
      <c r="AP15" s="97">
        <v>1</v>
      </c>
      <c r="AR15" s="115" t="s">
        <v>233</v>
      </c>
      <c r="AS15" s="150" t="s">
        <v>113</v>
      </c>
      <c r="AT15" s="96">
        <v>1</v>
      </c>
      <c r="AU15" s="97">
        <v>1</v>
      </c>
      <c r="AV15" s="97">
        <v>1</v>
      </c>
      <c r="AW15" s="97">
        <v>1</v>
      </c>
      <c r="AX15" s="97">
        <v>1</v>
      </c>
    </row>
    <row r="16" spans="1:72" ht="15" x14ac:dyDescent="0.25">
      <c r="A16" s="115" t="s">
        <v>234</v>
      </c>
      <c r="B16" s="116" t="s">
        <v>114</v>
      </c>
      <c r="C16" s="117"/>
      <c r="D16" s="123">
        <v>4</v>
      </c>
      <c r="E16" s="124">
        <v>4</v>
      </c>
      <c r="F16" s="124">
        <v>4</v>
      </c>
      <c r="G16" s="124">
        <v>4</v>
      </c>
      <c r="H16" s="125">
        <v>4</v>
      </c>
      <c r="I16" s="105"/>
      <c r="J16" s="115" t="s">
        <v>249</v>
      </c>
      <c r="K16" s="116" t="s">
        <v>120</v>
      </c>
      <c r="L16" s="117" t="s">
        <v>277</v>
      </c>
      <c r="M16" s="118">
        <v>5.3780000000000001</v>
      </c>
      <c r="N16" s="119">
        <v>7.1680000000000001</v>
      </c>
      <c r="O16" s="119">
        <v>6.21</v>
      </c>
      <c r="P16" s="119">
        <v>9.9749999999999996</v>
      </c>
      <c r="Q16" s="120">
        <v>9.468</v>
      </c>
      <c r="S16" s="115" t="s">
        <v>265</v>
      </c>
      <c r="T16" s="122" t="s">
        <v>169</v>
      </c>
      <c r="U16" s="117" t="s">
        <v>190</v>
      </c>
      <c r="V16" s="118">
        <f t="shared" si="3"/>
        <v>166.06882053551672</v>
      </c>
      <c r="W16" s="119">
        <f t="shared" si="3"/>
        <v>134.41824909747294</v>
      </c>
      <c r="X16" s="119">
        <f t="shared" si="3"/>
        <v>135.4765051075853</v>
      </c>
      <c r="Y16" s="119">
        <f t="shared" si="3"/>
        <v>131.10088116289526</v>
      </c>
      <c r="Z16" s="120">
        <f t="shared" si="3"/>
        <v>126.72907494569151</v>
      </c>
      <c r="AB16" s="115" t="s">
        <v>234</v>
      </c>
      <c r="AC16" s="150" t="s">
        <v>114</v>
      </c>
      <c r="AD16" s="96">
        <v>1</v>
      </c>
      <c r="AE16" s="97">
        <v>1</v>
      </c>
      <c r="AF16" s="97">
        <v>1</v>
      </c>
      <c r="AG16" s="97">
        <v>1</v>
      </c>
      <c r="AH16" s="98">
        <v>1</v>
      </c>
      <c r="AJ16" s="115" t="s">
        <v>234</v>
      </c>
      <c r="AK16" s="150" t="s">
        <v>114</v>
      </c>
      <c r="AL16" s="96">
        <v>1</v>
      </c>
      <c r="AM16" s="97">
        <v>1</v>
      </c>
      <c r="AN16" s="97">
        <v>1</v>
      </c>
      <c r="AO16" s="97">
        <v>1</v>
      </c>
      <c r="AP16" s="97">
        <v>1</v>
      </c>
      <c r="AR16" s="115" t="s">
        <v>234</v>
      </c>
      <c r="AS16" s="150" t="s">
        <v>114</v>
      </c>
      <c r="AT16" s="96">
        <v>1</v>
      </c>
      <c r="AU16" s="97">
        <v>1</v>
      </c>
      <c r="AV16" s="97">
        <v>1</v>
      </c>
      <c r="AW16" s="97">
        <v>1</v>
      </c>
      <c r="AX16" s="97">
        <v>1</v>
      </c>
      <c r="BN16" s="202"/>
    </row>
    <row r="17" spans="1:67" ht="15" x14ac:dyDescent="0.25">
      <c r="A17" s="115" t="s">
        <v>235</v>
      </c>
      <c r="B17" s="116" t="s">
        <v>115</v>
      </c>
      <c r="C17" s="117"/>
      <c r="D17" s="123">
        <v>3</v>
      </c>
      <c r="E17" s="124">
        <v>3</v>
      </c>
      <c r="F17" s="124">
        <v>3</v>
      </c>
      <c r="G17" s="124">
        <v>3</v>
      </c>
      <c r="H17" s="125">
        <v>3</v>
      </c>
      <c r="I17" s="105"/>
      <c r="J17" s="115" t="s">
        <v>250</v>
      </c>
      <c r="K17" s="116" t="s">
        <v>121</v>
      </c>
      <c r="L17" s="117" t="s">
        <v>277</v>
      </c>
      <c r="M17" s="118">
        <v>4.9340000000000002</v>
      </c>
      <c r="N17" s="119">
        <v>5.4509999999999996</v>
      </c>
      <c r="O17" s="119">
        <v>5.0350000000000001</v>
      </c>
      <c r="P17" s="119">
        <v>7.34</v>
      </c>
      <c r="Q17" s="120">
        <v>6.0532000000000004</v>
      </c>
      <c r="S17" s="115" t="s">
        <v>266</v>
      </c>
      <c r="T17" s="122" t="s">
        <v>170</v>
      </c>
      <c r="U17" s="117" t="s">
        <v>190</v>
      </c>
      <c r="V17" s="118">
        <f t="shared" si="3"/>
        <v>576.78997128499645</v>
      </c>
      <c r="W17" s="119">
        <f t="shared" si="3"/>
        <v>367.58600801603205</v>
      </c>
      <c r="X17" s="119">
        <f t="shared" si="3"/>
        <v>489.54248618784527</v>
      </c>
      <c r="Y17" s="119">
        <f t="shared" si="3"/>
        <v>323.08134472511142</v>
      </c>
      <c r="Z17" s="120">
        <f t="shared" si="3"/>
        <v>359.96502979737789</v>
      </c>
      <c r="AB17" s="115" t="s">
        <v>235</v>
      </c>
      <c r="AC17" s="150" t="s">
        <v>115</v>
      </c>
      <c r="AD17" s="96">
        <v>1</v>
      </c>
      <c r="AE17" s="97">
        <v>1</v>
      </c>
      <c r="AF17" s="97">
        <v>1</v>
      </c>
      <c r="AG17" s="97">
        <v>1</v>
      </c>
      <c r="AH17" s="98">
        <v>1</v>
      </c>
      <c r="AJ17" s="115" t="s">
        <v>235</v>
      </c>
      <c r="AK17" s="150" t="s">
        <v>115</v>
      </c>
      <c r="AL17" s="96">
        <v>1</v>
      </c>
      <c r="AM17" s="97">
        <v>1</v>
      </c>
      <c r="AN17" s="97">
        <v>1</v>
      </c>
      <c r="AO17" s="97">
        <v>1</v>
      </c>
      <c r="AP17" s="97">
        <v>1</v>
      </c>
      <c r="AR17" s="115" t="s">
        <v>235</v>
      </c>
      <c r="AS17" s="150" t="s">
        <v>115</v>
      </c>
      <c r="AT17" s="96">
        <v>1</v>
      </c>
      <c r="AU17" s="97">
        <v>1</v>
      </c>
      <c r="AV17" s="97">
        <v>1</v>
      </c>
      <c r="AW17" s="97">
        <v>1</v>
      </c>
      <c r="AX17" s="97">
        <v>1</v>
      </c>
      <c r="BN17" s="202"/>
      <c r="BO17" s="202"/>
    </row>
    <row r="18" spans="1:67" ht="15.75" thickBot="1" x14ac:dyDescent="0.3">
      <c r="A18" s="127" t="s">
        <v>236</v>
      </c>
      <c r="B18" s="128" t="s">
        <v>116</v>
      </c>
      <c r="C18" s="129"/>
      <c r="D18" s="130">
        <v>4</v>
      </c>
      <c r="E18" s="131">
        <v>4</v>
      </c>
      <c r="F18" s="131">
        <v>4</v>
      </c>
      <c r="G18" s="131">
        <v>4</v>
      </c>
      <c r="H18" s="132">
        <v>4</v>
      </c>
      <c r="I18" s="105"/>
      <c r="J18" s="127" t="s">
        <v>251</v>
      </c>
      <c r="K18" s="128" t="s">
        <v>122</v>
      </c>
      <c r="L18" s="129" t="s">
        <v>277</v>
      </c>
      <c r="M18" s="133">
        <v>5.3780000000000001</v>
      </c>
      <c r="N18" s="134">
        <v>7.1680000000000001</v>
      </c>
      <c r="O18" s="134">
        <v>6.21</v>
      </c>
      <c r="P18" s="134">
        <v>9.9749999999999996</v>
      </c>
      <c r="Q18" s="135">
        <v>9.468</v>
      </c>
      <c r="S18" s="115" t="s">
        <v>267</v>
      </c>
      <c r="T18" s="122" t="s">
        <v>171</v>
      </c>
      <c r="U18" s="117" t="s">
        <v>191</v>
      </c>
      <c r="V18" s="136">
        <f t="shared" ref="V18:Z22" si="4">V3*M9*9.81</f>
        <v>399.87122664514214</v>
      </c>
      <c r="W18" s="137">
        <f t="shared" si="4"/>
        <v>691.91842394321941</v>
      </c>
      <c r="X18" s="137">
        <f t="shared" si="4"/>
        <v>631.36941736079518</v>
      </c>
      <c r="Y18" s="137">
        <f t="shared" si="4"/>
        <v>826.35764291290479</v>
      </c>
      <c r="Z18" s="138">
        <f t="shared" si="4"/>
        <v>694.62853420976569</v>
      </c>
      <c r="AB18" s="115" t="s">
        <v>236</v>
      </c>
      <c r="AC18" s="150" t="s">
        <v>116</v>
      </c>
      <c r="AD18" s="96">
        <v>1</v>
      </c>
      <c r="AE18" s="97">
        <v>1</v>
      </c>
      <c r="AF18" s="97">
        <v>1</v>
      </c>
      <c r="AG18" s="97">
        <v>1</v>
      </c>
      <c r="AH18" s="98">
        <v>1</v>
      </c>
      <c r="AJ18" s="115" t="s">
        <v>236</v>
      </c>
      <c r="AK18" s="150" t="s">
        <v>116</v>
      </c>
      <c r="AL18" s="96">
        <v>1</v>
      </c>
      <c r="AM18" s="97">
        <v>1</v>
      </c>
      <c r="AN18" s="97">
        <v>1</v>
      </c>
      <c r="AO18" s="97">
        <v>1</v>
      </c>
      <c r="AP18" s="97">
        <v>1</v>
      </c>
      <c r="AR18" s="115" t="s">
        <v>236</v>
      </c>
      <c r="AS18" s="150" t="s">
        <v>116</v>
      </c>
      <c r="AT18" s="96">
        <v>1</v>
      </c>
      <c r="AU18" s="97">
        <v>1</v>
      </c>
      <c r="AV18" s="97">
        <v>1</v>
      </c>
      <c r="AW18" s="97">
        <v>1</v>
      </c>
      <c r="AX18" s="97">
        <v>1</v>
      </c>
      <c r="BN18" s="202"/>
      <c r="BO18" s="202"/>
    </row>
    <row r="19" spans="1:67" ht="15" x14ac:dyDescent="0.25"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15" t="s">
        <v>268</v>
      </c>
      <c r="T19" s="122" t="s">
        <v>172</v>
      </c>
      <c r="U19" s="117" t="s">
        <v>191</v>
      </c>
      <c r="V19" s="136">
        <f t="shared" si="4"/>
        <v>399.87122664514214</v>
      </c>
      <c r="W19" s="137">
        <f t="shared" si="4"/>
        <v>691.91842394321941</v>
      </c>
      <c r="X19" s="137">
        <f t="shared" si="4"/>
        <v>631.36941736079518</v>
      </c>
      <c r="Y19" s="137">
        <f t="shared" si="4"/>
        <v>826.35764291290479</v>
      </c>
      <c r="Z19" s="138">
        <f t="shared" si="4"/>
        <v>694.62853420976569</v>
      </c>
      <c r="AB19" s="115" t="s">
        <v>257</v>
      </c>
      <c r="AC19" s="150" t="s">
        <v>137</v>
      </c>
      <c r="AD19" s="96">
        <v>0.70318921584744365</v>
      </c>
      <c r="AE19" s="97">
        <v>1.0000821962847277</v>
      </c>
      <c r="AF19" s="97">
        <v>1</v>
      </c>
      <c r="AG19" s="97">
        <v>1.30659214203518</v>
      </c>
      <c r="AH19" s="98">
        <v>1.30659214203518</v>
      </c>
      <c r="AJ19" s="115" t="s">
        <v>257</v>
      </c>
      <c r="AK19" s="150" t="s">
        <v>137</v>
      </c>
      <c r="AL19" s="96">
        <v>0.64393236241918017</v>
      </c>
      <c r="AM19" s="97">
        <v>1.0001027464115488</v>
      </c>
      <c r="AN19" s="97">
        <v>1</v>
      </c>
      <c r="AO19" s="97">
        <v>1.3969313131738881</v>
      </c>
      <c r="AP19" s="97">
        <v>1.3969313131738881</v>
      </c>
      <c r="AR19" s="115" t="s">
        <v>257</v>
      </c>
      <c r="AS19" s="150" t="s">
        <v>137</v>
      </c>
      <c r="AT19" s="96">
        <v>0.58966900803652855</v>
      </c>
      <c r="AU19" s="97">
        <v>1.0001232969606428</v>
      </c>
      <c r="AV19" s="97">
        <v>1</v>
      </c>
      <c r="AW19" s="97">
        <v>1.4935166307415171</v>
      </c>
      <c r="AX19" s="97">
        <v>1.4935166307415171</v>
      </c>
      <c r="BN19" s="202"/>
      <c r="BO19" s="202"/>
    </row>
    <row r="20" spans="1:67" ht="15" x14ac:dyDescent="0.25"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15" t="s">
        <v>269</v>
      </c>
      <c r="T20" s="122" t="s">
        <v>173</v>
      </c>
      <c r="U20" s="117" t="s">
        <v>191</v>
      </c>
      <c r="V20" s="136">
        <f t="shared" si="4"/>
        <v>201.86894467493147</v>
      </c>
      <c r="W20" s="137">
        <f t="shared" si="4"/>
        <v>441.59645574379095</v>
      </c>
      <c r="X20" s="137">
        <f t="shared" si="4"/>
        <v>382.49137663241447</v>
      </c>
      <c r="Y20" s="137">
        <f t="shared" si="4"/>
        <v>901.31414816128415</v>
      </c>
      <c r="Z20" s="138">
        <f t="shared" si="4"/>
        <v>793.80903796556515</v>
      </c>
      <c r="AB20" s="115" t="s">
        <v>258</v>
      </c>
      <c r="AC20" s="150" t="s">
        <v>138</v>
      </c>
      <c r="AD20" s="96">
        <v>0.70318921584744365</v>
      </c>
      <c r="AE20" s="97">
        <v>1.0000821962847277</v>
      </c>
      <c r="AF20" s="97">
        <v>1</v>
      </c>
      <c r="AG20" s="97">
        <v>1.30659214203518</v>
      </c>
      <c r="AH20" s="98">
        <v>1.30659214203518</v>
      </c>
      <c r="AJ20" s="115" t="s">
        <v>258</v>
      </c>
      <c r="AK20" s="150" t="s">
        <v>138</v>
      </c>
      <c r="AL20" s="96">
        <v>0.64393236241918017</v>
      </c>
      <c r="AM20" s="97">
        <v>1.0001027464115488</v>
      </c>
      <c r="AN20" s="97">
        <v>1</v>
      </c>
      <c r="AO20" s="97">
        <v>1.3969313131738881</v>
      </c>
      <c r="AP20" s="97">
        <v>1.3969313131738881</v>
      </c>
      <c r="AR20" s="115" t="s">
        <v>258</v>
      </c>
      <c r="AS20" s="150" t="s">
        <v>138</v>
      </c>
      <c r="AT20" s="96">
        <v>0.58966900803652855</v>
      </c>
      <c r="AU20" s="97">
        <v>1.0001232969606428</v>
      </c>
      <c r="AV20" s="97">
        <v>1</v>
      </c>
      <c r="AW20" s="97">
        <v>1.4935166307415171</v>
      </c>
      <c r="AX20" s="97">
        <v>1.4935166307415171</v>
      </c>
      <c r="BN20" s="202"/>
      <c r="BO20" s="202"/>
    </row>
    <row r="21" spans="1:67" ht="15" x14ac:dyDescent="0.25">
      <c r="B21" s="139" t="s">
        <v>134</v>
      </c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15" t="s">
        <v>270</v>
      </c>
      <c r="T21" s="122" t="s">
        <v>174</v>
      </c>
      <c r="U21" s="117" t="s">
        <v>191</v>
      </c>
      <c r="V21" s="136">
        <f t="shared" si="4"/>
        <v>262.66274999999973</v>
      </c>
      <c r="W21" s="137">
        <f t="shared" si="4"/>
        <v>297.57296916000058</v>
      </c>
      <c r="X21" s="137">
        <f t="shared" si="4"/>
        <v>267.40745460000016</v>
      </c>
      <c r="Y21" s="137">
        <f t="shared" si="4"/>
        <v>906.3302824799996</v>
      </c>
      <c r="Z21" s="138">
        <f t="shared" si="4"/>
        <v>786.15773342999944</v>
      </c>
      <c r="AB21" s="115" t="s">
        <v>259</v>
      </c>
      <c r="AC21" s="150" t="s">
        <v>139</v>
      </c>
      <c r="AD21" s="96">
        <v>0.76807228915662651</v>
      </c>
      <c r="AE21" s="97">
        <v>1.0014307228915662</v>
      </c>
      <c r="AF21" s="97">
        <v>1</v>
      </c>
      <c r="AG21" s="97">
        <v>1.2475150602409639</v>
      </c>
      <c r="AH21" s="98">
        <v>1.2475150602409639</v>
      </c>
      <c r="AJ21" s="115" t="s">
        <v>259</v>
      </c>
      <c r="AK21" s="150" t="s">
        <v>139</v>
      </c>
      <c r="AL21" s="96">
        <v>0.71903928835754427</v>
      </c>
      <c r="AM21" s="97">
        <v>1.001788723338878</v>
      </c>
      <c r="AN21" s="97">
        <v>1</v>
      </c>
      <c r="AO21" s="97">
        <v>1.3184305159895535</v>
      </c>
      <c r="AP21" s="97">
        <v>1.3184305159895535</v>
      </c>
      <c r="AR21" s="115" t="s">
        <v>259</v>
      </c>
      <c r="AS21" s="150" t="s">
        <v>139</v>
      </c>
      <c r="AT21" s="96">
        <v>0.67313650746263631</v>
      </c>
      <c r="AU21" s="97">
        <v>1.0021468517674044</v>
      </c>
      <c r="AV21" s="97">
        <v>1</v>
      </c>
      <c r="AW21" s="97">
        <v>1.3933771870912137</v>
      </c>
      <c r="AX21" s="97">
        <v>1.3933771870912137</v>
      </c>
      <c r="BN21" s="202"/>
      <c r="BO21" s="202"/>
    </row>
    <row r="22" spans="1:67" ht="15" x14ac:dyDescent="0.25">
      <c r="B22" s="105" t="s">
        <v>136</v>
      </c>
      <c r="C22" s="105">
        <v>3</v>
      </c>
      <c r="D22" s="126" t="s">
        <v>279</v>
      </c>
      <c r="E22" s="126" t="s">
        <v>144</v>
      </c>
      <c r="G22" s="126" t="s">
        <v>145</v>
      </c>
      <c r="H22" s="126" t="s">
        <v>189</v>
      </c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15" t="s">
        <v>271</v>
      </c>
      <c r="T22" s="122" t="s">
        <v>175</v>
      </c>
      <c r="U22" s="117" t="s">
        <v>191</v>
      </c>
      <c r="V22" s="136">
        <f t="shared" si="4"/>
        <v>201.86894467493147</v>
      </c>
      <c r="W22" s="137">
        <f t="shared" si="4"/>
        <v>441.59645574379095</v>
      </c>
      <c r="X22" s="137">
        <f t="shared" si="4"/>
        <v>382.49137663241447</v>
      </c>
      <c r="Y22" s="137">
        <f t="shared" si="4"/>
        <v>901.31414816128415</v>
      </c>
      <c r="Z22" s="138">
        <f t="shared" si="4"/>
        <v>793.80903796556515</v>
      </c>
      <c r="AB22" s="115" t="s">
        <v>260</v>
      </c>
      <c r="AC22" s="150" t="s">
        <v>140</v>
      </c>
      <c r="AD22" s="96">
        <v>0.76814864966523733</v>
      </c>
      <c r="AE22" s="97">
        <v>1.0004513653802753</v>
      </c>
      <c r="AF22" s="97">
        <v>1</v>
      </c>
      <c r="AG22" s="97">
        <v>1.2472730008275033</v>
      </c>
      <c r="AH22" s="98">
        <v>1.2472730008275033</v>
      </c>
      <c r="AJ22" s="115" t="s">
        <v>260</v>
      </c>
      <c r="AK22" s="150" t="s">
        <v>140</v>
      </c>
      <c r="AL22" s="96">
        <v>0.71912864662639497</v>
      </c>
      <c r="AM22" s="97">
        <v>1.0005642385546758</v>
      </c>
      <c r="AN22" s="97">
        <v>1</v>
      </c>
      <c r="AO22" s="97">
        <v>1.3181107495326698</v>
      </c>
      <c r="AP22" s="97">
        <v>1.3181107495326698</v>
      </c>
      <c r="AR22" s="115" t="s">
        <v>260</v>
      </c>
      <c r="AS22" s="150" t="s">
        <v>140</v>
      </c>
      <c r="AT22" s="96">
        <v>0.67323689317697177</v>
      </c>
      <c r="AU22" s="97">
        <v>1.0006771244636816</v>
      </c>
      <c r="AV22" s="97">
        <v>1</v>
      </c>
      <c r="AW22" s="97">
        <v>1.3929716644879575</v>
      </c>
      <c r="AX22" s="97">
        <v>1.3929716644879575</v>
      </c>
      <c r="BN22" s="202"/>
      <c r="BO22" s="202"/>
    </row>
    <row r="23" spans="1:67" ht="15" x14ac:dyDescent="0.25">
      <c r="B23" s="105" t="s">
        <v>142</v>
      </c>
      <c r="C23" s="140">
        <f>(H23/(E23*G23))^(1/2)</f>
        <v>0.1010362971081845</v>
      </c>
      <c r="D23" s="126" t="s">
        <v>126</v>
      </c>
      <c r="E23" s="126">
        <v>1</v>
      </c>
      <c r="G23" s="126">
        <v>0.35</v>
      </c>
      <c r="H23" s="141">
        <f>E23*(G23^3)/12</f>
        <v>3.5729166666666656E-3</v>
      </c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15" t="s">
        <v>272</v>
      </c>
      <c r="T23" s="122" t="s">
        <v>176</v>
      </c>
      <c r="U23" s="117"/>
      <c r="V23" s="136">
        <f>M14/(V$3-M$5)</f>
        <v>0.1288297410675539</v>
      </c>
      <c r="W23" s="137">
        <f>N14/(W$3-N$5)</f>
        <v>0.13485693438265492</v>
      </c>
      <c r="X23" s="137">
        <f>O14/(X$3-O$5)</f>
        <v>0.13336783988957901</v>
      </c>
      <c r="Y23" s="137">
        <f>P14/(Y$3-P$5)</f>
        <v>0.109538712750034</v>
      </c>
      <c r="Z23" s="138">
        <f>Q14/(Z$3-Q$5)</f>
        <v>0.10233925805350627</v>
      </c>
      <c r="AB23" s="115" t="s">
        <v>261</v>
      </c>
      <c r="AC23" s="150" t="s">
        <v>141</v>
      </c>
      <c r="AD23" s="96">
        <v>0.76807228915662651</v>
      </c>
      <c r="AE23" s="97">
        <v>1.0014307228915662</v>
      </c>
      <c r="AF23" s="97">
        <v>1</v>
      </c>
      <c r="AG23" s="97">
        <v>1.2475150602409639</v>
      </c>
      <c r="AH23" s="98">
        <v>1.2475150602409639</v>
      </c>
      <c r="AJ23" s="115" t="s">
        <v>261</v>
      </c>
      <c r="AK23" s="150" t="s">
        <v>141</v>
      </c>
      <c r="AL23" s="96">
        <v>0.71903928835754427</v>
      </c>
      <c r="AM23" s="97">
        <v>1.001788723338878</v>
      </c>
      <c r="AN23" s="97">
        <v>1</v>
      </c>
      <c r="AO23" s="97">
        <v>1.3184305159895535</v>
      </c>
      <c r="AP23" s="97">
        <v>1.3184305159895535</v>
      </c>
      <c r="AR23" s="115" t="s">
        <v>261</v>
      </c>
      <c r="AS23" s="150" t="s">
        <v>141</v>
      </c>
      <c r="AT23" s="96">
        <v>0.67313650746263631</v>
      </c>
      <c r="AU23" s="97">
        <v>1.0021468517674044</v>
      </c>
      <c r="AV23" s="97">
        <v>1</v>
      </c>
      <c r="AW23" s="97">
        <v>1.3933771870912137</v>
      </c>
      <c r="AX23" s="97">
        <v>1.3933771870912137</v>
      </c>
    </row>
    <row r="24" spans="1:67" ht="15" x14ac:dyDescent="0.25">
      <c r="B24" s="105" t="s">
        <v>143</v>
      </c>
      <c r="C24" s="140">
        <f>(H24/(E24*G24))^(1/2)</f>
        <v>8.6602540378443865E-2</v>
      </c>
      <c r="D24" s="126" t="s">
        <v>126</v>
      </c>
      <c r="E24" s="126">
        <v>1</v>
      </c>
      <c r="G24" s="126">
        <v>0.3</v>
      </c>
      <c r="H24" s="141">
        <f>E24*(G24^3)/12</f>
        <v>2.2499999999999998E-3</v>
      </c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15" t="s">
        <v>273</v>
      </c>
      <c r="T24" s="122" t="s">
        <v>177</v>
      </c>
      <c r="U24" s="117"/>
      <c r="V24" s="136">
        <f>M15/V$3</f>
        <v>0.12383892318816399</v>
      </c>
      <c r="W24" s="137">
        <f>N15/W$3</f>
        <v>0.12662409160977758</v>
      </c>
      <c r="X24" s="137">
        <f>O15/X$3</f>
        <v>0.12740008240626288</v>
      </c>
      <c r="Y24" s="137">
        <f>P15/Y$3</f>
        <v>0.10034904013961604</v>
      </c>
      <c r="Z24" s="138">
        <f>Q15/Z$3</f>
        <v>9.4052358547472556E-2</v>
      </c>
      <c r="AB24" s="115" t="s">
        <v>262</v>
      </c>
      <c r="AC24" s="151" t="s">
        <v>166</v>
      </c>
      <c r="AD24" s="96">
        <v>0.91631991501233589</v>
      </c>
      <c r="AE24" s="97">
        <v>0.80444972904235124</v>
      </c>
      <c r="AF24" s="97">
        <v>1</v>
      </c>
      <c r="AG24" s="97">
        <v>0.88665145771981302</v>
      </c>
      <c r="AH24" s="98">
        <v>1.2925748201367324</v>
      </c>
      <c r="AJ24" s="115" t="s">
        <v>262</v>
      </c>
      <c r="AK24" s="151" t="s">
        <v>166</v>
      </c>
      <c r="AL24" s="96">
        <v>0.97838949579529411</v>
      </c>
      <c r="AM24" s="97">
        <v>0.94705396668199049</v>
      </c>
      <c r="AN24" s="97">
        <v>1</v>
      </c>
      <c r="AO24" s="97">
        <v>0.97037194770381741</v>
      </c>
      <c r="AP24" s="97">
        <v>1.066261977879976</v>
      </c>
      <c r="AR24" s="115" t="s">
        <v>262</v>
      </c>
      <c r="AS24" s="151" t="s">
        <v>166</v>
      </c>
      <c r="AT24" s="96">
        <v>0.85818806340076514</v>
      </c>
      <c r="AU24" s="97">
        <v>0.6833183633912322</v>
      </c>
      <c r="AV24" s="97">
        <v>1</v>
      </c>
      <c r="AW24" s="97">
        <v>0.81015409538263261</v>
      </c>
      <c r="AX24" s="97">
        <v>1.5669222951881103</v>
      </c>
    </row>
    <row r="25" spans="1:67" ht="15" x14ac:dyDescent="0.25"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15" t="s">
        <v>274</v>
      </c>
      <c r="T25" s="122" t="s">
        <v>178</v>
      </c>
      <c r="U25" s="117"/>
      <c r="V25" s="136">
        <f>M16/(V$3-M$4-M$5-M$8)</f>
        <v>0.22114396151157528</v>
      </c>
      <c r="W25" s="137">
        <f>N16/(W$3-N$4-N$5-N$8)</f>
        <v>0.2922731906218145</v>
      </c>
      <c r="X25" s="137">
        <f>O16/(X$3-O$4-O$5-O$8)</f>
        <v>0.25813692480359146</v>
      </c>
      <c r="Y25" s="137">
        <f>P16/(Y$3-P$4-P$5-P$8)</f>
        <v>0.39495565410199551</v>
      </c>
      <c r="Z25" s="138">
        <f>Q16/(Z$3-Q$4-Q$5-Q$8)</f>
        <v>0.40602084137398697</v>
      </c>
      <c r="AB25" s="115" t="s">
        <v>263</v>
      </c>
      <c r="AC25" s="151" t="s">
        <v>168</v>
      </c>
      <c r="AD25" s="96">
        <v>0.91631991501233589</v>
      </c>
      <c r="AE25" s="97">
        <v>0.80444972904235124</v>
      </c>
      <c r="AF25" s="97">
        <v>1</v>
      </c>
      <c r="AG25" s="97">
        <v>0.88665145771981302</v>
      </c>
      <c r="AH25" s="98">
        <v>1.2925748201367324</v>
      </c>
      <c r="AJ25" s="115" t="s">
        <v>263</v>
      </c>
      <c r="AK25" s="151" t="s">
        <v>168</v>
      </c>
      <c r="AL25" s="96">
        <v>0.97838949579529411</v>
      </c>
      <c r="AM25" s="97">
        <v>0.94705396668199049</v>
      </c>
      <c r="AN25" s="97">
        <v>1</v>
      </c>
      <c r="AO25" s="97">
        <v>0.97037194770381741</v>
      </c>
      <c r="AP25" s="97">
        <v>1.066261977879976</v>
      </c>
      <c r="AR25" s="115" t="s">
        <v>263</v>
      </c>
      <c r="AS25" s="151" t="s">
        <v>168</v>
      </c>
      <c r="AT25" s="96">
        <v>0.85818806340076514</v>
      </c>
      <c r="AU25" s="97">
        <v>0.6833183633912322</v>
      </c>
      <c r="AV25" s="97">
        <v>1</v>
      </c>
      <c r="AW25" s="97">
        <v>0.81015409538263261</v>
      </c>
      <c r="AX25" s="97">
        <v>1.5669222951881103</v>
      </c>
    </row>
    <row r="26" spans="1:67" ht="15" x14ac:dyDescent="0.25"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15" t="s">
        <v>275</v>
      </c>
      <c r="T26" s="122" t="s">
        <v>179</v>
      </c>
      <c r="U26" s="117"/>
      <c r="V26" s="136">
        <f>M17/(V$3-M$4-M$5-M$6-M$8)</f>
        <v>0.24919191919191916</v>
      </c>
      <c r="W26" s="137">
        <f>N17/(W$3-N$4-N$5-N$6-N$8)</f>
        <v>0.27898050053738671</v>
      </c>
      <c r="X26" s="137">
        <f>O17/(X$3-O$4-O$5-O$6-O$8)</f>
        <v>0.25878906249999994</v>
      </c>
      <c r="Y26" s="137">
        <f>P17/(Y$3-P$4-P$5-P$6-P$8)</f>
        <v>0.39498466340203409</v>
      </c>
      <c r="Z26" s="138">
        <f>Q17/(Z$3-Q$4-Q$5-Q$6-Q$8)</f>
        <v>0.34016296712559718</v>
      </c>
      <c r="AB26" s="115" t="s">
        <v>264</v>
      </c>
      <c r="AC26" s="151" t="s">
        <v>167</v>
      </c>
      <c r="AD26" s="96">
        <v>1.1782224986774139</v>
      </c>
      <c r="AE26" s="97">
        <v>0.75087662130919408</v>
      </c>
      <c r="AF26" s="97">
        <v>1</v>
      </c>
      <c r="AG26" s="97">
        <v>0.65996589436190412</v>
      </c>
      <c r="AH26" s="98">
        <v>0.73530906908711813</v>
      </c>
      <c r="AJ26" s="115" t="s">
        <v>264</v>
      </c>
      <c r="AK26" s="151" t="s">
        <v>167</v>
      </c>
      <c r="AL26" s="96">
        <v>1.0418539146524106</v>
      </c>
      <c r="AM26" s="97">
        <v>0.93087666934374447</v>
      </c>
      <c r="AN26" s="97">
        <v>1</v>
      </c>
      <c r="AO26" s="97">
        <v>0.90132283318642048</v>
      </c>
      <c r="AP26" s="97">
        <v>0.92601384643049511</v>
      </c>
      <c r="AR26" s="115" t="s">
        <v>264</v>
      </c>
      <c r="AS26" s="151" t="s">
        <v>167</v>
      </c>
      <c r="AT26" s="96">
        <v>1.3324404092226221</v>
      </c>
      <c r="AU26" s="97">
        <v>0.60568249156592713</v>
      </c>
      <c r="AV26" s="97">
        <v>1</v>
      </c>
      <c r="AW26" s="97">
        <v>0.48323970688848866</v>
      </c>
      <c r="AX26" s="97">
        <v>0.5838783395798246</v>
      </c>
    </row>
    <row r="27" spans="1:67" ht="15.75" thickBot="1" x14ac:dyDescent="0.3"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27" t="s">
        <v>276</v>
      </c>
      <c r="T27" s="142" t="s">
        <v>180</v>
      </c>
      <c r="U27" s="129"/>
      <c r="V27" s="143">
        <f>M18/(V$3-M$4-M$5)</f>
        <v>0.15981219541186259</v>
      </c>
      <c r="W27" s="144">
        <f>N18/(W$3-N$4-N$5)</f>
        <v>0.19272961927296192</v>
      </c>
      <c r="X27" s="144">
        <f>O18/(X$3-O$4-O$5)</f>
        <v>0.18302926699873265</v>
      </c>
      <c r="Y27" s="144">
        <f>P18/(Y$3-P$4-P$5)</f>
        <v>0.23289206415913705</v>
      </c>
      <c r="Z27" s="145">
        <f>Q18/(Z$3-Q$4-Q$5)</f>
        <v>0.25354149372037599</v>
      </c>
      <c r="AB27" s="115" t="s">
        <v>265</v>
      </c>
      <c r="AC27" s="151" t="s">
        <v>169</v>
      </c>
      <c r="AD27" s="96">
        <v>1.2258127001699468</v>
      </c>
      <c r="AE27" s="97">
        <v>0.99218863810169911</v>
      </c>
      <c r="AF27" s="97">
        <v>1</v>
      </c>
      <c r="AG27" s="97">
        <v>0.96770197207836706</v>
      </c>
      <c r="AH27" s="98">
        <v>0.93543212415357757</v>
      </c>
      <c r="AJ27" s="115" t="s">
        <v>265</v>
      </c>
      <c r="AK27" s="151" t="s">
        <v>169</v>
      </c>
      <c r="AL27" s="96">
        <v>1.052218732345777</v>
      </c>
      <c r="AM27" s="97">
        <v>0.99804141294010307</v>
      </c>
      <c r="AN27" s="97">
        <v>1</v>
      </c>
      <c r="AO27" s="97">
        <v>0.99182581205825626</v>
      </c>
      <c r="AP27" s="97">
        <v>0.98345177846185339</v>
      </c>
      <c r="AR27" s="115" t="s">
        <v>265</v>
      </c>
      <c r="AS27" s="151" t="s">
        <v>169</v>
      </c>
      <c r="AT27" s="96">
        <v>1.4280460228531178</v>
      </c>
      <c r="AU27" s="97">
        <v>0.98637018545961386</v>
      </c>
      <c r="AV27" s="97">
        <v>1</v>
      </c>
      <c r="AW27" s="97">
        <v>0.94416488800692466</v>
      </c>
      <c r="AX27" s="97">
        <v>0.88975715745519435</v>
      </c>
    </row>
    <row r="28" spans="1:67" ht="15" x14ac:dyDescent="0.25"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AB28" s="115" t="s">
        <v>266</v>
      </c>
      <c r="AC28" s="151" t="s">
        <v>170</v>
      </c>
      <c r="AD28" s="96">
        <v>1.1782224986774139</v>
      </c>
      <c r="AE28" s="97">
        <v>0.75087662130919408</v>
      </c>
      <c r="AF28" s="97">
        <v>1</v>
      </c>
      <c r="AG28" s="97">
        <v>0.65996589436190412</v>
      </c>
      <c r="AH28" s="98">
        <v>0.73530906908711813</v>
      </c>
      <c r="AJ28" s="115" t="s">
        <v>266</v>
      </c>
      <c r="AK28" s="151" t="s">
        <v>170</v>
      </c>
      <c r="AL28" s="96">
        <v>1.0418539146524106</v>
      </c>
      <c r="AM28" s="97">
        <v>0.93087666934374447</v>
      </c>
      <c r="AN28" s="97">
        <v>1</v>
      </c>
      <c r="AO28" s="97">
        <v>0.90132283318642048</v>
      </c>
      <c r="AP28" s="97">
        <v>0.92601384643049511</v>
      </c>
      <c r="AR28" s="115" t="s">
        <v>266</v>
      </c>
      <c r="AS28" s="151" t="s">
        <v>170</v>
      </c>
      <c r="AT28" s="96">
        <v>1.3324404092226221</v>
      </c>
      <c r="AU28" s="97">
        <v>0.60568249156592713</v>
      </c>
      <c r="AV28" s="97">
        <v>1</v>
      </c>
      <c r="AW28" s="97">
        <v>0.48323970688848866</v>
      </c>
      <c r="AX28" s="97">
        <v>0.5838783395798246</v>
      </c>
    </row>
    <row r="29" spans="1:67" ht="15" x14ac:dyDescent="0.25"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AB29" s="115" t="s">
        <v>267</v>
      </c>
      <c r="AC29" s="151" t="s">
        <v>171</v>
      </c>
      <c r="AD29" s="96">
        <v>0.63333955628806815</v>
      </c>
      <c r="AE29" s="97">
        <v>1.0959010761647703</v>
      </c>
      <c r="AF29" s="97">
        <v>1</v>
      </c>
      <c r="AG29" s="97">
        <v>1.3088338145474092</v>
      </c>
      <c r="AH29" s="98">
        <v>1.100193508126196</v>
      </c>
      <c r="AJ29" s="115" t="s">
        <v>267</v>
      </c>
      <c r="AK29" s="151" t="s">
        <v>171</v>
      </c>
      <c r="AL29" s="96">
        <v>0.70994950398812628</v>
      </c>
      <c r="AM29" s="97">
        <v>1.0710962900592258</v>
      </c>
      <c r="AN29" s="97">
        <v>1</v>
      </c>
      <c r="AO29" s="97">
        <v>1.2236673718374516</v>
      </c>
      <c r="AP29" s="97">
        <v>1.074241209378852</v>
      </c>
      <c r="AR29" s="115" t="s">
        <v>267</v>
      </c>
      <c r="AS29" s="151" t="s">
        <v>171</v>
      </c>
      <c r="AT29" s="96">
        <v>0.40111899355916703</v>
      </c>
      <c r="AU29" s="97">
        <v>1.2009991687391017</v>
      </c>
      <c r="AV29" s="97">
        <v>1</v>
      </c>
      <c r="AW29" s="97">
        <v>1.7130459541027219</v>
      </c>
      <c r="AX29" s="97">
        <v>1.210425755323026</v>
      </c>
    </row>
    <row r="30" spans="1:67" ht="15" x14ac:dyDescent="0.25"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AB30" s="115" t="s">
        <v>268</v>
      </c>
      <c r="AC30" s="151" t="s">
        <v>172</v>
      </c>
      <c r="AD30" s="96">
        <v>0.63333955628806815</v>
      </c>
      <c r="AE30" s="97">
        <v>1.0959010761647703</v>
      </c>
      <c r="AF30" s="97">
        <v>1</v>
      </c>
      <c r="AG30" s="97">
        <v>1.3088338145474092</v>
      </c>
      <c r="AH30" s="98">
        <v>1.100193508126196</v>
      </c>
      <c r="AJ30" s="115" t="s">
        <v>268</v>
      </c>
      <c r="AK30" s="151" t="s">
        <v>172</v>
      </c>
      <c r="AL30" s="96">
        <v>0.70994950398812628</v>
      </c>
      <c r="AM30" s="97">
        <v>1.0710962900592258</v>
      </c>
      <c r="AN30" s="97">
        <v>1</v>
      </c>
      <c r="AO30" s="97">
        <v>1.2236673718374516</v>
      </c>
      <c r="AP30" s="97">
        <v>1.074241209378852</v>
      </c>
      <c r="AR30" s="115" t="s">
        <v>268</v>
      </c>
      <c r="AS30" s="151" t="s">
        <v>172</v>
      </c>
      <c r="AT30" s="96">
        <v>0.40111899355916703</v>
      </c>
      <c r="AU30" s="97">
        <v>1.2009991687391017</v>
      </c>
      <c r="AV30" s="97">
        <v>1</v>
      </c>
      <c r="AW30" s="97">
        <v>1.7130459541027219</v>
      </c>
      <c r="AX30" s="97">
        <v>1.210425755323026</v>
      </c>
    </row>
    <row r="31" spans="1:67" ht="15" x14ac:dyDescent="0.25"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AB31" s="115" t="s">
        <v>269</v>
      </c>
      <c r="AC31" s="151" t="s">
        <v>173</v>
      </c>
      <c r="AD31" s="96">
        <v>0.52777384539294725</v>
      </c>
      <c r="AE31" s="97">
        <v>1.1545265664072166</v>
      </c>
      <c r="AF31" s="97">
        <v>1</v>
      </c>
      <c r="AG31" s="97">
        <v>2.3564299830672359</v>
      </c>
      <c r="AH31" s="98">
        <v>2.075364534893656</v>
      </c>
      <c r="AJ31" s="115" t="s">
        <v>269</v>
      </c>
      <c r="AK31" s="151" t="s">
        <v>173</v>
      </c>
      <c r="AL31" s="96">
        <v>0.61920705835845247</v>
      </c>
      <c r="AM31" s="97">
        <v>1.1137890607247363</v>
      </c>
      <c r="AN31" s="97">
        <v>1</v>
      </c>
      <c r="AO31" s="97">
        <v>1.9019141302322666</v>
      </c>
      <c r="AP31" s="97">
        <v>1.7291027170426705</v>
      </c>
      <c r="AR31" s="115" t="s">
        <v>269</v>
      </c>
      <c r="AS31" s="151" t="s">
        <v>173</v>
      </c>
      <c r="AT31" s="96">
        <v>0.27854523188085861</v>
      </c>
      <c r="AU31" s="97">
        <v>1.3329315925400371</v>
      </c>
      <c r="AV31" s="97">
        <v>1</v>
      </c>
      <c r="AW31" s="97">
        <v>5.552762265098254</v>
      </c>
      <c r="AX31" s="97">
        <v>4.3071379526943616</v>
      </c>
    </row>
    <row r="32" spans="1:67" ht="15" x14ac:dyDescent="0.25"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AB32" s="115" t="s">
        <v>270</v>
      </c>
      <c r="AC32" s="151" t="s">
        <v>174</v>
      </c>
      <c r="AD32" s="96">
        <v>0.98225664797902601</v>
      </c>
      <c r="AE32" s="97">
        <v>1.1128073060084407</v>
      </c>
      <c r="AF32" s="97">
        <v>1</v>
      </c>
      <c r="AG32" s="97">
        <v>3.3893231728925746</v>
      </c>
      <c r="AH32" s="98">
        <v>2.9399245230689952</v>
      </c>
      <c r="AJ32" s="115" t="s">
        <v>270</v>
      </c>
      <c r="AK32" s="151" t="s">
        <v>174</v>
      </c>
      <c r="AL32" s="96">
        <v>0.98666275058660535</v>
      </c>
      <c r="AM32" s="97">
        <v>1.0834652237630578</v>
      </c>
      <c r="AN32" s="97">
        <v>1</v>
      </c>
      <c r="AO32" s="97">
        <v>2.4979557205453271</v>
      </c>
      <c r="AP32" s="97">
        <v>2.2451850186403268</v>
      </c>
      <c r="AR32" s="115" t="s">
        <v>270</v>
      </c>
      <c r="AS32" s="151" t="s">
        <v>174</v>
      </c>
      <c r="AT32" s="96">
        <v>0.96482812249899219</v>
      </c>
      <c r="AU32" s="97">
        <v>1.2383401003057632</v>
      </c>
      <c r="AV32" s="97">
        <v>1</v>
      </c>
      <c r="AW32" s="97">
        <v>11.487511570306589</v>
      </c>
      <c r="AX32" s="97">
        <v>8.6431562013424585</v>
      </c>
    </row>
    <row r="33" spans="9:50" ht="15" x14ac:dyDescent="0.25"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AB33" s="115" t="s">
        <v>271</v>
      </c>
      <c r="AC33" s="151" t="s">
        <v>175</v>
      </c>
      <c r="AD33" s="96">
        <v>0.52777384539294725</v>
      </c>
      <c r="AE33" s="97">
        <v>1.1545265664072166</v>
      </c>
      <c r="AF33" s="97">
        <v>1</v>
      </c>
      <c r="AG33" s="97">
        <v>2.3564299830672359</v>
      </c>
      <c r="AH33" s="98">
        <v>2.075364534893656</v>
      </c>
      <c r="AJ33" s="115" t="s">
        <v>271</v>
      </c>
      <c r="AK33" s="151" t="s">
        <v>175</v>
      </c>
      <c r="AL33" s="96">
        <v>0.61920705835845247</v>
      </c>
      <c r="AM33" s="97">
        <v>1.1137890607247363</v>
      </c>
      <c r="AN33" s="97">
        <v>1</v>
      </c>
      <c r="AO33" s="97">
        <v>1.9019141302322666</v>
      </c>
      <c r="AP33" s="97">
        <v>1.7291027170426705</v>
      </c>
      <c r="AR33" s="115" t="s">
        <v>271</v>
      </c>
      <c r="AS33" s="151" t="s">
        <v>175</v>
      </c>
      <c r="AT33" s="96">
        <v>0.27854523188085861</v>
      </c>
      <c r="AU33" s="97">
        <v>1.3329315925400371</v>
      </c>
      <c r="AV33" s="97">
        <v>1</v>
      </c>
      <c r="AW33" s="97">
        <v>5.552762265098254</v>
      </c>
      <c r="AX33" s="97">
        <v>4.3071379526943616</v>
      </c>
    </row>
    <row r="34" spans="9:50" ht="15" x14ac:dyDescent="0.25"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AB34" s="115" t="s">
        <v>272</v>
      </c>
      <c r="AC34" s="151" t="s">
        <v>176</v>
      </c>
      <c r="AD34" s="96">
        <v>1.0290987955534117</v>
      </c>
      <c r="AE34" s="97">
        <v>0.87679047027423695</v>
      </c>
      <c r="AF34" s="97">
        <v>1</v>
      </c>
      <c r="AG34" s="97">
        <v>0.57617761858506866</v>
      </c>
      <c r="AH34" s="98">
        <v>0.57124924192189308</v>
      </c>
      <c r="AJ34" s="115" t="s">
        <v>272</v>
      </c>
      <c r="AK34" s="151" t="s">
        <v>176</v>
      </c>
      <c r="AL34" s="96">
        <v>1.0552539976402002</v>
      </c>
      <c r="AM34" s="97">
        <v>0.78150122684894474</v>
      </c>
      <c r="AN34" s="97">
        <v>1</v>
      </c>
      <c r="AO34" s="97">
        <v>0.3556667123456923</v>
      </c>
      <c r="AP34" s="97">
        <v>0.34998390205894536</v>
      </c>
      <c r="AR34" s="115" t="s">
        <v>272</v>
      </c>
      <c r="AS34" s="151" t="s">
        <v>176</v>
      </c>
      <c r="AT34" s="96">
        <v>1.0365048471465466</v>
      </c>
      <c r="AU34" s="97">
        <v>0.84843734466362408</v>
      </c>
      <c r="AV34" s="97">
        <v>1</v>
      </c>
      <c r="AW34" s="97">
        <v>0.5019904791647235</v>
      </c>
      <c r="AX34" s="97">
        <v>0.49662896559867969</v>
      </c>
    </row>
    <row r="35" spans="9:50" ht="15" x14ac:dyDescent="0.25"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AB35" s="115" t="s">
        <v>273</v>
      </c>
      <c r="AC35" s="151" t="s">
        <v>177</v>
      </c>
      <c r="AD35" s="96">
        <v>1.0155605723675125</v>
      </c>
      <c r="AE35" s="97">
        <v>0.86958289005331202</v>
      </c>
      <c r="AF35" s="97">
        <v>1</v>
      </c>
      <c r="AG35" s="97">
        <v>0.58496004004276625</v>
      </c>
      <c r="AH35" s="98">
        <v>0.59162202564346666</v>
      </c>
      <c r="AJ35" s="115" t="s">
        <v>273</v>
      </c>
      <c r="AK35" s="151" t="s">
        <v>177</v>
      </c>
      <c r="AL35" s="96">
        <v>1.0293745683942928</v>
      </c>
      <c r="AM35" s="97">
        <v>0.76949906893634956</v>
      </c>
      <c r="AN35" s="97">
        <v>1</v>
      </c>
      <c r="AO35" s="97">
        <v>0.36589933818434672</v>
      </c>
      <c r="AP35" s="97">
        <v>0.37375165670473326</v>
      </c>
      <c r="AR35" s="115" t="s">
        <v>273</v>
      </c>
      <c r="AS35" s="151" t="s">
        <v>177</v>
      </c>
      <c r="AT35" s="96">
        <v>1.0194884023101107</v>
      </c>
      <c r="AU35" s="97">
        <v>0.83972818921655967</v>
      </c>
      <c r="AV35" s="97">
        <v>1</v>
      </c>
      <c r="AW35" s="97">
        <v>0.51157315815173221</v>
      </c>
      <c r="AX35" s="97">
        <v>0.51886624398254777</v>
      </c>
    </row>
    <row r="36" spans="9:50" ht="15" x14ac:dyDescent="0.25"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AB36" s="115" t="s">
        <v>274</v>
      </c>
      <c r="AC36" s="151" t="s">
        <v>178</v>
      </c>
      <c r="AD36" s="96">
        <v>0.92763847604057559</v>
      </c>
      <c r="AE36" s="97">
        <v>0.96814762017898193</v>
      </c>
      <c r="AF36" s="97">
        <v>1</v>
      </c>
      <c r="AG36" s="97">
        <v>0.95536545141288265</v>
      </c>
      <c r="AH36" s="98">
        <v>1.0881486676016836</v>
      </c>
      <c r="AJ36" s="115" t="s">
        <v>274</v>
      </c>
      <c r="AK36" s="151" t="s">
        <v>178</v>
      </c>
      <c r="AL36" s="96">
        <v>0.86863067743945455</v>
      </c>
      <c r="AM36" s="97">
        <v>0.94111017025498955</v>
      </c>
      <c r="AN36" s="97">
        <v>1</v>
      </c>
      <c r="AO36" s="97">
        <v>0.91794756142688649</v>
      </c>
      <c r="AP36" s="97">
        <v>1.1716298826185034</v>
      </c>
      <c r="AR36" s="115" t="s">
        <v>274</v>
      </c>
      <c r="AS36" s="151" t="s">
        <v>178</v>
      </c>
      <c r="AT36" s="96">
        <v>0.91038153859141513</v>
      </c>
      <c r="AU36" s="97">
        <v>0.9603443327001322</v>
      </c>
      <c r="AV36" s="97">
        <v>1</v>
      </c>
      <c r="AW36" s="97">
        <v>0.94452164531610494</v>
      </c>
      <c r="AX36" s="97">
        <v>1.1113741555607373</v>
      </c>
    </row>
    <row r="37" spans="9:50" ht="15" x14ac:dyDescent="0.25"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AB37" s="115" t="s">
        <v>275</v>
      </c>
      <c r="AC37" s="151" t="s">
        <v>179</v>
      </c>
      <c r="AD37" s="96">
        <v>1.0212469502299835</v>
      </c>
      <c r="AE37" s="97">
        <v>1.0025406569597242</v>
      </c>
      <c r="AF37" s="97">
        <v>1</v>
      </c>
      <c r="AG37" s="97">
        <v>1.0285893482464858</v>
      </c>
      <c r="AH37" s="98">
        <v>1.0163134348222245</v>
      </c>
      <c r="AJ37" s="115" t="s">
        <v>275</v>
      </c>
      <c r="AK37" s="151" t="s">
        <v>179</v>
      </c>
      <c r="AL37" s="96">
        <v>1.0402080218317586</v>
      </c>
      <c r="AM37" s="97">
        <v>1.0047690263054969</v>
      </c>
      <c r="AN37" s="97">
        <v>1</v>
      </c>
      <c r="AO37" s="97">
        <v>1.0542747187179149</v>
      </c>
      <c r="AP37" s="97">
        <v>1.0308058508306539</v>
      </c>
      <c r="AR37" s="115" t="s">
        <v>275</v>
      </c>
      <c r="AS37" s="151" t="s">
        <v>179</v>
      </c>
      <c r="AT37" s="96">
        <v>1.0266288529489895</v>
      </c>
      <c r="AU37" s="97">
        <v>1.003176829143779</v>
      </c>
      <c r="AV37" s="97">
        <v>1</v>
      </c>
      <c r="AW37" s="97">
        <v>1.0358634948224459</v>
      </c>
      <c r="AX37" s="97">
        <v>1.0204332076632825</v>
      </c>
    </row>
    <row r="38" spans="9:50" ht="15.75" thickBot="1" x14ac:dyDescent="0.3"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AB38" s="127" t="s">
        <v>276</v>
      </c>
      <c r="AC38" s="152" t="s">
        <v>180</v>
      </c>
      <c r="AD38" s="99">
        <v>0.94343044720257885</v>
      </c>
      <c r="AE38" s="100">
        <v>0.9161989777378291</v>
      </c>
      <c r="AF38" s="100">
        <v>1</v>
      </c>
      <c r="AG38" s="100">
        <v>0.87289251247856059</v>
      </c>
      <c r="AH38" s="101">
        <v>0.99493193077894526</v>
      </c>
      <c r="AJ38" s="127" t="s">
        <v>276</v>
      </c>
      <c r="AK38" s="152" t="s">
        <v>180</v>
      </c>
      <c r="AL38" s="99">
        <v>0.89656347066892439</v>
      </c>
      <c r="AM38" s="100">
        <v>0.84865442567866645</v>
      </c>
      <c r="AN38" s="100">
        <v>1</v>
      </c>
      <c r="AO38" s="100">
        <v>0.77499953224467277</v>
      </c>
      <c r="AP38" s="100">
        <v>0.99051844465989958</v>
      </c>
      <c r="AR38" s="127" t="s">
        <v>276</v>
      </c>
      <c r="AS38" s="152" t="s">
        <v>180</v>
      </c>
      <c r="AT38" s="99">
        <v>0.92979532896779404</v>
      </c>
      <c r="AU38" s="100">
        <v>0.89636987737748752</v>
      </c>
      <c r="AV38" s="100">
        <v>1</v>
      </c>
      <c r="AW38" s="100">
        <v>0.84372508274791536</v>
      </c>
      <c r="AX38" s="100">
        <v>0.99366893190207872</v>
      </c>
    </row>
    <row r="39" spans="9:50" x14ac:dyDescent="0.2">
      <c r="I39" s="105"/>
      <c r="J39" s="105"/>
      <c r="K39" s="105"/>
      <c r="L39" s="105"/>
      <c r="M39" s="105"/>
      <c r="N39" s="105"/>
      <c r="O39" s="105"/>
      <c r="P39" s="105"/>
      <c r="Q39" s="105"/>
      <c r="R39" s="105"/>
    </row>
    <row r="40" spans="9:50" x14ac:dyDescent="0.2"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AC40" s="105" t="s">
        <v>280</v>
      </c>
      <c r="AK40" s="105" t="s">
        <v>208</v>
      </c>
      <c r="AS40" s="105" t="s">
        <v>281</v>
      </c>
    </row>
    <row r="41" spans="9:50" x14ac:dyDescent="0.2">
      <c r="I41" s="105"/>
      <c r="J41" s="105"/>
      <c r="K41" s="105"/>
      <c r="L41" s="105"/>
      <c r="M41" s="105"/>
      <c r="N41" s="105"/>
      <c r="O41" s="105"/>
      <c r="P41" s="105"/>
      <c r="Q41" s="105"/>
      <c r="R41" s="105"/>
    </row>
    <row r="42" spans="9:50" x14ac:dyDescent="0.2">
      <c r="I42" s="105"/>
      <c r="J42" s="105"/>
      <c r="K42" s="105"/>
      <c r="L42" s="105"/>
      <c r="M42" s="105"/>
      <c r="N42" s="105"/>
      <c r="O42" s="105"/>
      <c r="P42" s="105"/>
      <c r="Q42" s="105"/>
      <c r="R42" s="105"/>
    </row>
    <row r="43" spans="9:50" x14ac:dyDescent="0.2">
      <c r="I43" s="105"/>
      <c r="J43" s="105"/>
      <c r="K43" s="105"/>
      <c r="L43" s="105"/>
      <c r="M43" s="105"/>
      <c r="N43" s="105"/>
      <c r="O43" s="105"/>
      <c r="P43" s="105"/>
      <c r="Q43" s="105"/>
      <c r="R43" s="105"/>
    </row>
    <row r="44" spans="9:50" x14ac:dyDescent="0.2">
      <c r="I44" s="105"/>
      <c r="J44" s="105"/>
      <c r="K44" s="105"/>
      <c r="L44" s="105"/>
      <c r="M44" s="105"/>
      <c r="N44" s="105"/>
      <c r="O44" s="105"/>
      <c r="P44" s="105"/>
      <c r="Q44" s="105"/>
      <c r="R44" s="105"/>
    </row>
    <row r="45" spans="9:50" x14ac:dyDescent="0.2">
      <c r="I45" s="105"/>
      <c r="J45" s="105"/>
      <c r="K45" s="105"/>
      <c r="L45" s="105"/>
      <c r="M45" s="105"/>
      <c r="N45" s="105"/>
      <c r="O45" s="105"/>
      <c r="P45" s="105"/>
      <c r="Q45" s="105"/>
      <c r="R45" s="105"/>
    </row>
    <row r="46" spans="9:50" x14ac:dyDescent="0.2">
      <c r="I46" s="105"/>
      <c r="J46" s="105"/>
      <c r="K46" s="105"/>
      <c r="L46" s="105"/>
      <c r="M46" s="105"/>
      <c r="N46" s="105"/>
      <c r="O46" s="105"/>
      <c r="P46" s="105"/>
      <c r="Q46" s="105"/>
      <c r="R46" s="105"/>
    </row>
    <row r="47" spans="9:50" x14ac:dyDescent="0.2">
      <c r="I47" s="105"/>
      <c r="J47" s="105"/>
      <c r="K47" s="105"/>
      <c r="L47" s="105"/>
      <c r="M47" s="105"/>
      <c r="N47" s="105"/>
      <c r="O47" s="105"/>
      <c r="P47" s="105"/>
      <c r="Q47" s="105"/>
      <c r="R47" s="105"/>
    </row>
    <row r="48" spans="9:50" x14ac:dyDescent="0.2">
      <c r="I48" s="105"/>
      <c r="J48" s="105"/>
      <c r="K48" s="105"/>
      <c r="L48" s="105"/>
      <c r="M48" s="105"/>
      <c r="N48" s="105"/>
      <c r="O48" s="105"/>
      <c r="P48" s="105"/>
      <c r="Q48" s="105"/>
      <c r="R48" s="105"/>
    </row>
    <row r="49" spans="9:18" x14ac:dyDescent="0.2">
      <c r="I49" s="105"/>
      <c r="J49" s="105"/>
      <c r="K49" s="105"/>
      <c r="L49" s="105"/>
      <c r="M49" s="105"/>
      <c r="N49" s="105"/>
      <c r="O49" s="105"/>
      <c r="P49" s="105"/>
      <c r="Q49" s="105"/>
      <c r="R49" s="105"/>
    </row>
    <row r="50" spans="9:18" x14ac:dyDescent="0.2">
      <c r="I50" s="105"/>
      <c r="J50" s="105"/>
      <c r="K50" s="105"/>
      <c r="L50" s="105"/>
      <c r="M50" s="105"/>
      <c r="N50" s="105"/>
      <c r="O50" s="105"/>
      <c r="P50" s="105"/>
      <c r="Q50" s="105"/>
      <c r="R50" s="105"/>
    </row>
    <row r="51" spans="9:18" x14ac:dyDescent="0.2">
      <c r="I51" s="105"/>
      <c r="J51" s="105"/>
      <c r="K51" s="105"/>
      <c r="L51" s="105"/>
      <c r="M51" s="105"/>
      <c r="N51" s="105"/>
      <c r="O51" s="105"/>
      <c r="P51" s="105"/>
      <c r="Q51" s="105"/>
      <c r="R51" s="105"/>
    </row>
    <row r="52" spans="9:18" x14ac:dyDescent="0.2">
      <c r="I52" s="105"/>
      <c r="J52" s="105"/>
      <c r="K52" s="105"/>
      <c r="L52" s="105"/>
      <c r="M52" s="105"/>
      <c r="N52" s="105"/>
      <c r="O52" s="105"/>
      <c r="P52" s="105"/>
      <c r="Q52" s="105"/>
      <c r="R52" s="105"/>
    </row>
    <row r="53" spans="9:18" x14ac:dyDescent="0.2">
      <c r="I53" s="105"/>
      <c r="J53" s="105"/>
      <c r="K53" s="105"/>
      <c r="L53" s="105"/>
      <c r="M53" s="105"/>
      <c r="N53" s="105"/>
      <c r="O53" s="105"/>
      <c r="P53" s="105"/>
      <c r="Q53" s="105"/>
      <c r="R53" s="105"/>
    </row>
    <row r="54" spans="9:18" x14ac:dyDescent="0.2">
      <c r="I54" s="105"/>
      <c r="J54" s="105"/>
      <c r="K54" s="105"/>
      <c r="L54" s="105"/>
      <c r="M54" s="105"/>
      <c r="N54" s="105"/>
      <c r="O54" s="105"/>
      <c r="P54" s="105"/>
      <c r="Q54" s="105"/>
      <c r="R54" s="105"/>
    </row>
    <row r="55" spans="9:18" x14ac:dyDescent="0.2">
      <c r="I55" s="105"/>
      <c r="J55" s="105"/>
      <c r="K55" s="105"/>
      <c r="L55" s="105"/>
      <c r="M55" s="105"/>
      <c r="N55" s="105"/>
      <c r="O55" s="105"/>
      <c r="P55" s="105"/>
      <c r="Q55" s="105"/>
      <c r="R55" s="105"/>
    </row>
    <row r="56" spans="9:18" x14ac:dyDescent="0.2">
      <c r="I56" s="105"/>
      <c r="J56" s="105"/>
      <c r="K56" s="105"/>
      <c r="L56" s="105"/>
      <c r="M56" s="105"/>
      <c r="N56" s="105"/>
      <c r="O56" s="105"/>
      <c r="P56" s="105"/>
      <c r="Q56" s="105"/>
      <c r="R56" s="105"/>
    </row>
    <row r="57" spans="9:18" x14ac:dyDescent="0.2">
      <c r="I57" s="105"/>
      <c r="J57" s="105"/>
      <c r="K57" s="105"/>
      <c r="L57" s="105"/>
      <c r="M57" s="105"/>
      <c r="N57" s="105"/>
      <c r="O57" s="105"/>
      <c r="P57" s="105"/>
      <c r="Q57" s="105"/>
      <c r="R57" s="105"/>
    </row>
    <row r="58" spans="9:18" x14ac:dyDescent="0.2">
      <c r="I58" s="105"/>
      <c r="J58" s="105"/>
      <c r="K58" s="105"/>
      <c r="L58" s="105"/>
      <c r="M58" s="105"/>
      <c r="N58" s="105"/>
      <c r="O58" s="105"/>
      <c r="P58" s="105"/>
      <c r="Q58" s="105"/>
      <c r="R58" s="105"/>
    </row>
    <row r="59" spans="9:18" x14ac:dyDescent="0.2">
      <c r="I59" s="105"/>
      <c r="J59" s="105"/>
      <c r="K59" s="105"/>
      <c r="L59" s="105"/>
      <c r="M59" s="105"/>
      <c r="N59" s="105"/>
      <c r="O59" s="105"/>
      <c r="P59" s="105"/>
      <c r="Q59" s="105"/>
      <c r="R59" s="105"/>
    </row>
    <row r="60" spans="9:18" x14ac:dyDescent="0.2">
      <c r="I60" s="105"/>
      <c r="J60" s="105"/>
      <c r="K60" s="105"/>
      <c r="L60" s="105"/>
      <c r="M60" s="105"/>
      <c r="N60" s="105"/>
      <c r="O60" s="105"/>
      <c r="P60" s="105"/>
      <c r="Q60" s="105"/>
      <c r="R60" s="105"/>
    </row>
    <row r="61" spans="9:18" x14ac:dyDescent="0.2">
      <c r="I61" s="105"/>
      <c r="J61" s="105"/>
      <c r="K61" s="105"/>
      <c r="L61" s="105"/>
      <c r="M61" s="105"/>
      <c r="N61" s="105"/>
      <c r="O61" s="105"/>
      <c r="P61" s="105"/>
      <c r="Q61" s="105"/>
      <c r="R61" s="105"/>
    </row>
    <row r="62" spans="9:18" x14ac:dyDescent="0.2">
      <c r="I62" s="105"/>
      <c r="J62" s="105"/>
      <c r="K62" s="105"/>
      <c r="L62" s="105"/>
      <c r="M62" s="105"/>
      <c r="N62" s="105"/>
      <c r="O62" s="105"/>
      <c r="P62" s="105"/>
      <c r="Q62" s="105"/>
      <c r="R62" s="105"/>
    </row>
    <row r="63" spans="9:18" x14ac:dyDescent="0.2">
      <c r="I63" s="105"/>
      <c r="J63" s="105"/>
      <c r="K63" s="105"/>
      <c r="L63" s="105"/>
      <c r="M63" s="105"/>
      <c r="N63" s="105"/>
      <c r="O63" s="105"/>
      <c r="P63" s="105"/>
      <c r="Q63" s="105"/>
      <c r="R63" s="105"/>
    </row>
    <row r="64" spans="9:18" x14ac:dyDescent="0.2">
      <c r="I64" s="105"/>
      <c r="J64" s="105"/>
      <c r="K64" s="105"/>
      <c r="L64" s="105"/>
      <c r="M64" s="105"/>
      <c r="N64" s="105"/>
      <c r="O64" s="105"/>
      <c r="P64" s="105"/>
      <c r="Q64" s="105"/>
      <c r="R64" s="105"/>
    </row>
    <row r="65" spans="9:18" x14ac:dyDescent="0.2">
      <c r="I65" s="105"/>
      <c r="J65" s="105"/>
      <c r="K65" s="105"/>
      <c r="L65" s="105"/>
      <c r="M65" s="105"/>
      <c r="N65" s="105"/>
      <c r="O65" s="105"/>
      <c r="P65" s="105"/>
      <c r="Q65" s="105"/>
      <c r="R65" s="105"/>
    </row>
    <row r="66" spans="9:18" x14ac:dyDescent="0.2">
      <c r="I66" s="105"/>
      <c r="J66" s="105"/>
      <c r="K66" s="105"/>
      <c r="L66" s="105"/>
      <c r="M66" s="105"/>
      <c r="N66" s="105"/>
      <c r="O66" s="105"/>
      <c r="P66" s="105"/>
      <c r="Q66" s="105"/>
      <c r="R66" s="105"/>
    </row>
    <row r="67" spans="9:18" x14ac:dyDescent="0.2">
      <c r="I67" s="105"/>
      <c r="J67" s="105"/>
      <c r="K67" s="105"/>
      <c r="L67" s="105"/>
      <c r="M67" s="105"/>
      <c r="N67" s="105"/>
      <c r="O67" s="105"/>
      <c r="P67" s="105"/>
      <c r="Q67" s="105"/>
      <c r="R67" s="105"/>
    </row>
    <row r="68" spans="9:18" x14ac:dyDescent="0.2">
      <c r="I68" s="105"/>
      <c r="J68" s="105"/>
      <c r="K68" s="105"/>
      <c r="L68" s="105"/>
      <c r="M68" s="105"/>
      <c r="N68" s="105"/>
      <c r="O68" s="105"/>
      <c r="P68" s="105"/>
      <c r="Q68" s="105"/>
      <c r="R68" s="105"/>
    </row>
  </sheetData>
  <mergeCells count="54">
    <mergeCell ref="AX1:AX2"/>
    <mergeCell ref="AR1:AS1"/>
    <mergeCell ref="AT1:AT2"/>
    <mergeCell ref="AU1:AU2"/>
    <mergeCell ref="AV1:AV2"/>
    <mergeCell ref="AW1:AW2"/>
    <mergeCell ref="AP1:AP2"/>
    <mergeCell ref="AL1:AL2"/>
    <mergeCell ref="AM1:AM2"/>
    <mergeCell ref="AH1:AH2"/>
    <mergeCell ref="AB1:AC1"/>
    <mergeCell ref="AD1:AD2"/>
    <mergeCell ref="AE1:AE2"/>
    <mergeCell ref="AF1:AF2"/>
    <mergeCell ref="AG1:AG2"/>
    <mergeCell ref="AN1:AN2"/>
    <mergeCell ref="AO1:AO2"/>
    <mergeCell ref="AJ1:AK1"/>
    <mergeCell ref="A1:C1"/>
    <mergeCell ref="S1:U1"/>
    <mergeCell ref="D1:D2"/>
    <mergeCell ref="E1:E2"/>
    <mergeCell ref="F1:F2"/>
    <mergeCell ref="G1:G2"/>
    <mergeCell ref="H1:H2"/>
    <mergeCell ref="M1:M2"/>
    <mergeCell ref="N1:N2"/>
    <mergeCell ref="O1:O2"/>
    <mergeCell ref="P1:P2"/>
    <mergeCell ref="J1:L1"/>
    <mergeCell ref="Q1:Q2"/>
    <mergeCell ref="V1:V2"/>
    <mergeCell ref="W1:W2"/>
    <mergeCell ref="X1:X2"/>
    <mergeCell ref="Y1:Y2"/>
    <mergeCell ref="Z1:Z2"/>
    <mergeCell ref="BT4:BT9"/>
    <mergeCell ref="BL1:BL2"/>
    <mergeCell ref="AZ1:AZ2"/>
    <mergeCell ref="BA1:BA2"/>
    <mergeCell ref="BB1:BB2"/>
    <mergeCell ref="BC1:BC2"/>
    <mergeCell ref="BD1:BD2"/>
    <mergeCell ref="BE1:BE2"/>
    <mergeCell ref="BG1:BG2"/>
    <mergeCell ref="BH1:BH2"/>
    <mergeCell ref="BI1:BI2"/>
    <mergeCell ref="BJ1:BJ2"/>
    <mergeCell ref="BK1:BK2"/>
    <mergeCell ref="BO4:BO9"/>
    <mergeCell ref="BP4:BP9"/>
    <mergeCell ref="BQ4:BQ9"/>
    <mergeCell ref="BR4:BR9"/>
    <mergeCell ref="BS4:BS9"/>
  </mergeCells>
  <conditionalFormatting sqref="AD3:AH38">
    <cfRule type="colorScale" priority="5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L3:AP38">
    <cfRule type="colorScale" priority="6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T3:AX38">
    <cfRule type="colorScale" priority="7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BA3:BE7">
    <cfRule type="colorScale" priority="82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BA8:BE8">
    <cfRule type="colorScale" priority="84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BH3:BL7">
    <cfRule type="colorScale" priority="96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BH8:BL8">
    <cfRule type="colorScale" priority="98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BP12:BT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13:BT13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  <ignoredErrors>
    <ignoredError sqref="BP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DC output</vt:lpstr>
      <vt:lpstr>DW parameters</vt:lpstr>
      <vt:lpstr>AHP</vt:lpstr>
      <vt:lpstr>Weightings</vt:lpstr>
      <vt:lpstr>Sheet1</vt:lpstr>
      <vt:lpstr>'DC output'!Print_Area</vt:lpstr>
      <vt:lpstr>'DW parameters'!Print_Area</vt:lpstr>
    </vt:vector>
  </TitlesOfParts>
  <Company>Culham Centre for Fusion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Cooper, David</dc:creator>
  <cp:lastModifiedBy>Wolff, Dan</cp:lastModifiedBy>
  <cp:lastPrinted>2015-11-19T14:15:13Z</cp:lastPrinted>
  <dcterms:created xsi:type="dcterms:W3CDTF">2015-11-06T08:11:32Z</dcterms:created>
  <dcterms:modified xsi:type="dcterms:W3CDTF">2016-08-11T12:25:03Z</dcterms:modified>
</cp:coreProperties>
</file>