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 windowWidth="20490" windowHeight="6915"/>
  </bookViews>
  <sheets>
    <sheet name="Biomass of mucor" sheetId="2" r:id="rId1"/>
  </sheets>
  <calcPr calcId="145621"/>
</workbook>
</file>

<file path=xl/calcChain.xml><?xml version="1.0" encoding="utf-8"?>
<calcChain xmlns="http://schemas.openxmlformats.org/spreadsheetml/2006/main">
  <c r="G151" i="2" l="1"/>
  <c r="G143" i="2"/>
  <c r="C7" i="2" l="1"/>
  <c r="C14" i="2"/>
  <c r="D4" i="2" s="1"/>
  <c r="B83" i="2"/>
  <c r="G78" i="2" s="1"/>
  <c r="D78" i="2" s="1"/>
  <c r="B38" i="2"/>
  <c r="C18" i="2" s="1"/>
  <c r="G147" i="2"/>
  <c r="C152" i="2"/>
  <c r="B152" i="2"/>
  <c r="D151" i="2"/>
  <c r="D152" i="2" s="1"/>
  <c r="C148" i="2"/>
  <c r="B148" i="2"/>
  <c r="D147" i="2"/>
  <c r="D148" i="2" s="1"/>
  <c r="B161" i="2"/>
  <c r="C160" i="2" s="1"/>
  <c r="B46" i="2"/>
  <c r="C44" i="2" s="1"/>
  <c r="D143" i="2"/>
  <c r="D144" i="2" s="1"/>
  <c r="D50" i="2"/>
  <c r="D45" i="2"/>
  <c r="D43" i="2"/>
  <c r="D42" i="2"/>
  <c r="B115" i="2"/>
  <c r="G113" i="2" s="1"/>
  <c r="B139" i="2"/>
  <c r="G134" i="2" s="1"/>
  <c r="B131" i="2"/>
  <c r="G127" i="2" s="1"/>
  <c r="B123" i="2"/>
  <c r="G121" i="2" s="1"/>
  <c r="D121" i="2" s="1"/>
  <c r="B107" i="2"/>
  <c r="G106" i="2" s="1"/>
  <c r="B99" i="2"/>
  <c r="G98" i="2" s="1"/>
  <c r="B75" i="2"/>
  <c r="G74" i="2" s="1"/>
  <c r="B91" i="2"/>
  <c r="G88" i="2" s="1"/>
  <c r="G82" i="2"/>
  <c r="D82" i="2" s="1"/>
  <c r="B54" i="2"/>
  <c r="C50" i="2" s="1"/>
  <c r="C144" i="2"/>
  <c r="B144" i="2"/>
  <c r="D51" i="2"/>
  <c r="B67" i="2"/>
  <c r="D53" i="2"/>
  <c r="D52" i="2"/>
  <c r="D44" i="2"/>
  <c r="D38" i="2"/>
  <c r="G80" i="2"/>
  <c r="D80" i="2" s="1"/>
  <c r="C45" i="2"/>
  <c r="G110" i="2"/>
  <c r="D110" i="2" s="1"/>
  <c r="C23" i="2"/>
  <c r="E23" i="2" s="1"/>
  <c r="G126" i="2"/>
  <c r="D126" i="2" s="1"/>
  <c r="C31" i="2"/>
  <c r="E31" i="2" s="1"/>
  <c r="G104" i="2"/>
  <c r="D104" i="2" s="1"/>
  <c r="G70" i="2"/>
  <c r="D70" i="2" s="1"/>
  <c r="G73" i="2"/>
  <c r="D73" i="2" s="1"/>
  <c r="G72" i="2"/>
  <c r="D72" i="2" s="1"/>
  <c r="G102" i="2"/>
  <c r="D102" i="2" s="1"/>
  <c r="C53" i="2" l="1"/>
  <c r="G103" i="2"/>
  <c r="D103" i="2" s="1"/>
  <c r="G114" i="2"/>
  <c r="D114" i="2" s="1"/>
  <c r="G111" i="2"/>
  <c r="D111" i="2" s="1"/>
  <c r="G105" i="2"/>
  <c r="D105" i="2" s="1"/>
  <c r="G112" i="2"/>
  <c r="D112" i="2" s="1"/>
  <c r="G71" i="2"/>
  <c r="D71" i="2" s="1"/>
  <c r="C43" i="2"/>
  <c r="E43" i="2" s="1"/>
  <c r="G128" i="2"/>
  <c r="D128" i="2" s="1"/>
  <c r="G130" i="2"/>
  <c r="D130" i="2" s="1"/>
  <c r="G129" i="2"/>
  <c r="D129" i="2" s="1"/>
  <c r="G81" i="2"/>
  <c r="D81" i="2" s="1"/>
  <c r="C35" i="2"/>
  <c r="E35" i="2" s="1"/>
  <c r="C20" i="2"/>
  <c r="E20" i="2" s="1"/>
  <c r="C34" i="2"/>
  <c r="E34" i="2" s="1"/>
  <c r="G120" i="2"/>
  <c r="D120" i="2" s="1"/>
  <c r="G95" i="2"/>
  <c r="D95" i="2" s="1"/>
  <c r="C36" i="2"/>
  <c r="E36" i="2" s="1"/>
  <c r="C21" i="2"/>
  <c r="E21" i="2" s="1"/>
  <c r="G138" i="2"/>
  <c r="D138" i="2" s="1"/>
  <c r="C27" i="2"/>
  <c r="E27" i="2" s="1"/>
  <c r="G136" i="2"/>
  <c r="D136" i="2" s="1"/>
  <c r="G137" i="2"/>
  <c r="D137" i="2" s="1"/>
  <c r="C32" i="2"/>
  <c r="E32" i="2" s="1"/>
  <c r="C37" i="2"/>
  <c r="E37" i="2" s="1"/>
  <c r="G119" i="2"/>
  <c r="D119" i="2" s="1"/>
  <c r="C33" i="2"/>
  <c r="E33" i="2" s="1"/>
  <c r="G94" i="2"/>
  <c r="D94" i="2" s="1"/>
  <c r="C19" i="2"/>
  <c r="E19" i="2" s="1"/>
  <c r="G97" i="2"/>
  <c r="D97" i="2" s="1"/>
  <c r="G96" i="2"/>
  <c r="D96" i="2" s="1"/>
  <c r="C29" i="2"/>
  <c r="E29" i="2" s="1"/>
  <c r="E143" i="2"/>
  <c r="E144" i="2" s="1"/>
  <c r="E147" i="2"/>
  <c r="E148" i="2" s="1"/>
  <c r="E151" i="2"/>
  <c r="E152" i="2" s="1"/>
  <c r="G122" i="2"/>
  <c r="D122" i="2" s="1"/>
  <c r="G87" i="2"/>
  <c r="D87" i="2" s="1"/>
  <c r="G86" i="2"/>
  <c r="D86" i="2" s="1"/>
  <c r="C25" i="2"/>
  <c r="E25" i="2" s="1"/>
  <c r="C28" i="2"/>
  <c r="E28" i="2" s="1"/>
  <c r="G90" i="2"/>
  <c r="D90" i="2" s="1"/>
  <c r="C30" i="2"/>
  <c r="E30" i="2" s="1"/>
  <c r="G135" i="2"/>
  <c r="D135" i="2" s="1"/>
  <c r="C24" i="2"/>
  <c r="E24" i="2" s="1"/>
  <c r="C26" i="2"/>
  <c r="E26" i="2" s="1"/>
  <c r="G118" i="2"/>
  <c r="D118" i="2" s="1"/>
  <c r="D123" i="2" s="1"/>
  <c r="E118" i="2" s="1"/>
  <c r="C64" i="2" s="1"/>
  <c r="C51" i="2"/>
  <c r="E51" i="2" s="1"/>
  <c r="E45" i="2"/>
  <c r="C159" i="2"/>
  <c r="E159" i="2" s="1"/>
  <c r="C22" i="2"/>
  <c r="E22" i="2" s="1"/>
  <c r="G89" i="2"/>
  <c r="D89" i="2" s="1"/>
  <c r="D98" i="2"/>
  <c r="D113" i="2"/>
  <c r="G115" i="2"/>
  <c r="C158" i="2"/>
  <c r="E158" i="2" s="1"/>
  <c r="B4" i="2"/>
  <c r="E4" i="2"/>
  <c r="D7" i="2"/>
  <c r="D6" i="2"/>
  <c r="D5" i="2"/>
  <c r="B5" i="2" s="1"/>
  <c r="D9" i="2"/>
  <c r="D8" i="2"/>
  <c r="B8" i="2" s="1"/>
  <c r="D88" i="2"/>
  <c r="D127" i="2"/>
  <c r="D131" i="2" s="1"/>
  <c r="E126" i="2" s="1"/>
  <c r="C65" i="2" s="1"/>
  <c r="E18" i="2"/>
  <c r="E53" i="2"/>
  <c r="E44" i="2"/>
  <c r="C157" i="2"/>
  <c r="E50" i="2"/>
  <c r="D74" i="2"/>
  <c r="G75" i="2"/>
  <c r="D134" i="2"/>
  <c r="D106" i="2"/>
  <c r="D107" i="2" s="1"/>
  <c r="E102" i="2" s="1"/>
  <c r="C62" i="2" s="1"/>
  <c r="G107" i="2"/>
  <c r="E160" i="2"/>
  <c r="C52" i="2"/>
  <c r="E52" i="2" s="1"/>
  <c r="G79" i="2"/>
  <c r="C42" i="2"/>
  <c r="D139" i="2" l="1"/>
  <c r="E134" i="2" s="1"/>
  <c r="C66" i="2" s="1"/>
  <c r="D115" i="2"/>
  <c r="E110" i="2" s="1"/>
  <c r="C63" i="2" s="1"/>
  <c r="D63" i="2" s="1"/>
  <c r="G131" i="2"/>
  <c r="E38" i="2"/>
  <c r="F30" i="2" s="1"/>
  <c r="D91" i="2"/>
  <c r="E86" i="2" s="1"/>
  <c r="C59" i="2" s="1"/>
  <c r="D59" i="2" s="1"/>
  <c r="D99" i="2"/>
  <c r="E94" i="2" s="1"/>
  <c r="C61" i="2" s="1"/>
  <c r="G61" i="2" s="1"/>
  <c r="G139" i="2"/>
  <c r="C38" i="2"/>
  <c r="C161" i="2"/>
  <c r="G123" i="2"/>
  <c r="G91" i="2"/>
  <c r="G99" i="2"/>
  <c r="E7" i="2"/>
  <c r="B7" i="2"/>
  <c r="D14" i="2"/>
  <c r="B9" i="2"/>
  <c r="B13" i="2" s="1"/>
  <c r="B6" i="2"/>
  <c r="E6" i="2"/>
  <c r="E157" i="2"/>
  <c r="E161" i="2" s="1"/>
  <c r="G64" i="2"/>
  <c r="D64" i="2"/>
  <c r="G62" i="2"/>
  <c r="D62" i="2"/>
  <c r="F27" i="2"/>
  <c r="G27" i="2" s="1"/>
  <c r="F24" i="2"/>
  <c r="G24" i="2" s="1"/>
  <c r="F37" i="2"/>
  <c r="G37" i="2" s="1"/>
  <c r="F28" i="2"/>
  <c r="G28" i="2" s="1"/>
  <c r="D75" i="2"/>
  <c r="E70" i="2"/>
  <c r="C60" i="2" s="1"/>
  <c r="C54" i="2"/>
  <c r="D79" i="2"/>
  <c r="D83" i="2" s="1"/>
  <c r="E78" i="2" s="1"/>
  <c r="C58" i="2" s="1"/>
  <c r="G83" i="2"/>
  <c r="E42" i="2"/>
  <c r="C46" i="2"/>
  <c r="G65" i="2"/>
  <c r="D65" i="2"/>
  <c r="F18" i="2"/>
  <c r="E54" i="2"/>
  <c r="F52" i="2" s="1"/>
  <c r="G52" i="2" s="1"/>
  <c r="F31" i="2" l="1"/>
  <c r="G31" i="2" s="1"/>
  <c r="F20" i="2"/>
  <c r="G20" i="2" s="1"/>
  <c r="F21" i="2"/>
  <c r="G21" i="2" s="1"/>
  <c r="F35" i="2"/>
  <c r="G35" i="2" s="1"/>
  <c r="F19" i="2"/>
  <c r="G19" i="2" s="1"/>
  <c r="F23" i="2"/>
  <c r="G23" i="2" s="1"/>
  <c r="D61" i="2"/>
  <c r="G59" i="2"/>
  <c r="G63" i="2"/>
  <c r="F36" i="2"/>
  <c r="G36" i="2" s="1"/>
  <c r="F33" i="2"/>
  <c r="G33" i="2" s="1"/>
  <c r="F29" i="2"/>
  <c r="G29" i="2" s="1"/>
  <c r="F25" i="2"/>
  <c r="G25" i="2" s="1"/>
  <c r="F32" i="2"/>
  <c r="G32" i="2" s="1"/>
  <c r="F26" i="2"/>
  <c r="G26" i="2" s="1"/>
  <c r="F34" i="2"/>
  <c r="F22" i="2"/>
  <c r="G66" i="2"/>
  <c r="D66" i="2"/>
  <c r="B14" i="2"/>
  <c r="F50" i="2"/>
  <c r="G34" i="2"/>
  <c r="G22" i="2"/>
  <c r="G30" i="2"/>
  <c r="G158" i="2"/>
  <c r="G159" i="2"/>
  <c r="G160" i="2"/>
  <c r="G157" i="2"/>
  <c r="G18" i="2"/>
  <c r="F158" i="2"/>
  <c r="F157" i="2"/>
  <c r="F159" i="2"/>
  <c r="E46" i="2"/>
  <c r="F42" i="2" s="1"/>
  <c r="D58" i="2"/>
  <c r="G58" i="2"/>
  <c r="D60" i="2"/>
  <c r="G60" i="2"/>
  <c r="G50" i="2"/>
  <c r="F53" i="2"/>
  <c r="G53" i="2" s="1"/>
  <c r="F51" i="2"/>
  <c r="G51" i="2" s="1"/>
  <c r="F160" i="2"/>
  <c r="F38" i="2" l="1"/>
  <c r="G42" i="2"/>
  <c r="F54" i="2"/>
  <c r="G67" i="2"/>
  <c r="H58" i="2" s="1"/>
  <c r="G38" i="2"/>
  <c r="H18" i="2" s="1"/>
  <c r="G54" i="2"/>
  <c r="H52" i="2" s="1"/>
  <c r="F43" i="2"/>
  <c r="G43" i="2" s="1"/>
  <c r="F44" i="2"/>
  <c r="G44" i="2" s="1"/>
  <c r="F45" i="2"/>
  <c r="G45" i="2" s="1"/>
  <c r="F161" i="2"/>
  <c r="H60" i="2" l="1"/>
  <c r="H51" i="2"/>
  <c r="G46" i="2"/>
  <c r="H44" i="2" s="1"/>
  <c r="H50" i="2"/>
  <c r="H31" i="2"/>
  <c r="H36" i="2"/>
  <c r="H29" i="2"/>
  <c r="H32" i="2"/>
  <c r="H34" i="2"/>
  <c r="H30" i="2"/>
  <c r="H20" i="2"/>
  <c r="H21" i="2"/>
  <c r="H35" i="2"/>
  <c r="H19" i="2"/>
  <c r="H23" i="2"/>
  <c r="H33" i="2"/>
  <c r="H25" i="2"/>
  <c r="H26" i="2"/>
  <c r="H22" i="2"/>
  <c r="H28" i="2"/>
  <c r="H37" i="2"/>
  <c r="H24" i="2"/>
  <c r="H27" i="2"/>
  <c r="H64" i="2"/>
  <c r="H63" i="2"/>
  <c r="H61" i="2"/>
  <c r="H65" i="2"/>
  <c r="H66" i="2"/>
  <c r="H59" i="2"/>
  <c r="H62" i="2"/>
  <c r="H53" i="2"/>
  <c r="F46" i="2"/>
  <c r="H45" i="2" l="1"/>
  <c r="H67" i="2"/>
  <c r="H38" i="2"/>
  <c r="H43" i="2"/>
  <c r="H42" i="2"/>
  <c r="H54" i="2"/>
  <c r="H46" i="2" l="1"/>
</calcChain>
</file>

<file path=xl/sharedStrings.xml><?xml version="1.0" encoding="utf-8"?>
<sst xmlns="http://schemas.openxmlformats.org/spreadsheetml/2006/main" count="272" uniqueCount="141">
  <si>
    <t>Protein</t>
  </si>
  <si>
    <t>DNA</t>
  </si>
  <si>
    <t>RNA</t>
  </si>
  <si>
    <t>Lipid</t>
  </si>
  <si>
    <t>Protein</t>
    <phoneticPr fontId="2" type="noConversion"/>
  </si>
  <si>
    <t>MW (g/mol)</t>
  </si>
  <si>
    <t>Alanine (A)</t>
  </si>
  <si>
    <t>Arginine (R)</t>
  </si>
  <si>
    <t>Asparagine (N)</t>
    <phoneticPr fontId="2" type="noConversion"/>
  </si>
  <si>
    <t>Aspartic acid (D)</t>
  </si>
  <si>
    <t>Cysteine (C)</t>
    <phoneticPr fontId="2" type="noConversion"/>
  </si>
  <si>
    <t>Glutamate (E)</t>
    <phoneticPr fontId="2" type="noConversion"/>
  </si>
  <si>
    <t>Glutamine (Q)</t>
  </si>
  <si>
    <t>Glycine (G)</t>
  </si>
  <si>
    <t>Histidine (H)</t>
  </si>
  <si>
    <t>Isoleucine (I)</t>
  </si>
  <si>
    <t>Leucine (L)</t>
  </si>
  <si>
    <t>Lysine (K)</t>
  </si>
  <si>
    <t>Methionine (M)</t>
  </si>
  <si>
    <t>Phenylalanine (F)</t>
  </si>
  <si>
    <t>Proline (P)</t>
  </si>
  <si>
    <t>Serine (S)</t>
  </si>
  <si>
    <t>Threonine (T)</t>
  </si>
  <si>
    <t>Tryptophan (W)</t>
    <phoneticPr fontId="2" type="noConversion"/>
  </si>
  <si>
    <t>Tyrosine (Y)</t>
    <phoneticPr fontId="2" type="noConversion"/>
  </si>
  <si>
    <t>Valine (V)</t>
  </si>
  <si>
    <t>mmol/gDW</t>
  </si>
  <si>
    <t>dATP</t>
  </si>
  <si>
    <t>dCTP</t>
  </si>
  <si>
    <t>dGTP</t>
  </si>
  <si>
    <t>dTTP</t>
  </si>
  <si>
    <t>ATP</t>
  </si>
  <si>
    <t>CTP</t>
  </si>
  <si>
    <t>GTP</t>
  </si>
  <si>
    <t>UTP</t>
  </si>
  <si>
    <t>Content % (w/w) *</t>
  </si>
  <si>
    <t>Triacylglycerol</t>
    <phoneticPr fontId="3" type="noConversion"/>
  </si>
  <si>
    <t>Free fatty acids</t>
    <phoneticPr fontId="3" type="noConversion"/>
  </si>
  <si>
    <t>Phosphatidylcholine</t>
    <phoneticPr fontId="3" type="noConversion"/>
  </si>
  <si>
    <t>Phosphatidylserine</t>
    <phoneticPr fontId="3" type="noConversion"/>
  </si>
  <si>
    <t>Averaged MW (g/mol)</t>
  </si>
  <si>
    <t>C16:0</t>
    <phoneticPr fontId="3" type="noConversion"/>
  </si>
  <si>
    <t>C18:0</t>
    <phoneticPr fontId="3" type="noConversion"/>
  </si>
  <si>
    <t>C18:1</t>
    <phoneticPr fontId="3" type="noConversion"/>
  </si>
  <si>
    <t>C18:2</t>
    <phoneticPr fontId="3" type="noConversion"/>
  </si>
  <si>
    <t>C18:3</t>
    <phoneticPr fontId="3" type="noConversion"/>
  </si>
  <si>
    <t>Glycogen</t>
    <phoneticPr fontId="2" type="noConversion"/>
  </si>
  <si>
    <t xml:space="preserve">Content % (w/w) * </t>
  </si>
  <si>
    <t>% (mole)</t>
  </si>
  <si>
    <t>Cellular Composition</t>
    <phoneticPr fontId="2" type="noConversion"/>
  </si>
  <si>
    <t>References</t>
    <phoneticPr fontId="2" type="noConversion"/>
  </si>
  <si>
    <t>Lipids</t>
    <phoneticPr fontId="2" type="noConversion"/>
  </si>
  <si>
    <t>Subclasses: triacylglycerol fatty acids</t>
    <phoneticPr fontId="2" type="noConversion"/>
  </si>
  <si>
    <t xml:space="preserve">molar composition (%) </t>
    <phoneticPr fontId="2" type="noConversion"/>
  </si>
  <si>
    <t>Prevalence (%)</t>
    <phoneticPr fontId="2" type="noConversion"/>
  </si>
  <si>
    <t>P*MW (%)</t>
  </si>
  <si>
    <t>P*MW (%)</t>
    <phoneticPr fontId="2" type="noConversion"/>
  </si>
  <si>
    <t xml:space="preserve">Content % (w/w) </t>
    <phoneticPr fontId="2" type="noConversion"/>
  </si>
  <si>
    <t>Note:</t>
    <phoneticPr fontId="2" type="noConversion"/>
  </si>
  <si>
    <t xml:space="preserve">Numbers that corresponding to the unit molar composition (%)  were used as the coefficients of the components in the formation of the subclasses of lipid that defined in this model.  </t>
    <phoneticPr fontId="2" type="noConversion"/>
  </si>
  <si>
    <t>References:</t>
    <phoneticPr fontId="2" type="noConversion"/>
  </si>
  <si>
    <t>Components</t>
  </si>
  <si>
    <t>Components</t>
    <phoneticPr fontId="2" type="noConversion"/>
  </si>
  <si>
    <t>Items</t>
    <phoneticPr fontId="3" type="noConversion"/>
  </si>
  <si>
    <t>Count (all ORFs)</t>
    <phoneticPr fontId="2" type="noConversion"/>
  </si>
  <si>
    <t>Count</t>
  </si>
  <si>
    <t>Phosphatidylinositol</t>
  </si>
  <si>
    <t>Sterol ester</t>
  </si>
  <si>
    <t>Diacylglycerol</t>
  </si>
  <si>
    <t>Subclasses: diacylglycerol fatty acids</t>
  </si>
  <si>
    <t>MW*yi</t>
  </si>
  <si>
    <t>Subclasses: sterol esters</t>
  </si>
  <si>
    <t>Phosphatidylethanolamine</t>
  </si>
  <si>
    <t>Subclasses: phosphatidylethanolamine</t>
  </si>
  <si>
    <t>Subclasses: phosphatidylcholine</t>
  </si>
  <si>
    <t>Subclasses: phosphatidylinositol</t>
  </si>
  <si>
    <t>Subclasses: phosphatidylserine</t>
  </si>
  <si>
    <t>Phosphatidic acid</t>
  </si>
  <si>
    <t>Subclasses: phosphatidic acid</t>
  </si>
  <si>
    <t>Jackson, F.M., Fraser, T.C.M., Smith, M.A., Lazarus, C., Stobart, A.K., and Griffiths, G., 1998, "Biosynthesis of C18 Polyunsaturated Fatty Acids in Microsomal Membrane Preparations from the Filamentous Fungus Mucor Circinelloides", European Journal of Biochemistry, Vol. 252, No. 3, pp. 513-519.</t>
  </si>
  <si>
    <t>Nucleiotide</t>
  </si>
  <si>
    <t>Carbohydrate</t>
  </si>
  <si>
    <t xml:space="preserve">   -DNA</t>
  </si>
  <si>
    <t xml:space="preserve">   -RNA</t>
  </si>
  <si>
    <t xml:space="preserve">    -Glycogen</t>
  </si>
  <si>
    <t>Pedersen et al., 1999</t>
  </si>
  <si>
    <t>Vicente et al., 2009</t>
  </si>
  <si>
    <t>Jackson et al., 1998</t>
  </si>
  <si>
    <t>C16:0</t>
  </si>
  <si>
    <t>C18:3</t>
  </si>
  <si>
    <t>C18:2</t>
  </si>
  <si>
    <t>C18:1</t>
  </si>
  <si>
    <t>C18:0</t>
  </si>
  <si>
    <t>Genome Database(JGI): http://genome.jgi-psf.org/Mucci2/Mucci2.home.html</t>
  </si>
  <si>
    <t>Polymerization Stoichiometry (mol/mol)</t>
  </si>
  <si>
    <t xml:space="preserve">    -Chitin</t>
  </si>
  <si>
    <t xml:space="preserve">    -Chitosan</t>
  </si>
  <si>
    <t xml:space="preserve">    -Others</t>
  </si>
  <si>
    <t>Chitin</t>
  </si>
  <si>
    <t>Chitosan</t>
  </si>
  <si>
    <t>Other Carbohydrate</t>
  </si>
  <si>
    <t xml:space="preserve">Biomass Stoichiometry </t>
  </si>
  <si>
    <r>
      <t xml:space="preserve">Pedersen, H., Carlsen, M. &amp; Nielsen, J. (1999). Identification of enzymes and quantification of metabolic fluxes in the wild type and in a recombinant </t>
    </r>
    <r>
      <rPr>
        <i/>
        <sz val="12"/>
        <rFont val="Times New Roman"/>
        <family val="1"/>
      </rPr>
      <t>Aspergillus oryzae</t>
    </r>
    <r>
      <rPr>
        <sz val="12"/>
        <rFont val="Times New Roman"/>
        <family val="1"/>
      </rPr>
      <t xml:space="preserve"> strain. </t>
    </r>
    <r>
      <rPr>
        <i/>
        <sz val="12"/>
        <rFont val="Times New Roman"/>
        <family val="1"/>
      </rPr>
      <t>Applied and Environmental Microbiology, 65</t>
    </r>
    <r>
      <rPr>
        <sz val="12"/>
        <rFont val="Times New Roman"/>
        <family val="1"/>
      </rPr>
      <t>, 11-19.</t>
    </r>
  </si>
  <si>
    <t xml:space="preserve">Total </t>
  </si>
  <si>
    <t>Amino acid</t>
    <phoneticPr fontId="3" type="noConversion"/>
  </si>
  <si>
    <t>Prevalence (%)</t>
    <phoneticPr fontId="3" type="noConversion"/>
  </si>
  <si>
    <t>mmol/gDW</t>
    <phoneticPr fontId="3" type="noConversion"/>
  </si>
  <si>
    <t>Funtikova, N.S., Mysyakina, I.S., and Konova, I.V., 2002, "Synthesis of Biologically Active Lipids by the Fungus Mucor Lusitanicus 306d Grown on Media with Various Composition", Applied Biochemistry and Microbiology, Vol. 38, No. 6, pp. 553-557.</t>
    <phoneticPr fontId="3" type="noConversion"/>
  </si>
  <si>
    <t>Genome database (JGI)</t>
    <phoneticPr fontId="3" type="noConversion"/>
  </si>
  <si>
    <t>By weight (%)</t>
    <phoneticPr fontId="3" type="noConversion"/>
  </si>
  <si>
    <t>Composition (% w/w)</t>
    <phoneticPr fontId="3" type="noConversion"/>
  </si>
  <si>
    <t>Real composition (% w/w)</t>
    <phoneticPr fontId="3" type="noConversion"/>
  </si>
  <si>
    <t>Normalized composition (% w/w)</t>
    <phoneticPr fontId="3" type="noConversion"/>
  </si>
  <si>
    <t>Anderson, T.H., 2008, "Assessment of DNA contents of soil fungi", Agriculture and Forestry Research, Vol. 58, pp. 19-28.</t>
    <phoneticPr fontId="3" type="noConversion"/>
  </si>
  <si>
    <t>Funtikova et al., 2002</t>
    <phoneticPr fontId="3" type="noConversion"/>
  </si>
  <si>
    <t>Subclasses: free fatty acids</t>
    <phoneticPr fontId="3" type="noConversion"/>
  </si>
  <si>
    <t>Free fatty acid</t>
    <phoneticPr fontId="3" type="noConversion"/>
  </si>
  <si>
    <t xml:space="preserve">Molar composition (%) </t>
    <phoneticPr fontId="2" type="noConversion"/>
  </si>
  <si>
    <r>
      <t>Mole fraction (y</t>
    </r>
    <r>
      <rPr>
        <b/>
        <vertAlign val="subscript"/>
        <sz val="12"/>
        <rFont val="Times New Roman"/>
        <family val="1"/>
      </rPr>
      <t>i</t>
    </r>
    <r>
      <rPr>
        <b/>
        <sz val="12"/>
        <rFont val="Times New Roman"/>
        <family val="1"/>
      </rPr>
      <t>)</t>
    </r>
    <phoneticPr fontId="3" type="noConversion"/>
  </si>
  <si>
    <t>Diacylglycerol fatty acids</t>
    <phoneticPr fontId="3" type="noConversion"/>
  </si>
  <si>
    <t>Triacylglycerol fatty acids</t>
    <phoneticPr fontId="3" type="noConversion"/>
  </si>
  <si>
    <t>Sterol esters</t>
    <phoneticPr fontId="3" type="noConversion"/>
  </si>
  <si>
    <t>Phosphatidylethanolamine</t>
    <phoneticPr fontId="3" type="noConversion"/>
  </si>
  <si>
    <t>Phosphatidylcholine</t>
    <phoneticPr fontId="3" type="noConversion"/>
  </si>
  <si>
    <t>Phosphatidylinositol</t>
    <phoneticPr fontId="3" type="noConversion"/>
  </si>
  <si>
    <t>Phosphatidylserine</t>
    <phoneticPr fontId="3" type="noConversion"/>
  </si>
  <si>
    <t>Phosphatidic acid</t>
    <phoneticPr fontId="3" type="noConversion"/>
  </si>
  <si>
    <t>Pedersen et al., 1999</t>
    <phoneticPr fontId="3" type="noConversion"/>
  </si>
  <si>
    <t xml:space="preserve">Numbers that corresponding to the unit mmol/gDW were used as the coefficients of the components in the biomass function.  </t>
    <phoneticPr fontId="2" type="noConversion"/>
  </si>
  <si>
    <t>Mannose</t>
    <phoneticPr fontId="3" type="noConversion"/>
  </si>
  <si>
    <t>Fucose</t>
    <phoneticPr fontId="3" type="noConversion"/>
  </si>
  <si>
    <t>Galactose</t>
    <phoneticPr fontId="3" type="noConversion"/>
  </si>
  <si>
    <t>Glucuronic acid</t>
    <phoneticPr fontId="3" type="noConversion"/>
  </si>
  <si>
    <t>Vicente, G., Bautista, L.F., Rodríguez, R., Gutiérrez, F.J., Sádaba, I., Ruiz-Vázquez, R.M., Torres-Martínez, S., and Garre, V., 2009, "Biodiesel Production from Biomass of an Oleaginous Fungus", Biochemical Engineering Journal, Vol. 48, No. 1, pp. 22-27.</t>
    <phoneticPr fontId="3" type="noConversion"/>
  </si>
  <si>
    <t>Normalized</t>
    <phoneticPr fontId="3" type="noConversion"/>
  </si>
  <si>
    <t>Orlowski M. 1991, "Mucor dimorphism", Microbiol Rev, Vol. 55, pp. 234–258.</t>
    <phoneticPr fontId="3" type="noConversion"/>
  </si>
  <si>
    <t>Peter, M.G., 2005, "Chitin and Chitosan in Fungi", In Biopolymers Online, Wiley-VCH Verlag GmbH &amp; Co. KGaA, pp. 123-132.</t>
  </si>
  <si>
    <r>
      <t xml:space="preserve">Supplementary File 2: Biomass composition of </t>
    </r>
    <r>
      <rPr>
        <b/>
        <i/>
        <sz val="14"/>
        <color rgb="FF231F20"/>
        <rFont val="Times New Roman"/>
        <family val="1"/>
      </rPr>
      <t>M. circinelloides</t>
    </r>
    <phoneticPr fontId="3" type="noConversion"/>
  </si>
  <si>
    <t>Anderson., 2008</t>
    <phoneticPr fontId="3" type="noConversion"/>
  </si>
  <si>
    <t>Peter., 2005</t>
    <phoneticPr fontId="3" type="noConversion"/>
  </si>
  <si>
    <t>Orlowski., 1991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</si>
</sst>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_);[Red]\(0.0000\)"/>
  </numFmts>
  <fonts count="17">
    <font>
      <sz val="10"/>
      <name val="Verdana"/>
      <family val="2"/>
    </font>
    <font>
      <sz val="10"/>
      <name val="Arial"/>
      <family val="2"/>
    </font>
    <font>
      <sz val="9"/>
      <name val="Tahoma"/>
      <family val="2"/>
      <charset val="134"/>
    </font>
    <font>
      <sz val="9"/>
      <name val="宋体"/>
    </font>
    <font>
      <sz val="11"/>
      <color indexed="8"/>
      <name val="Calibri"/>
      <family val="2"/>
    </font>
    <font>
      <b/>
      <sz val="12"/>
      <name val="Times New Roman"/>
      <family val="1"/>
    </font>
    <font>
      <sz val="12"/>
      <name val="Times New Roman"/>
      <family val="1"/>
    </font>
    <font>
      <i/>
      <sz val="12"/>
      <name val="Times New Roman"/>
      <family val="1"/>
    </font>
    <font>
      <b/>
      <vertAlign val="subscript"/>
      <sz val="12"/>
      <name val="Times New Roman"/>
      <family val="1"/>
    </font>
    <font>
      <sz val="12"/>
      <name val="Verdana"/>
      <family val="2"/>
    </font>
    <font>
      <b/>
      <sz val="14"/>
      <name val="Verdana"/>
      <family val="2"/>
    </font>
    <font>
      <sz val="11"/>
      <color theme="1"/>
      <name val="宋体"/>
      <scheme val="minor"/>
    </font>
    <font>
      <sz val="11"/>
      <color theme="1"/>
      <name val="Tahoma"/>
      <family val="2"/>
    </font>
    <font>
      <sz val="12"/>
      <color rgb="FFFF0000"/>
      <name val="Times New Roman"/>
      <family val="1"/>
    </font>
    <font>
      <b/>
      <sz val="14"/>
      <color rgb="FF231F20"/>
      <name val="Times New Roman"/>
      <family val="1"/>
    </font>
    <font>
      <sz val="11"/>
      <name val="Times New Roman"/>
      <family val="1"/>
    </font>
    <font>
      <b/>
      <i/>
      <sz val="14"/>
      <color rgb="FF231F20"/>
      <name val="Times New Roman"/>
      <family val="1"/>
    </font>
  </fonts>
  <fills count="3">
    <fill>
      <patternFill patternType="none"/>
    </fill>
    <fill>
      <patternFill patternType="gray125"/>
    </fill>
    <fill>
      <patternFill patternType="solid">
        <fgColor rgb="FFFFFFCC"/>
      </patternFill>
    </fill>
  </fills>
  <borders count="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bottom style="double">
        <color indexed="64"/>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11" fillId="0" borderId="0"/>
    <xf numFmtId="0" fontId="1" fillId="0" borderId="0"/>
    <xf numFmtId="0" fontId="4" fillId="2" borderId="5" applyNumberFormat="0" applyFont="0" applyAlignment="0" applyProtection="0"/>
    <xf numFmtId="9" fontId="12" fillId="0" borderId="0" applyFont="0" applyFill="0" applyBorder="0" applyAlignment="0" applyProtection="0">
      <alignment vertical="center"/>
    </xf>
  </cellStyleXfs>
  <cellXfs count="60">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5" fillId="0" borderId="0" xfId="2" applyFont="1" applyFill="1" applyAlignment="1">
      <alignment horizontal="left" vertical="center"/>
    </xf>
    <xf numFmtId="0" fontId="6" fillId="0" borderId="0" xfId="2" applyFont="1" applyFill="1" applyAlignment="1">
      <alignment horizontal="left" vertical="center"/>
    </xf>
    <xf numFmtId="0" fontId="6" fillId="0" borderId="0" xfId="0" applyFont="1" applyFill="1" applyAlignment="1">
      <alignment vertical="center"/>
    </xf>
    <xf numFmtId="0" fontId="6" fillId="0" borderId="0" xfId="2" applyNumberFormat="1" applyFont="1" applyFill="1" applyAlignment="1">
      <alignment horizontal="left" vertical="center"/>
    </xf>
    <xf numFmtId="0" fontId="5" fillId="0" borderId="0" xfId="0" applyFont="1" applyAlignment="1">
      <alignment vertical="center"/>
    </xf>
    <xf numFmtId="0" fontId="6" fillId="0" borderId="0" xfId="2" applyFont="1" applyFill="1" applyAlignment="1">
      <alignment horizontal="left" vertical="center" wrapText="1"/>
    </xf>
    <xf numFmtId="0" fontId="6" fillId="0" borderId="0" xfId="0" applyFont="1"/>
    <xf numFmtId="0" fontId="9" fillId="0" borderId="0" xfId="0" applyFont="1"/>
    <xf numFmtId="0" fontId="6" fillId="0" borderId="0" xfId="0" applyFont="1" applyFill="1" applyAlignment="1">
      <alignment horizontal="left" vertical="center"/>
    </xf>
    <xf numFmtId="0" fontId="13" fillId="0" borderId="0" xfId="0" applyFont="1" applyAlignment="1">
      <alignment horizontal="left" vertical="center"/>
    </xf>
    <xf numFmtId="176" fontId="6" fillId="0" borderId="0" xfId="2" applyNumberFormat="1" applyFont="1" applyFill="1" applyAlignment="1">
      <alignment horizontal="left" vertical="center"/>
    </xf>
    <xf numFmtId="176" fontId="6" fillId="0" borderId="0" xfId="2" applyNumberFormat="1" applyFont="1" applyFill="1" applyAlignment="1">
      <alignment horizontal="left" vertical="center" wrapText="1"/>
    </xf>
    <xf numFmtId="176" fontId="5" fillId="0" borderId="0" xfId="2" applyNumberFormat="1" applyFont="1" applyFill="1" applyAlignment="1">
      <alignment horizontal="left" vertical="center"/>
    </xf>
    <xf numFmtId="176" fontId="5" fillId="0" borderId="2" xfId="2" applyNumberFormat="1" applyFont="1" applyFill="1" applyBorder="1" applyAlignment="1">
      <alignment horizontal="left" vertical="center"/>
    </xf>
    <xf numFmtId="176" fontId="6" fillId="0" borderId="0" xfId="0" applyNumberFormat="1" applyFont="1" applyFill="1" applyAlignment="1">
      <alignment horizontal="left" vertical="center"/>
    </xf>
    <xf numFmtId="176" fontId="5" fillId="0" borderId="0" xfId="2" applyNumberFormat="1" applyFont="1" applyFill="1" applyBorder="1" applyAlignment="1">
      <alignment horizontal="left" vertical="center"/>
    </xf>
    <xf numFmtId="176" fontId="6" fillId="0" borderId="0" xfId="2" applyNumberFormat="1" applyFont="1" applyFill="1" applyBorder="1" applyAlignment="1">
      <alignment horizontal="left" vertical="center"/>
    </xf>
    <xf numFmtId="176" fontId="5" fillId="0" borderId="0" xfId="2" applyNumberFormat="1" applyFont="1" applyFill="1" applyAlignment="1">
      <alignment horizontal="left" vertical="center" wrapText="1"/>
    </xf>
    <xf numFmtId="176" fontId="6" fillId="0" borderId="2" xfId="2" applyNumberFormat="1" applyFont="1" applyFill="1" applyBorder="1" applyAlignment="1">
      <alignment horizontal="left" vertical="center"/>
    </xf>
    <xf numFmtId="176" fontId="6" fillId="0" borderId="0" xfId="0" applyNumberFormat="1" applyFont="1" applyFill="1" applyAlignment="1">
      <alignment horizontal="left"/>
    </xf>
    <xf numFmtId="176" fontId="9" fillId="0" borderId="0" xfId="0" applyNumberFormat="1" applyFont="1" applyFill="1" applyAlignment="1">
      <alignment horizontal="left"/>
    </xf>
    <xf numFmtId="0" fontId="9" fillId="0" borderId="0" xfId="0" applyFont="1" applyAlignment="1">
      <alignment horizontal="left"/>
    </xf>
    <xf numFmtId="9" fontId="6" fillId="0" borderId="0" xfId="4" applyFont="1" applyFill="1" applyAlignment="1">
      <alignment horizontal="left" vertical="center"/>
    </xf>
    <xf numFmtId="0" fontId="6" fillId="0" borderId="2" xfId="0" applyFont="1" applyBorder="1" applyAlignment="1">
      <alignment horizontal="left" vertical="center"/>
    </xf>
    <xf numFmtId="176" fontId="6" fillId="0" borderId="0" xfId="0" applyNumberFormat="1" applyFont="1" applyFill="1" applyBorder="1" applyAlignment="1">
      <alignment horizontal="left"/>
    </xf>
    <xf numFmtId="176" fontId="5" fillId="0" borderId="0" xfId="0" applyNumberFormat="1" applyFont="1" applyFill="1" applyAlignment="1">
      <alignment horizontal="left" vertical="center"/>
    </xf>
    <xf numFmtId="176" fontId="6" fillId="0" borderId="2" xfId="0" applyNumberFormat="1" applyFont="1" applyFill="1" applyBorder="1" applyAlignment="1">
      <alignment horizontal="left" vertical="center"/>
    </xf>
    <xf numFmtId="0" fontId="6" fillId="0" borderId="2" xfId="2" applyFont="1" applyFill="1" applyBorder="1" applyAlignment="1">
      <alignment horizontal="left" vertical="center"/>
    </xf>
    <xf numFmtId="176" fontId="6" fillId="0" borderId="0" xfId="0" applyNumberFormat="1" applyFont="1" applyFill="1" applyBorder="1" applyAlignment="1">
      <alignment horizontal="left" vertical="center"/>
    </xf>
    <xf numFmtId="0" fontId="6" fillId="0" borderId="0" xfId="0" applyFont="1" applyAlignment="1">
      <alignment horizontal="left"/>
    </xf>
    <xf numFmtId="176" fontId="5" fillId="0" borderId="2"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1" xfId="2" applyFont="1" applyFill="1" applyBorder="1" applyAlignment="1">
      <alignment vertical="center"/>
    </xf>
    <xf numFmtId="176" fontId="5" fillId="0" borderId="2" xfId="2" applyNumberFormat="1" applyFont="1" applyFill="1" applyBorder="1" applyAlignment="1">
      <alignment horizontal="left" vertical="center" wrapText="1"/>
    </xf>
    <xf numFmtId="176" fontId="5" fillId="0" borderId="1" xfId="2" applyNumberFormat="1" applyFont="1" applyFill="1" applyBorder="1" applyAlignment="1">
      <alignment horizontal="left" vertical="center"/>
    </xf>
    <xf numFmtId="176" fontId="6" fillId="0" borderId="1" xfId="2" applyNumberFormat="1" applyFont="1" applyFill="1" applyBorder="1" applyAlignment="1">
      <alignment horizontal="left" vertical="center"/>
    </xf>
    <xf numFmtId="176" fontId="6" fillId="0" borderId="1" xfId="0" applyNumberFormat="1" applyFont="1" applyFill="1" applyBorder="1" applyAlignment="1">
      <alignment horizontal="left" vertical="center"/>
    </xf>
    <xf numFmtId="0" fontId="5" fillId="0" borderId="1" xfId="2" applyNumberFormat="1" applyFont="1" applyFill="1" applyBorder="1" applyAlignment="1">
      <alignment horizontal="left" vertical="center"/>
    </xf>
    <xf numFmtId="176" fontId="5" fillId="0" borderId="0" xfId="2" applyNumberFormat="1" applyFont="1" applyFill="1" applyBorder="1" applyAlignment="1">
      <alignment horizontal="left" vertical="center" wrapText="1"/>
    </xf>
    <xf numFmtId="176" fontId="5" fillId="0" borderId="2" xfId="0" applyNumberFormat="1" applyFont="1" applyFill="1" applyBorder="1" applyAlignment="1">
      <alignment horizontal="left"/>
    </xf>
    <xf numFmtId="0" fontId="6" fillId="0" borderId="1" xfId="0" applyFont="1" applyBorder="1" applyAlignment="1">
      <alignment vertical="center"/>
    </xf>
    <xf numFmtId="0" fontId="5" fillId="0" borderId="0" xfId="2" applyFont="1" applyFill="1" applyAlignment="1">
      <alignment horizontal="left" vertical="center" wrapText="1"/>
    </xf>
    <xf numFmtId="0" fontId="5" fillId="0" borderId="0" xfId="0" applyFont="1" applyFill="1" applyAlignment="1">
      <alignment horizontal="left" vertical="center"/>
    </xf>
    <xf numFmtId="176" fontId="5" fillId="0" borderId="3" xfId="2" applyNumberFormat="1" applyFont="1" applyFill="1" applyBorder="1" applyAlignment="1">
      <alignment horizontal="left" vertical="center" wrapText="1"/>
    </xf>
    <xf numFmtId="176" fontId="5" fillId="0" borderId="3" xfId="0" applyNumberFormat="1" applyFont="1" applyFill="1" applyBorder="1" applyAlignment="1">
      <alignment horizontal="left" vertical="center"/>
    </xf>
    <xf numFmtId="176" fontId="6" fillId="0" borderId="3" xfId="2" applyNumberFormat="1" applyFont="1" applyFill="1" applyBorder="1" applyAlignment="1">
      <alignment horizontal="left" vertical="center" wrapText="1"/>
    </xf>
    <xf numFmtId="176" fontId="6" fillId="0" borderId="0" xfId="2" applyNumberFormat="1" applyFont="1" applyFill="1" applyBorder="1" applyAlignment="1">
      <alignment horizontal="left" vertical="center" wrapText="1"/>
    </xf>
    <xf numFmtId="0" fontId="6" fillId="0" borderId="0" xfId="2" applyFont="1" applyFill="1" applyBorder="1" applyAlignment="1">
      <alignment horizontal="left" vertical="center"/>
    </xf>
    <xf numFmtId="176" fontId="6" fillId="0" borderId="1" xfId="4" applyNumberFormat="1" applyFont="1" applyFill="1" applyBorder="1" applyAlignment="1">
      <alignment horizontal="left" vertical="center"/>
    </xf>
    <xf numFmtId="176" fontId="6" fillId="0" borderId="0" xfId="4" applyNumberFormat="1" applyFont="1" applyFill="1" applyBorder="1" applyAlignment="1">
      <alignment horizontal="left" vertical="center"/>
    </xf>
    <xf numFmtId="0" fontId="15" fillId="0" borderId="0" xfId="0" applyFont="1" applyAlignment="1">
      <alignment vertical="center"/>
    </xf>
    <xf numFmtId="0" fontId="15" fillId="0" borderId="0" xfId="0" applyFont="1"/>
    <xf numFmtId="176" fontId="14" fillId="0" borderId="0" xfId="0" applyNumberFormat="1" applyFont="1" applyFill="1" applyAlignment="1">
      <alignment horizontal="left" vertical="center"/>
    </xf>
    <xf numFmtId="176" fontId="10" fillId="0" borderId="0" xfId="0" applyNumberFormat="1" applyFont="1" applyFill="1" applyAlignment="1">
      <alignment horizontal="left"/>
    </xf>
    <xf numFmtId="176" fontId="5" fillId="0" borderId="1" xfId="2" applyNumberFormat="1" applyFont="1" applyFill="1" applyBorder="1" applyAlignment="1">
      <alignment horizontal="left" vertical="center"/>
    </xf>
    <xf numFmtId="176" fontId="5" fillId="0" borderId="2" xfId="2" applyNumberFormat="1" applyFont="1" applyFill="1" applyBorder="1" applyAlignment="1">
      <alignment horizontal="left" vertical="center"/>
    </xf>
    <xf numFmtId="176" fontId="5" fillId="0" borderId="4" xfId="2" applyNumberFormat="1" applyFont="1" applyFill="1" applyBorder="1" applyAlignment="1">
      <alignment horizontal="left" vertical="center"/>
    </xf>
  </cellXfs>
  <cellStyles count="5">
    <cellStyle name="Normal" xfId="0" builtinId="0"/>
    <cellStyle name="Normal 2" xfId="1"/>
    <cellStyle name="Normal_cth_biomass" xfId="2"/>
    <cellStyle name="Note 2"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178"/>
  <sheetViews>
    <sheetView tabSelected="1" zoomScale="90" zoomScaleNormal="90" workbookViewId="0">
      <selection activeCell="I156" sqref="I156"/>
    </sheetView>
  </sheetViews>
  <sheetFormatPr defaultRowHeight="15"/>
  <cols>
    <col min="1" max="1" width="20.375" style="23" customWidth="1"/>
    <col min="2" max="2" width="18.875" style="23" customWidth="1"/>
    <col min="3" max="3" width="21.375" style="23" customWidth="1"/>
    <col min="4" max="4" width="13.75" style="23" customWidth="1"/>
    <col min="5" max="5" width="13" style="23" customWidth="1"/>
    <col min="6" max="6" width="24.375" style="23" customWidth="1"/>
    <col min="7" max="7" width="15.875" style="23" customWidth="1"/>
    <col min="8" max="8" width="26.5" style="23" customWidth="1"/>
    <col min="9" max="9" width="20.5" style="24" customWidth="1"/>
    <col min="10" max="16384" width="9" style="10"/>
  </cols>
  <sheetData>
    <row r="1" spans="1:9" ht="25.5" customHeight="1">
      <c r="A1" s="55" t="s">
        <v>137</v>
      </c>
      <c r="B1" s="56"/>
      <c r="C1" s="56"/>
      <c r="D1" s="56"/>
    </row>
    <row r="2" spans="1:9" s="2" customFormat="1" ht="27" customHeight="1">
      <c r="A2" s="57" t="s">
        <v>49</v>
      </c>
      <c r="B2" s="57"/>
      <c r="C2" s="37"/>
      <c r="D2" s="38"/>
      <c r="E2" s="38"/>
      <c r="F2" s="39"/>
      <c r="G2" s="39"/>
      <c r="H2" s="39"/>
      <c r="I2" s="40" t="s">
        <v>50</v>
      </c>
    </row>
    <row r="3" spans="1:9" s="2" customFormat="1" ht="47.25">
      <c r="A3" s="16" t="s">
        <v>63</v>
      </c>
      <c r="B3" s="16" t="s">
        <v>110</v>
      </c>
      <c r="C3" s="36" t="s">
        <v>111</v>
      </c>
      <c r="D3" s="36" t="s">
        <v>112</v>
      </c>
      <c r="E3" s="36" t="s">
        <v>101</v>
      </c>
      <c r="F3" s="29"/>
      <c r="G3" s="29"/>
      <c r="H3" s="29"/>
      <c r="I3" s="26"/>
    </row>
    <row r="4" spans="1:9" s="2" customFormat="1" ht="15.75">
      <c r="A4" s="13" t="s">
        <v>0</v>
      </c>
      <c r="B4" s="13">
        <f t="shared" ref="B4:B9" si="0">D4</f>
        <v>42.441860465116278</v>
      </c>
      <c r="C4" s="17">
        <v>36.5</v>
      </c>
      <c r="D4" s="17">
        <f t="shared" ref="D4:D9" si="1">C4/$C$14*100</f>
        <v>42.441860465116278</v>
      </c>
      <c r="E4" s="13">
        <f>D4/135.89*1000/100</f>
        <v>3.1232511932530933</v>
      </c>
      <c r="F4" s="17"/>
      <c r="G4" s="17"/>
      <c r="H4" s="17"/>
      <c r="I4" s="4" t="s">
        <v>114</v>
      </c>
    </row>
    <row r="5" spans="1:9" s="2" customFormat="1" ht="15.75">
      <c r="A5" s="13" t="s">
        <v>80</v>
      </c>
      <c r="B5" s="13">
        <f t="shared" si="0"/>
        <v>1.9767441860465116</v>
      </c>
      <c r="C5" s="17">
        <v>1.7</v>
      </c>
      <c r="D5" s="17">
        <f t="shared" si="1"/>
        <v>1.9767441860465116</v>
      </c>
      <c r="E5" s="13"/>
      <c r="F5" s="17"/>
      <c r="G5" s="17"/>
      <c r="H5" s="17"/>
      <c r="I5" s="4" t="s">
        <v>114</v>
      </c>
    </row>
    <row r="6" spans="1:9" s="2" customFormat="1" ht="15.75">
      <c r="A6" s="13" t="s">
        <v>82</v>
      </c>
      <c r="B6" s="13">
        <f t="shared" si="0"/>
        <v>0.38372093023255816</v>
      </c>
      <c r="C6" s="17">
        <v>0.33</v>
      </c>
      <c r="D6" s="17">
        <f t="shared" si="1"/>
        <v>0.38372093023255816</v>
      </c>
      <c r="E6" s="13">
        <f>D6/333.2*1000/100</f>
        <v>1.1516234400737039E-2</v>
      </c>
      <c r="F6" s="17"/>
      <c r="G6" s="17"/>
      <c r="H6" s="17"/>
      <c r="I6" s="25" t="s">
        <v>138</v>
      </c>
    </row>
    <row r="7" spans="1:9" s="2" customFormat="1" ht="15.75">
      <c r="A7" s="13" t="s">
        <v>83</v>
      </c>
      <c r="B7" s="13">
        <f t="shared" si="0"/>
        <v>1.5930232558139534</v>
      </c>
      <c r="C7" s="17">
        <f>C5-C6</f>
        <v>1.3699999999999999</v>
      </c>
      <c r="D7" s="17">
        <f t="shared" si="1"/>
        <v>1.5930232558139534</v>
      </c>
      <c r="E7" s="13">
        <f>D7/340.6*1000/100</f>
        <v>4.677108795695694E-2</v>
      </c>
      <c r="F7" s="17"/>
      <c r="G7" s="17"/>
      <c r="H7" s="17"/>
      <c r="I7" s="25"/>
    </row>
    <row r="8" spans="1:9" s="2" customFormat="1" ht="15.75">
      <c r="A8" s="13" t="s">
        <v>3</v>
      </c>
      <c r="B8" s="13">
        <f t="shared" si="0"/>
        <v>17.209302325581397</v>
      </c>
      <c r="C8" s="17">
        <v>14.8</v>
      </c>
      <c r="D8" s="17">
        <f t="shared" si="1"/>
        <v>17.209302325581397</v>
      </c>
      <c r="E8" s="13"/>
      <c r="F8" s="17"/>
      <c r="G8" s="17"/>
      <c r="H8" s="17"/>
      <c r="I8" s="4" t="s">
        <v>86</v>
      </c>
    </row>
    <row r="9" spans="1:9" s="2" customFormat="1" ht="15.75">
      <c r="A9" s="13" t="s">
        <v>81</v>
      </c>
      <c r="B9" s="13">
        <f t="shared" si="0"/>
        <v>38.372093023255815</v>
      </c>
      <c r="C9" s="17">
        <v>33</v>
      </c>
      <c r="D9" s="17">
        <f t="shared" si="1"/>
        <v>38.372093023255815</v>
      </c>
      <c r="E9" s="13"/>
      <c r="F9" s="17"/>
      <c r="G9" s="17"/>
      <c r="H9" s="17"/>
      <c r="I9" s="4" t="s">
        <v>114</v>
      </c>
    </row>
    <row r="10" spans="1:9" s="2" customFormat="1" ht="15.75">
      <c r="A10" s="13" t="s">
        <v>84</v>
      </c>
      <c r="B10" s="13">
        <v>0.12</v>
      </c>
      <c r="C10" s="17"/>
      <c r="D10" s="17"/>
      <c r="E10" s="13"/>
      <c r="F10" s="17"/>
      <c r="G10" s="17"/>
      <c r="H10" s="17"/>
      <c r="I10" s="25" t="s">
        <v>85</v>
      </c>
    </row>
    <row r="11" spans="1:9" s="2" customFormat="1" ht="15.75">
      <c r="A11" s="13" t="s">
        <v>95</v>
      </c>
      <c r="B11" s="13">
        <v>8.9</v>
      </c>
      <c r="C11" s="17"/>
      <c r="D11" s="17"/>
      <c r="E11" s="13"/>
      <c r="F11" s="17"/>
      <c r="G11" s="17"/>
      <c r="H11" s="17"/>
      <c r="I11" s="53" t="s">
        <v>139</v>
      </c>
    </row>
    <row r="12" spans="1:9" s="2" customFormat="1" ht="15.75">
      <c r="A12" s="13" t="s">
        <v>96</v>
      </c>
      <c r="B12" s="13">
        <v>7.3</v>
      </c>
      <c r="C12" s="17"/>
      <c r="D12" s="17"/>
      <c r="E12" s="13"/>
      <c r="F12" s="17"/>
      <c r="G12" s="17"/>
      <c r="H12" s="17"/>
      <c r="I12" s="53" t="s">
        <v>139</v>
      </c>
    </row>
    <row r="13" spans="1:9" s="2" customFormat="1" ht="15.75">
      <c r="A13" s="14" t="s">
        <v>97</v>
      </c>
      <c r="B13" s="13">
        <f>B9-B10-B11-B12</f>
        <v>22.052093023255818</v>
      </c>
      <c r="C13" s="17"/>
      <c r="D13" s="17"/>
      <c r="E13" s="13"/>
      <c r="F13" s="17"/>
      <c r="G13" s="17"/>
      <c r="H13" s="17"/>
      <c r="I13" s="52" t="s">
        <v>140</v>
      </c>
    </row>
    <row r="14" spans="1:9" s="2" customFormat="1" ht="15.75">
      <c r="A14" s="13" t="s">
        <v>103</v>
      </c>
      <c r="B14" s="15">
        <f>SUM(B4,B5,B8,B9)</f>
        <v>100</v>
      </c>
      <c r="C14" s="13">
        <f>SUM(C9,C8,C5,C4)</f>
        <v>86</v>
      </c>
      <c r="D14" s="13">
        <f>SUM(D9,D8,D5,D4)</f>
        <v>100</v>
      </c>
      <c r="E14" s="13"/>
      <c r="F14" s="13"/>
      <c r="G14" s="13"/>
      <c r="H14" s="17"/>
      <c r="I14" s="4"/>
    </row>
    <row r="15" spans="1:9" s="2" customFormat="1" ht="15.75" customHeight="1">
      <c r="A15" s="17"/>
      <c r="B15" s="17"/>
      <c r="C15" s="17"/>
      <c r="D15" s="17"/>
      <c r="E15" s="17"/>
      <c r="F15" s="17"/>
      <c r="G15" s="17"/>
      <c r="H15" s="17"/>
      <c r="I15" s="26"/>
    </row>
    <row r="16" spans="1:9" s="2" customFormat="1" ht="27" customHeight="1">
      <c r="A16" s="57" t="s">
        <v>4</v>
      </c>
      <c r="B16" s="57"/>
      <c r="C16" s="57"/>
      <c r="D16" s="57"/>
      <c r="E16" s="57"/>
      <c r="F16" s="57"/>
      <c r="G16" s="57"/>
      <c r="H16" s="57"/>
      <c r="I16" s="30" t="s">
        <v>108</v>
      </c>
    </row>
    <row r="17" spans="1:9" s="2" customFormat="1" ht="31.5">
      <c r="A17" s="15" t="s">
        <v>104</v>
      </c>
      <c r="B17" s="15" t="s">
        <v>64</v>
      </c>
      <c r="C17" s="15" t="s">
        <v>105</v>
      </c>
      <c r="D17" s="15" t="s">
        <v>5</v>
      </c>
      <c r="E17" s="15" t="s">
        <v>55</v>
      </c>
      <c r="F17" s="15" t="s">
        <v>109</v>
      </c>
      <c r="G17" s="15" t="s">
        <v>106</v>
      </c>
      <c r="H17" s="20" t="s">
        <v>94</v>
      </c>
    </row>
    <row r="18" spans="1:9" s="2" customFormat="1" ht="15.75">
      <c r="A18" s="13" t="s">
        <v>6</v>
      </c>
      <c r="B18" s="13">
        <v>326566</v>
      </c>
      <c r="C18" s="13">
        <f>100*(B18/$B$38)</f>
        <v>7.2718632872066005</v>
      </c>
      <c r="D18" s="13">
        <v>89.05</v>
      </c>
      <c r="E18" s="13">
        <f>C18*D18</f>
        <v>647.5594257257477</v>
      </c>
      <c r="F18" s="13">
        <f>(E18/$E$38)*100</f>
        <v>4.9724927207901928</v>
      </c>
      <c r="G18" s="13">
        <f t="shared" ref="G18:G37" si="2">(F18/100)*($B$4/100)*(1/D18)*(1000)</f>
        <v>0.23699252354810077</v>
      </c>
      <c r="H18" s="13">
        <f>G18/$G$38</f>
        <v>7.2718632872065994E-2</v>
      </c>
      <c r="I18" s="1"/>
    </row>
    <row r="19" spans="1:9" s="2" customFormat="1" ht="15.75">
      <c r="A19" s="13" t="s">
        <v>7</v>
      </c>
      <c r="B19" s="13">
        <v>215193</v>
      </c>
      <c r="C19" s="13">
        <f t="shared" ref="C19:C37" si="3">100*(B19/$B$38)</f>
        <v>4.7918462925223384</v>
      </c>
      <c r="D19" s="13">
        <v>175.11</v>
      </c>
      <c r="E19" s="13">
        <f t="shared" ref="E19:E37" si="4">C19*D19</f>
        <v>839.10020428358678</v>
      </c>
      <c r="F19" s="13">
        <f t="shared" ref="F19:F37" si="5">(E19/$E$38)*100</f>
        <v>6.4433000154966296</v>
      </c>
      <c r="G19" s="13">
        <f t="shared" si="2"/>
        <v>0.15616791741910196</v>
      </c>
      <c r="H19" s="13">
        <f t="shared" ref="H19:H37" si="6">G19/$G$38</f>
        <v>4.7918462925223386E-2</v>
      </c>
      <c r="I19" s="1"/>
    </row>
    <row r="20" spans="1:9" s="2" customFormat="1" ht="15.75">
      <c r="A20" s="13" t="s">
        <v>8</v>
      </c>
      <c r="B20" s="13">
        <v>205824</v>
      </c>
      <c r="C20" s="13">
        <f t="shared" si="3"/>
        <v>4.5832205104818371</v>
      </c>
      <c r="D20" s="13">
        <v>132.05000000000001</v>
      </c>
      <c r="E20" s="13">
        <f>C20*D20</f>
        <v>605.21426840912659</v>
      </c>
      <c r="F20" s="13">
        <f t="shared" si="5"/>
        <v>4.6473318503702625</v>
      </c>
      <c r="G20" s="13">
        <f t="shared" si="2"/>
        <v>0.14936873148694077</v>
      </c>
      <c r="H20" s="13">
        <f t="shared" si="6"/>
        <v>4.5832205104818363E-2</v>
      </c>
      <c r="I20" s="1"/>
    </row>
    <row r="21" spans="1:9" s="2" customFormat="1" ht="15.75">
      <c r="A21" s="13" t="s">
        <v>9</v>
      </c>
      <c r="B21" s="13">
        <v>259321</v>
      </c>
      <c r="C21" s="13">
        <f t="shared" si="3"/>
        <v>5.7744739486097849</v>
      </c>
      <c r="D21" s="13">
        <v>132.04</v>
      </c>
      <c r="E21" s="13">
        <f t="shared" si="4"/>
        <v>762.46154017443598</v>
      </c>
      <c r="F21" s="13">
        <f t="shared" si="5"/>
        <v>5.8548054553460478</v>
      </c>
      <c r="G21" s="13">
        <f t="shared" si="2"/>
        <v>0.18819209041669083</v>
      </c>
      <c r="H21" s="13">
        <f t="shared" si="6"/>
        <v>5.7744739486097853E-2</v>
      </c>
      <c r="I21" s="1"/>
    </row>
    <row r="22" spans="1:9" s="2" customFormat="1" ht="15.75">
      <c r="A22" s="13" t="s">
        <v>10</v>
      </c>
      <c r="B22" s="13">
        <v>64858</v>
      </c>
      <c r="C22" s="13">
        <f t="shared" si="3"/>
        <v>1.4442364149410709</v>
      </c>
      <c r="D22" s="13">
        <v>121.02</v>
      </c>
      <c r="E22" s="13">
        <f t="shared" si="4"/>
        <v>174.78149093616841</v>
      </c>
      <c r="F22" s="13">
        <f t="shared" si="5"/>
        <v>1.3421157300504383</v>
      </c>
      <c r="G22" s="13">
        <f t="shared" si="2"/>
        <v>4.7068161083158463E-2</v>
      </c>
      <c r="H22" s="13">
        <f t="shared" si="6"/>
        <v>1.4442364149410712E-2</v>
      </c>
      <c r="I22" s="1"/>
    </row>
    <row r="23" spans="1:9" s="2" customFormat="1" ht="15.75">
      <c r="A23" s="13" t="s">
        <v>11</v>
      </c>
      <c r="B23" s="13">
        <v>264259</v>
      </c>
      <c r="C23" s="13">
        <f>100*(B23/$B$38)</f>
        <v>5.8844316934828766</v>
      </c>
      <c r="D23" s="13">
        <v>146.05000000000001</v>
      </c>
      <c r="E23" s="13">
        <f t="shared" si="4"/>
        <v>859.42124883317422</v>
      </c>
      <c r="F23" s="13">
        <f t="shared" si="5"/>
        <v>6.5993416729683441</v>
      </c>
      <c r="G23" s="13">
        <f t="shared" si="2"/>
        <v>0.19177565110972231</v>
      </c>
      <c r="H23" s="13">
        <f t="shared" si="6"/>
        <v>5.8844316934828771E-2</v>
      </c>
      <c r="I23" s="1"/>
    </row>
    <row r="24" spans="1:9" s="2" customFormat="1" ht="15.75">
      <c r="A24" s="13" t="s">
        <v>12</v>
      </c>
      <c r="B24" s="13">
        <v>207101</v>
      </c>
      <c r="C24" s="13">
        <f>100*(B24/$B$38)</f>
        <v>4.6116563225925979</v>
      </c>
      <c r="D24" s="13">
        <v>146.07</v>
      </c>
      <c r="E24" s="13">
        <f t="shared" si="4"/>
        <v>673.62463904110075</v>
      </c>
      <c r="F24" s="13">
        <f t="shared" si="5"/>
        <v>5.1726428202674386</v>
      </c>
      <c r="G24" s="13">
        <f t="shared" si="2"/>
        <v>0.15029546437576241</v>
      </c>
      <c r="H24" s="13">
        <f t="shared" si="6"/>
        <v>4.6116563225925979E-2</v>
      </c>
      <c r="I24" s="1"/>
    </row>
    <row r="25" spans="1:9" s="2" customFormat="1" ht="15.75">
      <c r="A25" s="13" t="s">
        <v>13</v>
      </c>
      <c r="B25" s="13">
        <v>233103</v>
      </c>
      <c r="C25" s="13">
        <f t="shared" si="3"/>
        <v>5.1906602274508682</v>
      </c>
      <c r="D25" s="13">
        <v>75.03</v>
      </c>
      <c r="E25" s="13">
        <f t="shared" si="4"/>
        <v>389.45523686563865</v>
      </c>
      <c r="F25" s="13">
        <f t="shared" si="5"/>
        <v>2.990556933392821</v>
      </c>
      <c r="G25" s="13">
        <f t="shared" si="2"/>
        <v>0.16916540061314692</v>
      </c>
      <c r="H25" s="13">
        <f t="shared" si="6"/>
        <v>5.1906602274508676E-2</v>
      </c>
      <c r="I25" s="1"/>
    </row>
    <row r="26" spans="1:9" s="2" customFormat="1" ht="15.75">
      <c r="A26" s="13" t="s">
        <v>14</v>
      </c>
      <c r="B26" s="13">
        <v>118390</v>
      </c>
      <c r="C26" s="13">
        <f t="shared" si="3"/>
        <v>2.6362692214510681</v>
      </c>
      <c r="D26" s="13">
        <v>155.07</v>
      </c>
      <c r="E26" s="13">
        <f t="shared" si="4"/>
        <v>408.80626817041713</v>
      </c>
      <c r="F26" s="13">
        <f t="shared" si="5"/>
        <v>3.139150033083947</v>
      </c>
      <c r="G26" s="13">
        <f t="shared" si="2"/>
        <v>8.5916919896313948E-2</v>
      </c>
      <c r="H26" s="13">
        <f t="shared" si="6"/>
        <v>2.6362692214510687E-2</v>
      </c>
      <c r="I26" s="1"/>
    </row>
    <row r="27" spans="1:9" s="2" customFormat="1" ht="15.75">
      <c r="A27" s="13" t="s">
        <v>15</v>
      </c>
      <c r="B27" s="13">
        <v>260922</v>
      </c>
      <c r="C27" s="13">
        <f t="shared" si="3"/>
        <v>5.8101244851715146</v>
      </c>
      <c r="D27" s="13">
        <v>131.09</v>
      </c>
      <c r="E27" s="13">
        <f t="shared" si="4"/>
        <v>761.64921876113385</v>
      </c>
      <c r="F27" s="13">
        <f t="shared" si="5"/>
        <v>5.8485677848649802</v>
      </c>
      <c r="G27" s="13">
        <f t="shared" si="2"/>
        <v>0.18935395365475149</v>
      </c>
      <c r="H27" s="13">
        <f t="shared" si="6"/>
        <v>5.810124485171516E-2</v>
      </c>
      <c r="I27" s="1"/>
    </row>
    <row r="28" spans="1:9" s="2" customFormat="1" ht="15.75">
      <c r="A28" s="13" t="s">
        <v>16</v>
      </c>
      <c r="B28" s="13">
        <v>407993</v>
      </c>
      <c r="C28" s="13">
        <f t="shared" si="3"/>
        <v>9.0850526942096934</v>
      </c>
      <c r="D28" s="13">
        <v>131.09</v>
      </c>
      <c r="E28" s="13">
        <f t="shared" si="4"/>
        <v>1190.9595576839488</v>
      </c>
      <c r="F28" s="13">
        <f t="shared" si="5"/>
        <v>9.145164900814871</v>
      </c>
      <c r="G28" s="13">
        <f t="shared" si="2"/>
        <v>0.29608498943539835</v>
      </c>
      <c r="H28" s="13">
        <f t="shared" si="6"/>
        <v>9.0850526942096943E-2</v>
      </c>
      <c r="I28" s="1"/>
    </row>
    <row r="29" spans="1:9" s="2" customFormat="1" ht="15.75">
      <c r="A29" s="13" t="s">
        <v>17</v>
      </c>
      <c r="B29" s="13">
        <v>271592</v>
      </c>
      <c r="C29" s="13">
        <f t="shared" si="3"/>
        <v>6.0477205033561825</v>
      </c>
      <c r="D29" s="13">
        <v>147.11000000000001</v>
      </c>
      <c r="E29" s="13">
        <f t="shared" si="4"/>
        <v>889.68016324872804</v>
      </c>
      <c r="F29" s="13">
        <f t="shared" si="5"/>
        <v>6.8316944512507778</v>
      </c>
      <c r="G29" s="13">
        <f t="shared" si="2"/>
        <v>0.19709728953864086</v>
      </c>
      <c r="H29" s="13">
        <f t="shared" si="6"/>
        <v>6.0477205033561826E-2</v>
      </c>
      <c r="I29" s="1"/>
    </row>
    <row r="30" spans="1:9" s="2" customFormat="1" ht="15.75">
      <c r="A30" s="13" t="s">
        <v>18</v>
      </c>
      <c r="B30" s="13">
        <v>112683</v>
      </c>
      <c r="C30" s="13">
        <f t="shared" si="3"/>
        <v>2.5091876398409556</v>
      </c>
      <c r="D30" s="13">
        <v>149.05000000000001</v>
      </c>
      <c r="E30" s="13">
        <f t="shared" si="4"/>
        <v>373.99441771829447</v>
      </c>
      <c r="F30" s="13">
        <f t="shared" si="5"/>
        <v>2.8718360753318626</v>
      </c>
      <c r="G30" s="13">
        <f t="shared" si="2"/>
        <v>8.1775287479317046E-2</v>
      </c>
      <c r="H30" s="13">
        <f t="shared" si="6"/>
        <v>2.5091876398409561E-2</v>
      </c>
      <c r="I30" s="1"/>
    </row>
    <row r="31" spans="1:9" s="2" customFormat="1" ht="15.75">
      <c r="A31" s="13" t="s">
        <v>19</v>
      </c>
      <c r="B31" s="13">
        <v>182205</v>
      </c>
      <c r="C31" s="13">
        <f t="shared" si="3"/>
        <v>4.0572804586070772</v>
      </c>
      <c r="D31" s="13">
        <v>165.08</v>
      </c>
      <c r="E31" s="13">
        <f t="shared" si="4"/>
        <v>669.77585810685639</v>
      </c>
      <c r="F31" s="13">
        <f t="shared" si="5"/>
        <v>5.1430887215714041</v>
      </c>
      <c r="G31" s="13">
        <f t="shared" si="2"/>
        <v>0.13222816445399005</v>
      </c>
      <c r="H31" s="13">
        <f t="shared" si="6"/>
        <v>4.0572804586070779E-2</v>
      </c>
      <c r="I31" s="1"/>
    </row>
    <row r="32" spans="1:9" s="2" customFormat="1" ht="15.75">
      <c r="A32" s="13" t="s">
        <v>20</v>
      </c>
      <c r="B32" s="13">
        <v>209277</v>
      </c>
      <c r="C32" s="13">
        <f t="shared" si="3"/>
        <v>4.6601107682879901</v>
      </c>
      <c r="D32" s="13">
        <v>115.06</v>
      </c>
      <c r="E32" s="13">
        <f t="shared" si="4"/>
        <v>536.19234499921617</v>
      </c>
      <c r="F32" s="13">
        <f t="shared" si="5"/>
        <v>4.117324876344572</v>
      </c>
      <c r="G32" s="13">
        <f t="shared" si="2"/>
        <v>0.15187461141262684</v>
      </c>
      <c r="H32" s="13">
        <f t="shared" si="6"/>
        <v>4.6601107682879908E-2</v>
      </c>
      <c r="I32" s="1"/>
    </row>
    <row r="33" spans="1:9" s="2" customFormat="1" ht="15.75">
      <c r="A33" s="13" t="s">
        <v>21</v>
      </c>
      <c r="B33" s="13">
        <v>349384</v>
      </c>
      <c r="C33" s="13">
        <f t="shared" si="3"/>
        <v>7.7799669369664661</v>
      </c>
      <c r="D33" s="13">
        <v>105.04</v>
      </c>
      <c r="E33" s="13">
        <f t="shared" si="4"/>
        <v>817.20772705895763</v>
      </c>
      <c r="F33" s="13">
        <f t="shared" si="5"/>
        <v>6.2751916082758887</v>
      </c>
      <c r="G33" s="13">
        <f t="shared" si="2"/>
        <v>0.25355179610654405</v>
      </c>
      <c r="H33" s="13">
        <f t="shared" si="6"/>
        <v>7.7799669369664676E-2</v>
      </c>
      <c r="I33" s="1"/>
    </row>
    <row r="34" spans="1:9" s="2" customFormat="1" ht="15.75">
      <c r="A34" s="13" t="s">
        <v>22</v>
      </c>
      <c r="B34" s="13">
        <v>268201</v>
      </c>
      <c r="C34" s="13">
        <f t="shared" si="3"/>
        <v>5.9722108409696588</v>
      </c>
      <c r="D34" s="13">
        <v>119.06</v>
      </c>
      <c r="E34" s="13">
        <f t="shared" si="4"/>
        <v>711.0514227258476</v>
      </c>
      <c r="F34" s="13">
        <f t="shared" si="5"/>
        <v>5.4600363814474298</v>
      </c>
      <c r="G34" s="13">
        <f t="shared" si="2"/>
        <v>0.19463640369213017</v>
      </c>
      <c r="H34" s="13">
        <f t="shared" si="6"/>
        <v>5.9722108409696585E-2</v>
      </c>
      <c r="I34" s="1"/>
    </row>
    <row r="35" spans="1:9" s="2" customFormat="1" ht="15.75">
      <c r="A35" s="13" t="s">
        <v>23</v>
      </c>
      <c r="B35" s="13">
        <v>52782</v>
      </c>
      <c r="C35" s="13">
        <f t="shared" si="3"/>
        <v>1.1753320554660889</v>
      </c>
      <c r="D35" s="13">
        <v>204.09</v>
      </c>
      <c r="E35" s="13">
        <f t="shared" si="4"/>
        <v>239.87351920007407</v>
      </c>
      <c r="F35" s="13">
        <f t="shared" si="5"/>
        <v>1.8419457438920095</v>
      </c>
      <c r="G35" s="13">
        <f t="shared" si="2"/>
        <v>3.8304475597324444E-2</v>
      </c>
      <c r="H35" s="13">
        <f t="shared" si="6"/>
        <v>1.1753320554660888E-2</v>
      </c>
      <c r="I35" s="1"/>
    </row>
    <row r="36" spans="1:9" s="2" customFormat="1" ht="15.75">
      <c r="A36" s="13" t="s">
        <v>24</v>
      </c>
      <c r="B36" s="13">
        <v>152703</v>
      </c>
      <c r="C36" s="13">
        <f t="shared" si="3"/>
        <v>3.4003397155439012</v>
      </c>
      <c r="D36" s="13">
        <v>181.07</v>
      </c>
      <c r="E36" s="13">
        <f t="shared" si="4"/>
        <v>615.69951229353421</v>
      </c>
      <c r="F36" s="13">
        <f t="shared" si="5"/>
        <v>4.7278461581227811</v>
      </c>
      <c r="G36" s="13">
        <f t="shared" si="2"/>
        <v>0.11081823987606071</v>
      </c>
      <c r="H36" s="13">
        <f t="shared" si="6"/>
        <v>3.4003397155439014E-2</v>
      </c>
      <c r="I36" s="1"/>
    </row>
    <row r="37" spans="1:9" s="2" customFormat="1" ht="15.75">
      <c r="A37" s="13" t="s">
        <v>25</v>
      </c>
      <c r="B37" s="13">
        <v>328459</v>
      </c>
      <c r="C37" s="13">
        <f t="shared" si="3"/>
        <v>7.3140159828414246</v>
      </c>
      <c r="D37" s="13">
        <v>117.08</v>
      </c>
      <c r="E37" s="13">
        <f t="shared" si="4"/>
        <v>856.32499127107394</v>
      </c>
      <c r="F37" s="13">
        <f t="shared" si="5"/>
        <v>6.5755660663172941</v>
      </c>
      <c r="G37" s="13">
        <f t="shared" si="2"/>
        <v>0.23836629438485832</v>
      </c>
      <c r="H37" s="13">
        <f t="shared" si="6"/>
        <v>7.314015982841425E-2</v>
      </c>
      <c r="I37" s="1"/>
    </row>
    <row r="38" spans="1:9" s="2" customFormat="1" ht="15.75">
      <c r="A38" s="16"/>
      <c r="B38" s="16">
        <f t="shared" ref="B38:H38" si="7">SUM(B18:B37)</f>
        <v>4490816</v>
      </c>
      <c r="C38" s="16">
        <f t="shared" si="7"/>
        <v>99.999999999999986</v>
      </c>
      <c r="D38" s="16">
        <f t="shared" si="7"/>
        <v>2736.31</v>
      </c>
      <c r="E38" s="16">
        <f t="shared" si="7"/>
        <v>13022.833055507062</v>
      </c>
      <c r="F38" s="16">
        <f t="shared" si="7"/>
        <v>99.999999999999986</v>
      </c>
      <c r="G38" s="16">
        <f t="shared" si="7"/>
        <v>3.2590343655805807</v>
      </c>
      <c r="H38" s="21">
        <f t="shared" si="7"/>
        <v>1</v>
      </c>
      <c r="I38" s="26"/>
    </row>
    <row r="39" spans="1:9" s="2" customFormat="1" ht="15.75">
      <c r="A39" s="13"/>
      <c r="B39" s="13"/>
      <c r="C39" s="13"/>
      <c r="D39" s="13"/>
      <c r="E39" s="13"/>
      <c r="F39" s="13"/>
      <c r="G39" s="13"/>
      <c r="H39" s="13"/>
      <c r="I39" s="1"/>
    </row>
    <row r="40" spans="1:9" s="2" customFormat="1" ht="26.25" customHeight="1" thickBot="1">
      <c r="A40" s="59" t="s">
        <v>1</v>
      </c>
      <c r="B40" s="59"/>
      <c r="C40" s="59"/>
      <c r="D40" s="59"/>
      <c r="E40" s="59"/>
      <c r="F40" s="59"/>
      <c r="G40" s="59"/>
      <c r="H40" s="59"/>
      <c r="I40" s="30" t="s">
        <v>108</v>
      </c>
    </row>
    <row r="41" spans="1:9" s="2" customFormat="1" ht="32.25" thickTop="1">
      <c r="A41" s="18" t="s">
        <v>1</v>
      </c>
      <c r="B41" s="18" t="s">
        <v>65</v>
      </c>
      <c r="C41" s="15" t="s">
        <v>54</v>
      </c>
      <c r="D41" s="15" t="s">
        <v>5</v>
      </c>
      <c r="E41" s="15" t="s">
        <v>56</v>
      </c>
      <c r="F41" s="15" t="s">
        <v>109</v>
      </c>
      <c r="G41" s="15" t="s">
        <v>26</v>
      </c>
      <c r="H41" s="20" t="s">
        <v>94</v>
      </c>
      <c r="I41" s="1"/>
    </row>
    <row r="42" spans="1:9" s="2" customFormat="1" ht="15.75">
      <c r="A42" s="19" t="s">
        <v>27</v>
      </c>
      <c r="B42" s="27">
        <v>10320010</v>
      </c>
      <c r="C42" s="13">
        <f>B42/B46*100</f>
        <v>30.233268187343899</v>
      </c>
      <c r="D42" s="13">
        <f>491.0008-4</f>
        <v>487.00080000000003</v>
      </c>
      <c r="E42" s="13">
        <f>C42*D42</f>
        <v>14723.62579385103</v>
      </c>
      <c r="F42" s="13">
        <f>(E42/$E$46)*100</f>
        <v>30.502710859900784</v>
      </c>
      <c r="G42" s="13">
        <f>(F42/100)*($B$6/100)*(1/D42)*(1000)</f>
        <v>2.4033900120443092E-3</v>
      </c>
      <c r="H42" s="13">
        <f>G42/$G$46</f>
        <v>0.30233268187343898</v>
      </c>
      <c r="I42" s="12"/>
    </row>
    <row r="43" spans="1:9" s="2" customFormat="1" ht="15.75">
      <c r="A43" s="19" t="s">
        <v>28</v>
      </c>
      <c r="B43" s="27">
        <v>6731530</v>
      </c>
      <c r="C43" s="13">
        <f>B43/B46*100</f>
        <v>19.720538236024098</v>
      </c>
      <c r="D43" s="13">
        <f>466.9896-4</f>
        <v>462.9896</v>
      </c>
      <c r="E43" s="13">
        <f>C43*D43</f>
        <v>9130.4041096815017</v>
      </c>
      <c r="F43" s="13">
        <f>(E43/$E$46)*100</f>
        <v>18.915318854950417</v>
      </c>
      <c r="G43" s="13">
        <f>(F43/100)*($B$6/100)*(1/D43)*(1000)</f>
        <v>1.5676818111393907E-3</v>
      </c>
      <c r="H43" s="13">
        <f>G43/$G$46</f>
        <v>0.19720538236024093</v>
      </c>
      <c r="I43" s="1"/>
    </row>
    <row r="44" spans="1:9" s="2" customFormat="1" ht="15.75">
      <c r="A44" s="19" t="s">
        <v>29</v>
      </c>
      <c r="B44" s="27">
        <v>6747611</v>
      </c>
      <c r="C44" s="13">
        <f>B44/B46*100</f>
        <v>19.76764877038605</v>
      </c>
      <c r="D44" s="13">
        <f>506.9957-4</f>
        <v>502.9957</v>
      </c>
      <c r="E44" s="13">
        <f>C44*D44</f>
        <v>9943.0423306144694</v>
      </c>
      <c r="F44" s="13">
        <f>(E44/$E$46)*100</f>
        <v>20.59884905558717</v>
      </c>
      <c r="G44" s="13">
        <f>(F44/100)*($B$6/100)*(1/D44)*(1000)</f>
        <v>1.5714268573926102E-3</v>
      </c>
      <c r="H44" s="13">
        <f>G44/$G$46</f>
        <v>0.19767648770386048</v>
      </c>
      <c r="I44" s="1"/>
    </row>
    <row r="45" spans="1:9" s="2" customFormat="1" ht="15.75">
      <c r="A45" s="19" t="s">
        <v>30</v>
      </c>
      <c r="B45" s="27">
        <v>10335465</v>
      </c>
      <c r="C45" s="13">
        <f>B45/B46*100</f>
        <v>30.278544806245954</v>
      </c>
      <c r="D45" s="13">
        <f>481.9893-4</f>
        <v>477.98930000000001</v>
      </c>
      <c r="E45" s="13">
        <f>C45*D45</f>
        <v>14472.820436956139</v>
      </c>
      <c r="F45" s="13">
        <f>(E45/$E$46)*100</f>
        <v>29.983121229561633</v>
      </c>
      <c r="G45" s="13">
        <f>(F45/100)*($B$6/100)*(1/D45)*(1000)</f>
        <v>2.4069892714089942E-3</v>
      </c>
      <c r="H45" s="19">
        <f>G45/$G$46</f>
        <v>0.30278544806245955</v>
      </c>
      <c r="I45" s="34"/>
    </row>
    <row r="46" spans="1:9" s="2" customFormat="1" ht="15.75">
      <c r="A46" s="16"/>
      <c r="B46" s="33">
        <f>SUM(B42:B45)</f>
        <v>34134616</v>
      </c>
      <c r="C46" s="16">
        <f>SUM(C42:C45)</f>
        <v>100</v>
      </c>
      <c r="D46" s="21"/>
      <c r="E46" s="16">
        <f>SUM(E42:E45)</f>
        <v>48269.892671103138</v>
      </c>
      <c r="F46" s="16">
        <f>SUM(F42:F45)</f>
        <v>100</v>
      </c>
      <c r="G46" s="21">
        <f>SUM(G42:G45)</f>
        <v>7.9494879519853047E-3</v>
      </c>
      <c r="H46" s="21">
        <f>SUM(H42:H45)</f>
        <v>0.99999999999999989</v>
      </c>
      <c r="I46" s="26"/>
    </row>
    <row r="47" spans="1:9" s="2" customFormat="1" ht="15.75">
      <c r="A47" s="15"/>
      <c r="B47" s="17"/>
      <c r="C47" s="13"/>
      <c r="D47" s="15"/>
      <c r="E47" s="15"/>
      <c r="F47" s="13"/>
      <c r="G47" s="13"/>
      <c r="H47" s="13"/>
      <c r="I47" s="4"/>
    </row>
    <row r="48" spans="1:9" s="2" customFormat="1" ht="27" customHeight="1">
      <c r="A48" s="58" t="s">
        <v>2</v>
      </c>
      <c r="B48" s="58"/>
      <c r="C48" s="58"/>
      <c r="D48" s="58"/>
      <c r="E48" s="58"/>
      <c r="F48" s="58"/>
      <c r="G48" s="58"/>
      <c r="H48" s="58"/>
      <c r="I48" s="30" t="s">
        <v>108</v>
      </c>
    </row>
    <row r="49" spans="1:9" s="2" customFormat="1" ht="31.5">
      <c r="A49" s="15" t="s">
        <v>2</v>
      </c>
      <c r="B49" s="18" t="s">
        <v>65</v>
      </c>
      <c r="C49" s="15" t="s">
        <v>54</v>
      </c>
      <c r="D49" s="15" t="s">
        <v>5</v>
      </c>
      <c r="E49" s="15" t="s">
        <v>55</v>
      </c>
      <c r="F49" s="15" t="s">
        <v>109</v>
      </c>
      <c r="G49" s="15" t="s">
        <v>26</v>
      </c>
      <c r="H49" s="20" t="s">
        <v>94</v>
      </c>
      <c r="I49" s="12"/>
    </row>
    <row r="50" spans="1:9" s="2" customFormat="1" ht="15.75">
      <c r="A50" s="13" t="s">
        <v>31</v>
      </c>
      <c r="B50" s="27">
        <v>3879912</v>
      </c>
      <c r="C50" s="13">
        <f>B50/B54*100</f>
        <v>28.146951311343969</v>
      </c>
      <c r="D50" s="13">
        <f>506.9957-4</f>
        <v>502.9957</v>
      </c>
      <c r="E50" s="13">
        <f>C50*D50/100</f>
        <v>141.57795477715376</v>
      </c>
      <c r="F50" s="13">
        <f>(E50/$E$54)*100</f>
        <v>28.567637090888187</v>
      </c>
      <c r="G50" s="13">
        <f>(F50/100)*($B$7/100)*(1/D50)*(1000)</f>
        <v>9.0475744125522659E-3</v>
      </c>
      <c r="H50" s="13">
        <f>G50/$G$54</f>
        <v>0.28146951311343971</v>
      </c>
      <c r="I50" s="1"/>
    </row>
    <row r="51" spans="1:9" s="2" customFormat="1" ht="15.75">
      <c r="A51" s="13" t="s">
        <v>32</v>
      </c>
      <c r="B51" s="27">
        <v>3485878</v>
      </c>
      <c r="C51" s="13">
        <f>B51/B54*100</f>
        <v>25.28841848559583</v>
      </c>
      <c r="D51" s="13">
        <f>482.9845-4</f>
        <v>478.98450000000003</v>
      </c>
      <c r="E51" s="13">
        <f>C51*D51/100</f>
        <v>121.12760484113876</v>
      </c>
      <c r="F51" s="13">
        <f>(E51/$E$54)*100</f>
        <v>24.441160081997115</v>
      </c>
      <c r="G51" s="13">
        <f>(F51/100)*($B$7/100)*(1/D51)*(1000)</f>
        <v>8.1287257541095941E-3</v>
      </c>
      <c r="H51" s="13">
        <f>G51/$G$54</f>
        <v>0.25288418485595826</v>
      </c>
      <c r="I51" s="1"/>
    </row>
    <row r="52" spans="1:9" s="2" customFormat="1" ht="15.75">
      <c r="A52" s="13" t="s">
        <v>33</v>
      </c>
      <c r="B52" s="27">
        <v>3316105</v>
      </c>
      <c r="C52" s="13">
        <f>B52/B54*100</f>
        <v>24.056794581501926</v>
      </c>
      <c r="D52" s="13">
        <f>522.9907-4</f>
        <v>518.99069999999995</v>
      </c>
      <c r="E52" s="13">
        <f>C52*D52/100</f>
        <v>124.85252659609891</v>
      </c>
      <c r="F52" s="13">
        <f>(E52/$E$54)*100</f>
        <v>25.192775777075848</v>
      </c>
      <c r="G52" s="13">
        <f>(F52/100)*($B$7/100)*(1/D52)*(1000)</f>
        <v>7.7328317619927041E-3</v>
      </c>
      <c r="H52" s="13">
        <f>G52/$G$54</f>
        <v>0.24056794581501928</v>
      </c>
      <c r="I52" s="1"/>
    </row>
    <row r="53" spans="1:9" s="2" customFormat="1" ht="15.75">
      <c r="A53" s="13" t="s">
        <v>34</v>
      </c>
      <c r="B53" s="27">
        <v>3102589</v>
      </c>
      <c r="C53" s="13">
        <f>B53/B54*100</f>
        <v>22.507835621558268</v>
      </c>
      <c r="D53" s="13">
        <f>483.9685-4</f>
        <v>479.96850000000001</v>
      </c>
      <c r="E53" s="13">
        <f>C53*D53/100</f>
        <v>108.0305210152589</v>
      </c>
      <c r="F53" s="13">
        <f>(E53/$E$54)*100</f>
        <v>21.798427050038853</v>
      </c>
      <c r="G53" s="13">
        <f>(F53/100)*($B$7/100)*(1/D53)*(1000)</f>
        <v>7.2349333822690123E-3</v>
      </c>
      <c r="H53" s="13">
        <f>G53/$G$54</f>
        <v>0.2250783562155827</v>
      </c>
      <c r="I53" s="1"/>
    </row>
    <row r="54" spans="1:9" s="2" customFormat="1" ht="15.75">
      <c r="A54" s="16"/>
      <c r="B54" s="42">
        <f>SUM(B50:B53)</f>
        <v>13784484</v>
      </c>
      <c r="C54" s="16">
        <f>SUM(C50:C53)</f>
        <v>99.999999999999986</v>
      </c>
      <c r="D54" s="21"/>
      <c r="E54" s="16">
        <f>SUM(E50:E53)</f>
        <v>495.58860722965034</v>
      </c>
      <c r="F54" s="16">
        <f>SUM(F50:F53)</f>
        <v>100</v>
      </c>
      <c r="G54" s="16">
        <f>SUM(G50:G53)</f>
        <v>3.2144065310923578E-2</v>
      </c>
      <c r="H54" s="21">
        <f>SUM(H50:H53)</f>
        <v>0.99999999999999989</v>
      </c>
      <c r="I54" s="26"/>
    </row>
    <row r="55" spans="1:9" s="2" customFormat="1" ht="15.75">
      <c r="A55" s="15"/>
      <c r="B55" s="15"/>
      <c r="C55" s="15"/>
      <c r="D55" s="13"/>
      <c r="E55" s="15"/>
      <c r="F55" s="15"/>
      <c r="G55" s="13"/>
      <c r="H55" s="13"/>
      <c r="I55" s="4"/>
    </row>
    <row r="56" spans="1:9" s="2" customFormat="1" ht="26.25" customHeight="1">
      <c r="A56" s="58" t="s">
        <v>51</v>
      </c>
      <c r="B56" s="58"/>
      <c r="C56" s="58"/>
      <c r="D56" s="58"/>
      <c r="E56" s="58"/>
      <c r="F56" s="58"/>
      <c r="G56" s="58"/>
      <c r="H56" s="29"/>
      <c r="I56" s="30" t="s">
        <v>87</v>
      </c>
    </row>
    <row r="57" spans="1:9" s="2" customFormat="1" ht="15.75">
      <c r="A57" s="15" t="s">
        <v>61</v>
      </c>
      <c r="B57" s="15" t="s">
        <v>57</v>
      </c>
      <c r="C57" s="15" t="s">
        <v>5</v>
      </c>
      <c r="D57" s="15" t="s">
        <v>55</v>
      </c>
      <c r="E57" s="15"/>
      <c r="F57" s="15"/>
      <c r="G57" s="15" t="s">
        <v>106</v>
      </c>
      <c r="H57" s="20" t="s">
        <v>101</v>
      </c>
      <c r="I57" s="3"/>
    </row>
    <row r="58" spans="1:9" s="2" customFormat="1" ht="15.75">
      <c r="A58" s="13" t="s">
        <v>36</v>
      </c>
      <c r="B58" s="13">
        <v>78.5</v>
      </c>
      <c r="C58" s="13">
        <f>E78</f>
        <v>804.05195195195188</v>
      </c>
      <c r="D58" s="13">
        <f>B58*C58/100</f>
        <v>631.18078228228228</v>
      </c>
      <c r="E58" s="13"/>
      <c r="F58" s="13"/>
      <c r="G58" s="13">
        <f t="shared" ref="G58:G66" si="8">(B58/100)*($B$8/100)*(1/C58)*1000</f>
        <v>0.16801529170827356</v>
      </c>
      <c r="H58" s="13">
        <f>G58/$G$67</f>
        <v>0.72500095845225954</v>
      </c>
      <c r="I58" s="1"/>
    </row>
    <row r="59" spans="1:9" s="2" customFormat="1" ht="15.75">
      <c r="A59" s="13" t="s">
        <v>68</v>
      </c>
      <c r="B59" s="13">
        <v>1.5</v>
      </c>
      <c r="C59" s="13">
        <f>E86</f>
        <v>569.65298804780878</v>
      </c>
      <c r="D59" s="13">
        <f>B59*C59/100</f>
        <v>8.5447948207171311</v>
      </c>
      <c r="E59" s="13"/>
      <c r="F59" s="13"/>
      <c r="G59" s="13">
        <f t="shared" si="8"/>
        <v>4.5315225286250279E-3</v>
      </c>
      <c r="H59" s="13">
        <f t="shared" ref="H59:H66" si="9">G59/$G$67</f>
        <v>1.9553923592892656E-2</v>
      </c>
      <c r="I59" s="1"/>
    </row>
    <row r="60" spans="1:9" s="2" customFormat="1" ht="15.75">
      <c r="A60" s="13" t="s">
        <v>37</v>
      </c>
      <c r="B60" s="13">
        <v>1.8</v>
      </c>
      <c r="C60" s="13">
        <f>E70</f>
        <v>255.69719806763285</v>
      </c>
      <c r="D60" s="13">
        <f>B60*C60/100</f>
        <v>4.6025495652173909</v>
      </c>
      <c r="E60" s="13"/>
      <c r="F60" s="13"/>
      <c r="G60" s="13">
        <f t="shared" si="8"/>
        <v>1.211462011322199E-2</v>
      </c>
      <c r="H60" s="13">
        <f t="shared" si="9"/>
        <v>5.2275665530618236E-2</v>
      </c>
      <c r="I60" s="1"/>
    </row>
    <row r="61" spans="1:9" s="2" customFormat="1" ht="15.75">
      <c r="A61" s="13" t="s">
        <v>67</v>
      </c>
      <c r="B61" s="13">
        <v>10</v>
      </c>
      <c r="C61" s="13">
        <f>E94</f>
        <v>630.10739999999987</v>
      </c>
      <c r="D61" s="13">
        <f t="shared" ref="D61:D66" si="10">B61*C61/100</f>
        <v>63.010739999999984</v>
      </c>
      <c r="E61" s="13"/>
      <c r="F61" s="13"/>
      <c r="G61" s="13">
        <f t="shared" si="8"/>
        <v>2.731169690370467E-2</v>
      </c>
      <c r="H61" s="13">
        <f t="shared" si="9"/>
        <v>0.11785240635432255</v>
      </c>
      <c r="I61" s="1"/>
    </row>
    <row r="62" spans="1:9" s="2" customFormat="1" ht="15.75">
      <c r="A62" s="13" t="s">
        <v>72</v>
      </c>
      <c r="B62" s="13">
        <v>4</v>
      </c>
      <c r="C62" s="13">
        <f>E102</f>
        <v>696.61530120481939</v>
      </c>
      <c r="D62" s="13">
        <f t="shared" si="10"/>
        <v>27.864612048192775</v>
      </c>
      <c r="E62" s="13"/>
      <c r="F62" s="13"/>
      <c r="G62" s="13">
        <f t="shared" si="8"/>
        <v>9.8816677129068709E-3</v>
      </c>
      <c r="H62" s="13">
        <f t="shared" si="9"/>
        <v>4.2640276906482567E-2</v>
      </c>
      <c r="I62" s="1"/>
    </row>
    <row r="63" spans="1:9" s="2" customFormat="1" ht="15.75">
      <c r="A63" s="13" t="s">
        <v>38</v>
      </c>
      <c r="B63" s="13">
        <v>3.2</v>
      </c>
      <c r="C63" s="13">
        <f>E110</f>
        <v>745.35660000000007</v>
      </c>
      <c r="D63" s="13">
        <f t="shared" si="10"/>
        <v>23.851411200000001</v>
      </c>
      <c r="E63" s="13"/>
      <c r="F63" s="13"/>
      <c r="G63" s="13">
        <f t="shared" si="8"/>
        <v>7.3883785884314261E-3</v>
      </c>
      <c r="H63" s="13">
        <f t="shared" si="9"/>
        <v>3.1881512114514059E-2</v>
      </c>
      <c r="I63" s="1"/>
    </row>
    <row r="64" spans="1:9" s="2" customFormat="1" ht="15.75">
      <c r="A64" s="13" t="s">
        <v>66</v>
      </c>
      <c r="B64" s="13">
        <v>0.1</v>
      </c>
      <c r="C64" s="13">
        <f>E118</f>
        <v>799.18598187311181</v>
      </c>
      <c r="D64" s="13">
        <f t="shared" si="10"/>
        <v>0.79918598187311185</v>
      </c>
      <c r="E64" s="13"/>
      <c r="F64" s="13"/>
      <c r="G64" s="13">
        <f t="shared" si="8"/>
        <v>2.1533538770595887E-4</v>
      </c>
      <c r="H64" s="13">
        <f t="shared" si="9"/>
        <v>9.2919139018952381E-4</v>
      </c>
      <c r="I64" s="1"/>
    </row>
    <row r="65" spans="1:9" s="2" customFormat="1" ht="15.75">
      <c r="A65" s="13" t="s">
        <v>39</v>
      </c>
      <c r="B65" s="13">
        <v>0.3</v>
      </c>
      <c r="C65" s="13">
        <f>E126</f>
        <v>736.56436676798376</v>
      </c>
      <c r="D65" s="13">
        <f t="shared" si="10"/>
        <v>2.2096931003039511</v>
      </c>
      <c r="E65" s="13"/>
      <c r="F65" s="13"/>
      <c r="G65" s="13">
        <f t="shared" si="8"/>
        <v>7.0092865343575426E-4</v>
      </c>
      <c r="H65" s="13">
        <f t="shared" si="9"/>
        <v>3.0245696113775193E-3</v>
      </c>
      <c r="I65" s="1"/>
    </row>
    <row r="66" spans="1:9" s="2" customFormat="1" ht="15.75">
      <c r="A66" s="13" t="s">
        <v>77</v>
      </c>
      <c r="B66" s="13">
        <v>0.6</v>
      </c>
      <c r="C66" s="13">
        <f>E134</f>
        <v>651.25819999999999</v>
      </c>
      <c r="D66" s="13">
        <f t="shared" si="10"/>
        <v>3.9075491999999996</v>
      </c>
      <c r="E66" s="13"/>
      <c r="F66" s="13"/>
      <c r="G66" s="13">
        <f t="shared" si="8"/>
        <v>1.585481978629803E-3</v>
      </c>
      <c r="H66" s="13">
        <f t="shared" si="9"/>
        <v>6.8414960473433418E-3</v>
      </c>
      <c r="I66" s="1"/>
    </row>
    <row r="67" spans="1:9" s="2" customFormat="1" ht="15.75">
      <c r="A67" s="16"/>
      <c r="B67" s="16">
        <f>SUM(B58:B66)</f>
        <v>99.999999999999986</v>
      </c>
      <c r="C67" s="16"/>
      <c r="D67" s="16"/>
      <c r="E67" s="16"/>
      <c r="F67" s="16"/>
      <c r="G67" s="16">
        <f>SUM(G58:G66)</f>
        <v>0.23174492357493506</v>
      </c>
      <c r="H67" s="21">
        <f>SUM(H58:H66)</f>
        <v>1</v>
      </c>
      <c r="I67" s="26"/>
    </row>
    <row r="68" spans="1:9" s="2" customFormat="1" ht="32.25" customHeight="1">
      <c r="A68" s="58" t="s">
        <v>115</v>
      </c>
      <c r="B68" s="58"/>
      <c r="C68" s="58"/>
      <c r="D68" s="58"/>
      <c r="E68" s="58"/>
      <c r="F68" s="58"/>
      <c r="G68" s="58"/>
      <c r="H68" s="29"/>
      <c r="I68" s="30" t="s">
        <v>87</v>
      </c>
    </row>
    <row r="69" spans="1:9" s="2" customFormat="1" ht="30" customHeight="1">
      <c r="A69" s="15" t="s">
        <v>116</v>
      </c>
      <c r="B69" s="20" t="s">
        <v>117</v>
      </c>
      <c r="C69" s="20" t="s">
        <v>5</v>
      </c>
      <c r="D69" s="28" t="s">
        <v>70</v>
      </c>
      <c r="E69" s="20" t="s">
        <v>40</v>
      </c>
      <c r="F69" s="15"/>
      <c r="G69" s="20" t="s">
        <v>118</v>
      </c>
      <c r="H69" s="19"/>
      <c r="I69" s="3"/>
    </row>
    <row r="70" spans="1:9" s="2" customFormat="1" ht="15.75">
      <c r="A70" s="13" t="s">
        <v>88</v>
      </c>
      <c r="B70" s="13">
        <v>34.9</v>
      </c>
      <c r="C70" s="13">
        <v>239.2</v>
      </c>
      <c r="D70" s="17">
        <f>G70*C70</f>
        <v>80.657777777777767</v>
      </c>
      <c r="E70" s="13">
        <f>SUM(D70:D74)</f>
        <v>255.69719806763285</v>
      </c>
      <c r="F70" s="15"/>
      <c r="G70" s="13">
        <f>B70/B75</f>
        <v>0.33719806763285021</v>
      </c>
      <c r="H70" s="13"/>
      <c r="I70" s="3"/>
    </row>
    <row r="71" spans="1:9" s="2" customFormat="1" ht="15.75">
      <c r="A71" s="13" t="s">
        <v>89</v>
      </c>
      <c r="B71" s="13">
        <v>10.7</v>
      </c>
      <c r="C71" s="13">
        <v>267.5</v>
      </c>
      <c r="D71" s="17">
        <f>G71*C71</f>
        <v>27.654589371980677</v>
      </c>
      <c r="E71" s="13"/>
      <c r="F71" s="15"/>
      <c r="G71" s="13">
        <f>B71/B75</f>
        <v>0.10338164251207729</v>
      </c>
      <c r="H71" s="13"/>
      <c r="I71" s="3"/>
    </row>
    <row r="72" spans="1:9" s="2" customFormat="1" ht="15.75">
      <c r="A72" s="13" t="s">
        <v>90</v>
      </c>
      <c r="B72" s="13">
        <v>14.5</v>
      </c>
      <c r="C72" s="13">
        <v>265.3</v>
      </c>
      <c r="D72" s="17">
        <f>G72*C72</f>
        <v>37.167632850241553</v>
      </c>
      <c r="E72" s="13"/>
      <c r="F72" s="15"/>
      <c r="G72" s="13">
        <f>B72/B75</f>
        <v>0.14009661835748793</v>
      </c>
      <c r="H72" s="13"/>
      <c r="I72" s="3"/>
    </row>
    <row r="73" spans="1:9" s="2" customFormat="1" ht="15.75">
      <c r="A73" s="13" t="s">
        <v>91</v>
      </c>
      <c r="B73" s="13">
        <v>35.700000000000003</v>
      </c>
      <c r="C73" s="13">
        <v>263.2</v>
      </c>
      <c r="D73" s="17">
        <f>G73*C73</f>
        <v>90.784927536231891</v>
      </c>
      <c r="E73" s="13"/>
      <c r="F73" s="15"/>
      <c r="G73" s="13">
        <f>B73/B75</f>
        <v>0.3449275362318841</v>
      </c>
      <c r="H73" s="13"/>
      <c r="I73" s="3"/>
    </row>
    <row r="74" spans="1:9" s="2" customFormat="1" ht="15.75">
      <c r="A74" s="13" t="s">
        <v>92</v>
      </c>
      <c r="B74" s="13">
        <v>7.7</v>
      </c>
      <c r="C74" s="13">
        <v>261.2</v>
      </c>
      <c r="D74" s="17">
        <f>G74*C74</f>
        <v>19.432270531400967</v>
      </c>
      <c r="E74" s="13"/>
      <c r="F74" s="15"/>
      <c r="G74" s="13">
        <f>B74/B75</f>
        <v>7.4396135265700492E-2</v>
      </c>
      <c r="H74" s="13"/>
      <c r="I74" s="3"/>
    </row>
    <row r="75" spans="1:9" s="7" customFormat="1" ht="15.75">
      <c r="A75" s="15"/>
      <c r="B75" s="15">
        <f>SUM(B70:B74)</f>
        <v>103.5</v>
      </c>
      <c r="C75" s="15"/>
      <c r="D75" s="15">
        <f>SUM(D70:D74)</f>
        <v>255.69719806763285</v>
      </c>
      <c r="E75" s="28"/>
      <c r="F75" s="15"/>
      <c r="G75" s="15">
        <f>SUM(G70:G74)</f>
        <v>1</v>
      </c>
      <c r="H75" s="15"/>
      <c r="I75" s="3"/>
    </row>
    <row r="76" spans="1:9" s="2" customFormat="1" ht="29.25" customHeight="1">
      <c r="A76" s="57" t="s">
        <v>52</v>
      </c>
      <c r="B76" s="57"/>
      <c r="C76" s="57"/>
      <c r="D76" s="57"/>
      <c r="E76" s="57"/>
      <c r="F76" s="57"/>
      <c r="G76" s="57"/>
      <c r="H76" s="39"/>
      <c r="I76" s="35" t="s">
        <v>87</v>
      </c>
    </row>
    <row r="77" spans="1:9" s="2" customFormat="1" ht="30.75" customHeight="1">
      <c r="A77" s="20" t="s">
        <v>120</v>
      </c>
      <c r="B77" s="20" t="s">
        <v>117</v>
      </c>
      <c r="C77" s="20" t="s">
        <v>5</v>
      </c>
      <c r="D77" s="28" t="s">
        <v>70</v>
      </c>
      <c r="E77" s="20" t="s">
        <v>40</v>
      </c>
      <c r="F77" s="20"/>
      <c r="G77" s="20" t="s">
        <v>118</v>
      </c>
      <c r="H77" s="41"/>
      <c r="I77" s="44"/>
    </row>
    <row r="78" spans="1:9" s="2" customFormat="1" ht="15.75">
      <c r="A78" s="13" t="s">
        <v>41</v>
      </c>
      <c r="B78" s="14">
        <v>35.4</v>
      </c>
      <c r="C78" s="13">
        <v>239.2</v>
      </c>
      <c r="D78" s="17">
        <f>G78*C78</f>
        <v>84.76156156156155</v>
      </c>
      <c r="E78" s="13">
        <f>D83*3+92-18*3</f>
        <v>804.05195195195188</v>
      </c>
      <c r="F78" s="17"/>
      <c r="G78" s="13">
        <f>B78/$B$83</f>
        <v>0.35435435435435431</v>
      </c>
      <c r="H78" s="13"/>
      <c r="I78" s="11"/>
    </row>
    <row r="79" spans="1:9" s="2" customFormat="1" ht="15.75">
      <c r="A79" s="13" t="s">
        <v>42</v>
      </c>
      <c r="B79" s="14">
        <v>4.0999999999999996</v>
      </c>
      <c r="C79" s="13">
        <v>267.5</v>
      </c>
      <c r="D79" s="17">
        <f>G79*C79</f>
        <v>10.978478478478475</v>
      </c>
      <c r="E79" s="13"/>
      <c r="F79" s="17"/>
      <c r="G79" s="13">
        <f>B79/$B$83</f>
        <v>4.1041041041041032E-2</v>
      </c>
      <c r="H79" s="13"/>
      <c r="I79" s="11"/>
    </row>
    <row r="80" spans="1:9" s="2" customFormat="1" ht="15.75">
      <c r="A80" s="13" t="s">
        <v>43</v>
      </c>
      <c r="B80" s="14">
        <v>34.200000000000003</v>
      </c>
      <c r="C80" s="13">
        <v>265.3</v>
      </c>
      <c r="D80" s="17">
        <f>G80*C80</f>
        <v>90.823423423423421</v>
      </c>
      <c r="E80" s="13"/>
      <c r="F80" s="17"/>
      <c r="G80" s="13">
        <f>B80/$B$83</f>
        <v>0.34234234234234234</v>
      </c>
      <c r="H80" s="13"/>
      <c r="I80" s="11"/>
    </row>
    <row r="81" spans="1:9" s="2" customFormat="1" ht="15.75">
      <c r="A81" s="13" t="s">
        <v>44</v>
      </c>
      <c r="B81" s="14">
        <v>14.2</v>
      </c>
      <c r="C81" s="13">
        <v>263.2</v>
      </c>
      <c r="D81" s="17">
        <f>G81*C81</f>
        <v>37.411811811811809</v>
      </c>
      <c r="E81" s="13"/>
      <c r="F81" s="17"/>
      <c r="G81" s="13">
        <f>B81/$B$83</f>
        <v>0.14214214214214213</v>
      </c>
      <c r="H81" s="13"/>
      <c r="I81" s="11"/>
    </row>
    <row r="82" spans="1:9" s="2" customFormat="1" ht="15.75">
      <c r="A82" s="13" t="s">
        <v>45</v>
      </c>
      <c r="B82" s="14">
        <v>12</v>
      </c>
      <c r="C82" s="13">
        <v>261.2</v>
      </c>
      <c r="D82" s="17">
        <f>G82*C82</f>
        <v>31.375375375375373</v>
      </c>
      <c r="E82" s="13"/>
      <c r="F82" s="17"/>
      <c r="G82" s="13">
        <f>B82/$B$83</f>
        <v>0.12012012012012012</v>
      </c>
      <c r="H82" s="13"/>
      <c r="I82" s="11"/>
    </row>
    <row r="83" spans="1:9" s="7" customFormat="1" ht="15.75">
      <c r="A83" s="15"/>
      <c r="B83" s="15">
        <f>SUM(B78:B82)</f>
        <v>99.9</v>
      </c>
      <c r="C83" s="15"/>
      <c r="D83" s="15">
        <f>SUM(D78:D82)</f>
        <v>255.35065065065064</v>
      </c>
      <c r="E83" s="28"/>
      <c r="F83" s="15"/>
      <c r="G83" s="15">
        <f>SUM(G78:G82)</f>
        <v>0.99999999999999989</v>
      </c>
      <c r="H83" s="28"/>
      <c r="I83" s="45"/>
    </row>
    <row r="84" spans="1:9" s="2" customFormat="1" ht="29.25" customHeight="1">
      <c r="A84" s="57" t="s">
        <v>69</v>
      </c>
      <c r="B84" s="57"/>
      <c r="C84" s="57"/>
      <c r="D84" s="57"/>
      <c r="E84" s="57"/>
      <c r="F84" s="57"/>
      <c r="G84" s="57"/>
      <c r="H84" s="43"/>
      <c r="I84" s="38" t="s">
        <v>87</v>
      </c>
    </row>
    <row r="85" spans="1:9" s="2" customFormat="1" ht="30.75" customHeight="1">
      <c r="A85" s="20" t="s">
        <v>119</v>
      </c>
      <c r="B85" s="20" t="s">
        <v>117</v>
      </c>
      <c r="C85" s="20" t="s">
        <v>5</v>
      </c>
      <c r="D85" s="28" t="s">
        <v>70</v>
      </c>
      <c r="E85" s="20" t="s">
        <v>40</v>
      </c>
      <c r="F85" s="14"/>
      <c r="G85" s="20" t="s">
        <v>118</v>
      </c>
      <c r="H85" s="14"/>
      <c r="I85" s="8"/>
    </row>
    <row r="86" spans="1:9" s="2" customFormat="1" ht="15.75">
      <c r="A86" s="13" t="s">
        <v>41</v>
      </c>
      <c r="B86" s="14">
        <v>29.5</v>
      </c>
      <c r="C86" s="13">
        <v>239.2</v>
      </c>
      <c r="D86" s="17">
        <f>G86*C86</f>
        <v>70.282868525896404</v>
      </c>
      <c r="E86" s="13">
        <f>D91*2+92-18*2</f>
        <v>569.65298804780878</v>
      </c>
      <c r="F86" s="13"/>
      <c r="G86" s="13">
        <f>B86/$B$91</f>
        <v>0.29382470119521908</v>
      </c>
      <c r="H86" s="17"/>
      <c r="I86" s="11"/>
    </row>
    <row r="87" spans="1:9" s="2" customFormat="1" ht="15.75">
      <c r="A87" s="13" t="s">
        <v>42</v>
      </c>
      <c r="B87" s="14">
        <v>2.2999999999999998</v>
      </c>
      <c r="C87" s="13">
        <v>267.5</v>
      </c>
      <c r="D87" s="17">
        <f>G87*C87</f>
        <v>6.1279880478087643</v>
      </c>
      <c r="E87" s="13"/>
      <c r="F87" s="13"/>
      <c r="G87" s="13">
        <f>B87/$B$91</f>
        <v>2.2908366533864539E-2</v>
      </c>
      <c r="H87" s="17"/>
      <c r="I87" s="4"/>
    </row>
    <row r="88" spans="1:9" s="2" customFormat="1" ht="15.75">
      <c r="A88" s="13" t="s">
        <v>43</v>
      </c>
      <c r="B88" s="14">
        <v>40.1</v>
      </c>
      <c r="C88" s="13">
        <v>265.3</v>
      </c>
      <c r="D88" s="17">
        <f>G88*C88</f>
        <v>105.96145418326694</v>
      </c>
      <c r="E88" s="13"/>
      <c r="F88" s="13"/>
      <c r="G88" s="13">
        <f>B88/$B$91</f>
        <v>0.39940239043824699</v>
      </c>
      <c r="H88" s="17"/>
      <c r="I88" s="4"/>
    </row>
    <row r="89" spans="1:9" s="2" customFormat="1" ht="15.75">
      <c r="A89" s="13" t="s">
        <v>44</v>
      </c>
      <c r="B89" s="14">
        <v>15.5</v>
      </c>
      <c r="C89" s="13">
        <v>263.2</v>
      </c>
      <c r="D89" s="17">
        <f>G89*C89</f>
        <v>40.633466135458164</v>
      </c>
      <c r="E89" s="13"/>
      <c r="F89" s="13"/>
      <c r="G89" s="13">
        <f>B89/$B$91</f>
        <v>0.15438247011952191</v>
      </c>
      <c r="H89" s="17"/>
      <c r="I89" s="4"/>
    </row>
    <row r="90" spans="1:9" s="2" customFormat="1" ht="15.75">
      <c r="A90" s="13" t="s">
        <v>45</v>
      </c>
      <c r="B90" s="14">
        <v>13</v>
      </c>
      <c r="C90" s="13">
        <v>261.2</v>
      </c>
      <c r="D90" s="17">
        <f>G90*C90</f>
        <v>33.820717131474098</v>
      </c>
      <c r="E90" s="13"/>
      <c r="F90" s="13"/>
      <c r="G90" s="13">
        <f>B90/$B$91</f>
        <v>0.12948207171314741</v>
      </c>
      <c r="H90" s="17"/>
      <c r="I90" s="4"/>
    </row>
    <row r="91" spans="1:9" s="7" customFormat="1" ht="15.75">
      <c r="A91" s="15"/>
      <c r="B91" s="15">
        <f>SUM(B86:B90)</f>
        <v>100.4</v>
      </c>
      <c r="C91" s="15"/>
      <c r="D91" s="15">
        <f>SUM(D86:D90)</f>
        <v>256.82649402390439</v>
      </c>
      <c r="E91" s="28"/>
      <c r="F91" s="15"/>
      <c r="G91" s="15">
        <f>SUM(G86:G90)</f>
        <v>0.99999999999999989</v>
      </c>
      <c r="H91" s="15"/>
      <c r="I91" s="3"/>
    </row>
    <row r="92" spans="1:9" s="2" customFormat="1" ht="29.25" customHeight="1">
      <c r="A92" s="57" t="s">
        <v>71</v>
      </c>
      <c r="B92" s="57"/>
      <c r="C92" s="57"/>
      <c r="D92" s="57"/>
      <c r="E92" s="57"/>
      <c r="F92" s="57"/>
      <c r="G92" s="57"/>
      <c r="H92" s="43"/>
      <c r="I92" s="38" t="s">
        <v>87</v>
      </c>
    </row>
    <row r="93" spans="1:9" s="2" customFormat="1" ht="30.75" customHeight="1">
      <c r="A93" s="20" t="s">
        <v>121</v>
      </c>
      <c r="B93" s="20" t="s">
        <v>117</v>
      </c>
      <c r="C93" s="20" t="s">
        <v>5</v>
      </c>
      <c r="D93" s="28" t="s">
        <v>70</v>
      </c>
      <c r="E93" s="20" t="s">
        <v>40</v>
      </c>
      <c r="F93" s="14"/>
      <c r="G93" s="20" t="s">
        <v>118</v>
      </c>
      <c r="H93" s="14"/>
      <c r="I93" s="8"/>
    </row>
    <row r="94" spans="1:9" s="2" customFormat="1" ht="15.75">
      <c r="A94" s="13" t="s">
        <v>41</v>
      </c>
      <c r="B94" s="14">
        <v>7.6</v>
      </c>
      <c r="C94" s="13">
        <v>239.2</v>
      </c>
      <c r="D94" s="17">
        <f>G94*C94</f>
        <v>18.179199999999994</v>
      </c>
      <c r="E94" s="13">
        <f>D99+386.65-18</f>
        <v>630.10739999999987</v>
      </c>
      <c r="F94" s="13"/>
      <c r="G94" s="13">
        <f>B94/$B$99</f>
        <v>7.5999999999999984E-2</v>
      </c>
      <c r="H94" s="17"/>
      <c r="I94" s="11"/>
    </row>
    <row r="95" spans="1:9" s="2" customFormat="1" ht="15.75">
      <c r="A95" s="13" t="s">
        <v>42</v>
      </c>
      <c r="B95" s="14">
        <v>1.4</v>
      </c>
      <c r="C95" s="13">
        <v>267.5</v>
      </c>
      <c r="D95" s="17">
        <f>G95*C95</f>
        <v>3.7449999999999992</v>
      </c>
      <c r="E95" s="13"/>
      <c r="F95" s="13"/>
      <c r="G95" s="13">
        <f>B95/$B$99</f>
        <v>1.3999999999999997E-2</v>
      </c>
      <c r="H95" s="17"/>
      <c r="I95" s="4"/>
    </row>
    <row r="96" spans="1:9" s="2" customFormat="1" ht="15.75">
      <c r="A96" s="13" t="s">
        <v>43</v>
      </c>
      <c r="B96" s="14">
        <v>31.2</v>
      </c>
      <c r="C96" s="13">
        <v>265.3</v>
      </c>
      <c r="D96" s="17">
        <f>G96*C96</f>
        <v>82.773599999999988</v>
      </c>
      <c r="E96" s="13"/>
      <c r="F96" s="13"/>
      <c r="G96" s="13">
        <f>B96/$B$99</f>
        <v>0.31199999999999994</v>
      </c>
      <c r="H96" s="17"/>
      <c r="I96" s="4"/>
    </row>
    <row r="97" spans="1:9" s="2" customFormat="1" ht="15.75">
      <c r="A97" s="13" t="s">
        <v>44</v>
      </c>
      <c r="B97" s="14">
        <v>28.1</v>
      </c>
      <c r="C97" s="13">
        <v>263.2</v>
      </c>
      <c r="D97" s="17">
        <f>G97*C97</f>
        <v>73.959199999999996</v>
      </c>
      <c r="E97" s="13"/>
      <c r="F97" s="13"/>
      <c r="G97" s="13">
        <f>B97/$B$99</f>
        <v>0.28099999999999997</v>
      </c>
      <c r="H97" s="17"/>
      <c r="I97" s="4"/>
    </row>
    <row r="98" spans="1:9" s="2" customFormat="1" ht="15.75">
      <c r="A98" s="13" t="s">
        <v>45</v>
      </c>
      <c r="B98" s="14">
        <v>31.7</v>
      </c>
      <c r="C98" s="13">
        <v>261.2</v>
      </c>
      <c r="D98" s="17">
        <f>G98*C98</f>
        <v>82.800399999999982</v>
      </c>
      <c r="E98" s="13"/>
      <c r="F98" s="13"/>
      <c r="G98" s="13">
        <f>B98/$B$99</f>
        <v>0.31699999999999995</v>
      </c>
      <c r="H98" s="17"/>
      <c r="I98" s="4"/>
    </row>
    <row r="99" spans="1:9" s="7" customFormat="1" ht="15.75">
      <c r="A99" s="15"/>
      <c r="B99" s="15">
        <f>SUM(B94:B98)</f>
        <v>100.00000000000001</v>
      </c>
      <c r="C99" s="15"/>
      <c r="D99" s="15">
        <f>SUM(D94:D98)</f>
        <v>261.45739999999995</v>
      </c>
      <c r="E99" s="28"/>
      <c r="F99" s="15"/>
      <c r="G99" s="15">
        <f>SUM(G94:G98)</f>
        <v>0.99999999999999978</v>
      </c>
      <c r="H99" s="15"/>
      <c r="I99" s="3"/>
    </row>
    <row r="100" spans="1:9" s="2" customFormat="1" ht="29.25" customHeight="1">
      <c r="A100" s="57" t="s">
        <v>73</v>
      </c>
      <c r="B100" s="57"/>
      <c r="C100" s="57"/>
      <c r="D100" s="57"/>
      <c r="E100" s="57"/>
      <c r="F100" s="57"/>
      <c r="G100" s="57"/>
      <c r="H100" s="43"/>
      <c r="I100" s="38" t="s">
        <v>87</v>
      </c>
    </row>
    <row r="101" spans="1:9" s="2" customFormat="1" ht="30.75" customHeight="1">
      <c r="A101" s="20" t="s">
        <v>122</v>
      </c>
      <c r="B101" s="20" t="s">
        <v>117</v>
      </c>
      <c r="C101" s="20" t="s">
        <v>5</v>
      </c>
      <c r="D101" s="28" t="s">
        <v>70</v>
      </c>
      <c r="E101" s="20" t="s">
        <v>40</v>
      </c>
      <c r="F101" s="14"/>
      <c r="G101" s="20" t="s">
        <v>118</v>
      </c>
      <c r="I101" s="14"/>
    </row>
    <row r="102" spans="1:9" s="2" customFormat="1" ht="15.75">
      <c r="A102" s="13" t="s">
        <v>41</v>
      </c>
      <c r="B102" s="14">
        <v>18.899999999999999</v>
      </c>
      <c r="C102" s="13">
        <v>239.2</v>
      </c>
      <c r="D102" s="17">
        <f>G102*C102</f>
        <v>45.390361445783128</v>
      </c>
      <c r="E102" s="13">
        <f>(D107*2+92-18*2)+446.24-323.2</f>
        <v>696.61530120481939</v>
      </c>
      <c r="F102" s="13"/>
      <c r="G102" s="13">
        <f>B102/$B$107</f>
        <v>0.18975903614457831</v>
      </c>
      <c r="I102" s="17"/>
    </row>
    <row r="103" spans="1:9" s="2" customFormat="1" ht="15.75">
      <c r="A103" s="13" t="s">
        <v>42</v>
      </c>
      <c r="B103" s="14">
        <v>0.5</v>
      </c>
      <c r="C103" s="13">
        <v>267.5</v>
      </c>
      <c r="D103" s="17">
        <f>G103*C103</f>
        <v>1.3428714859437751</v>
      </c>
      <c r="E103" s="17"/>
      <c r="F103" s="13"/>
      <c r="G103" s="13">
        <f>B103/$B$107</f>
        <v>5.0200803212851405E-3</v>
      </c>
      <c r="I103" s="17"/>
    </row>
    <row r="104" spans="1:9" s="2" customFormat="1" ht="15.75">
      <c r="A104" s="13" t="s">
        <v>43</v>
      </c>
      <c r="B104" s="14">
        <v>31.8</v>
      </c>
      <c r="C104" s="13">
        <v>265.3</v>
      </c>
      <c r="D104" s="17">
        <f>G104*C104</f>
        <v>84.704216867469896</v>
      </c>
      <c r="E104" s="13"/>
      <c r="F104" s="13"/>
      <c r="G104" s="13">
        <f>B104/$B$107</f>
        <v>0.31927710843373497</v>
      </c>
      <c r="I104" s="17"/>
    </row>
    <row r="105" spans="1:9" s="2" customFormat="1" ht="15.75">
      <c r="A105" s="13" t="s">
        <v>44</v>
      </c>
      <c r="B105" s="14">
        <v>21</v>
      </c>
      <c r="C105" s="13">
        <v>263.2</v>
      </c>
      <c r="D105" s="17">
        <f>G105*C105</f>
        <v>55.493975903614462</v>
      </c>
      <c r="E105" s="13"/>
      <c r="F105" s="13"/>
      <c r="G105" s="13">
        <f>B105/$B$107</f>
        <v>0.21084337349397592</v>
      </c>
      <c r="I105" s="17"/>
    </row>
    <row r="106" spans="1:9" s="2" customFormat="1" ht="15.75">
      <c r="A106" s="13" t="s">
        <v>45</v>
      </c>
      <c r="B106" s="14">
        <v>27.4</v>
      </c>
      <c r="C106" s="13">
        <v>261.2</v>
      </c>
      <c r="D106" s="17">
        <f>G106*C106</f>
        <v>71.856224899598388</v>
      </c>
      <c r="E106" s="13"/>
      <c r="F106" s="13"/>
      <c r="G106" s="13">
        <f>B106/$B$107</f>
        <v>0.27510040160642568</v>
      </c>
      <c r="I106" s="17"/>
    </row>
    <row r="107" spans="1:9" s="7" customFormat="1" ht="15.75">
      <c r="A107" s="15"/>
      <c r="B107" s="15">
        <f>SUM(B102:B106)</f>
        <v>99.6</v>
      </c>
      <c r="C107" s="15"/>
      <c r="D107" s="15">
        <f>SUM(D102:D106)</f>
        <v>258.78765060240966</v>
      </c>
      <c r="E107" s="28"/>
      <c r="F107" s="15"/>
      <c r="G107" s="15">
        <f>SUM(G102:G106)</f>
        <v>1</v>
      </c>
      <c r="I107" s="15"/>
    </row>
    <row r="108" spans="1:9" s="2" customFormat="1" ht="29.25" customHeight="1">
      <c r="A108" s="57" t="s">
        <v>74</v>
      </c>
      <c r="B108" s="57"/>
      <c r="C108" s="57"/>
      <c r="D108" s="57"/>
      <c r="E108" s="57"/>
      <c r="F108" s="57"/>
      <c r="G108" s="57"/>
      <c r="H108" s="43"/>
      <c r="I108" s="38" t="s">
        <v>87</v>
      </c>
    </row>
    <row r="109" spans="1:9" s="2" customFormat="1" ht="30.75" customHeight="1">
      <c r="A109" s="20" t="s">
        <v>123</v>
      </c>
      <c r="B109" s="20" t="s">
        <v>117</v>
      </c>
      <c r="C109" s="20" t="s">
        <v>5</v>
      </c>
      <c r="D109" s="28" t="s">
        <v>70</v>
      </c>
      <c r="E109" s="20" t="s">
        <v>40</v>
      </c>
      <c r="F109" s="14"/>
      <c r="G109" s="20" t="s">
        <v>118</v>
      </c>
      <c r="I109" s="14"/>
    </row>
    <row r="110" spans="1:9" s="2" customFormat="1" ht="15.75">
      <c r="A110" s="13" t="s">
        <v>41</v>
      </c>
      <c r="B110" s="14">
        <v>5.7</v>
      </c>
      <c r="C110" s="13">
        <v>239.2</v>
      </c>
      <c r="D110" s="17">
        <f>G110*C110</f>
        <v>13.634399999999999</v>
      </c>
      <c r="E110" s="13">
        <f>(D115*2+92-18*2)+489.33-323.2</f>
        <v>745.35660000000007</v>
      </c>
      <c r="F110" s="13"/>
      <c r="G110" s="13">
        <f>B110/$B$115</f>
        <v>5.7000000000000002E-2</v>
      </c>
      <c r="I110" s="17"/>
    </row>
    <row r="111" spans="1:9" s="2" customFormat="1" ht="15.75">
      <c r="A111" s="13" t="s">
        <v>42</v>
      </c>
      <c r="B111" s="14">
        <v>1.4</v>
      </c>
      <c r="C111" s="13">
        <v>267.5</v>
      </c>
      <c r="D111" s="17">
        <f>G111*C111</f>
        <v>3.7449999999999997</v>
      </c>
      <c r="E111" s="13"/>
      <c r="F111" s="13"/>
      <c r="G111" s="13">
        <f>B111/$B$115</f>
        <v>1.3999999999999999E-2</v>
      </c>
      <c r="I111" s="17"/>
    </row>
    <row r="112" spans="1:9" s="2" customFormat="1" ht="15.75">
      <c r="A112" s="13" t="s">
        <v>43</v>
      </c>
      <c r="B112" s="14">
        <v>21.1</v>
      </c>
      <c r="C112" s="13">
        <v>265.3</v>
      </c>
      <c r="D112" s="17">
        <f>G112*C112</f>
        <v>55.978300000000004</v>
      </c>
      <c r="E112" s="13"/>
      <c r="F112" s="13"/>
      <c r="G112" s="13">
        <f>B112/$B$115</f>
        <v>0.21100000000000002</v>
      </c>
      <c r="I112" s="17"/>
    </row>
    <row r="113" spans="1:9" s="2" customFormat="1" ht="15.75">
      <c r="A113" s="13" t="s">
        <v>44</v>
      </c>
      <c r="B113" s="14">
        <v>35.700000000000003</v>
      </c>
      <c r="C113" s="13">
        <v>263.2</v>
      </c>
      <c r="D113" s="17">
        <f>G113*C113</f>
        <v>93.962400000000002</v>
      </c>
      <c r="E113" s="13"/>
      <c r="F113" s="13"/>
      <c r="G113" s="13">
        <f>B113/$B$115</f>
        <v>0.35700000000000004</v>
      </c>
      <c r="I113" s="17"/>
    </row>
    <row r="114" spans="1:9" s="2" customFormat="1" ht="15.75">
      <c r="A114" s="13" t="s">
        <v>45</v>
      </c>
      <c r="B114" s="14">
        <v>36.1</v>
      </c>
      <c r="C114" s="13">
        <v>261.2</v>
      </c>
      <c r="D114" s="17">
        <f>G114*C114</f>
        <v>94.293199999999999</v>
      </c>
      <c r="E114" s="13"/>
      <c r="F114" s="13"/>
      <c r="G114" s="13">
        <f>B114/$B$115</f>
        <v>0.36099999999999999</v>
      </c>
      <c r="I114" s="17"/>
    </row>
    <row r="115" spans="1:9" s="7" customFormat="1" ht="15.75">
      <c r="A115" s="15"/>
      <c r="B115" s="15">
        <f>SUM(B110:B114)</f>
        <v>100</v>
      </c>
      <c r="C115" s="15"/>
      <c r="D115" s="15">
        <f>SUM(D110:D114)</f>
        <v>261.61330000000004</v>
      </c>
      <c r="E115" s="28"/>
      <c r="F115" s="15"/>
      <c r="G115" s="15">
        <f>SUM(G110:G114)</f>
        <v>1</v>
      </c>
      <c r="I115" s="15"/>
    </row>
    <row r="116" spans="1:9" s="2" customFormat="1" ht="29.25" customHeight="1">
      <c r="A116" s="57" t="s">
        <v>75</v>
      </c>
      <c r="B116" s="57"/>
      <c r="C116" s="57"/>
      <c r="D116" s="57"/>
      <c r="E116" s="57"/>
      <c r="F116" s="57"/>
      <c r="G116" s="57"/>
      <c r="H116" s="43"/>
      <c r="I116" s="38" t="s">
        <v>87</v>
      </c>
    </row>
    <row r="117" spans="1:9" s="2" customFormat="1" ht="30.75" customHeight="1">
      <c r="A117" s="20" t="s">
        <v>124</v>
      </c>
      <c r="B117" s="20" t="s">
        <v>117</v>
      </c>
      <c r="C117" s="20" t="s">
        <v>5</v>
      </c>
      <c r="D117" s="28" t="s">
        <v>70</v>
      </c>
      <c r="E117" s="20" t="s">
        <v>40</v>
      </c>
      <c r="F117" s="14"/>
      <c r="G117" s="20" t="s">
        <v>118</v>
      </c>
      <c r="I117" s="14"/>
    </row>
    <row r="118" spans="1:9" s="2" customFormat="1" ht="15.75">
      <c r="A118" s="13" t="s">
        <v>41</v>
      </c>
      <c r="B118" s="14">
        <v>54.5</v>
      </c>
      <c r="C118" s="13">
        <v>239.2</v>
      </c>
      <c r="D118" s="17">
        <f>G118*C118</f>
        <v>131.28298086606242</v>
      </c>
      <c r="E118" s="13">
        <f>((172+D123*2-18*2)+323.2-18)+180.16-323.2</f>
        <v>799.18598187311181</v>
      </c>
      <c r="F118" s="13"/>
      <c r="G118" s="13">
        <f>B118/$B$123</f>
        <v>0.54884189325276933</v>
      </c>
      <c r="I118" s="17"/>
    </row>
    <row r="119" spans="1:9" s="2" customFormat="1" ht="15.75">
      <c r="A119" s="13" t="s">
        <v>42</v>
      </c>
      <c r="B119" s="14">
        <v>2.2000000000000002</v>
      </c>
      <c r="C119" s="13">
        <v>267.5</v>
      </c>
      <c r="D119" s="17">
        <f>G119*C119</f>
        <v>5.9264853977844911</v>
      </c>
      <c r="E119" s="13"/>
      <c r="F119" s="13"/>
      <c r="G119" s="13">
        <f>B119/$B$123</f>
        <v>2.2155085599194359E-2</v>
      </c>
      <c r="I119" s="17"/>
    </row>
    <row r="120" spans="1:9" s="2" customFormat="1" ht="15.75">
      <c r="A120" s="13" t="s">
        <v>43</v>
      </c>
      <c r="B120" s="14">
        <v>23.2</v>
      </c>
      <c r="C120" s="13">
        <v>265.3</v>
      </c>
      <c r="D120" s="17">
        <f>G120*C120</f>
        <v>61.983484390735143</v>
      </c>
      <c r="E120" s="13"/>
      <c r="F120" s="13"/>
      <c r="G120" s="13">
        <f>B120/$B$123</f>
        <v>0.23363544813695869</v>
      </c>
      <c r="I120" s="17"/>
    </row>
    <row r="121" spans="1:9" s="2" customFormat="1" ht="15.75">
      <c r="A121" s="13" t="s">
        <v>44</v>
      </c>
      <c r="B121" s="14">
        <v>14.4</v>
      </c>
      <c r="C121" s="13">
        <v>263.2</v>
      </c>
      <c r="D121" s="17">
        <f>G121*C121</f>
        <v>38.167975830815706</v>
      </c>
      <c r="E121" s="13"/>
      <c r="F121" s="13"/>
      <c r="G121" s="13">
        <f>B121/$B$123</f>
        <v>0.14501510574018125</v>
      </c>
      <c r="I121" s="17"/>
    </row>
    <row r="122" spans="1:9" s="2" customFormat="1" ht="15.75">
      <c r="A122" s="13" t="s">
        <v>45</v>
      </c>
      <c r="B122" s="14">
        <v>5</v>
      </c>
      <c r="C122" s="13">
        <v>261.2</v>
      </c>
      <c r="D122" s="17">
        <f>G122*C122</f>
        <v>13.152064451158104</v>
      </c>
      <c r="E122" s="13"/>
      <c r="F122" s="13"/>
      <c r="G122" s="13">
        <f>B122/$B$123</f>
        <v>5.0352467270896269E-2</v>
      </c>
      <c r="I122" s="17"/>
    </row>
    <row r="123" spans="1:9" s="7" customFormat="1" ht="15.75">
      <c r="A123" s="15"/>
      <c r="B123" s="15">
        <f>SUM(B118:B122)</f>
        <v>99.300000000000011</v>
      </c>
      <c r="C123" s="15"/>
      <c r="D123" s="15">
        <f>SUM(D118:D122)</f>
        <v>250.51299093655584</v>
      </c>
      <c r="E123" s="28"/>
      <c r="F123" s="15"/>
      <c r="G123" s="15">
        <f>SUM(G118:G122)</f>
        <v>0.99999999999999989</v>
      </c>
      <c r="I123" s="15"/>
    </row>
    <row r="124" spans="1:9" s="2" customFormat="1" ht="29.25" customHeight="1">
      <c r="A124" s="57" t="s">
        <v>76</v>
      </c>
      <c r="B124" s="57"/>
      <c r="C124" s="57"/>
      <c r="D124" s="57"/>
      <c r="E124" s="57"/>
      <c r="F124" s="57"/>
      <c r="G124" s="57"/>
      <c r="H124" s="43"/>
      <c r="I124" s="38" t="s">
        <v>87</v>
      </c>
    </row>
    <row r="125" spans="1:9" s="2" customFormat="1" ht="30.75" customHeight="1">
      <c r="A125" s="20" t="s">
        <v>125</v>
      </c>
      <c r="B125" s="20" t="s">
        <v>117</v>
      </c>
      <c r="C125" s="20" t="s">
        <v>5</v>
      </c>
      <c r="D125" s="28" t="s">
        <v>70</v>
      </c>
      <c r="E125" s="20" t="s">
        <v>40</v>
      </c>
      <c r="F125" s="14"/>
      <c r="G125" s="20" t="s">
        <v>118</v>
      </c>
      <c r="I125" s="14"/>
    </row>
    <row r="126" spans="1:9" s="2" customFormat="1" ht="15.75">
      <c r="A126" s="13" t="s">
        <v>41</v>
      </c>
      <c r="B126" s="14">
        <v>27.9</v>
      </c>
      <c r="C126" s="13">
        <v>239.2</v>
      </c>
      <c r="D126" s="17">
        <f>G126*C126</f>
        <v>67.615805471124617</v>
      </c>
      <c r="E126" s="13">
        <f>((172+D131*2-18*2)+323.2-18)+105.09-323.2</f>
        <v>736.56436676798376</v>
      </c>
      <c r="F126" s="13"/>
      <c r="G126" s="13">
        <f>B126/$B$131</f>
        <v>0.28267477203647418</v>
      </c>
      <c r="I126" s="17"/>
    </row>
    <row r="127" spans="1:9" s="2" customFormat="1" ht="15.75">
      <c r="A127" s="13" t="s">
        <v>42</v>
      </c>
      <c r="B127" s="14">
        <v>1.1000000000000001</v>
      </c>
      <c r="C127" s="13">
        <v>267.5</v>
      </c>
      <c r="D127" s="17">
        <f>G127*C127</f>
        <v>2.9812563323201626</v>
      </c>
      <c r="E127" s="13"/>
      <c r="F127" s="13"/>
      <c r="G127" s="13">
        <f>B127/$B$131</f>
        <v>1.114488348530902E-2</v>
      </c>
      <c r="I127" s="17"/>
    </row>
    <row r="128" spans="1:9" s="2" customFormat="1" ht="15.75">
      <c r="A128" s="13" t="s">
        <v>43</v>
      </c>
      <c r="B128" s="14">
        <v>33.9</v>
      </c>
      <c r="C128" s="13">
        <v>265.3</v>
      </c>
      <c r="D128" s="17">
        <f>G128*C128</f>
        <v>91.121276595744689</v>
      </c>
      <c r="E128" s="13"/>
      <c r="F128" s="13"/>
      <c r="G128" s="13">
        <f>B128/$B$131</f>
        <v>0.34346504559270519</v>
      </c>
      <c r="I128" s="17"/>
    </row>
    <row r="129" spans="1:9" s="2" customFormat="1" ht="15.75">
      <c r="A129" s="13" t="s">
        <v>44</v>
      </c>
      <c r="B129" s="14">
        <v>13.7</v>
      </c>
      <c r="C129" s="13">
        <v>263.2</v>
      </c>
      <c r="D129" s="17">
        <f>G129*C129</f>
        <v>36.533333333333331</v>
      </c>
      <c r="E129" s="13"/>
      <c r="F129" s="13"/>
      <c r="G129" s="13">
        <f>B129/$B$131</f>
        <v>0.13880445795339413</v>
      </c>
      <c r="I129" s="17"/>
    </row>
    <row r="130" spans="1:9" s="2" customFormat="1" ht="15.75">
      <c r="A130" s="13" t="s">
        <v>45</v>
      </c>
      <c r="B130" s="14">
        <v>22.1</v>
      </c>
      <c r="C130" s="13">
        <v>261.2</v>
      </c>
      <c r="D130" s="17">
        <f>G130*C130</f>
        <v>58.48551165146911</v>
      </c>
      <c r="E130" s="13"/>
      <c r="F130" s="13"/>
      <c r="G130" s="13">
        <f>B130/$B$131</f>
        <v>0.22391084093211758</v>
      </c>
      <c r="I130" s="17"/>
    </row>
    <row r="131" spans="1:9" s="7" customFormat="1" ht="15.75">
      <c r="A131" s="15"/>
      <c r="B131" s="15">
        <f>SUM(B126:B130)</f>
        <v>98.699999999999989</v>
      </c>
      <c r="C131" s="15"/>
      <c r="D131" s="15">
        <f>SUM(D126:D130)</f>
        <v>256.73718338399192</v>
      </c>
      <c r="E131" s="28"/>
      <c r="F131" s="15"/>
      <c r="G131" s="15">
        <f>SUM(G126:G130)</f>
        <v>1.0000000000000002</v>
      </c>
      <c r="I131" s="15"/>
    </row>
    <row r="132" spans="1:9" s="2" customFormat="1" ht="29.25" customHeight="1">
      <c r="A132" s="57" t="s">
        <v>78</v>
      </c>
      <c r="B132" s="57"/>
      <c r="C132" s="57"/>
      <c r="D132" s="57"/>
      <c r="E132" s="57"/>
      <c r="F132" s="57"/>
      <c r="G132" s="57"/>
      <c r="H132" s="43"/>
      <c r="I132" s="38" t="s">
        <v>87</v>
      </c>
    </row>
    <row r="133" spans="1:9" s="2" customFormat="1" ht="30.75" customHeight="1">
      <c r="A133" s="46" t="s">
        <v>126</v>
      </c>
      <c r="B133" s="46" t="s">
        <v>53</v>
      </c>
      <c r="C133" s="46" t="s">
        <v>5</v>
      </c>
      <c r="D133" s="47" t="s">
        <v>70</v>
      </c>
      <c r="E133" s="46" t="s">
        <v>40</v>
      </c>
      <c r="F133" s="48"/>
      <c r="G133" s="46" t="s">
        <v>118</v>
      </c>
      <c r="I133" s="48"/>
    </row>
    <row r="134" spans="1:9" s="2" customFormat="1" ht="15.75">
      <c r="A134" s="19" t="s">
        <v>41</v>
      </c>
      <c r="B134" s="49">
        <v>24.3</v>
      </c>
      <c r="C134" s="19">
        <v>239.2</v>
      </c>
      <c r="D134" s="31">
        <f>G134*C134</f>
        <v>58.125599999999999</v>
      </c>
      <c r="E134" s="19">
        <f>172+D139*2-18*2</f>
        <v>651.25819999999999</v>
      </c>
      <c r="F134" s="19"/>
      <c r="G134" s="19">
        <f>B134/$B$139</f>
        <v>0.24299999999999999</v>
      </c>
      <c r="I134" s="31"/>
    </row>
    <row r="135" spans="1:9" s="2" customFormat="1" ht="15.75">
      <c r="A135" s="19" t="s">
        <v>42</v>
      </c>
      <c r="B135" s="49">
        <v>2.9</v>
      </c>
      <c r="C135" s="19">
        <v>267.5</v>
      </c>
      <c r="D135" s="31">
        <f>G135*C135</f>
        <v>7.7574999999999985</v>
      </c>
      <c r="E135" s="31"/>
      <c r="F135" s="19"/>
      <c r="G135" s="19">
        <f>B135/$B$99</f>
        <v>2.8999999999999995E-2</v>
      </c>
      <c r="I135" s="31"/>
    </row>
    <row r="136" spans="1:9" s="2" customFormat="1" ht="15.75">
      <c r="A136" s="19" t="s">
        <v>43</v>
      </c>
      <c r="B136" s="49">
        <v>26.4</v>
      </c>
      <c r="C136" s="19">
        <v>265.3</v>
      </c>
      <c r="D136" s="31">
        <f>G136*C136</f>
        <v>70.039199999999994</v>
      </c>
      <c r="E136" s="19"/>
      <c r="F136" s="19"/>
      <c r="G136" s="19">
        <f>B136/$B$99</f>
        <v>0.26399999999999996</v>
      </c>
      <c r="I136" s="31"/>
    </row>
    <row r="137" spans="1:9" s="2" customFormat="1" ht="15.75">
      <c r="A137" s="19" t="s">
        <v>44</v>
      </c>
      <c r="B137" s="49">
        <v>25.5</v>
      </c>
      <c r="C137" s="19">
        <v>263.2</v>
      </c>
      <c r="D137" s="31">
        <f>G137*C137</f>
        <v>67.115999999999985</v>
      </c>
      <c r="E137" s="19"/>
      <c r="F137" s="19"/>
      <c r="G137" s="19">
        <f>B137/$B$99</f>
        <v>0.25499999999999995</v>
      </c>
      <c r="I137" s="31"/>
    </row>
    <row r="138" spans="1:9" s="2" customFormat="1" ht="15.75">
      <c r="A138" s="19" t="s">
        <v>45</v>
      </c>
      <c r="B138" s="49">
        <v>20.9</v>
      </c>
      <c r="C138" s="19">
        <v>261.2</v>
      </c>
      <c r="D138" s="31">
        <f>G138*C138</f>
        <v>54.590799999999987</v>
      </c>
      <c r="E138" s="19"/>
      <c r="F138" s="19"/>
      <c r="G138" s="19">
        <f>B138/$B$99</f>
        <v>0.20899999999999996</v>
      </c>
      <c r="I138" s="31"/>
    </row>
    <row r="139" spans="1:9" s="7" customFormat="1" ht="15.75">
      <c r="A139" s="16"/>
      <c r="B139" s="16">
        <f>SUM(B134:B138)</f>
        <v>100</v>
      </c>
      <c r="C139" s="16"/>
      <c r="D139" s="16">
        <f>SUM(D134:D138)</f>
        <v>257.62909999999999</v>
      </c>
      <c r="E139" s="33"/>
      <c r="F139" s="16"/>
      <c r="G139" s="16">
        <f>SUM(G134:G138)</f>
        <v>0.99999999999999989</v>
      </c>
      <c r="I139" s="16"/>
    </row>
    <row r="140" spans="1:9" s="2" customFormat="1" ht="15.75">
      <c r="A140" s="13"/>
      <c r="B140" s="13"/>
      <c r="C140" s="13"/>
      <c r="D140" s="13"/>
      <c r="E140" s="13"/>
      <c r="F140" s="13"/>
      <c r="G140" s="13"/>
      <c r="H140" s="43"/>
      <c r="I140" s="13"/>
    </row>
    <row r="141" spans="1:9" s="5" customFormat="1" ht="29.25" customHeight="1">
      <c r="A141" s="57" t="s">
        <v>46</v>
      </c>
      <c r="B141" s="57"/>
      <c r="C141" s="57"/>
      <c r="D141" s="57"/>
      <c r="E141" s="57"/>
      <c r="F141" s="57"/>
      <c r="G141" s="57"/>
      <c r="H141" s="43"/>
      <c r="I141" s="51" t="s">
        <v>127</v>
      </c>
    </row>
    <row r="142" spans="1:9" s="5" customFormat="1" ht="15.75">
      <c r="A142" s="15" t="s">
        <v>62</v>
      </c>
      <c r="B142" s="15" t="s">
        <v>47</v>
      </c>
      <c r="C142" s="15" t="s">
        <v>5</v>
      </c>
      <c r="D142" s="15" t="s">
        <v>55</v>
      </c>
      <c r="E142" s="15" t="s">
        <v>109</v>
      </c>
      <c r="F142" s="13"/>
      <c r="G142" s="15" t="s">
        <v>106</v>
      </c>
      <c r="I142" s="13"/>
    </row>
    <row r="143" spans="1:9" s="5" customFormat="1" ht="15.75">
      <c r="A143" s="13" t="s">
        <v>46</v>
      </c>
      <c r="B143" s="13">
        <v>100</v>
      </c>
      <c r="C143" s="13">
        <v>666.6</v>
      </c>
      <c r="D143" s="13">
        <f>C143*B143/100</f>
        <v>666.6</v>
      </c>
      <c r="E143" s="13">
        <f>100*D143/$D$144</f>
        <v>100</v>
      </c>
      <c r="F143" s="13"/>
      <c r="G143" s="13">
        <f>(B143/100)*($B$10/100)*(1/C143)*1000</f>
        <v>1.8001800180017999E-3</v>
      </c>
      <c r="I143" s="17"/>
    </row>
    <row r="144" spans="1:9" s="5" customFormat="1" ht="15.75">
      <c r="A144" s="15"/>
      <c r="B144" s="15">
        <f>SUM(B143:B143)</f>
        <v>100</v>
      </c>
      <c r="C144" s="15">
        <f>SUM(C143:C143)</f>
        <v>666.6</v>
      </c>
      <c r="D144" s="15">
        <f>SUM(D141:D143)</f>
        <v>666.6</v>
      </c>
      <c r="E144" s="15">
        <f>SUM(E141:E143)</f>
        <v>100</v>
      </c>
      <c r="F144" s="15"/>
      <c r="G144" s="15"/>
      <c r="I144" s="13"/>
    </row>
    <row r="145" spans="1:9" s="5" customFormat="1" ht="29.25" customHeight="1">
      <c r="A145" s="57" t="s">
        <v>98</v>
      </c>
      <c r="B145" s="57"/>
      <c r="C145" s="57"/>
      <c r="D145" s="57"/>
      <c r="E145" s="57"/>
      <c r="F145" s="57"/>
      <c r="G145" s="57"/>
      <c r="H145" s="43"/>
      <c r="I145" s="51" t="s">
        <v>127</v>
      </c>
    </row>
    <row r="146" spans="1:9" s="5" customFormat="1" ht="15.75">
      <c r="A146" s="15" t="s">
        <v>62</v>
      </c>
      <c r="B146" s="15" t="s">
        <v>47</v>
      </c>
      <c r="C146" s="15" t="s">
        <v>5</v>
      </c>
      <c r="D146" s="15" t="s">
        <v>55</v>
      </c>
      <c r="E146" s="15" t="s">
        <v>109</v>
      </c>
      <c r="F146" s="13"/>
      <c r="G146" s="15" t="s">
        <v>106</v>
      </c>
      <c r="I146" s="13"/>
    </row>
    <row r="147" spans="1:9" s="5" customFormat="1" ht="15.75">
      <c r="A147" s="13" t="s">
        <v>98</v>
      </c>
      <c r="B147" s="13">
        <v>100</v>
      </c>
      <c r="C147" s="13">
        <v>34500</v>
      </c>
      <c r="D147" s="13">
        <f>C147*B147/100</f>
        <v>34500</v>
      </c>
      <c r="E147" s="13">
        <f>100*D147/$D$144</f>
        <v>5175.5175517551752</v>
      </c>
      <c r="F147" s="13"/>
      <c r="G147" s="13">
        <f>(B147/100)*($B$11/100)*(1/C147)*1000</f>
        <v>2.5797101449275364E-3</v>
      </c>
      <c r="I147" s="17"/>
    </row>
    <row r="148" spans="1:9" s="5" customFormat="1" ht="15.75">
      <c r="A148" s="15"/>
      <c r="B148" s="15">
        <f>SUM(B147:B147)</f>
        <v>100</v>
      </c>
      <c r="C148" s="15">
        <f>SUM(C147:C147)</f>
        <v>34500</v>
      </c>
      <c r="D148" s="15">
        <f>SUM(D145:D147)</f>
        <v>34500</v>
      </c>
      <c r="E148" s="15">
        <f>SUM(E145:E147)</f>
        <v>5175.5175517551752</v>
      </c>
      <c r="F148" s="15"/>
      <c r="G148" s="15"/>
      <c r="I148" s="13"/>
    </row>
    <row r="149" spans="1:9" s="5" customFormat="1" ht="29.25" customHeight="1">
      <c r="A149" s="57" t="s">
        <v>99</v>
      </c>
      <c r="B149" s="57"/>
      <c r="C149" s="57"/>
      <c r="D149" s="57"/>
      <c r="E149" s="57"/>
      <c r="F149" s="57"/>
      <c r="G149" s="57"/>
      <c r="H149" s="43"/>
      <c r="I149" s="51" t="s">
        <v>127</v>
      </c>
    </row>
    <row r="150" spans="1:9" s="5" customFormat="1" ht="15.75">
      <c r="A150" s="15" t="s">
        <v>62</v>
      </c>
      <c r="B150" s="15" t="s">
        <v>47</v>
      </c>
      <c r="C150" s="15" t="s">
        <v>5</v>
      </c>
      <c r="D150" s="15" t="s">
        <v>55</v>
      </c>
      <c r="E150" s="15" t="s">
        <v>109</v>
      </c>
      <c r="F150" s="13"/>
      <c r="G150" s="15" t="s">
        <v>106</v>
      </c>
      <c r="I150" s="13"/>
    </row>
    <row r="151" spans="1:9" s="5" customFormat="1" ht="15.75">
      <c r="A151" s="13" t="s">
        <v>99</v>
      </c>
      <c r="B151" s="13">
        <v>100</v>
      </c>
      <c r="C151" s="13">
        <v>1200000</v>
      </c>
      <c r="D151" s="13">
        <f>C151*B151/100</f>
        <v>1200000</v>
      </c>
      <c r="E151" s="13">
        <f>100*D151/$D$144</f>
        <v>180018.00180018001</v>
      </c>
      <c r="F151" s="13"/>
      <c r="G151" s="13">
        <f>(B151/100)*($B$12/100)*(1/C151)*1000</f>
        <v>6.0833333333333326E-5</v>
      </c>
      <c r="I151" s="17"/>
    </row>
    <row r="152" spans="1:9" s="5" customFormat="1" ht="15.75">
      <c r="A152" s="15"/>
      <c r="B152" s="15">
        <f>SUM(B151:B151)</f>
        <v>100</v>
      </c>
      <c r="C152" s="15">
        <f>SUM(C151:C151)</f>
        <v>1200000</v>
      </c>
      <c r="D152" s="15">
        <f>SUM(D149:D151)</f>
        <v>1200000</v>
      </c>
      <c r="E152" s="15">
        <f>SUM(E149:E151)</f>
        <v>180018.00180018001</v>
      </c>
      <c r="F152" s="15"/>
      <c r="G152" s="15"/>
      <c r="I152" s="13"/>
    </row>
    <row r="153" spans="1:9" s="5" customFormat="1" ht="15.75">
      <c r="A153" s="13"/>
      <c r="B153" s="13"/>
      <c r="C153" s="13"/>
      <c r="D153" s="13"/>
      <c r="E153" s="13"/>
      <c r="F153" s="13"/>
      <c r="G153" s="13"/>
      <c r="I153" s="13"/>
    </row>
    <row r="154" spans="1:9" s="5" customFormat="1" ht="15.75">
      <c r="A154" s="13"/>
      <c r="B154" s="13"/>
      <c r="C154" s="13"/>
      <c r="D154" s="13"/>
      <c r="E154" s="13"/>
      <c r="F154" s="13"/>
      <c r="G154" s="13"/>
      <c r="I154" s="13"/>
    </row>
    <row r="155" spans="1:9" s="2" customFormat="1" ht="25.5" customHeight="1">
      <c r="A155" s="57" t="s">
        <v>100</v>
      </c>
      <c r="B155" s="57"/>
      <c r="C155" s="57"/>
      <c r="D155" s="57"/>
      <c r="E155" s="57"/>
      <c r="F155" s="57"/>
      <c r="G155" s="57"/>
      <c r="H155" s="43"/>
      <c r="I155" s="51" t="s">
        <v>140</v>
      </c>
    </row>
    <row r="156" spans="1:9" s="2" customFormat="1" ht="15.75">
      <c r="A156" s="15" t="s">
        <v>61</v>
      </c>
      <c r="B156" s="15" t="s">
        <v>35</v>
      </c>
      <c r="C156" s="28" t="s">
        <v>134</v>
      </c>
      <c r="D156" s="15" t="s">
        <v>5</v>
      </c>
      <c r="E156" s="15" t="s">
        <v>55</v>
      </c>
      <c r="F156" s="15" t="s">
        <v>48</v>
      </c>
      <c r="G156" s="15" t="s">
        <v>106</v>
      </c>
      <c r="H156" s="17"/>
      <c r="I156" s="4"/>
    </row>
    <row r="157" spans="1:9" s="2" customFormat="1" ht="15.75">
      <c r="A157" s="13" t="s">
        <v>129</v>
      </c>
      <c r="B157" s="13">
        <v>2.62725779967159</v>
      </c>
      <c r="C157" s="17">
        <f>B157/$B$161*100</f>
        <v>9.3023255813953405</v>
      </c>
      <c r="D157" s="13">
        <v>180.16</v>
      </c>
      <c r="E157" s="13">
        <f>D157*C157/100</f>
        <v>16.759069767441844</v>
      </c>
      <c r="F157" s="13">
        <f>100*E157/$E$161</f>
        <v>8.9997989332220918</v>
      </c>
      <c r="G157" s="13">
        <f>(C157/100)*($B$13/100)*(1/D157)*1000</f>
        <v>0.11386309339117578</v>
      </c>
      <c r="H157" s="17"/>
      <c r="I157" s="4"/>
    </row>
    <row r="158" spans="1:9" s="2" customFormat="1" ht="15.75">
      <c r="A158" s="13" t="s">
        <v>130</v>
      </c>
      <c r="B158" s="13">
        <v>6.2397372742200297</v>
      </c>
      <c r="C158" s="17">
        <f>B158/$B$161*100</f>
        <v>22.093023255813947</v>
      </c>
      <c r="D158" s="13">
        <v>164.16</v>
      </c>
      <c r="E158" s="13">
        <f>D158*C158/100</f>
        <v>36.267906976744172</v>
      </c>
      <c r="F158" s="13">
        <f>100*E158/$E$161</f>
        <v>19.476252265123399</v>
      </c>
      <c r="G158" s="13">
        <f>(C158/100)*($B$13/100)*(1/D158)*1000</f>
        <v>0.29678204434829636</v>
      </c>
      <c r="H158" s="17"/>
      <c r="I158" s="4"/>
    </row>
    <row r="159" spans="1:9" s="2" customFormat="1" ht="15.75">
      <c r="A159" s="13" t="s">
        <v>131</v>
      </c>
      <c r="B159" s="13">
        <v>0</v>
      </c>
      <c r="C159" s="17">
        <f>B159/$B$161*100</f>
        <v>0</v>
      </c>
      <c r="D159" s="13">
        <v>180.15</v>
      </c>
      <c r="E159" s="13">
        <f>D159*C159/100</f>
        <v>0</v>
      </c>
      <c r="F159" s="13">
        <f>100*E159/$E$161</f>
        <v>0</v>
      </c>
      <c r="G159" s="13">
        <f>(C159/100)*($B$13/100)*(1/D159)*1000</f>
        <v>0</v>
      </c>
      <c r="H159" s="17"/>
      <c r="I159" s="4"/>
    </row>
    <row r="160" spans="1:9" s="2" customFormat="1" ht="15.75">
      <c r="A160" s="13" t="s">
        <v>132</v>
      </c>
      <c r="B160" s="13">
        <v>19.376026272577999</v>
      </c>
      <c r="C160" s="17">
        <f>B160/$B$161*100</f>
        <v>68.604651162790717</v>
      </c>
      <c r="D160" s="13">
        <v>194.14</v>
      </c>
      <c r="E160" s="13">
        <f>D160*C160/100</f>
        <v>133.18906976744188</v>
      </c>
      <c r="F160" s="13">
        <f>100*E160/$E$161</f>
        <v>71.523948801654498</v>
      </c>
      <c r="G160" s="13">
        <f>(C160/100)*($B$13/100)*(1/D160)*1000</f>
        <v>0.7792707063304195</v>
      </c>
      <c r="H160" s="17"/>
      <c r="I160" s="4"/>
    </row>
    <row r="161" spans="1:9" s="2" customFormat="1" ht="15.75">
      <c r="A161" s="15"/>
      <c r="B161" s="15">
        <f>SUM(B157:B160)</f>
        <v>28.243021346469618</v>
      </c>
      <c r="C161" s="17">
        <f>SUM(C157:C160)</f>
        <v>100</v>
      </c>
      <c r="D161" s="15"/>
      <c r="E161" s="15">
        <f>SUM(E157:E160)</f>
        <v>186.21604651162789</v>
      </c>
      <c r="F161" s="15">
        <f>SUM(F157:F160)</f>
        <v>99.999999999999986</v>
      </c>
      <c r="G161" s="15"/>
      <c r="H161" s="15"/>
      <c r="I161" s="3"/>
    </row>
    <row r="162" spans="1:9" s="2" customFormat="1" ht="15.75">
      <c r="A162" s="13"/>
      <c r="B162" s="13"/>
      <c r="C162" s="13"/>
      <c r="D162" s="13"/>
      <c r="E162" s="13"/>
      <c r="F162" s="13"/>
      <c r="G162" s="17"/>
      <c r="H162" s="13"/>
      <c r="I162" s="6"/>
    </row>
    <row r="163" spans="1:9" s="2" customFormat="1" ht="15.75">
      <c r="A163" s="21"/>
      <c r="B163" s="21"/>
      <c r="C163" s="21"/>
      <c r="D163" s="21"/>
      <c r="E163" s="21"/>
      <c r="F163" s="21"/>
      <c r="G163" s="29"/>
      <c r="H163" s="21"/>
      <c r="I163" s="30"/>
    </row>
    <row r="164" spans="1:9" s="2" customFormat="1" ht="15.75">
      <c r="A164" s="19"/>
      <c r="B164" s="19"/>
      <c r="C164" s="19"/>
      <c r="D164" s="19"/>
      <c r="E164" s="19"/>
      <c r="F164" s="19"/>
      <c r="G164" s="31"/>
      <c r="H164" s="19"/>
      <c r="I164" s="6"/>
    </row>
    <row r="165" spans="1:9" s="2" customFormat="1" ht="6.75" customHeight="1">
      <c r="A165" s="19"/>
      <c r="B165" s="19"/>
      <c r="C165" s="19"/>
      <c r="D165" s="19"/>
      <c r="E165" s="19"/>
      <c r="F165" s="19"/>
      <c r="G165" s="31"/>
      <c r="H165" s="19"/>
      <c r="I165" s="50"/>
    </row>
    <row r="166" spans="1:9" s="2" customFormat="1" ht="15.75">
      <c r="A166" s="15" t="s">
        <v>58</v>
      </c>
      <c r="B166" s="13"/>
      <c r="C166" s="13"/>
      <c r="D166" s="17"/>
      <c r="E166" s="17"/>
      <c r="F166" s="17"/>
      <c r="G166" s="17"/>
      <c r="H166" s="17"/>
      <c r="I166" s="1"/>
    </row>
    <row r="167" spans="1:9" s="2" customFormat="1" ht="15.75">
      <c r="A167" s="13" t="s">
        <v>128</v>
      </c>
      <c r="B167" s="13"/>
      <c r="C167" s="13"/>
      <c r="D167" s="17"/>
      <c r="E167" s="17"/>
      <c r="F167" s="17"/>
      <c r="G167" s="17"/>
      <c r="H167" s="17"/>
      <c r="I167" s="1"/>
    </row>
    <row r="168" spans="1:9" s="2" customFormat="1" ht="15.75">
      <c r="A168" s="13" t="s">
        <v>59</v>
      </c>
      <c r="B168" s="13"/>
      <c r="C168" s="13"/>
      <c r="D168" s="17"/>
      <c r="E168" s="17"/>
      <c r="F168" s="17"/>
      <c r="G168" s="17"/>
      <c r="H168" s="17"/>
      <c r="I168" s="1"/>
    </row>
    <row r="169" spans="1:9" s="2" customFormat="1" ht="15.75">
      <c r="A169" s="13"/>
      <c r="B169" s="13"/>
      <c r="C169" s="13"/>
      <c r="D169" s="17"/>
      <c r="E169" s="17"/>
      <c r="F169" s="17"/>
      <c r="G169" s="17"/>
      <c r="H169" s="17"/>
      <c r="I169" s="1"/>
    </row>
    <row r="170" spans="1:9" s="2" customFormat="1" ht="15.75">
      <c r="A170" s="15" t="s">
        <v>60</v>
      </c>
      <c r="B170" s="13"/>
      <c r="C170" s="13"/>
      <c r="D170" s="17"/>
      <c r="E170" s="17"/>
      <c r="F170" s="17"/>
      <c r="G170" s="17"/>
      <c r="H170" s="17"/>
      <c r="I170" s="1"/>
    </row>
    <row r="171" spans="1:9" s="9" customFormat="1" ht="15.75">
      <c r="A171" s="22" t="s">
        <v>113</v>
      </c>
      <c r="B171" s="22"/>
      <c r="C171" s="22"/>
      <c r="D171" s="22"/>
      <c r="E171" s="22"/>
      <c r="F171" s="22"/>
      <c r="G171" s="22"/>
      <c r="H171" s="22"/>
      <c r="I171" s="32"/>
    </row>
    <row r="172" spans="1:9" s="9" customFormat="1" ht="15.75">
      <c r="A172" s="22" t="s">
        <v>107</v>
      </c>
      <c r="B172" s="22"/>
      <c r="C172" s="22"/>
      <c r="D172" s="22"/>
      <c r="E172" s="22"/>
      <c r="F172" s="22"/>
      <c r="G172" s="22"/>
      <c r="H172" s="22"/>
      <c r="I172" s="32"/>
    </row>
    <row r="173" spans="1:9" s="9" customFormat="1" ht="15.75">
      <c r="A173" s="22" t="s">
        <v>79</v>
      </c>
      <c r="B173" s="22"/>
      <c r="C173" s="22"/>
      <c r="D173" s="22"/>
      <c r="E173" s="22"/>
      <c r="F173" s="22"/>
      <c r="G173" s="22"/>
      <c r="H173" s="22"/>
      <c r="I173" s="32"/>
    </row>
    <row r="174" spans="1:9" s="9" customFormat="1" ht="15.75">
      <c r="A174" s="22" t="s">
        <v>102</v>
      </c>
      <c r="B174" s="22"/>
      <c r="C174" s="22"/>
      <c r="D174" s="22"/>
      <c r="E174" s="22"/>
      <c r="F174" s="22"/>
      <c r="G174" s="22"/>
      <c r="H174" s="22"/>
      <c r="I174" s="32"/>
    </row>
    <row r="175" spans="1:9" s="9" customFormat="1" ht="15.75">
      <c r="A175" s="22" t="s">
        <v>133</v>
      </c>
      <c r="B175" s="22"/>
      <c r="C175" s="22"/>
      <c r="D175" s="22"/>
      <c r="E175" s="22"/>
      <c r="F175" s="22"/>
      <c r="G175" s="22"/>
      <c r="H175" s="22"/>
      <c r="I175" s="32"/>
    </row>
    <row r="176" spans="1:9" ht="15.75">
      <c r="A176" s="22" t="s">
        <v>135</v>
      </c>
    </row>
    <row r="177" spans="1:1" ht="15" customHeight="1">
      <c r="A177" s="54" t="s">
        <v>136</v>
      </c>
    </row>
    <row r="178" spans="1:1" ht="15.75">
      <c r="A178" s="22" t="s">
        <v>93</v>
      </c>
    </row>
  </sheetData>
  <mergeCells count="19">
    <mergeCell ref="A155:G155"/>
    <mergeCell ref="A84:G84"/>
    <mergeCell ref="A92:G92"/>
    <mergeCell ref="A100:G100"/>
    <mergeCell ref="A108:G108"/>
    <mergeCell ref="A116:G116"/>
    <mergeCell ref="A124:G124"/>
    <mergeCell ref="A132:G132"/>
    <mergeCell ref="A145:G145"/>
    <mergeCell ref="A149:G149"/>
    <mergeCell ref="A1:D1"/>
    <mergeCell ref="A141:G141"/>
    <mergeCell ref="A68:G68"/>
    <mergeCell ref="A76:G76"/>
    <mergeCell ref="A2:B2"/>
    <mergeCell ref="A56:G56"/>
    <mergeCell ref="A48:H48"/>
    <mergeCell ref="A40:H40"/>
    <mergeCell ref="A16:H16"/>
  </mergeCells>
  <phoneticPr fontId="3" type="noConversion"/>
  <pageMargins left="0.7" right="0.7" top="0.75" bottom="0.75" header="0.3" footer="0.3"/>
  <pageSetup paperSize="9" scale="55"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Biomass of mucor</vt:lpstr>
    </vt:vector>
  </TitlesOfParts>
  <Company>江南大学</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Liujie</dc:creator>
  <cp:lastModifiedBy>Windows</cp:lastModifiedBy>
  <cp:lastPrinted>2013-04-05T08:21:35Z</cp:lastPrinted>
  <dcterms:created xsi:type="dcterms:W3CDTF">2012-09-18T07:09:36Z</dcterms:created>
  <dcterms:modified xsi:type="dcterms:W3CDTF">2015-12-24T11:23:43Z</dcterms:modified>
</cp:coreProperties>
</file>