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polimi365-my.sharepoint.com/personal/10189392_polimi_it/Documents/CORSO SISTEMI ENERGETICI FISICI/Dispense Mie/"/>
    </mc:Choice>
  </mc:AlternateContent>
  <xr:revisionPtr revIDLastSave="182" documentId="114_{E9CB266C-FC73-4A86-B88D-4564CEBB76E5}" xr6:coauthVersionLast="47" xr6:coauthVersionMax="47" xr10:uidLastSave="{79281101-311A-4F2E-A074-3E8A257D9B94}"/>
  <bookViews>
    <workbookView xWindow="-4278" yWindow="1530" windowWidth="8640" windowHeight="6000" activeTab="1" xr2:uid="{00000000-000D-0000-FFFF-FFFF00000000}"/>
  </bookViews>
  <sheets>
    <sheet name="Impianto" sheetId="2" r:id="rId1"/>
    <sheet name="Calcolo Proprietà" sheetId="3" r:id="rId2"/>
    <sheet name="ListaFluidiProp" sheetId="4" r:id="rId3"/>
    <sheet name="T-s" sheetId="1" r:id="rId4"/>
  </sheets>
  <externalReferences>
    <externalReference r:id="rId5"/>
  </externalReferences>
  <definedNames>
    <definedName name="solver_adj" localSheetId="0" hidden="1">Impianto!$B$6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Impianto!$B$6</definedName>
    <definedName name="solver_lhs1" localSheetId="3" hidden="1">'T-s'!$W$7</definedName>
    <definedName name="solver_lhs2" localSheetId="0" hidden="1">Impianto!$B$7</definedName>
    <definedName name="solver_lhs3" localSheetId="0" hidden="1">Impianto!$J$11</definedName>
    <definedName name="solver_lhs4" localSheetId="0" hidden="1">Impianto!$P$6</definedName>
    <definedName name="solver_lhs5" localSheetId="0" hidden="1">Impianto!$P$6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5</definedName>
    <definedName name="solver_num" localSheetId="3" hidden="1">1</definedName>
    <definedName name="solver_nwt" localSheetId="0" hidden="1">1</definedName>
    <definedName name="solver_nwt" localSheetId="3" hidden="1">1</definedName>
    <definedName name="solver_opt" localSheetId="0" hidden="1">Impianto!$F$4</definedName>
    <definedName name="solver_opt" localSheetId="3" hidden="1">'T-s'!$W$7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el1" localSheetId="0" hidden="1">3</definedName>
    <definedName name="solver_rel1" localSheetId="3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Impianto!$B$5</definedName>
    <definedName name="solver_rhs1" localSheetId="3" hidden="1">0</definedName>
    <definedName name="solver_rhs2" localSheetId="0" hidden="1">Impianto!$L$7</definedName>
    <definedName name="solver_rhs3" localSheetId="0" hidden="1">0.001</definedName>
    <definedName name="solver_rhs4" localSheetId="0" hidden="1">0.999</definedName>
    <definedName name="solver_rhs5" localSheetId="0" hidden="1">0.001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J3" i="2"/>
  <c r="J4" i="2" s="1"/>
  <c r="J5" i="2" s="1"/>
  <c r="J6" i="2" s="1"/>
  <c r="K3" i="2"/>
  <c r="K6" i="2" s="1"/>
  <c r="L3" i="2"/>
  <c r="K4" i="2"/>
  <c r="K5" i="2" s="1"/>
  <c r="L5" i="2"/>
  <c r="K10" i="2"/>
  <c r="B26" i="2"/>
  <c r="B25" i="2"/>
  <c r="C14" i="3"/>
  <c r="H5" i="1" l="1"/>
  <c r="S5" i="1" s="1"/>
  <c r="B11" i="2"/>
  <c r="B1" i="1"/>
  <c r="K7" i="2"/>
  <c r="B8" i="1"/>
  <c r="B7" i="1"/>
  <c r="B31" i="1"/>
  <c r="B32" i="1"/>
  <c r="B33" i="1"/>
  <c r="B34" i="1"/>
  <c r="B10" i="2" a="1"/>
  <c r="E7" i="1" a="1"/>
  <c r="D8" i="1" a="1"/>
  <c r="L7" i="2" a="1"/>
  <c r="B2" i="1" a="1"/>
  <c r="D34" i="1" a="1"/>
  <c r="C32" i="1" a="1"/>
  <c r="D32" i="1" a="1"/>
  <c r="E33" i="1" a="1"/>
  <c r="B12" i="2" a="1"/>
  <c r="E32" i="1" a="1"/>
  <c r="D33" i="1" a="1"/>
  <c r="E34" i="1" a="1"/>
  <c r="E8" i="1" a="1"/>
  <c r="B15" i="2" a="1"/>
  <c r="D31" i="1" a="1"/>
  <c r="S27" i="1" a="1"/>
  <c r="B3" i="1" a="1"/>
  <c r="B14" i="2" a="1"/>
  <c r="C8" i="1" a="1"/>
  <c r="C33" i="1" a="1"/>
  <c r="C7" i="1" a="1"/>
  <c r="D7" i="1" a="1"/>
  <c r="C31" i="1" a="1"/>
  <c r="E31" i="1" a="1"/>
  <c r="C34" i="1" a="1"/>
  <c r="B12" i="2" l="1"/>
  <c r="M4" i="2" s="1"/>
  <c r="L4" i="2"/>
  <c r="L7" i="2"/>
  <c r="K8" i="2"/>
  <c r="K5" i="1"/>
  <c r="S27" i="1"/>
  <c r="J7" i="1"/>
  <c r="K2" i="1"/>
  <c r="K3" i="1" s="1"/>
  <c r="G7" i="1"/>
  <c r="B15" i="2"/>
  <c r="B14" i="2"/>
  <c r="B10" i="2"/>
  <c r="M3" i="2" s="1"/>
  <c r="E31" i="1"/>
  <c r="D33" i="1"/>
  <c r="D31" i="1"/>
  <c r="E34" i="1"/>
  <c r="E32" i="1"/>
  <c r="E8" i="1"/>
  <c r="E33" i="1"/>
  <c r="D34" i="1"/>
  <c r="D32" i="1"/>
  <c r="D8" i="1"/>
  <c r="E7" i="1"/>
  <c r="D7" i="1"/>
  <c r="C8" i="1"/>
  <c r="C7" i="1"/>
  <c r="B3" i="1"/>
  <c r="B2" i="1"/>
  <c r="D2" i="1" s="1"/>
  <c r="C32" i="1"/>
  <c r="C33" i="1"/>
  <c r="C34" i="1"/>
  <c r="C31" i="1"/>
  <c r="N4" i="2" a="1"/>
  <c r="B21" i="2" a="1"/>
  <c r="H7" i="1" a="1"/>
  <c r="B29" i="2" a="1"/>
  <c r="B4" i="1" a="1"/>
  <c r="O3" i="2" a="1"/>
  <c r="K7" i="1" a="1"/>
  <c r="L8" i="2" a="1"/>
  <c r="L7" i="1" a="1"/>
  <c r="B13" i="2" l="1"/>
  <c r="O3" i="2"/>
  <c r="N4" i="2"/>
  <c r="L8" i="2"/>
  <c r="B4" i="1"/>
  <c r="B16" i="2"/>
  <c r="B17" i="2" s="1"/>
  <c r="L7" i="1"/>
  <c r="M7" i="1" s="1"/>
  <c r="J8" i="1"/>
  <c r="H7" i="1"/>
  <c r="K7" i="1"/>
  <c r="B21" i="2"/>
  <c r="M5" i="2" s="1"/>
  <c r="H2" i="1"/>
  <c r="H3" i="1" s="1"/>
  <c r="G8" i="1" s="1"/>
  <c r="B29" i="2"/>
  <c r="M7" i="2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9" i="1"/>
  <c r="D10" i="1" a="1"/>
  <c r="C10" i="1" a="1"/>
  <c r="C15" i="1" a="1"/>
  <c r="D13" i="1" a="1"/>
  <c r="C14" i="1" a="1"/>
  <c r="E11" i="1" a="1"/>
  <c r="C25" i="1" a="1"/>
  <c r="D27" i="1" a="1"/>
  <c r="D16" i="1" a="1"/>
  <c r="E27" i="1" a="1"/>
  <c r="E10" i="1" a="1"/>
  <c r="E19" i="1" a="1"/>
  <c r="D25" i="1" a="1"/>
  <c r="H8" i="1" a="1"/>
  <c r="L8" i="1" a="1"/>
  <c r="C23" i="1" a="1"/>
  <c r="D14" i="1" a="1"/>
  <c r="D23" i="1" a="1"/>
  <c r="C12" i="1" a="1"/>
  <c r="D19" i="1" a="1"/>
  <c r="O5" i="2" a="1"/>
  <c r="D15" i="1" a="1"/>
  <c r="D20" i="1" a="1"/>
  <c r="C16" i="1" a="1"/>
  <c r="C29" i="1" a="1"/>
  <c r="C18" i="1" a="1"/>
  <c r="D17" i="1" a="1"/>
  <c r="E15" i="1" a="1"/>
  <c r="C20" i="1" a="1"/>
  <c r="E21" i="1" a="1"/>
  <c r="D26" i="1" a="1"/>
  <c r="C13" i="1" a="1"/>
  <c r="D21" i="1" a="1"/>
  <c r="E22" i="1" a="1"/>
  <c r="C22" i="1" a="1"/>
  <c r="C26" i="1" a="1"/>
  <c r="D28" i="1" a="1"/>
  <c r="D12" i="1" a="1"/>
  <c r="E23" i="1" a="1"/>
  <c r="C9" i="1" a="1"/>
  <c r="C24" i="1" a="1"/>
  <c r="E28" i="1" a="1"/>
  <c r="E26" i="1" a="1"/>
  <c r="C19" i="1" a="1"/>
  <c r="D30" i="1" a="1"/>
  <c r="E12" i="1" a="1"/>
  <c r="D11" i="1" a="1"/>
  <c r="E16" i="1" a="1"/>
  <c r="C21" i="1" a="1"/>
  <c r="N3" i="2" a="1"/>
  <c r="D24" i="1" a="1"/>
  <c r="E18" i="1" a="1"/>
  <c r="B30" i="2" a="1"/>
  <c r="C27" i="1" a="1"/>
  <c r="C28" i="1" a="1"/>
  <c r="D29" i="1" a="1"/>
  <c r="E29" i="1" a="1"/>
  <c r="E13" i="1" a="1"/>
  <c r="D22" i="1" a="1"/>
  <c r="E24" i="1" a="1"/>
  <c r="C17" i="1" a="1"/>
  <c r="O4" i="2" a="1"/>
  <c r="C11" i="1" a="1"/>
  <c r="E25" i="1" a="1"/>
  <c r="E20" i="1" a="1"/>
  <c r="E17" i="1" a="1"/>
  <c r="E14" i="1" a="1"/>
  <c r="E30" i="1" a="1"/>
  <c r="D18" i="1" a="1"/>
  <c r="K8" i="1" a="1"/>
  <c r="D9" i="1" a="1"/>
  <c r="C30" i="1" a="1"/>
  <c r="E9" i="1" a="1"/>
  <c r="N7" i="2" a="1"/>
  <c r="B18" i="2" l="1"/>
  <c r="F2" i="2" s="1"/>
  <c r="O4" i="2"/>
  <c r="O5" i="2"/>
  <c r="N3" i="2"/>
  <c r="N7" i="2"/>
  <c r="L8" i="1"/>
  <c r="M8" i="1" s="1"/>
  <c r="J9" i="1"/>
  <c r="J10" i="1" s="1"/>
  <c r="E25" i="1"/>
  <c r="D25" i="1"/>
  <c r="D24" i="1"/>
  <c r="E24" i="1"/>
  <c r="E9" i="1"/>
  <c r="D9" i="1"/>
  <c r="E15" i="1"/>
  <c r="D15" i="1"/>
  <c r="D30" i="1"/>
  <c r="E30" i="1"/>
  <c r="D22" i="1"/>
  <c r="E22" i="1"/>
  <c r="D14" i="1"/>
  <c r="E14" i="1"/>
  <c r="D17" i="1"/>
  <c r="E17" i="1"/>
  <c r="D16" i="1"/>
  <c r="E16" i="1"/>
  <c r="E23" i="1"/>
  <c r="D23" i="1"/>
  <c r="E29" i="1"/>
  <c r="D29" i="1"/>
  <c r="E21" i="1"/>
  <c r="D21" i="1"/>
  <c r="D28" i="1"/>
  <c r="E28" i="1"/>
  <c r="D12" i="1"/>
  <c r="E12" i="1"/>
  <c r="E27" i="1"/>
  <c r="D27" i="1"/>
  <c r="E19" i="1"/>
  <c r="D19" i="1"/>
  <c r="E11" i="1"/>
  <c r="D11" i="1"/>
  <c r="E13" i="1"/>
  <c r="D13" i="1"/>
  <c r="D20" i="1"/>
  <c r="E20" i="1"/>
  <c r="D26" i="1"/>
  <c r="E26" i="1"/>
  <c r="D18" i="1"/>
  <c r="E18" i="1"/>
  <c r="D10" i="1"/>
  <c r="E10" i="1"/>
  <c r="K8" i="1"/>
  <c r="H8" i="1"/>
  <c r="G9" i="1"/>
  <c r="B30" i="2"/>
  <c r="M8" i="2" s="1"/>
  <c r="B22" i="2"/>
  <c r="M6" i="2" s="1"/>
  <c r="P5" i="1"/>
  <c r="C24" i="1"/>
  <c r="C16" i="1"/>
  <c r="C18" i="1"/>
  <c r="C25" i="1"/>
  <c r="C9" i="1"/>
  <c r="C23" i="1"/>
  <c r="C15" i="1"/>
  <c r="C22" i="1"/>
  <c r="C14" i="1"/>
  <c r="C12" i="1"/>
  <c r="C26" i="1"/>
  <c r="C10" i="1"/>
  <c r="C17" i="1"/>
  <c r="C30" i="1"/>
  <c r="C29" i="1"/>
  <c r="C21" i="1"/>
  <c r="C13" i="1"/>
  <c r="C28" i="1"/>
  <c r="C20" i="1"/>
  <c r="C27" i="1"/>
  <c r="C19" i="1"/>
  <c r="C11" i="1"/>
  <c r="L9" i="1" a="1"/>
  <c r="N5" i="2" a="1"/>
  <c r="K10" i="1" a="1"/>
  <c r="K9" i="1" a="1"/>
  <c r="O7" i="2" a="1"/>
  <c r="L10" i="1" a="1"/>
  <c r="H9" i="1" a="1"/>
  <c r="O8" i="2" a="1"/>
  <c r="O6" i="2" a="1"/>
  <c r="N5" i="2" l="1"/>
  <c r="O7" i="2"/>
  <c r="O6" i="2"/>
  <c r="O8" i="2"/>
  <c r="H27" i="1"/>
  <c r="T27" i="1"/>
  <c r="L10" i="1"/>
  <c r="M10" i="1" s="1"/>
  <c r="L9" i="1"/>
  <c r="M9" i="1" s="1"/>
  <c r="K9" i="1"/>
  <c r="K10" i="1"/>
  <c r="H9" i="1"/>
  <c r="J11" i="1"/>
  <c r="G10" i="1"/>
  <c r="N6" i="2" a="1"/>
  <c r="N8" i="2" a="1"/>
  <c r="B24" i="2" a="1"/>
  <c r="B23" i="2" a="1"/>
  <c r="L11" i="1" a="1"/>
  <c r="H10" i="1" a="1"/>
  <c r="K11" i="1" a="1"/>
  <c r="N6" i="2" l="1"/>
  <c r="P2" i="1" s="1"/>
  <c r="P3" i="1" s="1"/>
  <c r="N8" i="2"/>
  <c r="B23" i="2"/>
  <c r="L6" i="2" s="1"/>
  <c r="B24" i="2"/>
  <c r="P6" i="2" s="1"/>
  <c r="B31" i="2" s="1"/>
  <c r="J7" i="2" s="1"/>
  <c r="J9" i="2" s="1"/>
  <c r="L11" i="1"/>
  <c r="M11" i="1" s="1"/>
  <c r="H10" i="1"/>
  <c r="K11" i="1"/>
  <c r="G11" i="1"/>
  <c r="J12" i="1"/>
  <c r="P7" i="1"/>
  <c r="L12" i="1" a="1"/>
  <c r="K12" i="1" a="1"/>
  <c r="O7" i="1" a="1"/>
  <c r="H11" i="1" a="1"/>
  <c r="B32" i="2" l="1"/>
  <c r="J8" i="2" s="1"/>
  <c r="L12" i="1"/>
  <c r="M12" i="1" s="1"/>
  <c r="B37" i="2"/>
  <c r="M9" i="2" s="1"/>
  <c r="K12" i="1"/>
  <c r="H11" i="1"/>
  <c r="J13" i="1"/>
  <c r="G12" i="1"/>
  <c r="O7" i="1"/>
  <c r="P8" i="1"/>
  <c r="O8" i="1" a="1"/>
  <c r="O9" i="2" a="1"/>
  <c r="L13" i="1" a="1"/>
  <c r="K13" i="1" a="1"/>
  <c r="H12" i="1" a="1"/>
  <c r="O9" i="2" l="1"/>
  <c r="B41" i="2"/>
  <c r="J10" i="2" s="1"/>
  <c r="L13" i="1"/>
  <c r="M13" i="1" s="1"/>
  <c r="H12" i="1"/>
  <c r="K13" i="1"/>
  <c r="G13" i="1"/>
  <c r="J14" i="1"/>
  <c r="O8" i="1"/>
  <c r="P9" i="1"/>
  <c r="K14" i="1" a="1"/>
  <c r="B38" i="2" a="1"/>
  <c r="N9" i="2" a="1"/>
  <c r="L14" i="1" a="1"/>
  <c r="H13" i="1" a="1"/>
  <c r="O9" i="1" a="1"/>
  <c r="N9" i="2" l="1"/>
  <c r="B38" i="2"/>
  <c r="L9" i="2" s="1"/>
  <c r="S2" i="1" s="1"/>
  <c r="S3" i="1" s="1"/>
  <c r="F4" i="2"/>
  <c r="F3" i="2"/>
  <c r="L14" i="1"/>
  <c r="M14" i="1" s="1"/>
  <c r="K14" i="1"/>
  <c r="H13" i="1"/>
  <c r="J15" i="1"/>
  <c r="G14" i="1"/>
  <c r="O9" i="1"/>
  <c r="P10" i="1"/>
  <c r="B42" i="2"/>
  <c r="M10" i="2" s="1"/>
  <c r="L15" i="1" a="1"/>
  <c r="K15" i="1" a="1"/>
  <c r="O10" i="2" a="1"/>
  <c r="O10" i="1" a="1"/>
  <c r="H14" i="1" a="1"/>
  <c r="O10" i="2" l="1"/>
  <c r="R7" i="1"/>
  <c r="L15" i="1"/>
  <c r="M15" i="1" s="1"/>
  <c r="K15" i="1"/>
  <c r="H14" i="1"/>
  <c r="J16" i="1"/>
  <c r="G15" i="1"/>
  <c r="O10" i="1"/>
  <c r="P11" i="1"/>
  <c r="O11" i="1" a="1"/>
  <c r="B43" i="2" a="1"/>
  <c r="K16" i="1" a="1"/>
  <c r="L16" i="1" a="1"/>
  <c r="H15" i="1" a="1"/>
  <c r="N10" i="2" a="1"/>
  <c r="S7" i="1" a="1"/>
  <c r="N10" i="2" l="1"/>
  <c r="S7" i="1"/>
  <c r="V7" i="1"/>
  <c r="R8" i="1"/>
  <c r="R9" i="1" s="1"/>
  <c r="V9" i="1" s="1"/>
  <c r="B43" i="2"/>
  <c r="L10" i="2" s="1"/>
  <c r="L16" i="1"/>
  <c r="M16" i="1" s="1"/>
  <c r="H15" i="1"/>
  <c r="K16" i="1"/>
  <c r="G16" i="1"/>
  <c r="J17" i="1"/>
  <c r="O11" i="1"/>
  <c r="P12" i="1"/>
  <c r="H16" i="1" a="1"/>
  <c r="K17" i="1" a="1"/>
  <c r="O12" i="1" a="1"/>
  <c r="L17" i="1" a="1"/>
  <c r="T7" i="1" a="1"/>
  <c r="T7" i="1" l="1"/>
  <c r="U7" i="1" s="1"/>
  <c r="V8" i="1"/>
  <c r="L17" i="1"/>
  <c r="M17" i="1" s="1"/>
  <c r="R10" i="1"/>
  <c r="V10" i="1" s="1"/>
  <c r="K17" i="1"/>
  <c r="H16" i="1"/>
  <c r="J18" i="1"/>
  <c r="G17" i="1"/>
  <c r="O12" i="1"/>
  <c r="P13" i="1"/>
  <c r="T8" i="1" a="1"/>
  <c r="S8" i="1" a="1"/>
  <c r="O13" i="1" a="1"/>
  <c r="H17" i="1" a="1"/>
  <c r="S9" i="1" a="1"/>
  <c r="K18" i="1" a="1"/>
  <c r="L18" i="1" a="1"/>
  <c r="T9" i="1" a="1"/>
  <c r="U27" i="1" l="1"/>
  <c r="T8" i="1"/>
  <c r="U8" i="1" s="1"/>
  <c r="S8" i="1"/>
  <c r="T9" i="1"/>
  <c r="U9" i="1" s="1"/>
  <c r="S9" i="1"/>
  <c r="L18" i="1"/>
  <c r="M18" i="1" s="1"/>
  <c r="R11" i="1"/>
  <c r="V11" i="1" s="1"/>
  <c r="H17" i="1"/>
  <c r="K18" i="1"/>
  <c r="G18" i="1"/>
  <c r="J19" i="1"/>
  <c r="O13" i="1"/>
  <c r="P14" i="1"/>
  <c r="H18" i="1" a="1"/>
  <c r="K19" i="1" a="1"/>
  <c r="T10" i="1" a="1"/>
  <c r="O14" i="1" a="1"/>
  <c r="S10" i="1" a="1"/>
  <c r="L19" i="1" a="1"/>
  <c r="S10" i="1" l="1"/>
  <c r="T10" i="1"/>
  <c r="U10" i="1" s="1"/>
  <c r="L19" i="1"/>
  <c r="M19" i="1" s="1"/>
  <c r="R12" i="1"/>
  <c r="V12" i="1" s="1"/>
  <c r="K19" i="1"/>
  <c r="H18" i="1"/>
  <c r="J20" i="1"/>
  <c r="G19" i="1"/>
  <c r="O14" i="1"/>
  <c r="P15" i="1"/>
  <c r="L20" i="1" a="1"/>
  <c r="S11" i="1" a="1"/>
  <c r="K20" i="1" a="1"/>
  <c r="T11" i="1" a="1"/>
  <c r="H19" i="1" a="1"/>
  <c r="O15" i="1" a="1"/>
  <c r="S11" i="1" l="1"/>
  <c r="T11" i="1"/>
  <c r="U11" i="1" s="1"/>
  <c r="L20" i="1"/>
  <c r="M20" i="1" s="1"/>
  <c r="R13" i="1"/>
  <c r="V13" i="1" s="1"/>
  <c r="H19" i="1"/>
  <c r="K20" i="1"/>
  <c r="G20" i="1"/>
  <c r="J21" i="1"/>
  <c r="O15" i="1"/>
  <c r="P16" i="1"/>
  <c r="K21" i="1" a="1"/>
  <c r="S12" i="1" a="1"/>
  <c r="L21" i="1" a="1"/>
  <c r="T12" i="1" a="1"/>
  <c r="H20" i="1" a="1"/>
  <c r="O16" i="1" a="1"/>
  <c r="T12" i="1" l="1"/>
  <c r="U12" i="1" s="1"/>
  <c r="S12" i="1"/>
  <c r="L21" i="1"/>
  <c r="M21" i="1" s="1"/>
  <c r="R14" i="1"/>
  <c r="V14" i="1" s="1"/>
  <c r="K21" i="1"/>
  <c r="H20" i="1"/>
  <c r="J22" i="1"/>
  <c r="G21" i="1"/>
  <c r="O16" i="1"/>
  <c r="P17" i="1"/>
  <c r="S13" i="1" a="1"/>
  <c r="L22" i="1" a="1"/>
  <c r="O17" i="1" a="1"/>
  <c r="T13" i="1" a="1"/>
  <c r="K22" i="1" a="1"/>
  <c r="H21" i="1" a="1"/>
  <c r="T13" i="1" l="1"/>
  <c r="U13" i="1" s="1"/>
  <c r="S13" i="1"/>
  <c r="L22" i="1"/>
  <c r="M22" i="1" s="1"/>
  <c r="R15" i="1"/>
  <c r="V15" i="1" s="1"/>
  <c r="H21" i="1"/>
  <c r="K22" i="1"/>
  <c r="G22" i="1"/>
  <c r="J23" i="1"/>
  <c r="O17" i="1"/>
  <c r="P18" i="1"/>
  <c r="L23" i="1" a="1"/>
  <c r="K23" i="1" a="1"/>
  <c r="S14" i="1" a="1"/>
  <c r="H22" i="1" a="1"/>
  <c r="T14" i="1" a="1"/>
  <c r="O18" i="1" a="1"/>
  <c r="S14" i="1" l="1"/>
  <c r="T14" i="1"/>
  <c r="U14" i="1" s="1"/>
  <c r="L23" i="1"/>
  <c r="M23" i="1" s="1"/>
  <c r="R16" i="1"/>
  <c r="V16" i="1" s="1"/>
  <c r="K23" i="1"/>
  <c r="H22" i="1"/>
  <c r="J24" i="1"/>
  <c r="G23" i="1"/>
  <c r="O18" i="1"/>
  <c r="P19" i="1"/>
  <c r="T15" i="1" a="1"/>
  <c r="S15" i="1" a="1"/>
  <c r="L24" i="1" a="1"/>
  <c r="H23" i="1" a="1"/>
  <c r="K24" i="1" a="1"/>
  <c r="O19" i="1" a="1"/>
  <c r="T15" i="1" l="1"/>
  <c r="U15" i="1" s="1"/>
  <c r="S15" i="1"/>
  <c r="L24" i="1"/>
  <c r="M24" i="1" s="1"/>
  <c r="R17" i="1"/>
  <c r="V17" i="1" s="1"/>
  <c r="H23" i="1"/>
  <c r="K24" i="1"/>
  <c r="G24" i="1"/>
  <c r="J25" i="1"/>
  <c r="O19" i="1"/>
  <c r="P20" i="1"/>
  <c r="S16" i="1" a="1"/>
  <c r="K25" i="1" a="1"/>
  <c r="L25" i="1" a="1"/>
  <c r="T16" i="1" a="1"/>
  <c r="H24" i="1" a="1"/>
  <c r="O20" i="1" a="1"/>
  <c r="S16" i="1" l="1"/>
  <c r="T16" i="1"/>
  <c r="U16" i="1" s="1"/>
  <c r="L25" i="1"/>
  <c r="M25" i="1" s="1"/>
  <c r="R18" i="1"/>
  <c r="V18" i="1" s="1"/>
  <c r="K25" i="1"/>
  <c r="H24" i="1"/>
  <c r="J26" i="1"/>
  <c r="G25" i="1"/>
  <c r="O20" i="1"/>
  <c r="P21" i="1"/>
  <c r="L26" i="1" a="1"/>
  <c r="T17" i="1" a="1"/>
  <c r="K26" i="1" a="1"/>
  <c r="O21" i="1" a="1"/>
  <c r="S17" i="1" a="1"/>
  <c r="H25" i="1" a="1"/>
  <c r="S17" i="1" l="1"/>
  <c r="T17" i="1"/>
  <c r="U17" i="1" s="1"/>
  <c r="L26" i="1"/>
  <c r="M26" i="1" s="1"/>
  <c r="R19" i="1"/>
  <c r="V19" i="1" s="1"/>
  <c r="H25" i="1"/>
  <c r="K26" i="1"/>
  <c r="G26" i="1"/>
  <c r="J27" i="1"/>
  <c r="O21" i="1"/>
  <c r="P22" i="1"/>
  <c r="K27" i="1" a="1"/>
  <c r="H26" i="1" a="1"/>
  <c r="T18" i="1" a="1"/>
  <c r="S18" i="1" a="1"/>
  <c r="L27" i="1" a="1"/>
  <c r="O22" i="1" a="1"/>
  <c r="T18" i="1" l="1"/>
  <c r="U18" i="1" s="1"/>
  <c r="S18" i="1"/>
  <c r="L27" i="1"/>
  <c r="M27" i="1" s="1"/>
  <c r="R20" i="1"/>
  <c r="V20" i="1" s="1"/>
  <c r="K27" i="1"/>
  <c r="H26" i="1"/>
  <c r="G27" i="1"/>
  <c r="O22" i="1"/>
  <c r="P23" i="1"/>
  <c r="T19" i="1" a="1"/>
  <c r="O23" i="1" a="1"/>
  <c r="S19" i="1" a="1"/>
  <c r="S19" i="1" l="1"/>
  <c r="T19" i="1"/>
  <c r="U19" i="1" s="1"/>
  <c r="R21" i="1"/>
  <c r="V21" i="1" s="1"/>
  <c r="O23" i="1"/>
  <c r="P24" i="1"/>
  <c r="O24" i="1" a="1"/>
  <c r="S20" i="1" a="1"/>
  <c r="T20" i="1" a="1"/>
  <c r="S20" i="1" l="1"/>
  <c r="T20" i="1"/>
  <c r="U20" i="1" s="1"/>
  <c r="R22" i="1"/>
  <c r="V22" i="1" s="1"/>
  <c r="O24" i="1"/>
  <c r="P25" i="1"/>
  <c r="S21" i="1" a="1"/>
  <c r="T21" i="1" a="1"/>
  <c r="O25" i="1" a="1"/>
  <c r="T21" i="1" l="1"/>
  <c r="U21" i="1" s="1"/>
  <c r="S21" i="1"/>
  <c r="R23" i="1"/>
  <c r="V23" i="1" s="1"/>
  <c r="O25" i="1"/>
  <c r="P26" i="1"/>
  <c r="S22" i="1" a="1"/>
  <c r="O26" i="1" a="1"/>
  <c r="T22" i="1" a="1"/>
  <c r="S22" i="1" l="1"/>
  <c r="T22" i="1"/>
  <c r="U22" i="1" s="1"/>
  <c r="R24" i="1"/>
  <c r="V24" i="1" s="1"/>
  <c r="O26" i="1"/>
  <c r="P27" i="1"/>
  <c r="O27" i="1" a="1"/>
  <c r="T23" i="1" a="1"/>
  <c r="S23" i="1" a="1"/>
  <c r="T23" i="1" l="1"/>
  <c r="U23" i="1" s="1"/>
  <c r="S23" i="1"/>
  <c r="R25" i="1"/>
  <c r="V25" i="1" s="1"/>
  <c r="O27" i="1"/>
  <c r="S24" i="1" a="1"/>
  <c r="T24" i="1" a="1"/>
  <c r="T24" i="1" l="1"/>
  <c r="U24" i="1" s="1"/>
  <c r="S24" i="1"/>
  <c r="R26" i="1"/>
  <c r="V26" i="1" s="1"/>
  <c r="T25" i="1" a="1"/>
  <c r="S25" i="1" a="1"/>
  <c r="T25" i="1" l="1"/>
  <c r="U25" i="1" s="1"/>
  <c r="S25" i="1"/>
  <c r="R27" i="1"/>
  <c r="V27" i="1" s="1"/>
  <c r="W7" i="1" s="1"/>
  <c r="J11" i="2" s="1"/>
  <c r="T26" i="1" a="1"/>
  <c r="S26" i="1" a="1"/>
  <c r="T26" i="1" l="1"/>
  <c r="U26" i="1" s="1"/>
  <c r="S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giostri</author>
  </authors>
  <commentList>
    <comment ref="G1" authorId="0" shapeId="0" xr:uid="{3D047498-33C9-4D22-842F-3BF447981CCC}">
      <text>
        <r>
          <rPr>
            <b/>
            <sz val="9"/>
            <color indexed="81"/>
            <rFont val="Tahoma"/>
            <family val="2"/>
          </rPr>
          <t>Andrea giostri:</t>
        </r>
        <r>
          <rPr>
            <sz val="9"/>
            <color indexed="81"/>
            <rFont val="Tahoma"/>
            <family val="2"/>
          </rPr>
          <t xml:space="preserve">
Numero di tratti per discretizzazione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<sst xmlns="http://schemas.openxmlformats.org/spreadsheetml/2006/main" count="297" uniqueCount="243">
  <si>
    <t>NomeFluido</t>
  </si>
  <si>
    <t>T [°C]</t>
  </si>
  <si>
    <t>T [K]</t>
  </si>
  <si>
    <t>Psat [bar]</t>
  </si>
  <si>
    <t>Tcrit</t>
  </si>
  <si>
    <t>K</t>
  </si>
  <si>
    <t>Pcrit</t>
  </si>
  <si>
    <t>bar</t>
  </si>
  <si>
    <t>s_liq [kJ/kg/K]</t>
  </si>
  <si>
    <t>svap [kJ/kg/K]</t>
  </si>
  <si>
    <t>5vs</t>
  </si>
  <si>
    <t>5ls</t>
  </si>
  <si>
    <t>1'</t>
  </si>
  <si>
    <t>P [bar]</t>
  </si>
  <si>
    <t>h [kJ/kg]</t>
  </si>
  <si>
    <t>s [kJ/kg/K]</t>
  </si>
  <si>
    <t>x [-]</t>
  </si>
  <si>
    <t>m [kg/s]</t>
  </si>
  <si>
    <t xml:space="preserve">m1 </t>
  </si>
  <si>
    <t>kg/s</t>
  </si>
  <si>
    <t>T1</t>
  </si>
  <si>
    <t>°C</t>
  </si>
  <si>
    <t>P1</t>
  </si>
  <si>
    <t>P2</t>
  </si>
  <si>
    <t>T3</t>
  </si>
  <si>
    <t>Fluido</t>
  </si>
  <si>
    <t>COMPRESSIONE ISOTERMA</t>
  </si>
  <si>
    <t>h1</t>
  </si>
  <si>
    <t>kJ/kg</t>
  </si>
  <si>
    <t>h2</t>
  </si>
  <si>
    <t>T2</t>
  </si>
  <si>
    <t>s2</t>
  </si>
  <si>
    <t>s1</t>
  </si>
  <si>
    <t>kJ/kg/K</t>
  </si>
  <si>
    <t>ds21</t>
  </si>
  <si>
    <t>dh21</t>
  </si>
  <si>
    <t>q</t>
  </si>
  <si>
    <t>LAMINAZIONE ISOENTALPICA</t>
  </si>
  <si>
    <t>h3</t>
  </si>
  <si>
    <t>h4</t>
  </si>
  <si>
    <t>T4</t>
  </si>
  <si>
    <t>l</t>
  </si>
  <si>
    <t>SEPARATORE</t>
  </si>
  <si>
    <t>h5vs</t>
  </si>
  <si>
    <t>h5ls</t>
  </si>
  <si>
    <t>m5vs</t>
  </si>
  <si>
    <t>x4</t>
  </si>
  <si>
    <t>-</t>
  </si>
  <si>
    <t>m5ls</t>
  </si>
  <si>
    <t>SCAMBIATORE DI CALORE</t>
  </si>
  <si>
    <t>h1'</t>
  </si>
  <si>
    <t>T1'</t>
  </si>
  <si>
    <t>MIXER MAKE-UP</t>
  </si>
  <si>
    <t>mMK</t>
  </si>
  <si>
    <t>hMK</t>
  </si>
  <si>
    <t>TMK</t>
  </si>
  <si>
    <t>T1-T5vs</t>
  </si>
  <si>
    <t>nn</t>
  </si>
  <si>
    <t>DT</t>
  </si>
  <si>
    <t>T</t>
  </si>
  <si>
    <t>s</t>
  </si>
  <si>
    <t>iso-P1 [bar]</t>
  </si>
  <si>
    <t>iso-P2 [bar]</t>
  </si>
  <si>
    <t>T2-T3</t>
  </si>
  <si>
    <t>iso-h3 [kJ/kg]</t>
  </si>
  <si>
    <t>S3-S4</t>
  </si>
  <si>
    <t>T1'-T5vs</t>
  </si>
  <si>
    <t>MK</t>
  </si>
  <si>
    <t>scrit</t>
  </si>
  <si>
    <t>kW</t>
  </si>
  <si>
    <t>Wmecc</t>
  </si>
  <si>
    <t>m.Liq. Export</t>
  </si>
  <si>
    <t>Consumo Spec.</t>
  </si>
  <si>
    <t>DATI INPUT</t>
  </si>
  <si>
    <t>lavoro</t>
  </si>
  <si>
    <t>PERFORMANCE IMPIANTO</t>
  </si>
  <si>
    <t>PUNTI TERMODINAMICI</t>
  </si>
  <si>
    <t>STATO</t>
  </si>
  <si>
    <t>1-Butene</t>
  </si>
  <si>
    <t>Acetone</t>
  </si>
  <si>
    <t>Air</t>
  </si>
  <si>
    <t>Ammonia</t>
  </si>
  <si>
    <t>Argon</t>
  </si>
  <si>
    <t>Benzene</t>
  </si>
  <si>
    <t>CarbonDioxide</t>
  </si>
  <si>
    <t>CarbonMonoxide</t>
  </si>
  <si>
    <t>CarbonylSulfide</t>
  </si>
  <si>
    <t>cis-2-Butene</t>
  </si>
  <si>
    <t>CycloHexane</t>
  </si>
  <si>
    <t>Cyclopentane</t>
  </si>
  <si>
    <t>CycloPropane</t>
  </si>
  <si>
    <t>D4</t>
  </si>
  <si>
    <t>D5</t>
  </si>
  <si>
    <t>D6</t>
  </si>
  <si>
    <t>Deuterium</t>
  </si>
  <si>
    <t>Dichloroethane</t>
  </si>
  <si>
    <t>DiethylEther</t>
  </si>
  <si>
    <t>DimethylCarbonate</t>
  </si>
  <si>
    <t>DimethylEther</t>
  </si>
  <si>
    <t>Ethane</t>
  </si>
  <si>
    <t>Ethanol</t>
  </si>
  <si>
    <t>EthylBenzene</t>
  </si>
  <si>
    <t>Ethylene</t>
  </si>
  <si>
    <t>EthyleneOxide</t>
  </si>
  <si>
    <t>Fluorine</t>
  </si>
  <si>
    <t>HeavyWater</t>
  </si>
  <si>
    <t>Helium</t>
  </si>
  <si>
    <t>HFE143m</t>
  </si>
  <si>
    <t>Hydrogen</t>
  </si>
  <si>
    <t>HydrogenChloride</t>
  </si>
  <si>
    <t>HydrogenSulfide</t>
  </si>
  <si>
    <t>IsoButane</t>
  </si>
  <si>
    <t>IsoButene</t>
  </si>
  <si>
    <t>Isohexane</t>
  </si>
  <si>
    <t>Isopentane</t>
  </si>
  <si>
    <t>Krypton</t>
  </si>
  <si>
    <t>m-Xylene</t>
  </si>
  <si>
    <t>MD2M</t>
  </si>
  <si>
    <t>MD3M</t>
  </si>
  <si>
    <t>MD4M</t>
  </si>
  <si>
    <t>MDM</t>
  </si>
  <si>
    <t>Methane</t>
  </si>
  <si>
    <t>Methanol</t>
  </si>
  <si>
    <t>MethylLinoleate</t>
  </si>
  <si>
    <t>MethylLinolenate</t>
  </si>
  <si>
    <t>MethylOleate</t>
  </si>
  <si>
    <t>MethylPalmitate</t>
  </si>
  <si>
    <t>MethylStearate</t>
  </si>
  <si>
    <t>MM</t>
  </si>
  <si>
    <t>n-Butane</t>
  </si>
  <si>
    <t>n-Decane</t>
  </si>
  <si>
    <t>n-Dodecane</t>
  </si>
  <si>
    <t>n-Heptane</t>
  </si>
  <si>
    <t>n-Hexane</t>
  </si>
  <si>
    <t>n-Nonane</t>
  </si>
  <si>
    <t>n-Octane</t>
  </si>
  <si>
    <t>n-Pentane</t>
  </si>
  <si>
    <t>n-Propane</t>
  </si>
  <si>
    <t>n-Undecane</t>
  </si>
  <si>
    <t>Neon</t>
  </si>
  <si>
    <t>Neopentane</t>
  </si>
  <si>
    <t>Nitrogen</t>
  </si>
  <si>
    <t>NitrousOxide</t>
  </si>
  <si>
    <t>Novec649</t>
  </si>
  <si>
    <t>o-Xylene</t>
  </si>
  <si>
    <t>OrthoDeuterium</t>
  </si>
  <si>
    <t>OrthoHydrogen</t>
  </si>
  <si>
    <t>Oxygen</t>
  </si>
  <si>
    <t>p-Xylene</t>
  </si>
  <si>
    <t>ParaDeuterium</t>
  </si>
  <si>
    <t>ParaHydrogen</t>
  </si>
  <si>
    <t>Propylene</t>
  </si>
  <si>
    <t>Propyne</t>
  </si>
  <si>
    <t>R11</t>
  </si>
  <si>
    <t>R113</t>
  </si>
  <si>
    <t>R114</t>
  </si>
  <si>
    <t>R115</t>
  </si>
  <si>
    <t>R116</t>
  </si>
  <si>
    <t>R12</t>
  </si>
  <si>
    <t>R123</t>
  </si>
  <si>
    <t>R1233zd(E)</t>
  </si>
  <si>
    <t>R1234yf</t>
  </si>
  <si>
    <t>R1234ze(E)</t>
  </si>
  <si>
    <t>R1234ze(Z)</t>
  </si>
  <si>
    <t>R124</t>
  </si>
  <si>
    <t>R125</t>
  </si>
  <si>
    <t>R13</t>
  </si>
  <si>
    <t>R134a</t>
  </si>
  <si>
    <t>R13I1</t>
  </si>
  <si>
    <t>R14</t>
  </si>
  <si>
    <t>R141b</t>
  </si>
  <si>
    <t>R142b</t>
  </si>
  <si>
    <t>R143a</t>
  </si>
  <si>
    <t>R152A</t>
  </si>
  <si>
    <t>R161</t>
  </si>
  <si>
    <t>R21</t>
  </si>
  <si>
    <t>R218</t>
  </si>
  <si>
    <t>R22</t>
  </si>
  <si>
    <t>R227EA</t>
  </si>
  <si>
    <t>R23</t>
  </si>
  <si>
    <t>R236EA</t>
  </si>
  <si>
    <t>R236FA</t>
  </si>
  <si>
    <t>R245ca</t>
  </si>
  <si>
    <t>R245fa</t>
  </si>
  <si>
    <t>R32</t>
  </si>
  <si>
    <t>R365MFC</t>
  </si>
  <si>
    <t>R40</t>
  </si>
  <si>
    <t>R404A</t>
  </si>
  <si>
    <t>R407C</t>
  </si>
  <si>
    <t>R41</t>
  </si>
  <si>
    <t>R410A</t>
  </si>
  <si>
    <t>R507A</t>
  </si>
  <si>
    <t>RC318</t>
  </si>
  <si>
    <t>SES36</t>
  </si>
  <si>
    <t>SulfurDioxide</t>
  </si>
  <si>
    <t>SulfurHexafluoride</t>
  </si>
  <si>
    <t>Toluene</t>
  </si>
  <si>
    <t>trans-2-Butene</t>
  </si>
  <si>
    <t>Water</t>
  </si>
  <si>
    <t>Xenon</t>
  </si>
  <si>
    <t>Lista Fluidi puri</t>
  </si>
  <si>
    <t>Proprietà output</t>
  </si>
  <si>
    <t xml:space="preserve">Proprietà </t>
  </si>
  <si>
    <t>Valore In1</t>
  </si>
  <si>
    <t>In1</t>
  </si>
  <si>
    <t>Valore In2</t>
  </si>
  <si>
    <t>In2</t>
  </si>
  <si>
    <t>Valore Out</t>
  </si>
  <si>
    <t>CPMASS [J/kg/K]</t>
  </si>
  <si>
    <t>conductivity  [W/m/K]</t>
  </si>
  <si>
    <t>CVMASS [J/kg/K]</t>
  </si>
  <si>
    <t>D [kg/m3]</t>
  </si>
  <si>
    <t>H [J/kg]</t>
  </si>
  <si>
    <t>MOLARMASS [g/kmol]</t>
  </si>
  <si>
    <t>P [Pa]</t>
  </si>
  <si>
    <t>PCRIT [Pa]</t>
  </si>
  <si>
    <t>PTRIPLE [Pa]</t>
  </si>
  <si>
    <t>RHOCRIT [kg/m3]</t>
  </si>
  <si>
    <t>S [J/kg/K]</t>
  </si>
  <si>
    <t>TCRIT [K]</t>
  </si>
  <si>
    <t>VISCOSITY [Pa*s]</t>
  </si>
  <si>
    <t xml:space="preserve"> PROPRIETA' FLUIDI PURI</t>
  </si>
  <si>
    <t>Q [-]</t>
  </si>
  <si>
    <t>Calore specifico a pressione costante</t>
  </si>
  <si>
    <t>Conduttività termica</t>
  </si>
  <si>
    <t>Calore specifico a vloume costante</t>
  </si>
  <si>
    <t>Densità</t>
  </si>
  <si>
    <t>Entalpia</t>
  </si>
  <si>
    <t>Massa molare</t>
  </si>
  <si>
    <t>Pressione</t>
  </si>
  <si>
    <t>Pressione Critica</t>
  </si>
  <si>
    <t>Pressione del punto triplo</t>
  </si>
  <si>
    <t>Densità del punto triplo</t>
  </si>
  <si>
    <t>Entropia</t>
  </si>
  <si>
    <t>Temperatura</t>
  </si>
  <si>
    <t>Temperatura Critica</t>
  </si>
  <si>
    <t>Viscosità dinamica</t>
  </si>
  <si>
    <t>Titolo di vapore</t>
  </si>
  <si>
    <r>
      <rPr>
        <b/>
        <sz val="11"/>
        <color theme="1"/>
        <rFont val="Symbol"/>
        <family val="1"/>
        <charset val="2"/>
      </rPr>
      <t>r</t>
    </r>
    <r>
      <rPr>
        <b/>
        <sz val="11"/>
        <color theme="1"/>
        <rFont val="Calibri"/>
        <family val="2"/>
        <scheme val="minor"/>
      </rPr>
      <t xml:space="preserve"> [kg/m3]</t>
    </r>
  </si>
  <si>
    <t>TTRIPLE [K]</t>
  </si>
  <si>
    <t>Temperatura punto triplo</t>
  </si>
  <si>
    <t>nitrogen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</si>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</sst>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u/>
      <sz val="11"/>
      <color theme="3" tint="0.5999938962981048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5"/>
      <color rgb="FFFBDE2D"/>
      <name val="Courier New"/>
      <family val="3"/>
    </font>
    <font>
      <b/>
      <sz val="11"/>
      <color rgb="FF3F3F76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theme="0"/>
      </right>
      <top style="thin">
        <color rgb="FF7F7F7F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15" fillId="10" borderId="22" applyNumberFormat="0" applyAlignment="0" applyProtection="0"/>
    <xf numFmtId="9" fontId="21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/>
    <xf numFmtId="0" fontId="0" fillId="0" borderId="0" xfId="0" applyFont="1" applyFill="1" applyBorder="1"/>
    <xf numFmtId="164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0" xfId="0" applyFont="1"/>
    <xf numFmtId="164" fontId="8" fillId="4" borderId="0" xfId="1" applyNumberFormat="1" applyFont="1" applyBorder="1" applyAlignment="1">
      <alignment horizontal="center"/>
    </xf>
    <xf numFmtId="164" fontId="8" fillId="4" borderId="15" xfId="1" applyNumberFormat="1" applyFont="1" applyBorder="1" applyAlignment="1">
      <alignment horizontal="center"/>
    </xf>
    <xf numFmtId="0" fontId="8" fillId="4" borderId="16" xfId="1" applyFont="1" applyBorder="1" applyAlignment="1">
      <alignment horizontal="center"/>
    </xf>
    <xf numFmtId="0" fontId="8" fillId="4" borderId="5" xfId="1" applyFont="1" applyBorder="1" applyAlignment="1">
      <alignment horizontal="center"/>
    </xf>
    <xf numFmtId="164" fontId="8" fillId="4" borderId="17" xfId="1" applyNumberFormat="1" applyFont="1" applyBorder="1" applyAlignment="1">
      <alignment horizontal="center"/>
    </xf>
    <xf numFmtId="0" fontId="8" fillId="4" borderId="18" xfId="1" applyFont="1" applyBorder="1" applyAlignment="1">
      <alignment horizontal="center"/>
    </xf>
    <xf numFmtId="0" fontId="8" fillId="4" borderId="19" xfId="1" applyFont="1" applyBorder="1"/>
    <xf numFmtId="0" fontId="8" fillId="4" borderId="20" xfId="1" applyFont="1" applyBorder="1"/>
    <xf numFmtId="0" fontId="8" fillId="4" borderId="21" xfId="1" applyFont="1" applyBorder="1"/>
    <xf numFmtId="0" fontId="11" fillId="0" borderId="0" xfId="0" applyFont="1"/>
    <xf numFmtId="0" fontId="1" fillId="2" borderId="9" xfId="0" applyFont="1" applyFill="1" applyBorder="1" applyAlignment="1">
      <alignment horizontal="center"/>
    </xf>
    <xf numFmtId="0" fontId="4" fillId="3" borderId="1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13" xfId="0" applyFill="1" applyBorder="1"/>
    <xf numFmtId="2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/>
    <xf numFmtId="0" fontId="0" fillId="3" borderId="7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3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8" xfId="0" applyFont="1" applyFill="1" applyBorder="1"/>
    <xf numFmtId="0" fontId="0" fillId="3" borderId="4" xfId="0" applyFont="1" applyFill="1" applyBorder="1"/>
    <xf numFmtId="0" fontId="4" fillId="7" borderId="1" xfId="0" applyFont="1" applyFill="1" applyBorder="1"/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6" xfId="0" applyFont="1" applyFill="1" applyBorder="1"/>
    <xf numFmtId="0" fontId="0" fillId="7" borderId="2" xfId="0" applyFont="1" applyFill="1" applyBorder="1"/>
    <xf numFmtId="0" fontId="0" fillId="7" borderId="13" xfId="0" applyFill="1" applyBorder="1"/>
    <xf numFmtId="164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0" xfId="0" applyFont="1" applyFill="1" applyBorder="1"/>
    <xf numFmtId="0" fontId="0" fillId="7" borderId="7" xfId="0" applyFont="1" applyFill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4" xfId="0" applyFill="1" applyBorder="1"/>
    <xf numFmtId="0" fontId="4" fillId="5" borderId="1" xfId="0" applyFont="1" applyFill="1" applyBorder="1"/>
    <xf numFmtId="164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5" borderId="2" xfId="0" applyFill="1" applyBorder="1"/>
    <xf numFmtId="0" fontId="0" fillId="5" borderId="13" xfId="0" applyFill="1" applyBorder="1"/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4" xfId="0" applyFill="1" applyBorder="1"/>
    <xf numFmtId="0" fontId="4" fillId="8" borderId="1" xfId="0" applyFont="1" applyFill="1" applyBorder="1"/>
    <xf numFmtId="0" fontId="0" fillId="8" borderId="6" xfId="0" applyFill="1" applyBorder="1" applyAlignment="1">
      <alignment horizontal="center"/>
    </xf>
    <xf numFmtId="0" fontId="0" fillId="8" borderId="6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8" xfId="0" applyFill="1" applyBorder="1"/>
    <xf numFmtId="0" fontId="0" fillId="8" borderId="4" xfId="0" applyFill="1" applyBorder="1"/>
    <xf numFmtId="0" fontId="4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0" fillId="9" borderId="2" xfId="0" applyFill="1" applyBorder="1"/>
    <xf numFmtId="0" fontId="0" fillId="9" borderId="13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0" fontId="0" fillId="9" borderId="7" xfId="0" applyFill="1" applyBorder="1"/>
    <xf numFmtId="0" fontId="0" fillId="9" borderId="3" xfId="0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0" fontId="0" fillId="9" borderId="4" xfId="0" applyFill="1" applyBorder="1"/>
    <xf numFmtId="164" fontId="14" fillId="0" borderId="0" xfId="0" applyNumberFormat="1" applyFont="1" applyFill="1" applyAlignment="1">
      <alignment horizontal="center"/>
    </xf>
    <xf numFmtId="0" fontId="0" fillId="11" borderId="23" xfId="0" applyFill="1" applyBorder="1"/>
    <xf numFmtId="0" fontId="0" fillId="0" borderId="23" xfId="0" applyBorder="1"/>
    <xf numFmtId="0" fontId="1" fillId="0" borderId="0" xfId="0" applyFont="1"/>
    <xf numFmtId="0" fontId="0" fillId="12" borderId="0" xfId="0" applyFill="1"/>
    <xf numFmtId="0" fontId="1" fillId="12" borderId="0" xfId="0" applyFont="1" applyFill="1"/>
    <xf numFmtId="0" fontId="17" fillId="0" borderId="0" xfId="0" applyFont="1" applyAlignment="1">
      <alignment vertical="center"/>
    </xf>
    <xf numFmtId="0" fontId="4" fillId="12" borderId="0" xfId="0" applyFont="1" applyFill="1"/>
    <xf numFmtId="0" fontId="18" fillId="10" borderId="24" xfId="2" applyFont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8" fillId="4" borderId="24" xfId="1" applyFont="1" applyBorder="1" applyAlignment="1">
      <alignment horizontal="center"/>
    </xf>
    <xf numFmtId="0" fontId="0" fillId="0" borderId="0" xfId="0" applyFill="1"/>
    <xf numFmtId="0" fontId="0" fillId="0" borderId="23" xfId="0" applyFill="1" applyBorder="1"/>
    <xf numFmtId="0" fontId="20" fillId="2" borderId="10" xfId="0" applyFont="1" applyFill="1" applyBorder="1" applyAlignment="1">
      <alignment horizontal="center"/>
    </xf>
    <xf numFmtId="11" fontId="18" fillId="10" borderId="24" xfId="2" applyNumberFormat="1" applyFont="1" applyBorder="1" applyAlignment="1">
      <alignment horizontal="center"/>
    </xf>
    <xf numFmtId="0" fontId="0" fillId="0" borderId="27" xfId="0" applyBorder="1"/>
    <xf numFmtId="10" fontId="0" fillId="0" borderId="0" xfId="3" applyNumberFormat="1" applyFont="1"/>
    <xf numFmtId="0" fontId="16" fillId="13" borderId="25" xfId="0" applyFont="1" applyFill="1" applyBorder="1" applyAlignment="1">
      <alignment horizontal="center"/>
    </xf>
    <xf numFmtId="0" fontId="16" fillId="13" borderId="26" xfId="0" applyFont="1" applyFill="1" applyBorder="1" applyAlignment="1">
      <alignment horizontal="center"/>
    </xf>
    <xf numFmtId="0" fontId="18" fillId="10" borderId="28" xfId="2" applyFont="1" applyBorder="1" applyAlignment="1">
      <alignment horizontal="center"/>
    </xf>
  </cellXfs>
  <cellStyles count="4">
    <cellStyle name="Input" xfId="2" builtinId="20"/>
    <cellStyle name="Normale" xfId="0" builtinId="0"/>
    <cellStyle name="Percentuale" xfId="3" builtinId="5"/>
    <cellStyle name="Valore valido" xfId="1" builtinId="26"/>
  </cellStyles>
  <dxfs count="0"/>
  <tableStyles count="1" defaultTableStyle="TableStyleMedium2" defaultPivotStyle="PivotStyleLight16">
    <tableStyle name="Stile tabella 1" pivot="0" count="0" xr9:uid="{5CB440D5-1B04-411E-891C-76DAEB342F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</a:t>
            </a:r>
            <a:r>
              <a:rPr lang="it-IT" baseline="0"/>
              <a:t> </a:t>
            </a:r>
            <a:r>
              <a:rPr lang="it-IT"/>
              <a:t>T-s</a:t>
            </a:r>
          </a:p>
        </c:rich>
      </c:tx>
      <c:layout>
        <c:manualLayout>
          <c:xMode val="edge"/>
          <c:yMode val="edge"/>
          <c:x val="0.42650456757174671"/>
          <c:y val="1.098901098901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284453003861771"/>
          <c:y val="9.0620403218828416E-2"/>
          <c:w val="0.86572202221853822"/>
          <c:h val="0.7379553517348792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'T-s'!$D$7:$D$34</c:f>
              <c:numCache>
                <c:formatCode>General</c:formatCode>
                <c:ptCount val="28"/>
                <c:pt idx="0">
                  <c:v>4.1604230439264454</c:v>
                </c:pt>
                <c:pt idx="1">
                  <c:v>4.0463187202605679</c:v>
                </c:pt>
                <c:pt idx="2">
                  <c:v>3.9534958884757789</c:v>
                </c:pt>
                <c:pt idx="3">
                  <c:v>3.885797527926472</c:v>
                </c:pt>
                <c:pt idx="4">
                  <c:v>3.8273617306631165</c:v>
                </c:pt>
                <c:pt idx="5">
                  <c:v>3.7738808042638237</c:v>
                </c:pt>
                <c:pt idx="6">
                  <c:v>3.7234605370780112</c:v>
                </c:pt>
                <c:pt idx="7">
                  <c:v>3.6750666533531318</c:v>
                </c:pt>
                <c:pt idx="8">
                  <c:v>3.6280567042774421</c:v>
                </c:pt>
                <c:pt idx="9">
                  <c:v>3.5819946561754312</c:v>
                </c:pt>
                <c:pt idx="10">
                  <c:v>3.5365641043330154</c:v>
                </c:pt>
                <c:pt idx="11">
                  <c:v>3.4915232106521481</c:v>
                </c:pt>
                <c:pt idx="12">
                  <c:v>3.4466794075335163</c:v>
                </c:pt>
                <c:pt idx="13">
                  <c:v>3.4018740741500633</c:v>
                </c:pt>
                <c:pt idx="14">
                  <c:v>3.3569726068540211</c:v>
                </c:pt>
                <c:pt idx="15">
                  <c:v>3.3118576701578779</c:v>
                </c:pt>
                <c:pt idx="16">
                  <c:v>3.2664244485863985</c:v>
                </c:pt>
                <c:pt idx="17">
                  <c:v>3.2205772000302288</c:v>
                </c:pt>
                <c:pt idx="18">
                  <c:v>3.1742266737158582</c:v>
                </c:pt>
                <c:pt idx="19">
                  <c:v>3.127288113698075</c:v>
                </c:pt>
                <c:pt idx="20">
                  <c:v>3.079679665585811</c:v>
                </c:pt>
                <c:pt idx="21">
                  <c:v>3.0313210643308466</c:v>
                </c:pt>
                <c:pt idx="22">
                  <c:v>2.9821325189948058</c:v>
                </c:pt>
                <c:pt idx="23">
                  <c:v>2.9320337351510966</c:v>
                </c:pt>
                <c:pt idx="24">
                  <c:v>2.8809430321935539</c:v>
                </c:pt>
                <c:pt idx="25">
                  <c:v>2.8287765245149874</c:v>
                </c:pt>
                <c:pt idx="26">
                  <c:v>2.7754473443396503</c:v>
                </c:pt>
                <c:pt idx="27">
                  <c:v>2.720864891384974</c:v>
                </c:pt>
              </c:numCache>
            </c:numRef>
          </c:xVal>
          <c:yVal>
            <c:numRef>
              <c:f>'T-s'!$A$7:$A$34</c:f>
              <c:numCache>
                <c:formatCode>General</c:formatCode>
                <c:ptCount val="28"/>
                <c:pt idx="0">
                  <c:v>-147</c:v>
                </c:pt>
                <c:pt idx="1">
                  <c:v>-148</c:v>
                </c:pt>
                <c:pt idx="2">
                  <c:v>-150</c:v>
                </c:pt>
                <c:pt idx="3">
                  <c:v>-152</c:v>
                </c:pt>
                <c:pt idx="4">
                  <c:v>-154</c:v>
                </c:pt>
                <c:pt idx="5">
                  <c:v>-156</c:v>
                </c:pt>
                <c:pt idx="6">
                  <c:v>-158</c:v>
                </c:pt>
                <c:pt idx="7">
                  <c:v>-160</c:v>
                </c:pt>
                <c:pt idx="8">
                  <c:v>-162</c:v>
                </c:pt>
                <c:pt idx="9">
                  <c:v>-164</c:v>
                </c:pt>
                <c:pt idx="10">
                  <c:v>-166</c:v>
                </c:pt>
                <c:pt idx="11">
                  <c:v>-168</c:v>
                </c:pt>
                <c:pt idx="12">
                  <c:v>-170</c:v>
                </c:pt>
                <c:pt idx="13">
                  <c:v>-172</c:v>
                </c:pt>
                <c:pt idx="14">
                  <c:v>-174</c:v>
                </c:pt>
                <c:pt idx="15">
                  <c:v>-176</c:v>
                </c:pt>
                <c:pt idx="16">
                  <c:v>-178</c:v>
                </c:pt>
                <c:pt idx="17">
                  <c:v>-180</c:v>
                </c:pt>
                <c:pt idx="18">
                  <c:v>-182</c:v>
                </c:pt>
                <c:pt idx="19">
                  <c:v>-184</c:v>
                </c:pt>
                <c:pt idx="20">
                  <c:v>-186</c:v>
                </c:pt>
                <c:pt idx="21">
                  <c:v>-188</c:v>
                </c:pt>
                <c:pt idx="22">
                  <c:v>-190</c:v>
                </c:pt>
                <c:pt idx="23">
                  <c:v>-192</c:v>
                </c:pt>
                <c:pt idx="24">
                  <c:v>-194</c:v>
                </c:pt>
                <c:pt idx="25">
                  <c:v>-196</c:v>
                </c:pt>
                <c:pt idx="26">
                  <c:v>-198</c:v>
                </c:pt>
                <c:pt idx="27">
                  <c:v>-200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68-41D9-9457-197F60438548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'T-s'!$E$7:$E$34</c:f>
              <c:numCache>
                <c:formatCode>General</c:formatCode>
                <c:ptCount val="28"/>
                <c:pt idx="0">
                  <c:v>4.2762150357283142</c:v>
                </c:pt>
                <c:pt idx="1">
                  <c:v>4.4157947173351531</c:v>
                </c:pt>
                <c:pt idx="2">
                  <c:v>4.5188228586905019</c:v>
                </c:pt>
                <c:pt idx="3">
                  <c:v>4.5863391962939843</c:v>
                </c:pt>
                <c:pt idx="4">
                  <c:v>4.6401777828718593</c:v>
                </c:pt>
                <c:pt idx="5">
                  <c:v>4.6865077284113275</c:v>
                </c:pt>
                <c:pt idx="6">
                  <c:v>4.728097586364437</c:v>
                </c:pt>
                <c:pt idx="7">
                  <c:v>4.7664707517679243</c:v>
                </c:pt>
                <c:pt idx="8">
                  <c:v>4.8025796186289353</c:v>
                </c:pt>
                <c:pt idx="9">
                  <c:v>4.8370807562727984</c:v>
                </c:pt>
                <c:pt idx="10">
                  <c:v>4.8704629984383683</c:v>
                </c:pt>
                <c:pt idx="11">
                  <c:v>4.9031095343632494</c:v>
                </c:pt>
                <c:pt idx="12">
                  <c:v>4.9353305576162478</c:v>
                </c:pt>
                <c:pt idx="13">
                  <c:v>4.9673852142685035</c:v>
                </c:pt>
                <c:pt idx="14">
                  <c:v>4.9994991868202519</c:v>
                </c:pt>
                <c:pt idx="15">
                  <c:v>5.0318781156987828</c:v>
                </c:pt>
                <c:pt idx="16">
                  <c:v>5.0647167553075789</c:v>
                </c:pt>
                <c:pt idx="17">
                  <c:v>5.0982050008852502</c:v>
                </c:pt>
                <c:pt idx="18">
                  <c:v>5.1325323499827142</c:v>
                </c:pt>
                <c:pt idx="19">
                  <c:v>5.1678918071362938</c:v>
                </c:pt>
                <c:pt idx="20">
                  <c:v>5.2044835312966553</c:v>
                </c:pt>
                <c:pt idx="21">
                  <c:v>5.2425183051452828</c:v>
                </c:pt>
                <c:pt idx="22">
                  <c:v>5.2822209450802733</c:v>
                </c:pt>
                <c:pt idx="23">
                  <c:v>5.3238337829728</c:v>
                </c:pt>
                <c:pt idx="24">
                  <c:v>5.3676203342614315</c:v>
                </c:pt>
                <c:pt idx="25">
                  <c:v>5.413869256997982</c:v>
                </c:pt>
                <c:pt idx="26">
                  <c:v>5.4628987053547826</c:v>
                </c:pt>
                <c:pt idx="27">
                  <c:v>5.5150611862603247</c:v>
                </c:pt>
              </c:numCache>
            </c:numRef>
          </c:xVal>
          <c:yVal>
            <c:numRef>
              <c:f>'T-s'!$A$7:$A$34</c:f>
              <c:numCache>
                <c:formatCode>General</c:formatCode>
                <c:ptCount val="28"/>
                <c:pt idx="0">
                  <c:v>-147</c:v>
                </c:pt>
                <c:pt idx="1">
                  <c:v>-148</c:v>
                </c:pt>
                <c:pt idx="2">
                  <c:v>-150</c:v>
                </c:pt>
                <c:pt idx="3">
                  <c:v>-152</c:v>
                </c:pt>
                <c:pt idx="4">
                  <c:v>-154</c:v>
                </c:pt>
                <c:pt idx="5">
                  <c:v>-156</c:v>
                </c:pt>
                <c:pt idx="6">
                  <c:v>-158</c:v>
                </c:pt>
                <c:pt idx="7">
                  <c:v>-160</c:v>
                </c:pt>
                <c:pt idx="8">
                  <c:v>-162</c:v>
                </c:pt>
                <c:pt idx="9">
                  <c:v>-164</c:v>
                </c:pt>
                <c:pt idx="10">
                  <c:v>-166</c:v>
                </c:pt>
                <c:pt idx="11">
                  <c:v>-168</c:v>
                </c:pt>
                <c:pt idx="12">
                  <c:v>-170</c:v>
                </c:pt>
                <c:pt idx="13">
                  <c:v>-172</c:v>
                </c:pt>
                <c:pt idx="14">
                  <c:v>-174</c:v>
                </c:pt>
                <c:pt idx="15">
                  <c:v>-176</c:v>
                </c:pt>
                <c:pt idx="16">
                  <c:v>-178</c:v>
                </c:pt>
                <c:pt idx="17">
                  <c:v>-180</c:v>
                </c:pt>
                <c:pt idx="18">
                  <c:v>-182</c:v>
                </c:pt>
                <c:pt idx="19">
                  <c:v>-184</c:v>
                </c:pt>
                <c:pt idx="20">
                  <c:v>-186</c:v>
                </c:pt>
                <c:pt idx="21">
                  <c:v>-188</c:v>
                </c:pt>
                <c:pt idx="22">
                  <c:v>-190</c:v>
                </c:pt>
                <c:pt idx="23">
                  <c:v>-192</c:v>
                </c:pt>
                <c:pt idx="24">
                  <c:v>-194</c:v>
                </c:pt>
                <c:pt idx="25">
                  <c:v>-196</c:v>
                </c:pt>
                <c:pt idx="26">
                  <c:v>-198</c:v>
                </c:pt>
                <c:pt idx="27">
                  <c:v>-200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68-41D9-9457-197F60438548}"/>
            </c:ext>
          </c:extLst>
        </c:ser>
        <c:ser>
          <c:idx val="2"/>
          <c:order val="2"/>
          <c:tx>
            <c:v>23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'T-s'!$K$7:$K$27</c:f>
              <c:numCache>
                <c:formatCode>General</c:formatCode>
                <c:ptCount val="21"/>
                <c:pt idx="0">
                  <c:v>4.9309319984520954</c:v>
                </c:pt>
                <c:pt idx="1">
                  <c:v>4.9009203978234188</c:v>
                </c:pt>
                <c:pt idx="2">
                  <c:v>4.8698853810634439</c:v>
                </c:pt>
                <c:pt idx="3">
                  <c:v>4.8377591510245228</c:v>
                </c:pt>
                <c:pt idx="4">
                  <c:v>4.8044688236099198</c:v>
                </c:pt>
                <c:pt idx="5">
                  <c:v>4.7699363353969586</c:v>
                </c:pt>
                <c:pt idx="6">
                  <c:v>4.7340785020655831</c:v>
                </c:pt>
                <c:pt idx="7">
                  <c:v>4.6968072411548576</c:v>
                </c:pt>
                <c:pt idx="8">
                  <c:v>4.6580299945252888</c:v>
                </c:pt>
                <c:pt idx="9">
                  <c:v>4.6176503548759831</c:v>
                </c:pt>
                <c:pt idx="10">
                  <c:v>4.5755688739740501</c:v>
                </c:pt>
                <c:pt idx="11">
                  <c:v>4.5316840077418483</c:v>
                </c:pt>
                <c:pt idx="12">
                  <c:v>4.4858931565254299</c:v>
                </c:pt>
                <c:pt idx="13">
                  <c:v>4.4380937972895023</c:v>
                </c:pt>
                <c:pt idx="14">
                  <c:v>4.3881847442199504</c:v>
                </c:pt>
                <c:pt idx="15">
                  <c:v>4.3360675202843364</c:v>
                </c:pt>
                <c:pt idx="16">
                  <c:v>4.2816475770882967</c:v>
                </c:pt>
                <c:pt idx="17">
                  <c:v>4.2248347148526442</c:v>
                </c:pt>
                <c:pt idx="18">
                  <c:v>4.1655418048297488</c:v>
                </c:pt>
                <c:pt idx="19">
                  <c:v>4.1036811988026995</c:v>
                </c:pt>
                <c:pt idx="20">
                  <c:v>4.039158821651581</c:v>
                </c:pt>
              </c:numCache>
            </c:numRef>
          </c:xVal>
          <c:yVal>
            <c:numRef>
              <c:f>'T-s'!$J$7:$J$27</c:f>
              <c:numCache>
                <c:formatCode>General</c:formatCode>
                <c:ptCount val="21"/>
                <c:pt idx="0">
                  <c:v>10</c:v>
                </c:pt>
                <c:pt idx="1">
                  <c:v>4</c:v>
                </c:pt>
                <c:pt idx="2">
                  <c:v>-2</c:v>
                </c:pt>
                <c:pt idx="3">
                  <c:v>-8</c:v>
                </c:pt>
                <c:pt idx="4">
                  <c:v>-14</c:v>
                </c:pt>
                <c:pt idx="5">
                  <c:v>-20</c:v>
                </c:pt>
                <c:pt idx="6">
                  <c:v>-26</c:v>
                </c:pt>
                <c:pt idx="7">
                  <c:v>-32</c:v>
                </c:pt>
                <c:pt idx="8">
                  <c:v>-38</c:v>
                </c:pt>
                <c:pt idx="9">
                  <c:v>-44</c:v>
                </c:pt>
                <c:pt idx="10">
                  <c:v>-50</c:v>
                </c:pt>
                <c:pt idx="11">
                  <c:v>-56</c:v>
                </c:pt>
                <c:pt idx="12">
                  <c:v>-62</c:v>
                </c:pt>
                <c:pt idx="13">
                  <c:v>-68</c:v>
                </c:pt>
                <c:pt idx="14">
                  <c:v>-74</c:v>
                </c:pt>
                <c:pt idx="15">
                  <c:v>-80</c:v>
                </c:pt>
                <c:pt idx="16">
                  <c:v>-86</c:v>
                </c:pt>
                <c:pt idx="17">
                  <c:v>-92</c:v>
                </c:pt>
                <c:pt idx="18">
                  <c:v>-98</c:v>
                </c:pt>
                <c:pt idx="19">
                  <c:v>-104</c:v>
                </c:pt>
                <c:pt idx="20">
                  <c:v>-110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6F-409A-8475-613254C16DCC}"/>
            </c:ext>
          </c:extLst>
        </c:ser>
        <c:ser>
          <c:idx val="3"/>
          <c:order val="3"/>
          <c:tx>
            <c:v>12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Impianto!$B$14:$B$15</c:f>
              <c:numCache>
                <c:formatCode>0.00</c:formatCode>
                <c:ptCount val="2"/>
                <c:pt idx="0">
                  <c:v>4.9309319984520954</c:v>
                </c:pt>
                <c:pt idx="1">
                  <c:v>6.7854560224020641</c:v>
                </c:pt>
              </c:numCache>
            </c:numRef>
          </c:xVal>
          <c:yVal>
            <c:numRef>
              <c:f>Impianto!$L$3:$L$4</c:f>
              <c:numCache>
                <c:formatCode>0.00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6F-409A-8475-613254C16DCC}"/>
            </c:ext>
          </c:extLst>
        </c:ser>
        <c:ser>
          <c:idx val="4"/>
          <c:order val="4"/>
          <c:tx>
            <c:v>1VS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'T-s'!$H$7:$H$27</c:f>
              <c:numCache>
                <c:formatCode>General</c:formatCode>
                <c:ptCount val="21"/>
                <c:pt idx="0">
                  <c:v>6.7854560224020641</c:v>
                </c:pt>
                <c:pt idx="1">
                  <c:v>6.7468867435783739</c:v>
                </c:pt>
                <c:pt idx="2">
                  <c:v>6.7068303860206058</c:v>
                </c:pt>
                <c:pt idx="3">
                  <c:v>6.6651659748023473</c:v>
                </c:pt>
                <c:pt idx="4">
                  <c:v>6.621757363772808</c:v>
                </c:pt>
                <c:pt idx="5">
                  <c:v>6.576450505031187</c:v>
                </c:pt>
                <c:pt idx="6">
                  <c:v>6.529070071003277</c:v>
                </c:pt>
                <c:pt idx="7">
                  <c:v>6.4794152349601291</c:v>
                </c:pt>
                <c:pt idx="8">
                  <c:v>6.4272543421189692</c:v>
                </c:pt>
                <c:pt idx="9">
                  <c:v>6.3723180947660394</c:v>
                </c:pt>
                <c:pt idx="10">
                  <c:v>6.314290710701731</c:v>
                </c:pt>
                <c:pt idx="11">
                  <c:v>6.2527982596219394</c:v>
                </c:pt>
                <c:pt idx="12">
                  <c:v>6.1873929740257951</c:v>
                </c:pt>
                <c:pt idx="13">
                  <c:v>6.1175316521874574</c:v>
                </c:pt>
                <c:pt idx="14">
                  <c:v>6.0425450876176647</c:v>
                </c:pt>
                <c:pt idx="15">
                  <c:v>5.9615932801795672</c:v>
                </c:pt>
                <c:pt idx="16">
                  <c:v>5.8735968870246351</c:v>
                </c:pt>
                <c:pt idx="17">
                  <c:v>5.7771261576228197</c:v>
                </c:pt>
                <c:pt idx="18">
                  <c:v>5.6702066495634984</c:v>
                </c:pt>
                <c:pt idx="19">
                  <c:v>5.5499411805614605</c:v>
                </c:pt>
                <c:pt idx="20">
                  <c:v>5.4116477659399145</c:v>
                </c:pt>
              </c:numCache>
            </c:numRef>
          </c:xVal>
          <c:yVal>
            <c:numRef>
              <c:f>'T-s'!$G$7:$G$27</c:f>
              <c:numCache>
                <c:formatCode>General</c:formatCode>
                <c:ptCount val="21"/>
                <c:pt idx="0">
                  <c:v>10</c:v>
                </c:pt>
                <c:pt idx="1">
                  <c:v>-0.2953250134652059</c:v>
                </c:pt>
                <c:pt idx="2">
                  <c:v>-10.590650026930412</c:v>
                </c:pt>
                <c:pt idx="3">
                  <c:v>-20.885975040395618</c:v>
                </c:pt>
                <c:pt idx="4">
                  <c:v>-31.181300053860824</c:v>
                </c:pt>
                <c:pt idx="5">
                  <c:v>-41.476625067326026</c:v>
                </c:pt>
                <c:pt idx="6">
                  <c:v>-51.771950080791228</c:v>
                </c:pt>
                <c:pt idx="7">
                  <c:v>-62.067275094256431</c:v>
                </c:pt>
                <c:pt idx="8">
                  <c:v>-72.362600107721633</c:v>
                </c:pt>
                <c:pt idx="9">
                  <c:v>-82.657925121186835</c:v>
                </c:pt>
                <c:pt idx="10">
                  <c:v>-92.953250134652038</c:v>
                </c:pt>
                <c:pt idx="11">
                  <c:v>-103.24857514811724</c:v>
                </c:pt>
                <c:pt idx="12">
                  <c:v>-113.54390016158244</c:v>
                </c:pt>
                <c:pt idx="13">
                  <c:v>-123.83922517504764</c:v>
                </c:pt>
                <c:pt idx="14">
                  <c:v>-134.13455018851286</c:v>
                </c:pt>
                <c:pt idx="15">
                  <c:v>-144.42987520197806</c:v>
                </c:pt>
                <c:pt idx="16">
                  <c:v>-154.72520021544327</c:v>
                </c:pt>
                <c:pt idx="17">
                  <c:v>-165.02052522890847</c:v>
                </c:pt>
                <c:pt idx="18">
                  <c:v>-175.31585024237367</c:v>
                </c:pt>
                <c:pt idx="19">
                  <c:v>-185.61117525583887</c:v>
                </c:pt>
                <c:pt idx="20">
                  <c:v>-195.90650026930408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6F-409A-8475-613254C16DCC}"/>
            </c:ext>
          </c:extLst>
        </c:ser>
        <c:ser>
          <c:idx val="5"/>
          <c:order val="5"/>
          <c:tx>
            <c:v>34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'T-s'!$P$7:$P$27</c:f>
              <c:numCache>
                <c:formatCode>General</c:formatCode>
                <c:ptCount val="21"/>
                <c:pt idx="0">
                  <c:v>4.0391588216501804</c:v>
                </c:pt>
                <c:pt idx="1">
                  <c:v>4.0953974804859188</c:v>
                </c:pt>
                <c:pt idx="2">
                  <c:v>4.1516361393216572</c:v>
                </c:pt>
                <c:pt idx="3">
                  <c:v>4.2078747981573956</c:v>
                </c:pt>
                <c:pt idx="4">
                  <c:v>4.264113456993134</c:v>
                </c:pt>
                <c:pt idx="5">
                  <c:v>4.3203521158288725</c:v>
                </c:pt>
                <c:pt idx="6">
                  <c:v>4.3765907746646109</c:v>
                </c:pt>
                <c:pt idx="7">
                  <c:v>4.4328294335003493</c:v>
                </c:pt>
                <c:pt idx="8">
                  <c:v>4.4890680923360877</c:v>
                </c:pt>
                <c:pt idx="9">
                  <c:v>4.5453067511718261</c:v>
                </c:pt>
                <c:pt idx="10">
                  <c:v>4.6015454100075646</c:v>
                </c:pt>
                <c:pt idx="11">
                  <c:v>4.657784068843303</c:v>
                </c:pt>
                <c:pt idx="12">
                  <c:v>4.7140227276790414</c:v>
                </c:pt>
                <c:pt idx="13">
                  <c:v>4.7702613865147798</c:v>
                </c:pt>
                <c:pt idx="14">
                  <c:v>4.8265000453505182</c:v>
                </c:pt>
                <c:pt idx="15">
                  <c:v>4.8827387041862567</c:v>
                </c:pt>
                <c:pt idx="16">
                  <c:v>4.9389773630219951</c:v>
                </c:pt>
                <c:pt idx="17">
                  <c:v>4.9952160218577335</c:v>
                </c:pt>
                <c:pt idx="18">
                  <c:v>5.0514546806934719</c:v>
                </c:pt>
                <c:pt idx="19">
                  <c:v>5.1076933395292103</c:v>
                </c:pt>
                <c:pt idx="20">
                  <c:v>5.1639319983649488</c:v>
                </c:pt>
              </c:numCache>
            </c:numRef>
          </c:xVal>
          <c:yVal>
            <c:numRef>
              <c:f>'T-s'!$O$7:$O$27</c:f>
              <c:numCache>
                <c:formatCode>General</c:formatCode>
                <c:ptCount val="21"/>
                <c:pt idx="0">
                  <c:v>-110.00000000011306</c:v>
                </c:pt>
                <c:pt idx="1">
                  <c:v>-109.95577150880845</c:v>
                </c:pt>
                <c:pt idx="2">
                  <c:v>-110.91851650658586</c:v>
                </c:pt>
                <c:pt idx="3">
                  <c:v>-113.20502692438473</c:v>
                </c:pt>
                <c:pt idx="4">
                  <c:v>-117.24863966954334</c:v>
                </c:pt>
                <c:pt idx="5">
                  <c:v>-123.60003065360019</c:v>
                </c:pt>
                <c:pt idx="6">
                  <c:v>-132.73973521269275</c:v>
                </c:pt>
                <c:pt idx="7">
                  <c:v>-144.33552349248916</c:v>
                </c:pt>
                <c:pt idx="8">
                  <c:v>-153.95130138168085</c:v>
                </c:pt>
                <c:pt idx="9">
                  <c:v>-160.69806335535401</c:v>
                </c:pt>
                <c:pt idx="10">
                  <c:v>-166.23576160007281</c:v>
                </c:pt>
                <c:pt idx="11">
                  <c:v>-170.92915489154171</c:v>
                </c:pt>
                <c:pt idx="12">
                  <c:v>-174.99748912966561</c:v>
                </c:pt>
                <c:pt idx="13">
                  <c:v>-178.58345665624034</c:v>
                </c:pt>
                <c:pt idx="14">
                  <c:v>-181.78545410041386</c:v>
                </c:pt>
                <c:pt idx="15">
                  <c:v>-184.67436052613527</c:v>
                </c:pt>
                <c:pt idx="16">
                  <c:v>-187.30300548465516</c:v>
                </c:pt>
                <c:pt idx="17">
                  <c:v>-189.7118611159359</c:v>
                </c:pt>
                <c:pt idx="18">
                  <c:v>-191.93264088280731</c:v>
                </c:pt>
                <c:pt idx="19">
                  <c:v>-193.99066991683739</c:v>
                </c:pt>
                <c:pt idx="20">
                  <c:v>-195.906500269204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66F-409A-8475-613254C16DCC}"/>
            </c:ext>
          </c:extLst>
        </c:ser>
        <c:ser>
          <c:idx val="6"/>
          <c:order val="6"/>
          <c:tx>
            <c:v>4vs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327-4FE9-A60D-D4D42CEE094F}"/>
              </c:ext>
            </c:extLst>
          </c:dPt>
          <c:xVal>
            <c:numRef>
              <c:f>Impianto!$N$6:$N$7</c:f>
              <c:numCache>
                <c:formatCode>0.000</c:formatCode>
                <c:ptCount val="2"/>
                <c:pt idx="0">
                  <c:v>5.1639319983649514</c:v>
                </c:pt>
                <c:pt idx="1">
                  <c:v>5.4116477659399145</c:v>
                </c:pt>
              </c:numCache>
            </c:numRef>
          </c:xVal>
          <c:yVal>
            <c:numRef>
              <c:f>Impianto!$L$6:$L$7</c:f>
              <c:numCache>
                <c:formatCode>0.00</c:formatCode>
                <c:ptCount val="2"/>
                <c:pt idx="0">
                  <c:v>-195.9065002693041</c:v>
                </c:pt>
                <c:pt idx="1">
                  <c:v>-195.9065002693041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766F-409A-8475-613254C16DCC}"/>
            </c:ext>
          </c:extLst>
        </c:ser>
        <c:ser>
          <c:idx val="7"/>
          <c:order val="7"/>
          <c:tx>
            <c:v>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C0C-4332-BCD4-F52DF1292C68}"/>
              </c:ext>
            </c:extLst>
          </c:dPt>
          <c:xVal>
            <c:numRef>
              <c:f>(Impianto!$N$3,Impianto!$N$3)</c:f>
              <c:numCache>
                <c:formatCode>0.000</c:formatCode>
                <c:ptCount val="2"/>
                <c:pt idx="0">
                  <c:v>6.7854560224029932</c:v>
                </c:pt>
                <c:pt idx="1">
                  <c:v>6.7854560224029932</c:v>
                </c:pt>
              </c:numCache>
            </c:numRef>
          </c:xVal>
          <c:yVal>
            <c:numRef>
              <c:f>(Impianto!$L$3,Impianto!$L$3)</c:f>
              <c:numCache>
                <c:formatCode>0.00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766F-409A-8475-613254C16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264360"/>
        <c:axId val="997265344"/>
      </c:scatterChart>
      <c:scatterChart>
        <c:scatterStyle val="lineMarker"/>
        <c:varyColors val="0"/>
        <c:ser>
          <c:idx val="9"/>
          <c:order val="8"/>
          <c:tx>
            <c:v>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DC0C-4332-BCD4-F52DF1292C68}"/>
              </c:ext>
            </c:extLst>
          </c:dPt>
          <c:xVal>
            <c:numRef>
              <c:f>(Impianto!$N$4,Impianto!$N$4)</c:f>
              <c:numCache>
                <c:formatCode>0.000</c:formatCode>
                <c:ptCount val="2"/>
                <c:pt idx="0">
                  <c:v>4.930931997944799</c:v>
                </c:pt>
                <c:pt idx="1">
                  <c:v>4.930931997944799</c:v>
                </c:pt>
              </c:numCache>
            </c:numRef>
          </c:xVal>
          <c:yVal>
            <c:numRef>
              <c:f>(Impianto!$L$4,Impianto!$L$4)</c:f>
              <c:numCache>
                <c:formatCode>0.00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327-4FE9-A60D-D4D42CEE094F}"/>
            </c:ext>
          </c:extLst>
        </c:ser>
        <c:ser>
          <c:idx val="8"/>
          <c:order val="9"/>
          <c:tx>
            <c:v>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(Impianto!$N$5,Impianto!$N$5)</c:f>
              <c:numCache>
                <c:formatCode>0.000</c:formatCode>
                <c:ptCount val="2"/>
                <c:pt idx="0">
                  <c:v>4.0391588216501804</c:v>
                </c:pt>
                <c:pt idx="1">
                  <c:v>4.0391588216501804</c:v>
                </c:pt>
              </c:numCache>
            </c:numRef>
          </c:xVal>
          <c:yVal>
            <c:numRef>
              <c:f>(Impianto!$L$5,Impianto!$L$5)</c:f>
              <c:numCache>
                <c:formatCode>0.00</c:formatCode>
                <c:ptCount val="2"/>
                <c:pt idx="0">
                  <c:v>-110</c:v>
                </c:pt>
                <c:pt idx="1">
                  <c:v>-110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66F-409A-8475-613254C16DCC}"/>
            </c:ext>
          </c:extLst>
        </c:ser>
        <c:ser>
          <c:idx val="10"/>
          <c:order val="10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(Impianto!$N$6,Impianto!$N$6)</c:f>
              <c:numCache>
                <c:formatCode>0.000</c:formatCode>
                <c:ptCount val="2"/>
                <c:pt idx="0">
                  <c:v>5.1639319983649514</c:v>
                </c:pt>
                <c:pt idx="1">
                  <c:v>5.1639319983649514</c:v>
                </c:pt>
              </c:numCache>
            </c:numRef>
          </c:xVal>
          <c:yVal>
            <c:numRef>
              <c:f>(Impianto!$L$6,Impianto!$L$6)</c:f>
              <c:numCache>
                <c:formatCode>0.00</c:formatCode>
                <c:ptCount val="2"/>
                <c:pt idx="0">
                  <c:v>-195.9065002693041</c:v>
                </c:pt>
                <c:pt idx="1">
                  <c:v>-195.9065002693041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327-4FE9-A60D-D4D42CEE094F}"/>
            </c:ext>
          </c:extLst>
        </c:ser>
        <c:ser>
          <c:idx val="11"/>
          <c:order val="11"/>
          <c:tx>
            <c:v>5vs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0C-4332-BCD4-F52DF1292C68}"/>
              </c:ext>
            </c:extLst>
          </c:dPt>
          <c:xVal>
            <c:numRef>
              <c:f>(Impianto!$N$7,Impianto!$N$7)</c:f>
              <c:numCache>
                <c:formatCode>0.000</c:formatCode>
                <c:ptCount val="2"/>
                <c:pt idx="0">
                  <c:v>5.4116477659399145</c:v>
                </c:pt>
                <c:pt idx="1">
                  <c:v>5.4116477659399145</c:v>
                </c:pt>
              </c:numCache>
            </c:numRef>
          </c:xVal>
          <c:yVal>
            <c:numRef>
              <c:f>(Impianto!$L$7,Impianto!$L$7)</c:f>
              <c:numCache>
                <c:formatCode>0.00</c:formatCode>
                <c:ptCount val="2"/>
                <c:pt idx="0">
                  <c:v>-195.9065002693041</c:v>
                </c:pt>
                <c:pt idx="1">
                  <c:v>-195.9065002693041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327-4FE9-A60D-D4D42CEE094F}"/>
            </c:ext>
          </c:extLst>
        </c:ser>
        <c:ser>
          <c:idx val="15"/>
          <c:order val="12"/>
          <c:tx>
            <c:v>5ls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(Impianto!$N$8,Impianto!$N$8)</c:f>
              <c:numCache>
                <c:formatCode>0.000</c:formatCode>
                <c:ptCount val="2"/>
                <c:pt idx="0">
                  <c:v>2.8312405201928965</c:v>
                </c:pt>
                <c:pt idx="1">
                  <c:v>2.8312405201928965</c:v>
                </c:pt>
              </c:numCache>
            </c:numRef>
          </c:xVal>
          <c:yVal>
            <c:numRef>
              <c:f>(Impianto!$L$8,Impianto!$L$8)</c:f>
              <c:numCache>
                <c:formatCode>0.00</c:formatCode>
                <c:ptCount val="2"/>
                <c:pt idx="0">
                  <c:v>-195.9065002693041</c:v>
                </c:pt>
                <c:pt idx="1">
                  <c:v>-195.9065002693041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41-4286-8E51-EA9A50207C4C}"/>
            </c:ext>
          </c:extLst>
        </c:ser>
        <c:ser>
          <c:idx val="16"/>
          <c:order val="13"/>
          <c:tx>
            <c:v>1'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(Impianto!$N$9,Impianto!$N$9)</c:f>
              <c:numCache>
                <c:formatCode>0.000</c:formatCode>
                <c:ptCount val="2"/>
                <c:pt idx="0">
                  <c:v>6.7695743663961379</c:v>
                </c:pt>
                <c:pt idx="1">
                  <c:v>6.7695743663961379</c:v>
                </c:pt>
              </c:numCache>
            </c:numRef>
          </c:xVal>
          <c:yVal>
            <c:numRef>
              <c:f>(Impianto!$L$9,Impianto!$L$9)</c:f>
              <c:numCache>
                <c:formatCode>0.00</c:formatCode>
                <c:ptCount val="2"/>
                <c:pt idx="0">
                  <c:v>5.7143932521114493</c:v>
                </c:pt>
                <c:pt idx="1">
                  <c:v>5.7143932521114493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327-4FE9-A60D-D4D42CEE094F}"/>
            </c:ext>
          </c:extLst>
        </c:ser>
        <c:ser>
          <c:idx val="14"/>
          <c:order val="14"/>
          <c:tx>
            <c:v>MK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DC0C-4332-BCD4-F52DF1292C68}"/>
              </c:ext>
            </c:extLst>
          </c:dPt>
          <c:xVal>
            <c:numRef>
              <c:f>(Impianto!$N$10,Impianto!$N$10)</c:f>
              <c:numCache>
                <c:formatCode>0.000</c:formatCode>
                <c:ptCount val="2"/>
                <c:pt idx="0">
                  <c:v>6.9242074356762311</c:v>
                </c:pt>
                <c:pt idx="1">
                  <c:v>6.9242074356762311</c:v>
                </c:pt>
              </c:numCache>
            </c:numRef>
          </c:xVal>
          <c:yVal>
            <c:numRef>
              <c:f>(Impianto!$L$10,Impianto!$L$10)</c:f>
              <c:numCache>
                <c:formatCode>0.00</c:formatCode>
                <c:ptCount val="2"/>
                <c:pt idx="0">
                  <c:v>50.354834109764056</c:v>
                </c:pt>
                <c:pt idx="1">
                  <c:v>50.354834109764056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327-4FE9-A60D-D4D42CEE094F}"/>
            </c:ext>
          </c:extLst>
        </c:ser>
        <c:ser>
          <c:idx val="12"/>
          <c:order val="15"/>
          <c:tx>
            <c:v>CR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('T-s'!$B$4,'T-s'!$B$4)</c:f>
              <c:numCache>
                <c:formatCode>General</c:formatCode>
                <c:ptCount val="2"/>
                <c:pt idx="0">
                  <c:v>4.2215801099538446</c:v>
                </c:pt>
                <c:pt idx="1">
                  <c:v>4.2215801099538446</c:v>
                </c:pt>
              </c:numCache>
            </c:numRef>
          </c:xVal>
          <c:yVal>
            <c:numRef>
              <c:f>('T-s'!$D$2,'T-s'!$D$2)</c:f>
              <c:numCache>
                <c:formatCode>General</c:formatCode>
                <c:ptCount val="2"/>
                <c:pt idx="0">
                  <c:v>-146.95799999999997</c:v>
                </c:pt>
                <c:pt idx="1">
                  <c:v>-146.95799999999997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327-4FE9-A60D-D4D42CEE094F}"/>
            </c:ext>
          </c:extLst>
        </c:ser>
        <c:ser>
          <c:idx val="13"/>
          <c:order val="16"/>
          <c:tx>
            <c:v>sep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5341-4286-8E51-EA9A50207C4C}"/>
              </c:ext>
            </c:extLst>
          </c:dPt>
          <c:xVal>
            <c:numRef>
              <c:f>Impianto!$N$6:$N$7</c:f>
              <c:numCache>
                <c:formatCode>0.000</c:formatCode>
                <c:ptCount val="2"/>
                <c:pt idx="0">
                  <c:v>5.1639319983649514</c:v>
                </c:pt>
                <c:pt idx="1">
                  <c:v>5.4116477659399145</c:v>
                </c:pt>
              </c:numCache>
            </c:numRef>
          </c:xVal>
          <c:yVal>
            <c:numRef>
              <c:f>Impianto!$L$6:$L$7</c:f>
              <c:numCache>
                <c:formatCode>0.00</c:formatCode>
                <c:ptCount val="2"/>
                <c:pt idx="0">
                  <c:v>-195.9065002693041</c:v>
                </c:pt>
                <c:pt idx="1">
                  <c:v>-195.9065002693041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327-4FE9-A60D-D4D42CEE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264360"/>
        <c:axId val="997265344"/>
      </c:scatterChart>
      <c:valAx>
        <c:axId val="997264360"/>
        <c:scaling>
          <c:orientation val="minMax"/>
          <c:max val="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Entropia [kJ/kg/K]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7265344"/>
        <c:crossesAt val="-200"/>
        <c:crossBetween val="midCat"/>
        <c:majorUnit val="0.5"/>
      </c:valAx>
      <c:valAx>
        <c:axId val="997265344"/>
        <c:scaling>
          <c:orientation val="minMax"/>
          <c:max val="25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726436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90479673011704931"/>
          <c:y val="0.26599785923842628"/>
          <c:w val="6.3906199413684001E-2"/>
          <c:h val="0.55073516499989283"/>
        </c:manualLayout>
      </c:layout>
      <c:overlay val="0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300990</xdr:colOff>
      <xdr:row>10</xdr:row>
      <xdr:rowOff>175260</xdr:rowOff>
    </xdr:from>
    <xdr:to>
      <xdr:col>15</xdr:col>
      <xdr:colOff>636270</xdr:colOff>
      <xdr:row>29</xdr:row>
      <xdr:rowOff>160020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360FED9-A661-4F7E-A2EB-E8A9187E5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</xdr:colOff>
      <xdr:row>10</xdr:row>
      <xdr:rowOff>167640</xdr:rowOff>
    </xdr:from>
    <xdr:to>
      <xdr:col>4</xdr:col>
      <xdr:colOff>1112520</xdr:colOff>
      <xdr:row>15</xdr:row>
      <xdr:rowOff>99060</xdr:rowOff>
    </xdr:to>
    <xdr:sp macro="" textlink="">
      <xdr:nvSpPr>
        <xdr:cNvPr id="3" name="Trapezio 2">
          <a:extLst>
            <a:ext uri="{FF2B5EF4-FFF2-40B4-BE49-F238E27FC236}">
              <a16:creationId xmlns:a16="http://schemas.microsoft.com/office/drawing/2014/main" id="{3E5D2CBD-3B4B-4E57-A191-E84E68A38DCD}"/>
            </a:ext>
          </a:extLst>
        </xdr:cNvPr>
        <xdr:cNvSpPr/>
      </xdr:nvSpPr>
      <xdr:spPr>
        <a:xfrm rot="5400000">
          <a:off x="2747010" y="1927860"/>
          <a:ext cx="845820" cy="1005840"/>
        </a:xfrm>
        <a:prstGeom prst="trapezoid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106680</xdr:colOff>
      <xdr:row>15</xdr:row>
      <xdr:rowOff>91440</xdr:rowOff>
    </xdr:from>
    <xdr:to>
      <xdr:col>4</xdr:col>
      <xdr:colOff>106680</xdr:colOff>
      <xdr:row>17</xdr:row>
      <xdr:rowOff>102870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0F8AE86C-D4C3-422F-92E1-82351462CB7D}"/>
            </a:ext>
          </a:extLst>
        </xdr:cNvPr>
        <xdr:cNvCxnSpPr/>
      </xdr:nvCxnSpPr>
      <xdr:spPr>
        <a:xfrm flipV="1">
          <a:off x="2667000" y="2846070"/>
          <a:ext cx="0" cy="3771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1116330</xdr:colOff>
      <xdr:row>10</xdr:row>
      <xdr:rowOff>72390</xdr:rowOff>
    </xdr:from>
    <xdr:to>
      <xdr:col>4</xdr:col>
      <xdr:colOff>1116330</xdr:colOff>
      <xdr:row>12</xdr:row>
      <xdr:rowOff>83820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2FB7C3E0-6FD8-472E-95CB-71156EA99101}"/>
            </a:ext>
          </a:extLst>
        </xdr:cNvPr>
        <xdr:cNvCxnSpPr/>
      </xdr:nvCxnSpPr>
      <xdr:spPr>
        <a:xfrm flipV="1">
          <a:off x="3676650" y="1912620"/>
          <a:ext cx="0" cy="3771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613410</xdr:colOff>
      <xdr:row>17</xdr:row>
      <xdr:rowOff>45720</xdr:rowOff>
    </xdr:from>
    <xdr:to>
      <xdr:col>4</xdr:col>
      <xdr:colOff>236220</xdr:colOff>
      <xdr:row>18</xdr:row>
      <xdr:rowOff>125730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5C1C8788-45AA-4FF7-9689-9E1569689C35}"/>
            </a:ext>
          </a:extLst>
        </xdr:cNvPr>
        <xdr:cNvSpPr txBox="1"/>
      </xdr:nvSpPr>
      <xdr:spPr>
        <a:xfrm>
          <a:off x="2533650" y="3166110"/>
          <a:ext cx="262890" cy="26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</a:t>
          </a:r>
        </a:p>
      </xdr:txBody>
    </xdr:sp>
    <xdr:clientData/>
  </xdr:twoCellAnchor>
  <xdr:twoCellAnchor>
    <xdr:from>
      <xdr:col>4</xdr:col>
      <xdr:colOff>975360</xdr:colOff>
      <xdr:row>8</xdr:row>
      <xdr:rowOff>175260</xdr:rowOff>
    </xdr:from>
    <xdr:to>
      <xdr:col>4</xdr:col>
      <xdr:colOff>1238250</xdr:colOff>
      <xdr:row>10</xdr:row>
      <xdr:rowOff>68580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A015CD7A-2EDC-4DE7-A5D9-E9C75212111E}"/>
            </a:ext>
          </a:extLst>
        </xdr:cNvPr>
        <xdr:cNvSpPr txBox="1"/>
      </xdr:nvSpPr>
      <xdr:spPr>
        <a:xfrm>
          <a:off x="3535680" y="1645920"/>
          <a:ext cx="262890" cy="26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2</a:t>
          </a:r>
        </a:p>
      </xdr:txBody>
    </xdr:sp>
    <xdr:clientData/>
  </xdr:twoCellAnchor>
  <xdr:twoCellAnchor>
    <xdr:from>
      <xdr:col>4</xdr:col>
      <xdr:colOff>601980</xdr:colOff>
      <xdr:row>11</xdr:row>
      <xdr:rowOff>7620</xdr:rowOff>
    </xdr:from>
    <xdr:to>
      <xdr:col>4</xdr:col>
      <xdr:colOff>807720</xdr:colOff>
      <xdr:row>12</xdr:row>
      <xdr:rowOff>140970</xdr:rowOff>
    </xdr:to>
    <xdr:cxnSp macro="">
      <xdr:nvCxnSpPr>
        <xdr:cNvPr id="10" name="Connettore curvo 9">
          <a:extLst>
            <a:ext uri="{FF2B5EF4-FFF2-40B4-BE49-F238E27FC236}">
              <a16:creationId xmlns:a16="http://schemas.microsoft.com/office/drawing/2014/main" id="{23543774-D0D2-4B8E-838B-9846627758E9}"/>
            </a:ext>
          </a:extLst>
        </xdr:cNvPr>
        <xdr:cNvCxnSpPr/>
      </xdr:nvCxnSpPr>
      <xdr:spPr>
        <a:xfrm rot="5400000" flipH="1" flipV="1">
          <a:off x="3107055" y="2085975"/>
          <a:ext cx="316230" cy="205740"/>
        </a:xfrm>
        <a:prstGeom prst="curvedConnector3">
          <a:avLst>
            <a:gd name="adj1" fmla="val 129518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9</xdr:row>
      <xdr:rowOff>114300</xdr:rowOff>
    </xdr:from>
    <xdr:to>
      <xdr:col>4</xdr:col>
      <xdr:colOff>769620</xdr:colOff>
      <xdr:row>11</xdr:row>
      <xdr:rowOff>7620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A5E7D12D-3DE5-4C7A-9FD3-92F369A31586}"/>
            </a:ext>
          </a:extLst>
        </xdr:cNvPr>
        <xdr:cNvSpPr txBox="1"/>
      </xdr:nvSpPr>
      <xdr:spPr>
        <a:xfrm>
          <a:off x="2922270" y="1767840"/>
          <a:ext cx="40767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|q|</a:t>
          </a:r>
        </a:p>
      </xdr:txBody>
    </xdr:sp>
    <xdr:clientData/>
  </xdr:twoCellAnchor>
  <xdr:twoCellAnchor>
    <xdr:from>
      <xdr:col>4</xdr:col>
      <xdr:colOff>1116330</xdr:colOff>
      <xdr:row>13</xdr:row>
      <xdr:rowOff>38100</xdr:rowOff>
    </xdr:from>
    <xdr:to>
      <xdr:col>5</xdr:col>
      <xdr:colOff>278130</xdr:colOff>
      <xdr:row>13</xdr:row>
      <xdr:rowOff>38100</xdr:rowOff>
    </xdr:to>
    <xdr:cxnSp macro="">
      <xdr:nvCxnSpPr>
        <xdr:cNvPr id="16" name="Connettore 2 15">
          <a:extLst>
            <a:ext uri="{FF2B5EF4-FFF2-40B4-BE49-F238E27FC236}">
              <a16:creationId xmlns:a16="http://schemas.microsoft.com/office/drawing/2014/main" id="{B61048EC-4B57-4F43-B4BF-1255749D28F7}"/>
            </a:ext>
          </a:extLst>
        </xdr:cNvPr>
        <xdr:cNvCxnSpPr/>
      </xdr:nvCxnSpPr>
      <xdr:spPr>
        <a:xfrm flipH="1">
          <a:off x="3676650" y="2426970"/>
          <a:ext cx="48387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1245870</xdr:colOff>
      <xdr:row>11</xdr:row>
      <xdr:rowOff>144780</xdr:rowOff>
    </xdr:from>
    <xdr:to>
      <xdr:col>5</xdr:col>
      <xdr:colOff>483870</xdr:colOff>
      <xdr:row>13</xdr:row>
      <xdr:rowOff>41910</xdr:rowOff>
    </xdr:to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761D51A1-B94D-4826-9205-F798172C8EC7}"/>
            </a:ext>
          </a:extLst>
        </xdr:cNvPr>
        <xdr:cNvSpPr txBox="1"/>
      </xdr:nvSpPr>
      <xdr:spPr>
        <a:xfrm>
          <a:off x="3806190" y="2167890"/>
          <a:ext cx="56007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|lav|</a:t>
          </a:r>
        </a:p>
      </xdr:txBody>
    </xdr:sp>
    <xdr:clientData/>
  </xdr:twoCellAnchor>
  <xdr:twoCellAnchor>
    <xdr:from>
      <xdr:col>4</xdr:col>
      <xdr:colOff>720579</xdr:colOff>
      <xdr:row>22</xdr:row>
      <xdr:rowOff>120872</xdr:rowOff>
    </xdr:from>
    <xdr:to>
      <xdr:col>4</xdr:col>
      <xdr:colOff>721995</xdr:colOff>
      <xdr:row>23</xdr:row>
      <xdr:rowOff>55245</xdr:rowOff>
    </xdr:to>
    <xdr:cxnSp macro="">
      <xdr:nvCxnSpPr>
        <xdr:cNvPr id="36" name="Connettore diritto 35">
          <a:extLst>
            <a:ext uri="{FF2B5EF4-FFF2-40B4-BE49-F238E27FC236}">
              <a16:creationId xmlns:a16="http://schemas.microsoft.com/office/drawing/2014/main" id="{B5BFE3F5-28FF-4C00-9331-F49CAC715B80}"/>
            </a:ext>
          </a:extLst>
        </xdr:cNvPr>
        <xdr:cNvCxnSpPr>
          <a:endCxn id="34" idx="2"/>
        </xdr:cNvCxnSpPr>
      </xdr:nvCxnSpPr>
      <xdr:spPr>
        <a:xfrm flipH="1" flipV="1">
          <a:off x="3280899" y="4155662"/>
          <a:ext cx="1416" cy="1172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598170</xdr:colOff>
      <xdr:row>21</xdr:row>
      <xdr:rowOff>118110</xdr:rowOff>
    </xdr:from>
    <xdr:to>
      <xdr:col>5</xdr:col>
      <xdr:colOff>243840</xdr:colOff>
      <xdr:row>24</xdr:row>
      <xdr:rowOff>32385</xdr:rowOff>
    </xdr:to>
    <xdr:grpSp>
      <xdr:nvGrpSpPr>
        <xdr:cNvPr id="44" name="Gruppo 43">
          <a:extLst>
            <a:ext uri="{FF2B5EF4-FFF2-40B4-BE49-F238E27FC236}">
              <a16:creationId xmlns:a16="http://schemas.microsoft.com/office/drawing/2014/main" id="{4C794351-00B6-4DF7-AE33-4D00F7E9A3D5}"/>
            </a:ext>
          </a:extLst>
        </xdr:cNvPr>
        <xdr:cNvGrpSpPr/>
      </xdr:nvGrpSpPr>
      <xdr:grpSpPr>
        <a:xfrm>
          <a:off x="2514715" y="4016625"/>
          <a:ext cx="1608398" cy="468457"/>
          <a:chOff x="2198370" y="3810000"/>
          <a:chExt cx="1607820" cy="462915"/>
        </a:xfrm>
      </xdr:grpSpPr>
      <xdr:cxnSp macro="">
        <xdr:nvCxnSpPr>
          <xdr:cNvPr id="38" name="Connettore 2 37">
            <a:extLst>
              <a:ext uri="{FF2B5EF4-FFF2-40B4-BE49-F238E27FC236}">
                <a16:creationId xmlns:a16="http://schemas.microsoft.com/office/drawing/2014/main" id="{53FEFFCB-9330-47DE-87DF-54595575F416}"/>
              </a:ext>
            </a:extLst>
          </xdr:cNvPr>
          <xdr:cNvCxnSpPr/>
        </xdr:nvCxnSpPr>
        <xdr:spPr>
          <a:xfrm>
            <a:off x="2282190" y="4114800"/>
            <a:ext cx="32766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3" name="Gruppo 42">
            <a:extLst>
              <a:ext uri="{FF2B5EF4-FFF2-40B4-BE49-F238E27FC236}">
                <a16:creationId xmlns:a16="http://schemas.microsoft.com/office/drawing/2014/main" id="{420CEC22-DD44-4C5D-8640-221BDE90F231}"/>
              </a:ext>
            </a:extLst>
          </xdr:cNvPr>
          <xdr:cNvGrpSpPr/>
        </xdr:nvGrpSpPr>
        <xdr:grpSpPr>
          <a:xfrm>
            <a:off x="2198370" y="3810000"/>
            <a:ext cx="1607820" cy="462915"/>
            <a:chOff x="2198370" y="3810000"/>
            <a:chExt cx="1607820" cy="462915"/>
          </a:xfrm>
        </xdr:grpSpPr>
        <xdr:sp macro="" textlink="">
          <xdr:nvSpPr>
            <xdr:cNvPr id="30" name="Triangolo isoscele 29">
              <a:extLst>
                <a:ext uri="{FF2B5EF4-FFF2-40B4-BE49-F238E27FC236}">
                  <a16:creationId xmlns:a16="http://schemas.microsoft.com/office/drawing/2014/main" id="{E543C982-79F3-4366-9596-8828276C09B4}"/>
                </a:ext>
              </a:extLst>
            </xdr:cNvPr>
            <xdr:cNvSpPr/>
          </xdr:nvSpPr>
          <xdr:spPr>
            <a:xfrm rot="5400000">
              <a:off x="2632710" y="3939540"/>
              <a:ext cx="320040" cy="346710"/>
            </a:xfrm>
            <a:prstGeom prst="triangle">
              <a:avLst/>
            </a:prstGeom>
            <a:solidFill>
              <a:schemeClr val="bg1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  <xdr:sp macro="" textlink="">
          <xdr:nvSpPr>
            <xdr:cNvPr id="31" name="Triangolo isoscele 30">
              <a:extLst>
                <a:ext uri="{FF2B5EF4-FFF2-40B4-BE49-F238E27FC236}">
                  <a16:creationId xmlns:a16="http://schemas.microsoft.com/office/drawing/2014/main" id="{1916B7B3-BE54-4C9A-BAE4-9B47A7F8F74B}"/>
                </a:ext>
              </a:extLst>
            </xdr:cNvPr>
            <xdr:cNvSpPr/>
          </xdr:nvSpPr>
          <xdr:spPr>
            <a:xfrm rot="16200000">
              <a:off x="2967990" y="3939540"/>
              <a:ext cx="320040" cy="346710"/>
            </a:xfrm>
            <a:prstGeom prst="triangle">
              <a:avLst/>
            </a:prstGeom>
            <a:solidFill>
              <a:schemeClr val="bg1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  <xdr:sp macro="" textlink="">
          <xdr:nvSpPr>
            <xdr:cNvPr id="34" name="Corda 33">
              <a:extLst>
                <a:ext uri="{FF2B5EF4-FFF2-40B4-BE49-F238E27FC236}">
                  <a16:creationId xmlns:a16="http://schemas.microsoft.com/office/drawing/2014/main" id="{ACF678E9-6BE9-487A-AEE1-BB27C84B601D}"/>
                </a:ext>
              </a:extLst>
            </xdr:cNvPr>
            <xdr:cNvSpPr/>
          </xdr:nvSpPr>
          <xdr:spPr>
            <a:xfrm rot="6811164">
              <a:off x="2847536" y="3833881"/>
              <a:ext cx="223964" cy="236890"/>
            </a:xfrm>
            <a:prstGeom prst="chord">
              <a:avLst>
                <a:gd name="adj1" fmla="val 2700000"/>
                <a:gd name="adj2" fmla="val 16112716"/>
              </a:avLst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  <xdr:cxnSp macro="">
          <xdr:nvCxnSpPr>
            <xdr:cNvPr id="40" name="Connettore 2 39">
              <a:extLst>
                <a:ext uri="{FF2B5EF4-FFF2-40B4-BE49-F238E27FC236}">
                  <a16:creationId xmlns:a16="http://schemas.microsoft.com/office/drawing/2014/main" id="{8B400D46-6986-41C0-A384-781F61528650}"/>
                </a:ext>
              </a:extLst>
            </xdr:cNvPr>
            <xdr:cNvCxnSpPr/>
          </xdr:nvCxnSpPr>
          <xdr:spPr>
            <a:xfrm>
              <a:off x="3337560" y="4118610"/>
              <a:ext cx="327660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" name="CasellaDiTesto 40">
              <a:extLst>
                <a:ext uri="{FF2B5EF4-FFF2-40B4-BE49-F238E27FC236}">
                  <a16:creationId xmlns:a16="http://schemas.microsoft.com/office/drawing/2014/main" id="{696DA8D5-B9C5-4154-81D8-951DAFE03F8F}"/>
                </a:ext>
              </a:extLst>
            </xdr:cNvPr>
            <xdr:cNvSpPr txBox="1"/>
          </xdr:nvSpPr>
          <xdr:spPr>
            <a:xfrm>
              <a:off x="2198370" y="3817620"/>
              <a:ext cx="262890" cy="2628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2</a:t>
              </a:r>
            </a:p>
          </xdr:txBody>
        </xdr:sp>
        <xdr:sp macro="" textlink="">
          <xdr:nvSpPr>
            <xdr:cNvPr id="42" name="CasellaDiTesto 41">
              <a:extLst>
                <a:ext uri="{FF2B5EF4-FFF2-40B4-BE49-F238E27FC236}">
                  <a16:creationId xmlns:a16="http://schemas.microsoft.com/office/drawing/2014/main" id="{3DFB88E1-AC2C-43DC-9388-9C656CE0CB11}"/>
                </a:ext>
              </a:extLst>
            </xdr:cNvPr>
            <xdr:cNvSpPr txBox="1"/>
          </xdr:nvSpPr>
          <xdr:spPr>
            <a:xfrm>
              <a:off x="3543300" y="3810000"/>
              <a:ext cx="262890" cy="2628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3</a:t>
              </a:r>
            </a:p>
          </xdr:txBody>
        </xdr:sp>
      </xdr:grpSp>
    </xdr:grpSp>
    <xdr:clientData/>
  </xdr:twoCellAnchor>
  <xdr:twoCellAnchor>
    <xdr:from>
      <xdr:col>4</xdr:col>
      <xdr:colOff>327660</xdr:colOff>
      <xdr:row>31</xdr:row>
      <xdr:rowOff>118110</xdr:rowOff>
    </xdr:from>
    <xdr:to>
      <xdr:col>4</xdr:col>
      <xdr:colOff>845820</xdr:colOff>
      <xdr:row>31</xdr:row>
      <xdr:rowOff>118110</xdr:rowOff>
    </xdr:to>
    <xdr:cxnSp macro="">
      <xdr:nvCxnSpPr>
        <xdr:cNvPr id="47" name="Connettore diritto 46">
          <a:extLst>
            <a:ext uri="{FF2B5EF4-FFF2-40B4-BE49-F238E27FC236}">
              <a16:creationId xmlns:a16="http://schemas.microsoft.com/office/drawing/2014/main" id="{164632CD-8868-4243-A23E-AA42404E54CC}"/>
            </a:ext>
          </a:extLst>
        </xdr:cNvPr>
        <xdr:cNvCxnSpPr/>
      </xdr:nvCxnSpPr>
      <xdr:spPr>
        <a:xfrm>
          <a:off x="2887980" y="5798820"/>
          <a:ext cx="5181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27</xdr:row>
      <xdr:rowOff>41910</xdr:rowOff>
    </xdr:from>
    <xdr:to>
      <xdr:col>5</xdr:col>
      <xdr:colOff>198120</xdr:colOff>
      <xdr:row>33</xdr:row>
      <xdr:rowOff>140970</xdr:rowOff>
    </xdr:to>
    <xdr:grpSp>
      <xdr:nvGrpSpPr>
        <xdr:cNvPr id="126" name="Gruppo 125">
          <a:extLst>
            <a:ext uri="{FF2B5EF4-FFF2-40B4-BE49-F238E27FC236}">
              <a16:creationId xmlns:a16="http://schemas.microsoft.com/office/drawing/2014/main" id="{79B19511-CEAB-48EC-9704-9720E8A849DA}"/>
            </a:ext>
          </a:extLst>
        </xdr:cNvPr>
        <xdr:cNvGrpSpPr/>
      </xdr:nvGrpSpPr>
      <xdr:grpSpPr>
        <a:xfrm>
          <a:off x="2449945" y="5052637"/>
          <a:ext cx="1627448" cy="1207424"/>
          <a:chOff x="2453640" y="4922520"/>
          <a:chExt cx="1626870" cy="1196340"/>
        </a:xfrm>
      </xdr:grpSpPr>
      <xdr:sp macro="" textlink="">
        <xdr:nvSpPr>
          <xdr:cNvPr id="45" name="Rettangolo 44">
            <a:extLst>
              <a:ext uri="{FF2B5EF4-FFF2-40B4-BE49-F238E27FC236}">
                <a16:creationId xmlns:a16="http://schemas.microsoft.com/office/drawing/2014/main" id="{C2D6D37C-49AB-43D5-9246-AFD2A4098A0D}"/>
              </a:ext>
            </a:extLst>
          </xdr:cNvPr>
          <xdr:cNvSpPr/>
        </xdr:nvSpPr>
        <xdr:spPr>
          <a:xfrm>
            <a:off x="2887980" y="5284470"/>
            <a:ext cx="506730" cy="826770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48" name="CasellaDiTesto 47">
            <a:extLst>
              <a:ext uri="{FF2B5EF4-FFF2-40B4-BE49-F238E27FC236}">
                <a16:creationId xmlns:a16="http://schemas.microsoft.com/office/drawing/2014/main" id="{6CB8E04F-18D4-4104-A21A-6FFF7B7E14DD}"/>
              </a:ext>
            </a:extLst>
          </xdr:cNvPr>
          <xdr:cNvSpPr txBox="1"/>
        </xdr:nvSpPr>
        <xdr:spPr>
          <a:xfrm>
            <a:off x="2964180" y="5833110"/>
            <a:ext cx="262890" cy="2628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it-IT" sz="1100"/>
              <a:t>L</a:t>
            </a:r>
          </a:p>
        </xdr:txBody>
      </xdr:sp>
      <xdr:sp macro="" textlink="">
        <xdr:nvSpPr>
          <xdr:cNvPr id="49" name="CasellaDiTesto 48">
            <a:extLst>
              <a:ext uri="{FF2B5EF4-FFF2-40B4-BE49-F238E27FC236}">
                <a16:creationId xmlns:a16="http://schemas.microsoft.com/office/drawing/2014/main" id="{36CBAE31-FFEC-43EE-A5F0-511B362D4231}"/>
              </a:ext>
            </a:extLst>
          </xdr:cNvPr>
          <xdr:cNvSpPr txBox="1"/>
        </xdr:nvSpPr>
        <xdr:spPr>
          <a:xfrm>
            <a:off x="2964180" y="5314950"/>
            <a:ext cx="262890" cy="2628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V</a:t>
            </a:r>
          </a:p>
        </xdr:txBody>
      </xdr:sp>
      <xdr:cxnSp macro="">
        <xdr:nvCxnSpPr>
          <xdr:cNvPr id="50" name="Connettore 2 49">
            <a:extLst>
              <a:ext uri="{FF2B5EF4-FFF2-40B4-BE49-F238E27FC236}">
                <a16:creationId xmlns:a16="http://schemas.microsoft.com/office/drawing/2014/main" id="{1C3908DD-17C0-47EC-86A3-5FE21BE74879}"/>
              </a:ext>
            </a:extLst>
          </xdr:cNvPr>
          <xdr:cNvCxnSpPr/>
        </xdr:nvCxnSpPr>
        <xdr:spPr>
          <a:xfrm>
            <a:off x="2495550" y="5570220"/>
            <a:ext cx="39243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ttore a gomito 52">
            <a:extLst>
              <a:ext uri="{FF2B5EF4-FFF2-40B4-BE49-F238E27FC236}">
                <a16:creationId xmlns:a16="http://schemas.microsoft.com/office/drawing/2014/main" id="{4EAD35A3-B41E-4638-9711-871269DD5367}"/>
              </a:ext>
            </a:extLst>
          </xdr:cNvPr>
          <xdr:cNvCxnSpPr>
            <a:stCxn id="45" idx="0"/>
          </xdr:cNvCxnSpPr>
        </xdr:nvCxnSpPr>
        <xdr:spPr>
          <a:xfrm rot="5400000" flipH="1" flipV="1">
            <a:off x="3281364" y="4919665"/>
            <a:ext cx="224787" cy="504824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CasellaDiTesto 58">
            <a:extLst>
              <a:ext uri="{FF2B5EF4-FFF2-40B4-BE49-F238E27FC236}">
                <a16:creationId xmlns:a16="http://schemas.microsoft.com/office/drawing/2014/main" id="{9DC32AE9-0040-41D9-88DE-69778D2645C3}"/>
              </a:ext>
            </a:extLst>
          </xdr:cNvPr>
          <xdr:cNvSpPr txBox="1"/>
        </xdr:nvSpPr>
        <xdr:spPr>
          <a:xfrm>
            <a:off x="2453640" y="5276850"/>
            <a:ext cx="262890" cy="2628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4</a:t>
            </a:r>
          </a:p>
        </xdr:txBody>
      </xdr:sp>
      <xdr:sp macro="" textlink="">
        <xdr:nvSpPr>
          <xdr:cNvPr id="60" name="CasellaDiTesto 59">
            <a:extLst>
              <a:ext uri="{FF2B5EF4-FFF2-40B4-BE49-F238E27FC236}">
                <a16:creationId xmlns:a16="http://schemas.microsoft.com/office/drawing/2014/main" id="{165041BE-728F-4B9A-829B-20F511DF6A81}"/>
              </a:ext>
            </a:extLst>
          </xdr:cNvPr>
          <xdr:cNvSpPr txBox="1"/>
        </xdr:nvSpPr>
        <xdr:spPr>
          <a:xfrm>
            <a:off x="3653790" y="4922520"/>
            <a:ext cx="384810" cy="2628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5vs</a:t>
            </a:r>
          </a:p>
        </xdr:txBody>
      </xdr:sp>
      <xdr:sp macro="" textlink="">
        <xdr:nvSpPr>
          <xdr:cNvPr id="61" name="CasellaDiTesto 60">
            <a:extLst>
              <a:ext uri="{FF2B5EF4-FFF2-40B4-BE49-F238E27FC236}">
                <a16:creationId xmlns:a16="http://schemas.microsoft.com/office/drawing/2014/main" id="{F3924F94-F4CA-4026-A4CF-A07D024AD5C8}"/>
              </a:ext>
            </a:extLst>
          </xdr:cNvPr>
          <xdr:cNvSpPr txBox="1"/>
        </xdr:nvSpPr>
        <xdr:spPr>
          <a:xfrm>
            <a:off x="3718560" y="5855970"/>
            <a:ext cx="361950" cy="2628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5ls</a:t>
            </a:r>
          </a:p>
        </xdr:txBody>
      </xdr:sp>
      <xdr:cxnSp macro="">
        <xdr:nvCxnSpPr>
          <xdr:cNvPr id="67" name="Connettore 2 66">
            <a:extLst>
              <a:ext uri="{FF2B5EF4-FFF2-40B4-BE49-F238E27FC236}">
                <a16:creationId xmlns:a16="http://schemas.microsoft.com/office/drawing/2014/main" id="{373FCC0C-1EF5-4353-9698-260EEFA0FFFF}"/>
              </a:ext>
            </a:extLst>
          </xdr:cNvPr>
          <xdr:cNvCxnSpPr/>
        </xdr:nvCxnSpPr>
        <xdr:spPr>
          <a:xfrm>
            <a:off x="3394710" y="5989320"/>
            <a:ext cx="28956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552450</xdr:colOff>
      <xdr:row>40</xdr:row>
      <xdr:rowOff>53340</xdr:rowOff>
    </xdr:from>
    <xdr:to>
      <xdr:col>4</xdr:col>
      <xdr:colOff>1196340</xdr:colOff>
      <xdr:row>43</xdr:row>
      <xdr:rowOff>110490</xdr:rowOff>
    </xdr:to>
    <xdr:grpSp>
      <xdr:nvGrpSpPr>
        <xdr:cNvPr id="79" name="Gruppo 78">
          <a:extLst>
            <a:ext uri="{FF2B5EF4-FFF2-40B4-BE49-F238E27FC236}">
              <a16:creationId xmlns:a16="http://schemas.microsoft.com/office/drawing/2014/main" id="{242CC16E-6029-4852-84AA-7F92C8B7506D}"/>
            </a:ext>
          </a:extLst>
        </xdr:cNvPr>
        <xdr:cNvGrpSpPr/>
      </xdr:nvGrpSpPr>
      <xdr:grpSpPr>
        <a:xfrm>
          <a:off x="2468995" y="7473219"/>
          <a:ext cx="1282739" cy="611332"/>
          <a:chOff x="2415540" y="7212330"/>
          <a:chExt cx="1283970" cy="605790"/>
        </a:xfrm>
      </xdr:grpSpPr>
      <xdr:sp macro="" textlink="">
        <xdr:nvSpPr>
          <xdr:cNvPr id="69" name="Rettangolo 68">
            <a:extLst>
              <a:ext uri="{FF2B5EF4-FFF2-40B4-BE49-F238E27FC236}">
                <a16:creationId xmlns:a16="http://schemas.microsoft.com/office/drawing/2014/main" id="{2A384624-005A-4B37-88F0-C6E667C7D092}"/>
              </a:ext>
            </a:extLst>
          </xdr:cNvPr>
          <xdr:cNvSpPr/>
        </xdr:nvSpPr>
        <xdr:spPr>
          <a:xfrm>
            <a:off x="2884170" y="7471410"/>
            <a:ext cx="384810" cy="346710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cxnSp macro="">
        <xdr:nvCxnSpPr>
          <xdr:cNvPr id="70" name="Connettore 2 69">
            <a:extLst>
              <a:ext uri="{FF2B5EF4-FFF2-40B4-BE49-F238E27FC236}">
                <a16:creationId xmlns:a16="http://schemas.microsoft.com/office/drawing/2014/main" id="{72758279-81C0-4AE7-BC50-097C78BE22A5}"/>
              </a:ext>
            </a:extLst>
          </xdr:cNvPr>
          <xdr:cNvCxnSpPr/>
        </xdr:nvCxnSpPr>
        <xdr:spPr>
          <a:xfrm>
            <a:off x="2484120" y="7631430"/>
            <a:ext cx="39243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Connettore 2 70">
            <a:extLst>
              <a:ext uri="{FF2B5EF4-FFF2-40B4-BE49-F238E27FC236}">
                <a16:creationId xmlns:a16="http://schemas.microsoft.com/office/drawing/2014/main" id="{F96F3B6D-8E54-4F30-AC5D-ACC8092CCAF2}"/>
              </a:ext>
            </a:extLst>
          </xdr:cNvPr>
          <xdr:cNvCxnSpPr/>
        </xdr:nvCxnSpPr>
        <xdr:spPr>
          <a:xfrm>
            <a:off x="3078480" y="7212330"/>
            <a:ext cx="0" cy="25908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Connettore 2 73">
            <a:extLst>
              <a:ext uri="{FF2B5EF4-FFF2-40B4-BE49-F238E27FC236}">
                <a16:creationId xmlns:a16="http://schemas.microsoft.com/office/drawing/2014/main" id="{B6A715B7-48B3-4949-A45E-105CFF07E839}"/>
              </a:ext>
            </a:extLst>
          </xdr:cNvPr>
          <xdr:cNvCxnSpPr/>
        </xdr:nvCxnSpPr>
        <xdr:spPr>
          <a:xfrm>
            <a:off x="3276600" y="7646670"/>
            <a:ext cx="23622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CasellaDiTesto 75">
            <a:extLst>
              <a:ext uri="{FF2B5EF4-FFF2-40B4-BE49-F238E27FC236}">
                <a16:creationId xmlns:a16="http://schemas.microsoft.com/office/drawing/2014/main" id="{30924F9B-31E5-4185-B5F8-FCE7AF335A4D}"/>
              </a:ext>
            </a:extLst>
          </xdr:cNvPr>
          <xdr:cNvSpPr txBox="1"/>
        </xdr:nvSpPr>
        <xdr:spPr>
          <a:xfrm>
            <a:off x="2415540" y="7341870"/>
            <a:ext cx="377190" cy="2628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MK</a:t>
            </a:r>
          </a:p>
        </xdr:txBody>
      </xdr:sp>
      <xdr:sp macro="" textlink="">
        <xdr:nvSpPr>
          <xdr:cNvPr id="77" name="CasellaDiTesto 76">
            <a:extLst>
              <a:ext uri="{FF2B5EF4-FFF2-40B4-BE49-F238E27FC236}">
                <a16:creationId xmlns:a16="http://schemas.microsoft.com/office/drawing/2014/main" id="{9BA562E8-130D-4DA4-B1FD-486C283597F5}"/>
              </a:ext>
            </a:extLst>
          </xdr:cNvPr>
          <xdr:cNvSpPr txBox="1"/>
        </xdr:nvSpPr>
        <xdr:spPr>
          <a:xfrm>
            <a:off x="3322320" y="7341870"/>
            <a:ext cx="377190" cy="2628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1</a:t>
            </a:r>
          </a:p>
        </xdr:txBody>
      </xdr:sp>
    </xdr:grpSp>
    <xdr:clientData/>
  </xdr:twoCellAnchor>
  <xdr:twoCellAnchor>
    <xdr:from>
      <xdr:col>4</xdr:col>
      <xdr:colOff>445770</xdr:colOff>
      <xdr:row>39</xdr:row>
      <xdr:rowOff>68580</xdr:rowOff>
    </xdr:from>
    <xdr:to>
      <xdr:col>4</xdr:col>
      <xdr:colOff>731520</xdr:colOff>
      <xdr:row>40</xdr:row>
      <xdr:rowOff>148590</xdr:rowOff>
    </xdr:to>
    <xdr:sp macro="" textlink="">
      <xdr:nvSpPr>
        <xdr:cNvPr id="78" name="CasellaDiTesto 77">
          <a:extLst>
            <a:ext uri="{FF2B5EF4-FFF2-40B4-BE49-F238E27FC236}">
              <a16:creationId xmlns:a16="http://schemas.microsoft.com/office/drawing/2014/main" id="{C2C0C962-116B-4303-BF13-77FD835F807C}"/>
            </a:ext>
          </a:extLst>
        </xdr:cNvPr>
        <xdr:cNvSpPr txBox="1"/>
      </xdr:nvSpPr>
      <xdr:spPr>
        <a:xfrm>
          <a:off x="3006090" y="7231380"/>
          <a:ext cx="285750" cy="26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1'</a:t>
          </a:r>
        </a:p>
      </xdr:txBody>
    </xdr:sp>
    <xdr:clientData/>
  </xdr:twoCellAnchor>
  <xdr:twoCellAnchor>
    <xdr:from>
      <xdr:col>4</xdr:col>
      <xdr:colOff>365760</xdr:colOff>
      <xdr:row>36</xdr:row>
      <xdr:rowOff>26670</xdr:rowOff>
    </xdr:from>
    <xdr:to>
      <xdr:col>4</xdr:col>
      <xdr:colOff>901205</xdr:colOff>
      <xdr:row>37</xdr:row>
      <xdr:rowOff>174520</xdr:rowOff>
    </xdr:to>
    <xdr:grpSp>
      <xdr:nvGrpSpPr>
        <xdr:cNvPr id="105" name="Gruppo 104">
          <a:extLst>
            <a:ext uri="{FF2B5EF4-FFF2-40B4-BE49-F238E27FC236}">
              <a16:creationId xmlns:a16="http://schemas.microsoft.com/office/drawing/2014/main" id="{4E19659B-D84E-4DAE-A68B-2E532FFFE228}"/>
            </a:ext>
          </a:extLst>
        </xdr:cNvPr>
        <xdr:cNvGrpSpPr/>
      </xdr:nvGrpSpPr>
      <xdr:grpSpPr>
        <a:xfrm rot="5400000" flipH="1">
          <a:off x="3022588" y="6602357"/>
          <a:ext cx="332577" cy="535445"/>
          <a:chOff x="1503710" y="-93052"/>
          <a:chExt cx="427833" cy="313119"/>
        </a:xfrm>
      </xdr:grpSpPr>
      <xdr:sp macro="" textlink="">
        <xdr:nvSpPr>
          <xdr:cNvPr id="106" name="Rounded Rectangle 150">
            <a:extLst>
              <a:ext uri="{FF2B5EF4-FFF2-40B4-BE49-F238E27FC236}">
                <a16:creationId xmlns:a16="http://schemas.microsoft.com/office/drawing/2014/main" id="{2C7A558F-CB32-474B-BFAB-6D040CBD5E5B}"/>
              </a:ext>
            </a:extLst>
          </xdr:cNvPr>
          <xdr:cNvSpPr/>
        </xdr:nvSpPr>
        <xdr:spPr>
          <a:xfrm>
            <a:off x="1503710" y="-93052"/>
            <a:ext cx="427833" cy="313119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107" name="Gruppo 106">
            <a:extLst>
              <a:ext uri="{FF2B5EF4-FFF2-40B4-BE49-F238E27FC236}">
                <a16:creationId xmlns:a16="http://schemas.microsoft.com/office/drawing/2014/main" id="{9944E264-BAC2-4213-A593-69F58A4F48B8}"/>
              </a:ext>
            </a:extLst>
          </xdr:cNvPr>
          <xdr:cNvGrpSpPr/>
        </xdr:nvGrpSpPr>
        <xdr:grpSpPr>
          <a:xfrm rot="16200000">
            <a:off x="1753005" y="6625"/>
            <a:ext cx="122492" cy="120664"/>
            <a:chOff x="1753005" y="6625"/>
            <a:chExt cx="152400" cy="152400"/>
          </a:xfrm>
        </xdr:grpSpPr>
        <xdr:cxnSp macro="">
          <xdr:nvCxnSpPr>
            <xdr:cNvPr id="112" name="Connettore 1 87">
              <a:extLst>
                <a:ext uri="{FF2B5EF4-FFF2-40B4-BE49-F238E27FC236}">
                  <a16:creationId xmlns:a16="http://schemas.microsoft.com/office/drawing/2014/main" id="{B7D9C439-8E99-46F9-B07E-AA235B8CE187}"/>
                </a:ext>
              </a:extLst>
            </xdr:cNvPr>
            <xdr:cNvCxnSpPr/>
          </xdr:nvCxnSpPr>
          <xdr:spPr>
            <a:xfrm rot="10800000" flipH="1">
              <a:off x="1753005" y="6625"/>
              <a:ext cx="76200" cy="76200"/>
            </a:xfrm>
            <a:prstGeom prst="line">
              <a:avLst/>
            </a:prstGeom>
            <a:ln w="28575">
              <a:solidFill>
                <a:srgbClr val="1700C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Connettore 1 88">
              <a:extLst>
                <a:ext uri="{FF2B5EF4-FFF2-40B4-BE49-F238E27FC236}">
                  <a16:creationId xmlns:a16="http://schemas.microsoft.com/office/drawing/2014/main" id="{5207B529-6146-4EAA-9521-D6C6646F98D1}"/>
                </a:ext>
              </a:extLst>
            </xdr:cNvPr>
            <xdr:cNvCxnSpPr/>
          </xdr:nvCxnSpPr>
          <xdr:spPr>
            <a:xfrm rot="10800000" flipH="1" flipV="1">
              <a:off x="1829205" y="6625"/>
              <a:ext cx="0" cy="152400"/>
            </a:xfrm>
            <a:prstGeom prst="line">
              <a:avLst/>
            </a:prstGeom>
            <a:ln w="28575">
              <a:solidFill>
                <a:srgbClr val="1700C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Connettore 1 89">
              <a:extLst>
                <a:ext uri="{FF2B5EF4-FFF2-40B4-BE49-F238E27FC236}">
                  <a16:creationId xmlns:a16="http://schemas.microsoft.com/office/drawing/2014/main" id="{FC5C6C40-24AB-4C11-B2AE-739526364118}"/>
                </a:ext>
              </a:extLst>
            </xdr:cNvPr>
            <xdr:cNvCxnSpPr/>
          </xdr:nvCxnSpPr>
          <xdr:spPr>
            <a:xfrm rot="10800000" flipH="1">
              <a:off x="1829205" y="82825"/>
              <a:ext cx="76200" cy="76200"/>
            </a:xfrm>
            <a:prstGeom prst="line">
              <a:avLst/>
            </a:prstGeom>
            <a:ln w="28575">
              <a:solidFill>
                <a:srgbClr val="1700C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8" name="Gruppo 107">
            <a:extLst>
              <a:ext uri="{FF2B5EF4-FFF2-40B4-BE49-F238E27FC236}">
                <a16:creationId xmlns:a16="http://schemas.microsoft.com/office/drawing/2014/main" id="{CCDFC3F1-6373-4BB6-9B86-01CB1091401B}"/>
              </a:ext>
            </a:extLst>
          </xdr:cNvPr>
          <xdr:cNvGrpSpPr/>
        </xdr:nvGrpSpPr>
        <xdr:grpSpPr>
          <a:xfrm rot="16200000">
            <a:off x="1556517" y="2815"/>
            <a:ext cx="122492" cy="120664"/>
            <a:chOff x="1556517" y="2815"/>
            <a:chExt cx="152400" cy="152400"/>
          </a:xfrm>
        </xdr:grpSpPr>
        <xdr:cxnSp macro="">
          <xdr:nvCxnSpPr>
            <xdr:cNvPr id="109" name="Connettore 1 84">
              <a:extLst>
                <a:ext uri="{FF2B5EF4-FFF2-40B4-BE49-F238E27FC236}">
                  <a16:creationId xmlns:a16="http://schemas.microsoft.com/office/drawing/2014/main" id="{5FEFF844-2C19-41AE-A7F2-A6355865C5BF}"/>
                </a:ext>
              </a:extLst>
            </xdr:cNvPr>
            <xdr:cNvCxnSpPr/>
          </xdr:nvCxnSpPr>
          <xdr:spPr>
            <a:xfrm rot="10800000" flipH="1">
              <a:off x="1556517" y="2815"/>
              <a:ext cx="76200" cy="76200"/>
            </a:xfrm>
            <a:prstGeom prst="line">
              <a:avLst/>
            </a:prstGeom>
            <a:ln w="28575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Connettore 1 85">
              <a:extLst>
                <a:ext uri="{FF2B5EF4-FFF2-40B4-BE49-F238E27FC236}">
                  <a16:creationId xmlns:a16="http://schemas.microsoft.com/office/drawing/2014/main" id="{0DD3EE4E-5255-434F-8C43-20FE7C9ED7E6}"/>
                </a:ext>
              </a:extLst>
            </xdr:cNvPr>
            <xdr:cNvCxnSpPr/>
          </xdr:nvCxnSpPr>
          <xdr:spPr>
            <a:xfrm rot="10800000" flipH="1" flipV="1">
              <a:off x="1632717" y="2815"/>
              <a:ext cx="0" cy="152400"/>
            </a:xfrm>
            <a:prstGeom prst="line">
              <a:avLst/>
            </a:prstGeom>
            <a:ln w="28575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Connettore 1 86">
              <a:extLst>
                <a:ext uri="{FF2B5EF4-FFF2-40B4-BE49-F238E27FC236}">
                  <a16:creationId xmlns:a16="http://schemas.microsoft.com/office/drawing/2014/main" id="{336E868F-A5EA-4B06-AB4B-1FC1E487E96B}"/>
                </a:ext>
              </a:extLst>
            </xdr:cNvPr>
            <xdr:cNvCxnSpPr/>
          </xdr:nvCxnSpPr>
          <xdr:spPr>
            <a:xfrm rot="10800000" flipH="1">
              <a:off x="1632717" y="79015"/>
              <a:ext cx="76200" cy="76200"/>
            </a:xfrm>
            <a:prstGeom prst="line">
              <a:avLst/>
            </a:prstGeom>
            <a:ln w="28575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163830</xdr:colOff>
      <xdr:row>37</xdr:row>
      <xdr:rowOff>91440</xdr:rowOff>
    </xdr:from>
    <xdr:to>
      <xdr:col>4</xdr:col>
      <xdr:colOff>544830</xdr:colOff>
      <xdr:row>37</xdr:row>
      <xdr:rowOff>91440</xdr:rowOff>
    </xdr:to>
    <xdr:cxnSp macro="">
      <xdr:nvCxnSpPr>
        <xdr:cNvPr id="115" name="Connettore 2 114">
          <a:extLst>
            <a:ext uri="{FF2B5EF4-FFF2-40B4-BE49-F238E27FC236}">
              <a16:creationId xmlns:a16="http://schemas.microsoft.com/office/drawing/2014/main" id="{52735FDE-2926-4EAC-9F66-635C1D962D44}"/>
            </a:ext>
          </a:extLst>
        </xdr:cNvPr>
        <xdr:cNvCxnSpPr/>
      </xdr:nvCxnSpPr>
      <xdr:spPr>
        <a:xfrm>
          <a:off x="2724150" y="6869430"/>
          <a:ext cx="381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739140</xdr:colOff>
      <xdr:row>37</xdr:row>
      <xdr:rowOff>95250</xdr:rowOff>
    </xdr:from>
    <xdr:to>
      <xdr:col>4</xdr:col>
      <xdr:colOff>1120140</xdr:colOff>
      <xdr:row>37</xdr:row>
      <xdr:rowOff>95250</xdr:rowOff>
    </xdr:to>
    <xdr:cxnSp macro="">
      <xdr:nvCxnSpPr>
        <xdr:cNvPr id="118" name="Connettore 2 117">
          <a:extLst>
            <a:ext uri="{FF2B5EF4-FFF2-40B4-BE49-F238E27FC236}">
              <a16:creationId xmlns:a16="http://schemas.microsoft.com/office/drawing/2014/main" id="{A149B762-63A8-4A10-9584-1BC13DF808FE}"/>
            </a:ext>
          </a:extLst>
        </xdr:cNvPr>
        <xdr:cNvCxnSpPr/>
      </xdr:nvCxnSpPr>
      <xdr:spPr>
        <a:xfrm>
          <a:off x="3299460" y="6873240"/>
          <a:ext cx="381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</xdr:colOff>
      <xdr:row>36</xdr:row>
      <xdr:rowOff>114300</xdr:rowOff>
    </xdr:from>
    <xdr:to>
      <xdr:col>4</xdr:col>
      <xdr:colOff>529590</xdr:colOff>
      <xdr:row>36</xdr:row>
      <xdr:rowOff>114300</xdr:rowOff>
    </xdr:to>
    <xdr:cxnSp macro="">
      <xdr:nvCxnSpPr>
        <xdr:cNvPr id="119" name="Connettore 2 118">
          <a:extLst>
            <a:ext uri="{FF2B5EF4-FFF2-40B4-BE49-F238E27FC236}">
              <a16:creationId xmlns:a16="http://schemas.microsoft.com/office/drawing/2014/main" id="{D2E9245D-9211-4A9F-856F-A3024AC64DB6}"/>
            </a:ext>
          </a:extLst>
        </xdr:cNvPr>
        <xdr:cNvCxnSpPr/>
      </xdr:nvCxnSpPr>
      <xdr:spPr>
        <a:xfrm flipH="1">
          <a:off x="2678430" y="6709410"/>
          <a:ext cx="4114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731520</xdr:colOff>
      <xdr:row>36</xdr:row>
      <xdr:rowOff>121920</xdr:rowOff>
    </xdr:from>
    <xdr:to>
      <xdr:col>4</xdr:col>
      <xdr:colOff>1143000</xdr:colOff>
      <xdr:row>36</xdr:row>
      <xdr:rowOff>121920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21BEC9C2-49B3-4C4B-91D9-3CD322B09F17}"/>
            </a:ext>
          </a:extLst>
        </xdr:cNvPr>
        <xdr:cNvCxnSpPr/>
      </xdr:nvCxnSpPr>
      <xdr:spPr>
        <a:xfrm flipH="1">
          <a:off x="3291840" y="6717030"/>
          <a:ext cx="4114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35</xdr:row>
      <xdr:rowOff>41910</xdr:rowOff>
    </xdr:from>
    <xdr:to>
      <xdr:col>5</xdr:col>
      <xdr:colOff>110490</xdr:colOff>
      <xdr:row>36</xdr:row>
      <xdr:rowOff>99060</xdr:rowOff>
    </xdr:to>
    <xdr:sp macro="" textlink="">
      <xdr:nvSpPr>
        <xdr:cNvPr id="122" name="CasellaDiTesto 121">
          <a:extLst>
            <a:ext uri="{FF2B5EF4-FFF2-40B4-BE49-F238E27FC236}">
              <a16:creationId xmlns:a16="http://schemas.microsoft.com/office/drawing/2014/main" id="{B64C4A27-ECE1-42EA-A765-613B429604D4}"/>
            </a:ext>
          </a:extLst>
        </xdr:cNvPr>
        <xdr:cNvSpPr txBox="1"/>
      </xdr:nvSpPr>
      <xdr:spPr>
        <a:xfrm>
          <a:off x="3608070" y="6469380"/>
          <a:ext cx="38481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5vs</a:t>
          </a:r>
        </a:p>
      </xdr:txBody>
    </xdr:sp>
    <xdr:clientData/>
  </xdr:twoCellAnchor>
  <xdr:twoCellAnchor>
    <xdr:from>
      <xdr:col>3</xdr:col>
      <xdr:colOff>510540</xdr:colOff>
      <xdr:row>35</xdr:row>
      <xdr:rowOff>53340</xdr:rowOff>
    </xdr:from>
    <xdr:to>
      <xdr:col>4</xdr:col>
      <xdr:colOff>175260</xdr:colOff>
      <xdr:row>36</xdr:row>
      <xdr:rowOff>91440</xdr:rowOff>
    </xdr:to>
    <xdr:sp macro="" textlink="">
      <xdr:nvSpPr>
        <xdr:cNvPr id="123" name="CasellaDiTesto 122">
          <a:extLst>
            <a:ext uri="{FF2B5EF4-FFF2-40B4-BE49-F238E27FC236}">
              <a16:creationId xmlns:a16="http://schemas.microsoft.com/office/drawing/2014/main" id="{21496099-B78D-4C8C-BE3D-29AAEB7EFF86}"/>
            </a:ext>
          </a:extLst>
        </xdr:cNvPr>
        <xdr:cNvSpPr txBox="1"/>
      </xdr:nvSpPr>
      <xdr:spPr>
        <a:xfrm>
          <a:off x="2430780" y="6480810"/>
          <a:ext cx="3048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1'</a:t>
          </a:r>
        </a:p>
      </xdr:txBody>
    </xdr:sp>
    <xdr:clientData/>
  </xdr:twoCellAnchor>
  <xdr:twoCellAnchor>
    <xdr:from>
      <xdr:col>4</xdr:col>
      <xdr:colOff>1143000</xdr:colOff>
      <xdr:row>36</xdr:row>
      <xdr:rowOff>156210</xdr:rowOff>
    </xdr:from>
    <xdr:to>
      <xdr:col>4</xdr:col>
      <xdr:colOff>1318260</xdr:colOff>
      <xdr:row>38</xdr:row>
      <xdr:rowOff>53340</xdr:rowOff>
    </xdr:to>
    <xdr:sp macro="" textlink="">
      <xdr:nvSpPr>
        <xdr:cNvPr id="124" name="CasellaDiTesto 123">
          <a:extLst>
            <a:ext uri="{FF2B5EF4-FFF2-40B4-BE49-F238E27FC236}">
              <a16:creationId xmlns:a16="http://schemas.microsoft.com/office/drawing/2014/main" id="{6A18A0E7-FD87-4949-9FB1-A6E25F14B087}"/>
            </a:ext>
          </a:extLst>
        </xdr:cNvPr>
        <xdr:cNvSpPr txBox="1"/>
      </xdr:nvSpPr>
      <xdr:spPr>
        <a:xfrm>
          <a:off x="3703320" y="6766560"/>
          <a:ext cx="175260" cy="26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3</a:t>
          </a:r>
        </a:p>
      </xdr:txBody>
    </xdr:sp>
    <xdr:clientData/>
  </xdr:twoCellAnchor>
  <xdr:twoCellAnchor>
    <xdr:from>
      <xdr:col>3</xdr:col>
      <xdr:colOff>613410</xdr:colOff>
      <xdr:row>36</xdr:row>
      <xdr:rowOff>156210</xdr:rowOff>
    </xdr:from>
    <xdr:to>
      <xdr:col>4</xdr:col>
      <xdr:colOff>167640</xdr:colOff>
      <xdr:row>38</xdr:row>
      <xdr:rowOff>53340</xdr:rowOff>
    </xdr:to>
    <xdr:sp macro="" textlink="">
      <xdr:nvSpPr>
        <xdr:cNvPr id="125" name="CasellaDiTesto 124">
          <a:extLst>
            <a:ext uri="{FF2B5EF4-FFF2-40B4-BE49-F238E27FC236}">
              <a16:creationId xmlns:a16="http://schemas.microsoft.com/office/drawing/2014/main" id="{74FBD81A-EF58-448D-93BE-381C19E3D6D8}"/>
            </a:ext>
          </a:extLst>
        </xdr:cNvPr>
        <xdr:cNvSpPr txBox="1"/>
      </xdr:nvSpPr>
      <xdr:spPr>
        <a:xfrm>
          <a:off x="2533650" y="6751320"/>
          <a:ext cx="194310" cy="26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2</a:t>
          </a:r>
        </a:p>
      </xdr:txBody>
    </xdr:sp>
    <xdr:clientData/>
  </xdr:twoCellAnchor>
  <xdr:twoCellAnchor>
    <xdr:from>
      <xdr:col>4</xdr:col>
      <xdr:colOff>327660</xdr:colOff>
      <xdr:row>31</xdr:row>
      <xdr:rowOff>177165</xdr:rowOff>
    </xdr:from>
    <xdr:to>
      <xdr:col>4</xdr:col>
      <xdr:colOff>828675</xdr:colOff>
      <xdr:row>31</xdr:row>
      <xdr:rowOff>177165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C03EAF70-FFD7-439B-ACA6-143680FBBC27}"/>
            </a:ext>
          </a:extLst>
        </xdr:cNvPr>
        <xdr:cNvCxnSpPr/>
      </xdr:nvCxnSpPr>
      <xdr:spPr>
        <a:xfrm>
          <a:off x="2887980" y="5865495"/>
          <a:ext cx="5010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512862</xdr:colOff>
      <xdr:row>12</xdr:row>
      <xdr:rowOff>129865</xdr:rowOff>
    </xdr:from>
    <xdr:to>
      <xdr:col>12</xdr:col>
      <xdr:colOff>249590</xdr:colOff>
      <xdr:row>16</xdr:row>
      <xdr:rowOff>150813</xdr:rowOff>
    </xdr:to>
    <xdr:pic>
      <xdr:nvPicPr>
        <xdr:cNvPr id="63" name="Immagine 62">
          <a:extLst>
            <a:ext uri="{FF2B5EF4-FFF2-40B4-BE49-F238E27FC236}">
              <a16:creationId xmlns:a16="http://schemas.microsoft.com/office/drawing/2014/main" id="{DF89198D-5A4E-409E-820C-470575A7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081" y="2336490"/>
          <a:ext cx="2622009" cy="7511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ogi\AppData\Roaming\Microsoft\AddIns\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Props1SI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B4E2-2499-4AA7-8016-B0EDEB4FAF73}">
  <sheetPr codeName="Foglio1"/>
  <dimension ref="A1:W44"/>
  <sheetViews>
    <sheetView zoomScale="99" zoomScaleNormal="99" workbookViewId="0">
      <selection activeCell="O3" sqref="O3"/>
    </sheetView>
  </sheetViews>
  <sheetFormatPr defaultRowHeight="14.4"/>
  <cols>
    <col min="5" max="5" width="18.26171875" bestFit="1" customWidth="1"/>
    <col min="6" max="6" width="10.734375" customWidth="1"/>
    <col min="7" max="7" width="4.68359375" customWidth="1"/>
    <col min="8" max="8" width="4.3125" customWidth="1"/>
    <col min="9" max="9" width="9.3125" customWidth="1"/>
    <col min="10" max="10" width="11.15625" bestFit="1" customWidth="1"/>
    <col min="11" max="11" width="9.734375" bestFit="1" customWidth="1"/>
    <col min="12" max="12" width="9.578125" customWidth="1"/>
    <col min="13" max="13" width="11.20703125" customWidth="1"/>
    <col min="17" max="23" width="8.83984375" style="6"/>
  </cols>
  <sheetData>
    <row r="1" spans="1:20" ht="14.7" thickBot="1">
      <c r="A1" s="31" t="s">
        <v>73</v>
      </c>
      <c r="E1" s="32" t="s">
        <v>75</v>
      </c>
      <c r="F1" s="33"/>
      <c r="I1" s="43" t="s">
        <v>76</v>
      </c>
    </row>
    <row r="2" spans="1:20" ht="14.7">
      <c r="A2" s="5" t="s">
        <v>25</v>
      </c>
      <c r="B2" s="4" t="s">
        <v>241</v>
      </c>
      <c r="C2" s="4"/>
      <c r="E2" s="40" t="s">
        <v>70</v>
      </c>
      <c r="F2" s="35">
        <f>B3*B18</f>
        <v>481.14855361316467</v>
      </c>
      <c r="G2" s="36" t="s">
        <v>69</v>
      </c>
      <c r="I2" s="44" t="s">
        <v>77</v>
      </c>
      <c r="J2" s="26" t="s">
        <v>17</v>
      </c>
      <c r="K2" s="26" t="s">
        <v>13</v>
      </c>
      <c r="L2" s="26" t="s">
        <v>1</v>
      </c>
      <c r="M2" s="26" t="s">
        <v>14</v>
      </c>
      <c r="N2" s="26" t="s">
        <v>15</v>
      </c>
      <c r="O2" s="125" t="s">
        <v>238</v>
      </c>
      <c r="P2" s="27" t="s">
        <v>16</v>
      </c>
    </row>
    <row r="3" spans="1:20">
      <c r="A3" s="5" t="s">
        <v>18</v>
      </c>
      <c r="B3" s="4">
        <v>1</v>
      </c>
      <c r="C3" s="4" t="s">
        <v>19</v>
      </c>
      <c r="E3" s="41" t="s">
        <v>71</v>
      </c>
      <c r="F3" s="34">
        <f>J8</f>
        <v>9.5998710274606269E-2</v>
      </c>
      <c r="G3" s="37" t="s">
        <v>19</v>
      </c>
      <c r="I3" s="28">
        <v>1</v>
      </c>
      <c r="J3" s="13">
        <f>B3</f>
        <v>1</v>
      </c>
      <c r="K3" s="14">
        <f>B5</f>
        <v>1</v>
      </c>
      <c r="L3" s="15">
        <f>B4</f>
        <v>10</v>
      </c>
      <c r="M3" s="13">
        <f>B10</f>
        <v>293.65011490182167</v>
      </c>
      <c r="N3" s="13" cm="1">
        <f t="array" ref="N3">[1]!PropsSI("S","P",K3*100000,"H",M3*1000,$B$2)/1000</f>
        <v>6.7854560224029932</v>
      </c>
      <c r="O3" s="13" cm="1">
        <f t="array" ref="O3">[1]!PropsSI("D","P",K3*100000,"H",M3*1000,$B$2)</f>
        <v>1.1903110446725322</v>
      </c>
      <c r="P3" s="16" t="s">
        <v>47</v>
      </c>
    </row>
    <row r="4" spans="1:20">
      <c r="A4" s="5" t="s">
        <v>20</v>
      </c>
      <c r="B4" s="4">
        <v>10</v>
      </c>
      <c r="C4" s="4" t="s">
        <v>21</v>
      </c>
      <c r="E4" s="42" t="s">
        <v>72</v>
      </c>
      <c r="F4" s="38">
        <f>B18*B3/J8</f>
        <v>5012.0314349727141</v>
      </c>
      <c r="G4" s="39" t="s">
        <v>28</v>
      </c>
      <c r="I4" s="29">
        <v>2</v>
      </c>
      <c r="J4" s="17">
        <f>J3</f>
        <v>1</v>
      </c>
      <c r="K4" s="18">
        <f>B6</f>
        <v>300</v>
      </c>
      <c r="L4" s="19">
        <f>B11</f>
        <v>10</v>
      </c>
      <c r="M4" s="17">
        <f>B12</f>
        <v>249.69019113355267</v>
      </c>
      <c r="N4" s="17" cm="1">
        <f t="array" ref="N4">[1]!PropsSI("S","P",K4*100000,"H",M4*1000,$B$2)/1000</f>
        <v>4.930931997944799</v>
      </c>
      <c r="O4" s="17" cm="1">
        <f t="array" ref="O4">[1]!PropsSI("D","P",K4*100000,"H",M4*1000,$B$2)</f>
        <v>314.43915557875175</v>
      </c>
      <c r="P4" s="20" t="s">
        <v>47</v>
      </c>
    </row>
    <row r="5" spans="1:20">
      <c r="A5" s="5" t="s">
        <v>22</v>
      </c>
      <c r="B5" s="4">
        <v>1</v>
      </c>
      <c r="C5" s="4" t="s">
        <v>7</v>
      </c>
      <c r="I5" s="29">
        <v>3</v>
      </c>
      <c r="J5" s="13">
        <f t="shared" ref="J5:J6" si="0">J4</f>
        <v>1</v>
      </c>
      <c r="K5" s="14">
        <f>K4</f>
        <v>300</v>
      </c>
      <c r="L5" s="15">
        <f>B7</f>
        <v>-110</v>
      </c>
      <c r="M5" s="13">
        <f>B21</f>
        <v>57.938414314168178</v>
      </c>
      <c r="N5" s="13" cm="1">
        <f t="array" ref="N5">[1]!PropsSI("S","P",K5*100000,"H",M5*1000,$B$2)/1000</f>
        <v>4.0391588216501804</v>
      </c>
      <c r="O5" s="13" cm="1">
        <f t="array" ref="O5">[1]!PropsSI("D","P",K5*100000,"H",M5*1000,$B$2)</f>
        <v>579.44527488236781</v>
      </c>
      <c r="P5" s="16" t="s">
        <v>47</v>
      </c>
    </row>
    <row r="6" spans="1:20">
      <c r="A6" s="5" t="s">
        <v>23</v>
      </c>
      <c r="B6" s="4">
        <v>300</v>
      </c>
      <c r="C6" s="4" t="s">
        <v>7</v>
      </c>
      <c r="I6" s="29">
        <v>4</v>
      </c>
      <c r="J6" s="17">
        <f t="shared" si="0"/>
        <v>1</v>
      </c>
      <c r="K6" s="18">
        <f>K3</f>
        <v>1</v>
      </c>
      <c r="L6" s="19">
        <f>B23</f>
        <v>-195.9065002693041</v>
      </c>
      <c r="M6" s="17">
        <f>B22</f>
        <v>57.938414314168178</v>
      </c>
      <c r="N6" s="17" cm="1">
        <f t="array" ref="N6">[1]!PropsSI("S","P",K6*100000,"H",M6*1000,$B$2)/1000</f>
        <v>5.1639319983649514</v>
      </c>
      <c r="O6" s="17" cm="1">
        <f t="array" ref="O6">[1]!PropsSI("D","P",K6*100000,"H",M6*1000,$B$2)</f>
        <v>5.0373262128920242</v>
      </c>
      <c r="P6" s="21">
        <f>B24</f>
        <v>0.90400128972539373</v>
      </c>
    </row>
    <row r="7" spans="1:20">
      <c r="A7" s="5" t="s">
        <v>24</v>
      </c>
      <c r="B7" s="4">
        <v>-110</v>
      </c>
      <c r="C7" s="4" t="s">
        <v>21</v>
      </c>
      <c r="I7" s="29" t="s">
        <v>10</v>
      </c>
      <c r="J7" s="13">
        <f>B31</f>
        <v>0.90400128972539373</v>
      </c>
      <c r="K7" s="14">
        <f>K6</f>
        <v>1</v>
      </c>
      <c r="L7" s="15" cm="1">
        <f t="array" ref="L7">[1]!PropsSI("T","P",K7*100000,"Q",P7,$B$2)-273.15</f>
        <v>-195.9065002693041</v>
      </c>
      <c r="M7" s="13">
        <f>B29</f>
        <v>77.072847140133788</v>
      </c>
      <c r="N7" s="13" cm="1">
        <f t="array" ref="N7">[1]!PropsSI("S","P",K7*100000,"H",M7*1000,$B$2)/1000</f>
        <v>5.4116477659399145</v>
      </c>
      <c r="O7" s="13" cm="1">
        <f t="array" ref="O7">[1]!PropsSI("D","P",K7*100000,"H",M7*1000,$B$2)</f>
        <v>4.5564811496047275</v>
      </c>
      <c r="P7" s="16">
        <v>1</v>
      </c>
    </row>
    <row r="8" spans="1:20" ht="14.7" thickBot="1">
      <c r="C8" s="1"/>
      <c r="I8" s="29" t="s">
        <v>11</v>
      </c>
      <c r="J8" s="17">
        <f>B32</f>
        <v>9.5998710274606269E-2</v>
      </c>
      <c r="K8" s="18">
        <f>K7</f>
        <v>1</v>
      </c>
      <c r="L8" s="19" cm="1">
        <f t="array" ref="L8">[1]!PropsSI("T","P",K8*100000,"Q",P8,$B$2)-273.15</f>
        <v>-195.9065002693041</v>
      </c>
      <c r="M8" s="17">
        <f>B30</f>
        <v>-122.24683925181036</v>
      </c>
      <c r="N8" s="17" cm="1">
        <f t="array" ref="N8">[1]!PropsSI("S","P",K8*100000,"H",M8*1000,$B$2)/1000</f>
        <v>2.8312405201928965</v>
      </c>
      <c r="O8" s="17" cm="1">
        <f t="array" ref="O8">[1]!PropsSI("D","P",K8*100000,"H",M8*1000,$B$2)</f>
        <v>806.59046944383363</v>
      </c>
      <c r="P8" s="20">
        <v>0</v>
      </c>
    </row>
    <row r="9" spans="1:20">
      <c r="A9" s="45" t="s">
        <v>26</v>
      </c>
      <c r="B9" s="46"/>
      <c r="C9" s="46"/>
      <c r="D9" s="46"/>
      <c r="E9" s="46"/>
      <c r="F9" s="47"/>
      <c r="I9" s="29" t="s">
        <v>12</v>
      </c>
      <c r="J9" s="13">
        <f>J7</f>
        <v>0.90400128972539373</v>
      </c>
      <c r="K9" s="14">
        <v>1</v>
      </c>
      <c r="L9" s="15">
        <f>B38</f>
        <v>5.7143932521114493</v>
      </c>
      <c r="M9" s="13">
        <f>B37</f>
        <v>289.18734188563627</v>
      </c>
      <c r="N9" s="13" cm="1">
        <f t="array" ref="N9">[1]!PropsSI("S","P",K9*100000,"H",M9*1000,$B$2)/1000</f>
        <v>6.7695743663961379</v>
      </c>
      <c r="O9" s="13" cm="1">
        <f t="array" ref="O9">[1]!PropsSI("D","P",K9*100000,"H",M9*1000,$B$2)</f>
        <v>1.2086599771175042</v>
      </c>
      <c r="P9" s="16" t="s">
        <v>47</v>
      </c>
    </row>
    <row r="10" spans="1:20" ht="14.7" thickBot="1">
      <c r="A10" s="48" t="s">
        <v>27</v>
      </c>
      <c r="B10" s="49" cm="1">
        <f t="array" ref="B10">[1]!PropsSI("H","P",B5*100000,"T",B4+273.15,$B$2)/1000</f>
        <v>293.65011490182167</v>
      </c>
      <c r="C10" s="50" t="s">
        <v>28</v>
      </c>
      <c r="D10" s="51"/>
      <c r="E10" s="52"/>
      <c r="F10" s="53"/>
      <c r="G10" s="7"/>
      <c r="H10" s="3"/>
      <c r="I10" s="30" t="s">
        <v>67</v>
      </c>
      <c r="J10" s="22">
        <f>B41</f>
        <v>9.5998710274606269E-2</v>
      </c>
      <c r="K10" s="23">
        <f>K9</f>
        <v>1</v>
      </c>
      <c r="L10" s="24">
        <f>B43</f>
        <v>50.354834109764056</v>
      </c>
      <c r="M10" s="22">
        <f>B42</f>
        <v>335.675185351653</v>
      </c>
      <c r="N10" s="22" cm="1">
        <f t="array" ref="N10">[1]!PropsSI("S","P",K10*100000,"H",M10*1000,$B$2)/1000</f>
        <v>6.9242074356762311</v>
      </c>
      <c r="O10" s="22" cm="1">
        <f t="array" ref="O10">[1]!PropsSI("D","P",K10*100000,"H",M10*1000,$B$2)</f>
        <v>1.0414919167539576</v>
      </c>
      <c r="P10" s="25" t="s">
        <v>47</v>
      </c>
      <c r="Q10" s="8"/>
      <c r="R10" s="8"/>
      <c r="S10" s="8"/>
      <c r="T10" s="8"/>
    </row>
    <row r="11" spans="1:20">
      <c r="A11" s="48" t="s">
        <v>30</v>
      </c>
      <c r="B11" s="49">
        <f>B4</f>
        <v>10</v>
      </c>
      <c r="C11" s="50" t="s">
        <v>21</v>
      </c>
      <c r="D11" s="51"/>
      <c r="E11" s="52"/>
      <c r="F11" s="53"/>
      <c r="G11" s="7"/>
      <c r="H11" s="7"/>
      <c r="I11" s="9"/>
      <c r="J11" s="112">
        <f>'T-s'!W7</f>
        <v>4.2856067478885507</v>
      </c>
      <c r="K11" s="10"/>
      <c r="L11" s="9"/>
      <c r="M11" s="9"/>
      <c r="N11" s="11"/>
      <c r="O11" s="11"/>
      <c r="P11" s="12"/>
      <c r="Q11" s="8"/>
      <c r="R11" s="8"/>
      <c r="S11" s="8"/>
      <c r="T11" s="8"/>
    </row>
    <row r="12" spans="1:20">
      <c r="A12" s="48" t="s">
        <v>29</v>
      </c>
      <c r="B12" s="49" cm="1">
        <f t="array" ref="B12">[1]!PropsSI("H","P",B6*100000,"T",B11+273.15,$B$2)/1000</f>
        <v>249.69019113355267</v>
      </c>
      <c r="C12" s="50" t="s">
        <v>28</v>
      </c>
      <c r="D12" s="51"/>
      <c r="E12" s="52"/>
      <c r="F12" s="53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</row>
    <row r="13" spans="1:20">
      <c r="A13" s="48" t="s">
        <v>35</v>
      </c>
      <c r="B13" s="49">
        <f>B12-B10</f>
        <v>-43.959923768268993</v>
      </c>
      <c r="C13" s="50" t="s">
        <v>28</v>
      </c>
      <c r="D13" s="51"/>
      <c r="E13" s="52"/>
      <c r="F13" s="53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  <c r="T13" s="8"/>
    </row>
    <row r="14" spans="1:20">
      <c r="A14" s="48" t="s">
        <v>31</v>
      </c>
      <c r="B14" s="49" cm="1">
        <f t="array" ref="B14">[1]!PropsSI("S","P",B6*100000,"T",B11+273.15,$B$2)/1000</f>
        <v>4.9309319984520954</v>
      </c>
      <c r="C14" s="50" t="s">
        <v>33</v>
      </c>
      <c r="D14" s="51"/>
      <c r="E14" s="52"/>
      <c r="F14" s="53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</row>
    <row r="15" spans="1:20">
      <c r="A15" s="48" t="s">
        <v>32</v>
      </c>
      <c r="B15" s="49" cm="1">
        <f t="array" ref="B15">[1]!PropsSI("S","P",B5*100000,"T",B4+273.15,$B$2)/1000</f>
        <v>6.7854560224020641</v>
      </c>
      <c r="C15" s="50" t="s">
        <v>33</v>
      </c>
      <c r="D15" s="51"/>
      <c r="E15" s="52"/>
      <c r="F15" s="53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</row>
    <row r="16" spans="1:20">
      <c r="A16" s="48" t="s">
        <v>34</v>
      </c>
      <c r="B16" s="49">
        <f>B14-B15</f>
        <v>-1.8545240239499687</v>
      </c>
      <c r="C16" s="50" t="s">
        <v>33</v>
      </c>
      <c r="D16" s="51"/>
      <c r="E16" s="52"/>
      <c r="F16" s="53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20">
      <c r="A17" s="48" t="s">
        <v>36</v>
      </c>
      <c r="B17" s="49">
        <f>(B11+273.15)*B16</f>
        <v>-525.10847738143366</v>
      </c>
      <c r="C17" s="50" t="s">
        <v>28</v>
      </c>
      <c r="D17" s="51"/>
      <c r="E17" s="52"/>
      <c r="F17" s="53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</row>
    <row r="18" spans="1:20">
      <c r="A18" s="48" t="s">
        <v>74</v>
      </c>
      <c r="B18" s="49">
        <f>B13-B17</f>
        <v>481.14855361316467</v>
      </c>
      <c r="C18" s="50" t="s">
        <v>28</v>
      </c>
      <c r="D18" s="51"/>
      <c r="E18" s="54"/>
      <c r="F18" s="53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</row>
    <row r="19" spans="1:20" ht="14.7" thickBot="1">
      <c r="A19" s="55"/>
      <c r="B19" s="56"/>
      <c r="C19" s="56"/>
      <c r="D19" s="57"/>
      <c r="E19" s="58"/>
      <c r="F19" s="59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</row>
    <row r="20" spans="1:20">
      <c r="A20" s="60" t="s">
        <v>37</v>
      </c>
      <c r="B20" s="61"/>
      <c r="C20" s="61"/>
      <c r="D20" s="62"/>
      <c r="E20" s="63"/>
      <c r="F20" s="64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</row>
    <row r="21" spans="1:20">
      <c r="A21" s="65" t="s">
        <v>38</v>
      </c>
      <c r="B21" s="66" cm="1">
        <f t="array" ref="B21">[1]!PropsSI("H","P",K5*100000,"T",B7+273.15,$B$2)/1000</f>
        <v>57.938414314168178</v>
      </c>
      <c r="C21" s="67" t="s">
        <v>28</v>
      </c>
      <c r="D21" s="68"/>
      <c r="E21" s="69"/>
      <c r="F21" s="70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  <c r="T21" s="8"/>
    </row>
    <row r="22" spans="1:20">
      <c r="A22" s="65" t="s">
        <v>39</v>
      </c>
      <c r="B22" s="66">
        <f>B21</f>
        <v>57.938414314168178</v>
      </c>
      <c r="C22" s="67" t="s">
        <v>28</v>
      </c>
      <c r="D22" s="68"/>
      <c r="E22" s="69"/>
      <c r="F22" s="70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</row>
    <row r="23" spans="1:20">
      <c r="A23" s="65" t="s">
        <v>40</v>
      </c>
      <c r="B23" s="66" cm="1">
        <f t="array" ref="B23">[1]!PropsSI("T","P",K6*100000,"H",B22*1000,$B$2)-273.15</f>
        <v>-195.9065002693041</v>
      </c>
      <c r="C23" s="67" t="s">
        <v>21</v>
      </c>
      <c r="D23" s="68"/>
      <c r="E23" s="69"/>
      <c r="F23" s="70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8"/>
      <c r="S23" s="8"/>
      <c r="T23" s="8"/>
    </row>
    <row r="24" spans="1:20">
      <c r="A24" s="65" t="s">
        <v>46</v>
      </c>
      <c r="B24" s="66" cm="1">
        <f t="array" ref="B24">[1]!PropsSI("Q","P",K6*100000,"H",B22*1000,$B$2)</f>
        <v>0.90400128972539373</v>
      </c>
      <c r="C24" s="67" t="s">
        <v>47</v>
      </c>
      <c r="D24" s="68"/>
      <c r="E24" s="68"/>
      <c r="F24" s="71"/>
    </row>
    <row r="25" spans="1:20">
      <c r="A25" s="65" t="s">
        <v>36</v>
      </c>
      <c r="B25" s="66">
        <f>0</f>
        <v>0</v>
      </c>
      <c r="C25" s="67" t="s">
        <v>28</v>
      </c>
      <c r="D25" s="68"/>
      <c r="E25" s="68"/>
      <c r="F25" s="71"/>
    </row>
    <row r="26" spans="1:20">
      <c r="A26" s="65" t="s">
        <v>41</v>
      </c>
      <c r="B26" s="66">
        <f>0</f>
        <v>0</v>
      </c>
      <c r="C26" s="67" t="s">
        <v>28</v>
      </c>
      <c r="D26" s="68"/>
      <c r="E26" s="68"/>
      <c r="F26" s="71"/>
    </row>
    <row r="27" spans="1:20" ht="14.7" thickBot="1">
      <c r="A27" s="72"/>
      <c r="B27" s="73"/>
      <c r="C27" s="73"/>
      <c r="D27" s="73"/>
      <c r="E27" s="73"/>
      <c r="F27" s="74"/>
    </row>
    <row r="28" spans="1:20">
      <c r="A28" s="75" t="s">
        <v>42</v>
      </c>
      <c r="B28" s="76"/>
      <c r="C28" s="77"/>
      <c r="D28" s="78"/>
      <c r="E28" s="78"/>
      <c r="F28" s="79"/>
    </row>
    <row r="29" spans="1:20">
      <c r="A29" s="80" t="s">
        <v>43</v>
      </c>
      <c r="B29" s="81" cm="1">
        <f t="array" ref="B29">[1]!PropsSI("H","P",K7*100000,"Q",P7,$B$2)/1000</f>
        <v>77.072847140133788</v>
      </c>
      <c r="C29" s="82" t="s">
        <v>28</v>
      </c>
      <c r="D29" s="83"/>
      <c r="E29" s="83"/>
      <c r="F29" s="84"/>
    </row>
    <row r="30" spans="1:20">
      <c r="A30" s="80" t="s">
        <v>44</v>
      </c>
      <c r="B30" s="81" cm="1">
        <f t="array" ref="B30">[1]!PropsSI("H","P",K8*100000,"Q",P8,$B$2)/1000</f>
        <v>-122.24683925181036</v>
      </c>
      <c r="C30" s="82" t="s">
        <v>28</v>
      </c>
      <c r="D30" s="83"/>
      <c r="E30" s="83"/>
      <c r="F30" s="84"/>
    </row>
    <row r="31" spans="1:20">
      <c r="A31" s="80" t="s">
        <v>45</v>
      </c>
      <c r="B31" s="81">
        <f>J6*P6</f>
        <v>0.90400128972539373</v>
      </c>
      <c r="C31" s="82" t="s">
        <v>19</v>
      </c>
      <c r="D31" s="83"/>
      <c r="E31" s="83"/>
      <c r="F31" s="84"/>
    </row>
    <row r="32" spans="1:20">
      <c r="A32" s="80" t="s">
        <v>48</v>
      </c>
      <c r="B32" s="81">
        <f>J6-B31</f>
        <v>9.5998710274606269E-2</v>
      </c>
      <c r="C32" s="82" t="s">
        <v>19</v>
      </c>
      <c r="D32" s="83"/>
      <c r="E32" s="83"/>
      <c r="F32" s="84"/>
    </row>
    <row r="33" spans="1:6">
      <c r="A33" s="80" t="s">
        <v>36</v>
      </c>
      <c r="B33" s="81">
        <v>0</v>
      </c>
      <c r="C33" s="82" t="s">
        <v>28</v>
      </c>
      <c r="D33" s="83"/>
      <c r="E33" s="83"/>
      <c r="F33" s="84"/>
    </row>
    <row r="34" spans="1:6">
      <c r="A34" s="80" t="s">
        <v>41</v>
      </c>
      <c r="B34" s="81">
        <v>0</v>
      </c>
      <c r="C34" s="82" t="s">
        <v>28</v>
      </c>
      <c r="D34" s="83"/>
      <c r="E34" s="83"/>
      <c r="F34" s="84"/>
    </row>
    <row r="35" spans="1:6" ht="14.7" thickBot="1">
      <c r="A35" s="85"/>
      <c r="B35" s="86"/>
      <c r="C35" s="86"/>
      <c r="D35" s="87"/>
      <c r="E35" s="87"/>
      <c r="F35" s="88"/>
    </row>
    <row r="36" spans="1:6">
      <c r="A36" s="100" t="s">
        <v>49</v>
      </c>
      <c r="B36" s="101"/>
      <c r="C36" s="101"/>
      <c r="D36" s="102"/>
      <c r="E36" s="102"/>
      <c r="F36" s="103"/>
    </row>
    <row r="37" spans="1:6">
      <c r="A37" s="104" t="s">
        <v>50</v>
      </c>
      <c r="B37" s="105">
        <f>(B31*B29+J4*M4-J5*M5)/J9</f>
        <v>289.18734188563627</v>
      </c>
      <c r="C37" s="105" t="s">
        <v>28</v>
      </c>
      <c r="D37" s="106"/>
      <c r="E37" s="106"/>
      <c r="F37" s="107"/>
    </row>
    <row r="38" spans="1:6">
      <c r="A38" s="104" t="s">
        <v>51</v>
      </c>
      <c r="B38" s="105" cm="1">
        <f t="array" ref="B38">[1]!PropsSI("T","P",K9*100000,"H",B37*1000,$B$2)-273.15</f>
        <v>5.7143932521114493</v>
      </c>
      <c r="C38" s="105" t="s">
        <v>21</v>
      </c>
      <c r="D38" s="106"/>
      <c r="E38" s="106"/>
      <c r="F38" s="107"/>
    </row>
    <row r="39" spans="1:6" ht="14.7" thickBot="1">
      <c r="A39" s="108"/>
      <c r="B39" s="109"/>
      <c r="C39" s="109"/>
      <c r="D39" s="110"/>
      <c r="E39" s="110"/>
      <c r="F39" s="111"/>
    </row>
    <row r="40" spans="1:6">
      <c r="A40" s="89" t="s">
        <v>52</v>
      </c>
      <c r="B40" s="90"/>
      <c r="C40" s="90"/>
      <c r="D40" s="91"/>
      <c r="E40" s="91"/>
      <c r="F40" s="92"/>
    </row>
    <row r="41" spans="1:6">
      <c r="A41" s="93" t="s">
        <v>53</v>
      </c>
      <c r="B41" s="94">
        <f>B32</f>
        <v>9.5998710274606269E-2</v>
      </c>
      <c r="C41" s="94" t="s">
        <v>19</v>
      </c>
      <c r="D41" s="95"/>
      <c r="E41" s="95"/>
      <c r="F41" s="96"/>
    </row>
    <row r="42" spans="1:6">
      <c r="A42" s="93" t="s">
        <v>54</v>
      </c>
      <c r="B42" s="94">
        <f>(J3*M3-J9*M9)/B41</f>
        <v>335.675185351653</v>
      </c>
      <c r="C42" s="94" t="s">
        <v>28</v>
      </c>
      <c r="D42" s="95"/>
      <c r="E42" s="95"/>
      <c r="F42" s="96"/>
    </row>
    <row r="43" spans="1:6">
      <c r="A43" s="93" t="s">
        <v>55</v>
      </c>
      <c r="B43" s="94" cm="1">
        <f t="array" ref="B43">[1]!PropsSI("T","P",K9*100000,"H",B42*1000,$B$2)-273.15</f>
        <v>50.354834109764056</v>
      </c>
      <c r="C43" s="94" t="s">
        <v>21</v>
      </c>
      <c r="D43" s="95"/>
      <c r="E43" s="95"/>
      <c r="F43" s="96"/>
    </row>
    <row r="44" spans="1:6" ht="14.7" thickBot="1">
      <c r="A44" s="97"/>
      <c r="B44" s="98"/>
      <c r="C44" s="98"/>
      <c r="D44" s="98"/>
      <c r="E44" s="98"/>
      <c r="F44" s="99"/>
    </row>
  </sheetData>
  <scenarios current="0" show="0" sqref="B18">
    <scenario name="pp" count="1" user="Andrea giostri" comment="Creato da: Andrea giostri il 25/10/2020_x000a_Modificato da: Andrea giostri il 25/10/2020">
      <inputCells r="B6" val="200;150"/>
    </scenario>
  </scenario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9F6D-6131-44D6-B10D-739459AAD51F}">
  <sheetPr codeName="Foglio3"/>
  <dimension ref="A1:F15"/>
  <sheetViews>
    <sheetView tabSelected="1" workbookViewId="0">
      <selection activeCell="F7" sqref="F7"/>
    </sheetView>
  </sheetViews>
  <sheetFormatPr defaultRowHeight="14.4"/>
  <cols>
    <col min="1" max="1" width="3.62890625" customWidth="1"/>
    <col min="2" max="2" width="15.89453125" customWidth="1"/>
    <col min="3" max="3" width="21.15625" customWidth="1"/>
    <col min="4" max="4" width="4.7890625" customWidth="1"/>
  </cols>
  <sheetData>
    <row r="1" spans="1:6">
      <c r="A1" s="116"/>
      <c r="B1" s="116"/>
      <c r="C1" s="116"/>
      <c r="D1" s="116"/>
    </row>
    <row r="2" spans="1:6" ht="20.399999999999999">
      <c r="A2" s="116"/>
      <c r="B2" s="129" t="s">
        <v>221</v>
      </c>
      <c r="C2" s="130"/>
      <c r="D2" s="116"/>
    </row>
    <row r="3" spans="1:6">
      <c r="A3" s="116"/>
      <c r="B3" s="116"/>
      <c r="C3" s="116"/>
      <c r="D3" s="116"/>
    </row>
    <row r="4" spans="1:6">
      <c r="A4" s="116"/>
      <c r="B4" s="119" t="s">
        <v>25</v>
      </c>
      <c r="C4" s="120" t="s">
        <v>242</v>
      </c>
      <c r="D4" s="116"/>
    </row>
    <row r="5" spans="1:6">
      <c r="A5" s="116"/>
      <c r="B5" s="116"/>
      <c r="C5" s="121"/>
      <c r="D5" s="116"/>
    </row>
    <row r="6" spans="1:6">
      <c r="A6" s="116"/>
      <c r="B6" s="119" t="s">
        <v>201</v>
      </c>
      <c r="C6" s="120" t="s">
        <v>214</v>
      </c>
      <c r="D6" s="116"/>
    </row>
    <row r="7" spans="1:6">
      <c r="A7" s="116"/>
      <c r="B7" s="117"/>
      <c r="C7" s="121"/>
      <c r="D7" s="116"/>
      <c r="F7" s="118"/>
    </row>
    <row r="8" spans="1:6">
      <c r="A8" s="116"/>
      <c r="B8" s="119" t="s">
        <v>204</v>
      </c>
      <c r="C8" s="120" t="s">
        <v>2</v>
      </c>
      <c r="D8" s="116"/>
    </row>
    <row r="9" spans="1:6">
      <c r="A9" s="116"/>
      <c r="B9" s="119" t="s">
        <v>203</v>
      </c>
      <c r="C9" s="126">
        <f>55+273</f>
        <v>328</v>
      </c>
      <c r="D9" s="116"/>
    </row>
    <row r="10" spans="1:6">
      <c r="A10" s="116"/>
      <c r="B10" s="117"/>
      <c r="C10" s="121"/>
      <c r="D10" s="116"/>
    </row>
    <row r="11" spans="1:6">
      <c r="A11" s="116"/>
      <c r="B11" s="119" t="s">
        <v>206</v>
      </c>
      <c r="C11" s="120" t="s">
        <v>222</v>
      </c>
      <c r="D11" s="116"/>
    </row>
    <row r="12" spans="1:6">
      <c r="A12" s="116"/>
      <c r="B12" s="119" t="s">
        <v>205</v>
      </c>
      <c r="C12" s="131">
        <v>0.1</v>
      </c>
      <c r="D12" s="116"/>
    </row>
    <row r="13" spans="1:6">
      <c r="A13" s="116"/>
      <c r="B13" s="116"/>
      <c r="C13" s="117"/>
      <c r="D13" s="116"/>
    </row>
    <row r="14" spans="1:6">
      <c r="A14" s="116"/>
      <c r="B14" s="119" t="s">
        <v>207</v>
      </c>
      <c r="C14" s="122">
        <f>[1]!PropsSI(LEFT(C6,FIND(" ",C6)-1),LEFT(C8,FIND(" ",C8)-1),C9,LEFT(C11,FIND(" ",C11)-1),C12,C4)</f>
        <v>15649.174465982771</v>
      </c>
      <c r="D14" s="116"/>
      <c r="E14" s="128"/>
    </row>
    <row r="15" spans="1:6">
      <c r="A15" s="116"/>
      <c r="B15" s="116"/>
      <c r="C15" s="116"/>
      <c r="D15" s="116"/>
    </row>
  </sheetData>
  <dataConsolidate/>
  <mergeCells count="1">
    <mergeCell ref="B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Input" prompt="Selezione Fluido" xr:uid="{2DF8CF04-BCFE-4C5C-9A8C-F0D928F873E7}">
          <x14:formula1>
            <xm:f>ListaFluidiProp!$A$2:$A$123</xm:f>
          </x14:formula1>
          <xm:sqref>C4</xm:sqref>
        </x14:dataValidation>
        <x14:dataValidation type="list" allowBlank="1" showInputMessage="1" showErrorMessage="1" promptTitle="Output" prompt="Proprietà di output" xr:uid="{2E62FB83-9975-49CE-93FC-0EA2DD0FA4FE}">
          <x14:formula1>
            <xm:f>ListaFluidiProp!$C$2:$C$17</xm:f>
          </x14:formula1>
          <xm:sqref>C6</xm:sqref>
        </x14:dataValidation>
        <x14:dataValidation type="list" allowBlank="1" showInputMessage="1" showErrorMessage="1" xr:uid="{9723242D-0D51-42F8-9D5B-C3B69C8B42EC}">
          <x14:formula1>
            <xm:f>ListaFluidiProp!$C$2:$C$16</xm:f>
          </x14:formula1>
          <xm:sqref>C8 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781A-ACED-4222-98F6-E3FFF1777DF4}">
  <sheetPr codeName="Foglio4"/>
  <dimension ref="A1:E314"/>
  <sheetViews>
    <sheetView workbookViewId="0">
      <selection activeCell="C2" sqref="C2:C17"/>
    </sheetView>
  </sheetViews>
  <sheetFormatPr defaultRowHeight="14.4"/>
  <cols>
    <col min="1" max="1" width="16.1015625" bestFit="1" customWidth="1"/>
    <col min="3" max="3" width="40.7890625" bestFit="1" customWidth="1"/>
    <col min="4" max="4" width="29.83984375" bestFit="1" customWidth="1"/>
  </cols>
  <sheetData>
    <row r="1" spans="1:5">
      <c r="A1" s="115" t="s">
        <v>200</v>
      </c>
      <c r="C1" s="115" t="s">
        <v>202</v>
      </c>
      <c r="E1" s="115"/>
    </row>
    <row r="2" spans="1:5">
      <c r="A2" s="113" t="s">
        <v>78</v>
      </c>
      <c r="C2" s="114" t="s">
        <v>209</v>
      </c>
      <c r="D2" s="114" t="s">
        <v>224</v>
      </c>
    </row>
    <row r="3" spans="1:5">
      <c r="A3" s="114" t="s">
        <v>79</v>
      </c>
      <c r="C3" s="113" t="s">
        <v>208</v>
      </c>
      <c r="D3" s="113" t="s">
        <v>223</v>
      </c>
    </row>
    <row r="4" spans="1:5">
      <c r="A4" s="113" t="s">
        <v>80</v>
      </c>
      <c r="C4" s="113" t="s">
        <v>210</v>
      </c>
      <c r="D4" s="113" t="s">
        <v>225</v>
      </c>
    </row>
    <row r="5" spans="1:5">
      <c r="A5" s="114" t="s">
        <v>81</v>
      </c>
      <c r="C5" s="114" t="s">
        <v>211</v>
      </c>
      <c r="D5" s="114" t="s">
        <v>226</v>
      </c>
    </row>
    <row r="6" spans="1:5">
      <c r="A6" s="113" t="s">
        <v>82</v>
      </c>
      <c r="C6" s="113" t="s">
        <v>212</v>
      </c>
      <c r="D6" s="113" t="s">
        <v>227</v>
      </c>
    </row>
    <row r="7" spans="1:5">
      <c r="A7" s="114" t="s">
        <v>83</v>
      </c>
      <c r="C7" s="114" t="s">
        <v>213</v>
      </c>
      <c r="D7" s="114" t="s">
        <v>228</v>
      </c>
    </row>
    <row r="8" spans="1:5">
      <c r="A8" s="113" t="s">
        <v>84</v>
      </c>
      <c r="C8" s="113" t="s">
        <v>214</v>
      </c>
      <c r="D8" s="113" t="s">
        <v>229</v>
      </c>
    </row>
    <row r="9" spans="1:5">
      <c r="A9" s="114" t="s">
        <v>85</v>
      </c>
      <c r="C9" s="114" t="s">
        <v>215</v>
      </c>
      <c r="D9" s="114" t="s">
        <v>230</v>
      </c>
    </row>
    <row r="10" spans="1:5">
      <c r="A10" s="113" t="s">
        <v>86</v>
      </c>
      <c r="C10" s="113" t="s">
        <v>216</v>
      </c>
      <c r="D10" s="113" t="s">
        <v>231</v>
      </c>
    </row>
    <row r="11" spans="1:5">
      <c r="A11" s="114" t="s">
        <v>87</v>
      </c>
      <c r="C11" s="113" t="s">
        <v>222</v>
      </c>
      <c r="D11" s="113" t="s">
        <v>237</v>
      </c>
    </row>
    <row r="12" spans="1:5">
      <c r="A12" s="113" t="s">
        <v>88</v>
      </c>
      <c r="C12" s="114" t="s">
        <v>217</v>
      </c>
      <c r="D12" s="114" t="s">
        <v>232</v>
      </c>
    </row>
    <row r="13" spans="1:5">
      <c r="A13" s="114" t="s">
        <v>89</v>
      </c>
      <c r="C13" s="113" t="s">
        <v>218</v>
      </c>
      <c r="D13" s="113" t="s">
        <v>233</v>
      </c>
    </row>
    <row r="14" spans="1:5">
      <c r="A14" s="113" t="s">
        <v>90</v>
      </c>
      <c r="C14" s="114" t="s">
        <v>2</v>
      </c>
      <c r="D14" s="114" t="s">
        <v>234</v>
      </c>
    </row>
    <row r="15" spans="1:5">
      <c r="A15" s="114" t="s">
        <v>91</v>
      </c>
      <c r="C15" s="113" t="s">
        <v>219</v>
      </c>
      <c r="D15" s="113" t="s">
        <v>235</v>
      </c>
    </row>
    <row r="16" spans="1:5">
      <c r="A16" s="113" t="s">
        <v>92</v>
      </c>
      <c r="C16" s="124" t="s">
        <v>239</v>
      </c>
      <c r="D16" s="124" t="s">
        <v>240</v>
      </c>
    </row>
    <row r="17" spans="1:4">
      <c r="A17" s="114" t="s">
        <v>93</v>
      </c>
      <c r="C17" s="127" t="s">
        <v>220</v>
      </c>
      <c r="D17" s="127" t="s">
        <v>236</v>
      </c>
    </row>
    <row r="18" spans="1:4">
      <c r="A18" s="113" t="s">
        <v>94</v>
      </c>
      <c r="C18" s="124"/>
    </row>
    <row r="19" spans="1:4">
      <c r="A19" s="114" t="s">
        <v>95</v>
      </c>
      <c r="C19" s="124"/>
    </row>
    <row r="20" spans="1:4">
      <c r="A20" s="113" t="s">
        <v>96</v>
      </c>
      <c r="C20" s="124"/>
    </row>
    <row r="21" spans="1:4">
      <c r="A21" s="114" t="s">
        <v>97</v>
      </c>
      <c r="C21" s="124"/>
    </row>
    <row r="22" spans="1:4">
      <c r="A22" s="113" t="s">
        <v>98</v>
      </c>
      <c r="C22" s="124"/>
    </row>
    <row r="23" spans="1:4">
      <c r="A23" s="114" t="s">
        <v>99</v>
      </c>
      <c r="C23" s="124"/>
    </row>
    <row r="24" spans="1:4">
      <c r="A24" s="113" t="s">
        <v>100</v>
      </c>
      <c r="C24" s="123"/>
    </row>
    <row r="25" spans="1:4">
      <c r="A25" s="114" t="s">
        <v>101</v>
      </c>
      <c r="C25" s="124"/>
    </row>
    <row r="26" spans="1:4">
      <c r="A26" s="113" t="s">
        <v>102</v>
      </c>
      <c r="C26" s="124"/>
    </row>
    <row r="27" spans="1:4">
      <c r="A27" s="114" t="s">
        <v>103</v>
      </c>
      <c r="C27" s="124"/>
    </row>
    <row r="28" spans="1:4">
      <c r="A28" s="113" t="s">
        <v>104</v>
      </c>
      <c r="C28" s="124"/>
    </row>
    <row r="29" spans="1:4">
      <c r="A29" s="114" t="s">
        <v>105</v>
      </c>
      <c r="C29" s="124"/>
    </row>
    <row r="30" spans="1:4">
      <c r="A30" s="113" t="s">
        <v>106</v>
      </c>
      <c r="C30" s="124"/>
    </row>
    <row r="31" spans="1:4">
      <c r="A31" s="114" t="s">
        <v>107</v>
      </c>
      <c r="C31" s="124"/>
    </row>
    <row r="32" spans="1:4">
      <c r="A32" s="113" t="s">
        <v>108</v>
      </c>
      <c r="C32" s="124"/>
    </row>
    <row r="33" spans="1:3">
      <c r="A33" s="114" t="s">
        <v>109</v>
      </c>
      <c r="C33" s="124"/>
    </row>
    <row r="34" spans="1:3">
      <c r="A34" s="113" t="s">
        <v>110</v>
      </c>
      <c r="C34" s="124"/>
    </row>
    <row r="35" spans="1:3">
      <c r="A35" s="114" t="s">
        <v>111</v>
      </c>
      <c r="C35" s="124"/>
    </row>
    <row r="36" spans="1:3">
      <c r="A36" s="113" t="s">
        <v>112</v>
      </c>
      <c r="C36" s="124"/>
    </row>
    <row r="37" spans="1:3">
      <c r="A37" s="114" t="s">
        <v>113</v>
      </c>
      <c r="C37" s="124"/>
    </row>
    <row r="38" spans="1:3">
      <c r="A38" s="113" t="s">
        <v>114</v>
      </c>
      <c r="C38" s="124"/>
    </row>
    <row r="39" spans="1:3">
      <c r="A39" s="114" t="s">
        <v>115</v>
      </c>
      <c r="C39" s="124"/>
    </row>
    <row r="40" spans="1:3">
      <c r="A40" s="113" t="s">
        <v>116</v>
      </c>
      <c r="C40" s="124"/>
    </row>
    <row r="41" spans="1:3">
      <c r="A41" s="114" t="s">
        <v>117</v>
      </c>
      <c r="C41" s="124"/>
    </row>
    <row r="42" spans="1:3">
      <c r="A42" s="113" t="s">
        <v>118</v>
      </c>
      <c r="C42" s="124"/>
    </row>
    <row r="43" spans="1:3">
      <c r="A43" s="114" t="s">
        <v>119</v>
      </c>
      <c r="C43" s="124"/>
    </row>
    <row r="44" spans="1:3">
      <c r="A44" s="113" t="s">
        <v>120</v>
      </c>
      <c r="C44" s="124"/>
    </row>
    <row r="45" spans="1:3">
      <c r="A45" s="114" t="s">
        <v>121</v>
      </c>
      <c r="C45" s="124"/>
    </row>
    <row r="46" spans="1:3">
      <c r="A46" s="113" t="s">
        <v>122</v>
      </c>
      <c r="C46" s="124"/>
    </row>
    <row r="47" spans="1:3">
      <c r="A47" s="114" t="s">
        <v>123</v>
      </c>
      <c r="C47" s="124"/>
    </row>
    <row r="48" spans="1:3">
      <c r="A48" s="113" t="s">
        <v>124</v>
      </c>
      <c r="C48" s="124"/>
    </row>
    <row r="49" spans="1:3">
      <c r="A49" s="114" t="s">
        <v>125</v>
      </c>
      <c r="C49" s="124"/>
    </row>
    <row r="50" spans="1:3">
      <c r="A50" s="113" t="s">
        <v>126</v>
      </c>
      <c r="C50" s="124"/>
    </row>
    <row r="51" spans="1:3">
      <c r="A51" s="114" t="s">
        <v>127</v>
      </c>
      <c r="C51" s="123"/>
    </row>
    <row r="52" spans="1:3">
      <c r="A52" s="113" t="s">
        <v>128</v>
      </c>
      <c r="C52" s="124"/>
    </row>
    <row r="53" spans="1:3">
      <c r="A53" s="114" t="s">
        <v>129</v>
      </c>
      <c r="C53" s="124"/>
    </row>
    <row r="54" spans="1:3">
      <c r="A54" s="113" t="s">
        <v>130</v>
      </c>
      <c r="C54" s="124"/>
    </row>
    <row r="55" spans="1:3">
      <c r="A55" s="114" t="s">
        <v>131</v>
      </c>
      <c r="C55" s="124"/>
    </row>
    <row r="56" spans="1:3">
      <c r="A56" s="113" t="s">
        <v>132</v>
      </c>
      <c r="C56" s="124"/>
    </row>
    <row r="57" spans="1:3">
      <c r="A57" s="114" t="s">
        <v>133</v>
      </c>
      <c r="C57" s="124"/>
    </row>
    <row r="58" spans="1:3">
      <c r="A58" s="113" t="s">
        <v>134</v>
      </c>
      <c r="C58" s="124"/>
    </row>
    <row r="59" spans="1:3">
      <c r="A59" s="114" t="s">
        <v>135</v>
      </c>
      <c r="C59" s="124"/>
    </row>
    <row r="60" spans="1:3">
      <c r="A60" s="113" t="s">
        <v>136</v>
      </c>
      <c r="C60" s="124"/>
    </row>
    <row r="61" spans="1:3">
      <c r="A61" s="114" t="s">
        <v>137</v>
      </c>
      <c r="C61" s="124"/>
    </row>
    <row r="62" spans="1:3">
      <c r="A62" s="113" t="s">
        <v>138</v>
      </c>
      <c r="C62" s="123"/>
    </row>
    <row r="63" spans="1:3">
      <c r="A63" s="114" t="s">
        <v>139</v>
      </c>
      <c r="C63" s="124"/>
    </row>
    <row r="64" spans="1:3">
      <c r="A64" s="113" t="s">
        <v>140</v>
      </c>
      <c r="C64" s="124"/>
    </row>
    <row r="65" spans="1:3">
      <c r="A65" s="114" t="s">
        <v>141</v>
      </c>
      <c r="C65" s="124"/>
    </row>
    <row r="66" spans="1:3">
      <c r="A66" s="113" t="s">
        <v>142</v>
      </c>
      <c r="C66" s="124"/>
    </row>
    <row r="67" spans="1:3">
      <c r="A67" s="114" t="s">
        <v>143</v>
      </c>
      <c r="C67" s="123"/>
    </row>
    <row r="68" spans="1:3">
      <c r="A68" s="113" t="s">
        <v>144</v>
      </c>
      <c r="C68" s="123"/>
    </row>
    <row r="69" spans="1:3">
      <c r="A69" s="114" t="s">
        <v>145</v>
      </c>
      <c r="C69" s="124"/>
    </row>
    <row r="70" spans="1:3">
      <c r="A70" s="113" t="s">
        <v>146</v>
      </c>
      <c r="C70" s="124"/>
    </row>
    <row r="71" spans="1:3">
      <c r="A71" s="114" t="s">
        <v>147</v>
      </c>
      <c r="C71" s="124"/>
    </row>
    <row r="72" spans="1:3">
      <c r="A72" s="113" t="s">
        <v>148</v>
      </c>
      <c r="C72" s="124"/>
    </row>
    <row r="73" spans="1:3">
      <c r="A73" s="114" t="s">
        <v>149</v>
      </c>
      <c r="C73" s="124"/>
    </row>
    <row r="74" spans="1:3">
      <c r="A74" s="113" t="s">
        <v>150</v>
      </c>
      <c r="C74" s="124"/>
    </row>
    <row r="75" spans="1:3">
      <c r="A75" s="114" t="s">
        <v>151</v>
      </c>
      <c r="C75" s="123"/>
    </row>
    <row r="76" spans="1:3">
      <c r="A76" s="113" t="s">
        <v>152</v>
      </c>
      <c r="C76" s="124"/>
    </row>
    <row r="77" spans="1:3">
      <c r="A77" s="114" t="s">
        <v>153</v>
      </c>
      <c r="C77" s="124"/>
    </row>
    <row r="78" spans="1:3">
      <c r="A78" s="113" t="s">
        <v>154</v>
      </c>
      <c r="C78" s="124"/>
    </row>
    <row r="79" spans="1:3">
      <c r="A79" s="114" t="s">
        <v>155</v>
      </c>
      <c r="C79" s="124"/>
    </row>
    <row r="80" spans="1:3">
      <c r="A80" s="113" t="s">
        <v>156</v>
      </c>
      <c r="C80" s="124"/>
    </row>
    <row r="81" spans="1:3">
      <c r="A81" s="114" t="s">
        <v>157</v>
      </c>
      <c r="C81" s="124"/>
    </row>
    <row r="82" spans="1:3">
      <c r="A82" s="113" t="s">
        <v>158</v>
      </c>
      <c r="C82" s="124"/>
    </row>
    <row r="83" spans="1:3">
      <c r="A83" s="114" t="s">
        <v>159</v>
      </c>
      <c r="C83" s="123"/>
    </row>
    <row r="84" spans="1:3">
      <c r="A84" s="113" t="s">
        <v>160</v>
      </c>
      <c r="C84" s="123"/>
    </row>
    <row r="85" spans="1:3">
      <c r="A85" s="114" t="s">
        <v>161</v>
      </c>
      <c r="C85" s="124"/>
    </row>
    <row r="86" spans="1:3">
      <c r="A86" s="113" t="s">
        <v>162</v>
      </c>
      <c r="C86" s="124"/>
    </row>
    <row r="87" spans="1:3">
      <c r="A87" s="114" t="s">
        <v>163</v>
      </c>
      <c r="C87" s="123"/>
    </row>
    <row r="88" spans="1:3">
      <c r="A88" s="113" t="s">
        <v>164</v>
      </c>
      <c r="C88" s="124"/>
    </row>
    <row r="89" spans="1:3">
      <c r="A89" s="114" t="s">
        <v>165</v>
      </c>
      <c r="C89" s="124"/>
    </row>
    <row r="90" spans="1:3">
      <c r="A90" s="113" t="s">
        <v>166</v>
      </c>
      <c r="C90" s="124"/>
    </row>
    <row r="91" spans="1:3">
      <c r="A91" s="114" t="s">
        <v>167</v>
      </c>
      <c r="C91" s="124"/>
    </row>
    <row r="92" spans="1:3">
      <c r="A92" s="113" t="s">
        <v>168</v>
      </c>
      <c r="C92" s="123"/>
    </row>
    <row r="93" spans="1:3">
      <c r="A93" s="114" t="s">
        <v>169</v>
      </c>
      <c r="C93" s="124"/>
    </row>
    <row r="94" spans="1:3">
      <c r="A94" s="113" t="s">
        <v>170</v>
      </c>
      <c r="C94" s="124"/>
    </row>
    <row r="95" spans="1:3">
      <c r="A95" s="114" t="s">
        <v>171</v>
      </c>
      <c r="C95" s="124"/>
    </row>
    <row r="96" spans="1:3">
      <c r="A96" s="113" t="s">
        <v>172</v>
      </c>
      <c r="C96" s="124"/>
    </row>
    <row r="97" spans="1:3">
      <c r="A97" s="114" t="s">
        <v>173</v>
      </c>
      <c r="C97" s="124"/>
    </row>
    <row r="98" spans="1:3">
      <c r="A98" s="113" t="s">
        <v>174</v>
      </c>
      <c r="C98" s="124"/>
    </row>
    <row r="99" spans="1:3">
      <c r="A99" s="114" t="s">
        <v>175</v>
      </c>
      <c r="C99" s="124"/>
    </row>
    <row r="100" spans="1:3">
      <c r="A100" s="113" t="s">
        <v>176</v>
      </c>
      <c r="C100" s="124"/>
    </row>
    <row r="101" spans="1:3">
      <c r="A101" s="114" t="s">
        <v>177</v>
      </c>
      <c r="C101" s="123"/>
    </row>
    <row r="102" spans="1:3">
      <c r="A102" s="113" t="s">
        <v>178</v>
      </c>
      <c r="C102" s="124"/>
    </row>
    <row r="103" spans="1:3">
      <c r="A103" s="114" t="s">
        <v>179</v>
      </c>
      <c r="C103" s="123"/>
    </row>
    <row r="104" spans="1:3">
      <c r="A104" s="113" t="s">
        <v>180</v>
      </c>
      <c r="C104" s="124"/>
    </row>
    <row r="105" spans="1:3">
      <c r="A105" s="114" t="s">
        <v>181</v>
      </c>
      <c r="C105" s="124"/>
    </row>
    <row r="106" spans="1:3">
      <c r="A106" s="113" t="s">
        <v>182</v>
      </c>
      <c r="C106" s="124"/>
    </row>
    <row r="107" spans="1:3">
      <c r="A107" s="114" t="s">
        <v>183</v>
      </c>
      <c r="C107" s="124"/>
    </row>
    <row r="108" spans="1:3">
      <c r="A108" s="113" t="s">
        <v>184</v>
      </c>
      <c r="C108" s="124"/>
    </row>
    <row r="109" spans="1:3">
      <c r="A109" s="114" t="s">
        <v>185</v>
      </c>
      <c r="C109" s="124"/>
    </row>
    <row r="110" spans="1:3">
      <c r="A110" s="113" t="s">
        <v>186</v>
      </c>
      <c r="C110" s="124"/>
    </row>
    <row r="111" spans="1:3">
      <c r="A111" s="114" t="s">
        <v>187</v>
      </c>
      <c r="C111" s="124"/>
    </row>
    <row r="112" spans="1:3">
      <c r="A112" s="113" t="s">
        <v>188</v>
      </c>
      <c r="C112" s="124"/>
    </row>
    <row r="113" spans="1:3">
      <c r="A113" s="114" t="s">
        <v>189</v>
      </c>
      <c r="C113" s="124"/>
    </row>
    <row r="114" spans="1:3">
      <c r="A114" s="113" t="s">
        <v>190</v>
      </c>
      <c r="C114" s="124"/>
    </row>
    <row r="115" spans="1:3">
      <c r="A115" s="114" t="s">
        <v>191</v>
      </c>
      <c r="C115" s="124"/>
    </row>
    <row r="116" spans="1:3">
      <c r="A116" s="113" t="s">
        <v>192</v>
      </c>
      <c r="C116" s="124"/>
    </row>
    <row r="117" spans="1:3">
      <c r="A117" s="114" t="s">
        <v>193</v>
      </c>
      <c r="C117" s="124"/>
    </row>
    <row r="118" spans="1:3">
      <c r="A118" s="113" t="s">
        <v>194</v>
      </c>
      <c r="C118" s="124"/>
    </row>
    <row r="119" spans="1:3">
      <c r="A119" s="114" t="s">
        <v>195</v>
      </c>
      <c r="C119" s="124"/>
    </row>
    <row r="120" spans="1:3">
      <c r="A120" s="113" t="s">
        <v>196</v>
      </c>
      <c r="C120" s="124"/>
    </row>
    <row r="121" spans="1:3">
      <c r="A121" s="114" t="s">
        <v>197</v>
      </c>
      <c r="C121" s="124"/>
    </row>
    <row r="122" spans="1:3">
      <c r="A122" s="113" t="s">
        <v>198</v>
      </c>
      <c r="C122" s="124"/>
    </row>
    <row r="123" spans="1:3">
      <c r="A123" s="114" t="s">
        <v>199</v>
      </c>
      <c r="C123" s="124"/>
    </row>
    <row r="124" spans="1:3">
      <c r="C124" s="124"/>
    </row>
    <row r="125" spans="1:3">
      <c r="C125" s="124"/>
    </row>
    <row r="126" spans="1:3">
      <c r="C126" s="124"/>
    </row>
    <row r="127" spans="1:3">
      <c r="C127" s="124"/>
    </row>
    <row r="128" spans="1:3">
      <c r="C128" s="124"/>
    </row>
    <row r="129" spans="3:3">
      <c r="C129" s="124"/>
    </row>
    <row r="130" spans="3:3">
      <c r="C130" s="123"/>
    </row>
    <row r="131" spans="3:3">
      <c r="C131" s="124"/>
    </row>
    <row r="132" spans="3:3">
      <c r="C132" s="124"/>
    </row>
    <row r="133" spans="3:3">
      <c r="C133" s="124"/>
    </row>
    <row r="134" spans="3:3">
      <c r="C134" s="124"/>
    </row>
    <row r="135" spans="3:3">
      <c r="C135" s="123"/>
    </row>
    <row r="136" spans="3:3">
      <c r="C136" s="124"/>
    </row>
    <row r="137" spans="3:3">
      <c r="C137" s="124"/>
    </row>
    <row r="138" spans="3:3">
      <c r="C138" s="124"/>
    </row>
    <row r="139" spans="3:3">
      <c r="C139" s="124"/>
    </row>
    <row r="140" spans="3:3">
      <c r="C140" s="124"/>
    </row>
    <row r="141" spans="3:3">
      <c r="C141" s="124"/>
    </row>
    <row r="142" spans="3:3">
      <c r="C142" s="124"/>
    </row>
    <row r="143" spans="3:3">
      <c r="C143" s="124"/>
    </row>
    <row r="144" spans="3:3">
      <c r="C144" s="124"/>
    </row>
    <row r="145" spans="3:3">
      <c r="C145" s="124"/>
    </row>
    <row r="146" spans="3:3">
      <c r="C146" s="124"/>
    </row>
    <row r="147" spans="3:3">
      <c r="C147" s="124"/>
    </row>
    <row r="148" spans="3:3">
      <c r="C148" s="124"/>
    </row>
    <row r="149" spans="3:3">
      <c r="C149" s="124"/>
    </row>
    <row r="150" spans="3:3">
      <c r="C150" s="124"/>
    </row>
    <row r="151" spans="3:3">
      <c r="C151" s="124"/>
    </row>
    <row r="152" spans="3:3">
      <c r="C152" s="124"/>
    </row>
    <row r="153" spans="3:3">
      <c r="C153" s="124"/>
    </row>
    <row r="154" spans="3:3">
      <c r="C154" s="124"/>
    </row>
    <row r="155" spans="3:3">
      <c r="C155" s="124"/>
    </row>
    <row r="156" spans="3:3">
      <c r="C156" s="124"/>
    </row>
    <row r="157" spans="3:3">
      <c r="C157" s="124"/>
    </row>
    <row r="158" spans="3:3">
      <c r="C158" s="124"/>
    </row>
    <row r="159" spans="3:3">
      <c r="C159" s="124"/>
    </row>
    <row r="160" spans="3:3">
      <c r="C160" s="124"/>
    </row>
    <row r="161" spans="3:3">
      <c r="C161" s="124"/>
    </row>
    <row r="162" spans="3:3">
      <c r="C162" s="124"/>
    </row>
    <row r="163" spans="3:3">
      <c r="C163" s="124"/>
    </row>
    <row r="164" spans="3:3">
      <c r="C164" s="124"/>
    </row>
    <row r="165" spans="3:3">
      <c r="C165" s="124"/>
    </row>
    <row r="166" spans="3:3">
      <c r="C166" s="124"/>
    </row>
    <row r="167" spans="3:3">
      <c r="C167" s="123"/>
    </row>
    <row r="168" spans="3:3">
      <c r="C168" s="123"/>
    </row>
    <row r="169" spans="3:3">
      <c r="C169" s="123"/>
    </row>
    <row r="170" spans="3:3">
      <c r="C170" s="123"/>
    </row>
    <row r="171" spans="3:3">
      <c r="C171" s="123"/>
    </row>
    <row r="172" spans="3:3">
      <c r="C172" s="123"/>
    </row>
    <row r="173" spans="3:3">
      <c r="C173" s="123"/>
    </row>
    <row r="174" spans="3:3">
      <c r="C174" s="123"/>
    </row>
    <row r="175" spans="3:3">
      <c r="C175" s="123"/>
    </row>
    <row r="176" spans="3:3">
      <c r="C176" s="123"/>
    </row>
    <row r="177" spans="3:3">
      <c r="C177" s="123"/>
    </row>
    <row r="178" spans="3:3">
      <c r="C178" s="123"/>
    </row>
    <row r="179" spans="3:3">
      <c r="C179" s="123"/>
    </row>
    <row r="180" spans="3:3">
      <c r="C180" s="123"/>
    </row>
    <row r="181" spans="3:3">
      <c r="C181" s="123"/>
    </row>
    <row r="182" spans="3:3">
      <c r="C182" s="123"/>
    </row>
    <row r="183" spans="3:3">
      <c r="C183" s="123"/>
    </row>
    <row r="184" spans="3:3">
      <c r="C184" s="123"/>
    </row>
    <row r="185" spans="3:3">
      <c r="C185" s="123"/>
    </row>
    <row r="186" spans="3:3">
      <c r="C186" s="123"/>
    </row>
    <row r="187" spans="3:3">
      <c r="C187" s="123"/>
    </row>
    <row r="188" spans="3:3">
      <c r="C188" s="123"/>
    </row>
    <row r="189" spans="3:3">
      <c r="C189" s="123"/>
    </row>
    <row r="190" spans="3:3">
      <c r="C190" s="123"/>
    </row>
    <row r="191" spans="3:3">
      <c r="C191" s="123"/>
    </row>
    <row r="192" spans="3:3">
      <c r="C192" s="123"/>
    </row>
    <row r="193" spans="3:3">
      <c r="C193" s="123"/>
    </row>
    <row r="194" spans="3:3">
      <c r="C194" s="123"/>
    </row>
    <row r="195" spans="3:3">
      <c r="C195" s="123"/>
    </row>
    <row r="196" spans="3:3">
      <c r="C196" s="123"/>
    </row>
    <row r="197" spans="3:3">
      <c r="C197" s="123"/>
    </row>
    <row r="198" spans="3:3">
      <c r="C198" s="123"/>
    </row>
    <row r="199" spans="3:3">
      <c r="C199" s="123"/>
    </row>
    <row r="200" spans="3:3">
      <c r="C200" s="123"/>
    </row>
    <row r="201" spans="3:3">
      <c r="C201" s="123"/>
    </row>
    <row r="202" spans="3:3">
      <c r="C202" s="123"/>
    </row>
    <row r="203" spans="3:3">
      <c r="C203" s="123"/>
    </row>
    <row r="204" spans="3:3">
      <c r="C204" s="123"/>
    </row>
    <row r="205" spans="3:3">
      <c r="C205" s="123"/>
    </row>
    <row r="206" spans="3:3">
      <c r="C206" s="123"/>
    </row>
    <row r="207" spans="3:3">
      <c r="C207" s="123"/>
    </row>
    <row r="208" spans="3:3">
      <c r="C208" s="123"/>
    </row>
    <row r="209" spans="3:3">
      <c r="C209" s="123"/>
    </row>
    <row r="210" spans="3:3">
      <c r="C210" s="123"/>
    </row>
    <row r="211" spans="3:3">
      <c r="C211" s="123"/>
    </row>
    <row r="212" spans="3:3">
      <c r="C212" s="123"/>
    </row>
    <row r="213" spans="3:3">
      <c r="C213" s="123"/>
    </row>
    <row r="214" spans="3:3">
      <c r="C214" s="123"/>
    </row>
    <row r="215" spans="3:3">
      <c r="C215" s="123"/>
    </row>
    <row r="216" spans="3:3">
      <c r="C216" s="123"/>
    </row>
    <row r="217" spans="3:3">
      <c r="C217" s="123"/>
    </row>
    <row r="218" spans="3:3">
      <c r="C218" s="123"/>
    </row>
    <row r="219" spans="3:3">
      <c r="C219" s="123"/>
    </row>
    <row r="220" spans="3:3">
      <c r="C220" s="123"/>
    </row>
    <row r="221" spans="3:3">
      <c r="C221" s="123"/>
    </row>
    <row r="222" spans="3:3">
      <c r="C222" s="123"/>
    </row>
    <row r="223" spans="3:3">
      <c r="C223" s="123"/>
    </row>
    <row r="224" spans="3:3">
      <c r="C224" s="123"/>
    </row>
    <row r="225" spans="3:3">
      <c r="C225" s="123"/>
    </row>
    <row r="226" spans="3:3">
      <c r="C226" s="123"/>
    </row>
    <row r="227" spans="3:3">
      <c r="C227" s="123"/>
    </row>
    <row r="228" spans="3:3">
      <c r="C228" s="123"/>
    </row>
    <row r="229" spans="3:3">
      <c r="C229" s="123"/>
    </row>
    <row r="230" spans="3:3">
      <c r="C230" s="123"/>
    </row>
    <row r="231" spans="3:3">
      <c r="C231" s="123"/>
    </row>
    <row r="232" spans="3:3">
      <c r="C232" s="123"/>
    </row>
    <row r="233" spans="3:3">
      <c r="C233" s="123"/>
    </row>
    <row r="234" spans="3:3">
      <c r="C234" s="123"/>
    </row>
    <row r="235" spans="3:3">
      <c r="C235" s="123"/>
    </row>
    <row r="236" spans="3:3">
      <c r="C236" s="123"/>
    </row>
    <row r="237" spans="3:3">
      <c r="C237" s="123"/>
    </row>
    <row r="238" spans="3:3">
      <c r="C238" s="123"/>
    </row>
    <row r="239" spans="3:3">
      <c r="C239" s="123"/>
    </row>
    <row r="240" spans="3:3">
      <c r="C240" s="123"/>
    </row>
    <row r="241" spans="3:3">
      <c r="C241" s="123"/>
    </row>
    <row r="242" spans="3:3">
      <c r="C242" s="123"/>
    </row>
    <row r="243" spans="3:3">
      <c r="C243" s="123"/>
    </row>
    <row r="244" spans="3:3">
      <c r="C244" s="123"/>
    </row>
    <row r="245" spans="3:3">
      <c r="C245" s="123"/>
    </row>
    <row r="246" spans="3:3">
      <c r="C246" s="123"/>
    </row>
    <row r="247" spans="3:3">
      <c r="C247" s="123"/>
    </row>
    <row r="248" spans="3:3">
      <c r="C248" s="123"/>
    </row>
    <row r="249" spans="3:3">
      <c r="C249" s="123"/>
    </row>
    <row r="250" spans="3:3">
      <c r="C250" s="123"/>
    </row>
    <row r="251" spans="3:3">
      <c r="C251" s="123"/>
    </row>
    <row r="252" spans="3:3">
      <c r="C252" s="123"/>
    </row>
    <row r="253" spans="3:3">
      <c r="C253" s="123"/>
    </row>
    <row r="254" spans="3:3">
      <c r="C254" s="123"/>
    </row>
    <row r="255" spans="3:3">
      <c r="C255" s="123"/>
    </row>
    <row r="256" spans="3:3">
      <c r="C256" s="123"/>
    </row>
    <row r="257" spans="3:3">
      <c r="C257" s="123"/>
    </row>
    <row r="258" spans="3:3">
      <c r="C258" s="123"/>
    </row>
    <row r="259" spans="3:3">
      <c r="C259" s="123"/>
    </row>
    <row r="260" spans="3:3">
      <c r="C260" s="123"/>
    </row>
    <row r="261" spans="3:3">
      <c r="C261" s="123"/>
    </row>
    <row r="262" spans="3:3">
      <c r="C262" s="123"/>
    </row>
    <row r="263" spans="3:3">
      <c r="C263" s="123"/>
    </row>
    <row r="264" spans="3:3">
      <c r="C264" s="123"/>
    </row>
    <row r="265" spans="3:3">
      <c r="C265" s="123"/>
    </row>
    <row r="266" spans="3:3">
      <c r="C266" s="123"/>
    </row>
    <row r="267" spans="3:3">
      <c r="C267" s="123"/>
    </row>
    <row r="268" spans="3:3">
      <c r="C268" s="123"/>
    </row>
    <row r="269" spans="3:3">
      <c r="C269" s="123"/>
    </row>
    <row r="270" spans="3:3">
      <c r="C270" s="123"/>
    </row>
    <row r="271" spans="3:3">
      <c r="C271" s="123"/>
    </row>
    <row r="272" spans="3:3">
      <c r="C272" s="123"/>
    </row>
    <row r="273" spans="3:3">
      <c r="C273" s="123"/>
    </row>
    <row r="274" spans="3:3">
      <c r="C274" s="123"/>
    </row>
    <row r="275" spans="3:3">
      <c r="C275" s="123"/>
    </row>
    <row r="276" spans="3:3">
      <c r="C276" s="123"/>
    </row>
    <row r="277" spans="3:3">
      <c r="C277" s="123"/>
    </row>
    <row r="278" spans="3:3">
      <c r="C278" s="123"/>
    </row>
    <row r="279" spans="3:3">
      <c r="C279" s="123"/>
    </row>
    <row r="280" spans="3:3">
      <c r="C280" s="123"/>
    </row>
    <row r="281" spans="3:3">
      <c r="C281" s="123"/>
    </row>
    <row r="282" spans="3:3">
      <c r="C282" s="123"/>
    </row>
    <row r="283" spans="3:3">
      <c r="C283" s="123"/>
    </row>
    <row r="284" spans="3:3">
      <c r="C284" s="123"/>
    </row>
    <row r="285" spans="3:3">
      <c r="C285" s="123"/>
    </row>
    <row r="286" spans="3:3">
      <c r="C286" s="123"/>
    </row>
    <row r="287" spans="3:3">
      <c r="C287" s="123"/>
    </row>
    <row r="288" spans="3:3">
      <c r="C288" s="123"/>
    </row>
    <row r="289" spans="3:3">
      <c r="C289" s="123"/>
    </row>
    <row r="290" spans="3:3">
      <c r="C290" s="123"/>
    </row>
    <row r="291" spans="3:3">
      <c r="C291" s="123"/>
    </row>
    <row r="292" spans="3:3">
      <c r="C292" s="123"/>
    </row>
    <row r="293" spans="3:3">
      <c r="C293" s="123"/>
    </row>
    <row r="294" spans="3:3">
      <c r="C294" s="123"/>
    </row>
    <row r="295" spans="3:3">
      <c r="C295" s="123"/>
    </row>
    <row r="296" spans="3:3">
      <c r="C296" s="123"/>
    </row>
    <row r="297" spans="3:3">
      <c r="C297" s="123"/>
    </row>
    <row r="298" spans="3:3">
      <c r="C298" s="123"/>
    </row>
    <row r="299" spans="3:3">
      <c r="C299" s="123"/>
    </row>
    <row r="300" spans="3:3">
      <c r="C300" s="123"/>
    </row>
    <row r="301" spans="3:3">
      <c r="C301" s="123"/>
    </row>
    <row r="302" spans="3:3">
      <c r="C302" s="123"/>
    </row>
    <row r="303" spans="3:3">
      <c r="C303" s="123"/>
    </row>
    <row r="304" spans="3:3">
      <c r="C304" s="123"/>
    </row>
    <row r="305" spans="3:3">
      <c r="C305" s="123"/>
    </row>
    <row r="306" spans="3:3">
      <c r="C306" s="123"/>
    </row>
    <row r="307" spans="3:3">
      <c r="C307" s="123"/>
    </row>
    <row r="308" spans="3:3">
      <c r="C308" s="123"/>
    </row>
    <row r="309" spans="3:3">
      <c r="C309" s="123"/>
    </row>
    <row r="310" spans="3:3">
      <c r="C310" s="123"/>
    </row>
    <row r="311" spans="3:3">
      <c r="C311" s="123"/>
    </row>
    <row r="312" spans="3:3">
      <c r="C312" s="123"/>
    </row>
    <row r="313" spans="3:3">
      <c r="C313" s="123"/>
    </row>
    <row r="314" spans="3:3">
      <c r="C314" s="123"/>
    </row>
  </sheetData>
  <sortState xmlns:xlrd2="http://schemas.microsoft.com/office/spreadsheetml/2017/richdata2" ref="C2:D17">
    <sortCondition ref="C2:C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W34"/>
  <sheetViews>
    <sheetView workbookViewId="0">
      <selection activeCell="A7" sqref="A7"/>
    </sheetView>
  </sheetViews>
  <sheetFormatPr defaultRowHeight="14.4"/>
  <cols>
    <col min="1" max="1" width="10.3125" bestFit="1" customWidth="1"/>
    <col min="3" max="3" width="10.15625" customWidth="1"/>
    <col min="4" max="4" width="11.68359375" bestFit="1" customWidth="1"/>
    <col min="5" max="5" width="10.734375" bestFit="1" customWidth="1"/>
    <col min="7" max="7" width="12.26171875" bestFit="1" customWidth="1"/>
    <col min="10" max="10" width="9.68359375" bestFit="1" customWidth="1"/>
    <col min="15" max="15" width="12.05078125" customWidth="1"/>
  </cols>
  <sheetData>
    <row r="1" spans="1:23">
      <c r="A1" t="s">
        <v>0</v>
      </c>
      <c r="B1" s="2" t="str">
        <f>Impianto!B2</f>
        <v>nitrogen</v>
      </c>
      <c r="G1" t="s">
        <v>57</v>
      </c>
      <c r="H1">
        <v>20</v>
      </c>
    </row>
    <row r="2" spans="1:23">
      <c r="A2" t="s">
        <v>4</v>
      </c>
      <c r="B2" cm="1">
        <f t="array" ref="B2">[1]!Props1SI($B$1,"Tcrit")</f>
        <v>126.19199999999999</v>
      </c>
      <c r="C2" t="s">
        <v>5</v>
      </c>
      <c r="D2">
        <f>B2-273.15</f>
        <v>-146.95799999999997</v>
      </c>
      <c r="E2" t="s">
        <v>21</v>
      </c>
      <c r="G2" t="s">
        <v>56</v>
      </c>
      <c r="H2">
        <f>Impianto!L3-Impianto!L7</f>
        <v>205.9065002693041</v>
      </c>
      <c r="J2" t="s">
        <v>63</v>
      </c>
      <c r="K2">
        <f>Impianto!L4-Impianto!L5</f>
        <v>120</v>
      </c>
      <c r="O2" t="s">
        <v>65</v>
      </c>
      <c r="P2">
        <f>Impianto!N5-Impianto!N6</f>
        <v>-1.1247731767147711</v>
      </c>
      <c r="R2" t="s">
        <v>66</v>
      </c>
      <c r="S2">
        <f>Impianto!L9-Impianto!L7</f>
        <v>201.62089352141555</v>
      </c>
    </row>
    <row r="3" spans="1:23">
      <c r="A3" t="s">
        <v>6</v>
      </c>
      <c r="B3" cm="1">
        <f t="array" ref="B3">[1]!Props1SI($B$1,"Pcrit")/100000</f>
        <v>33.957999999999998</v>
      </c>
      <c r="C3" t="s">
        <v>7</v>
      </c>
      <c r="G3" t="s">
        <v>58</v>
      </c>
      <c r="H3">
        <f>H2/H1</f>
        <v>10.295325013465206</v>
      </c>
      <c r="J3" t="s">
        <v>58</v>
      </c>
      <c r="K3">
        <f>K2/H1</f>
        <v>6</v>
      </c>
      <c r="O3" t="s">
        <v>58</v>
      </c>
      <c r="P3">
        <f>P2/H1</f>
        <v>-5.6238658835738552E-2</v>
      </c>
      <c r="R3" t="s">
        <v>58</v>
      </c>
      <c r="S3">
        <f>S2/H1</f>
        <v>10.081044676070778</v>
      </c>
    </row>
    <row r="4" spans="1:23">
      <c r="A4" t="s">
        <v>68</v>
      </c>
      <c r="B4" cm="1">
        <f t="array" ref="B4">[1]!PropsSI("S","P",B3*100000,"T",B2,$B$1)/1000</f>
        <v>4.2215801099538446</v>
      </c>
      <c r="C4" t="s">
        <v>33</v>
      </c>
    </row>
    <row r="5" spans="1:23">
      <c r="G5" t="s">
        <v>61</v>
      </c>
      <c r="H5">
        <f>Impianto!K3</f>
        <v>1</v>
      </c>
      <c r="J5" t="s">
        <v>62</v>
      </c>
      <c r="K5">
        <f>Impianto!K4</f>
        <v>300</v>
      </c>
      <c r="O5" t="s">
        <v>64</v>
      </c>
      <c r="P5">
        <f>Impianto!M5</f>
        <v>57.938414314168178</v>
      </c>
      <c r="R5" t="s">
        <v>61</v>
      </c>
      <c r="S5">
        <f>H5</f>
        <v>1</v>
      </c>
    </row>
    <row r="6" spans="1:23">
      <c r="A6" t="s">
        <v>1</v>
      </c>
      <c r="B6" t="s">
        <v>2</v>
      </c>
      <c r="C6" t="s">
        <v>3</v>
      </c>
      <c r="D6" t="s">
        <v>8</v>
      </c>
      <c r="E6" t="s">
        <v>9</v>
      </c>
      <c r="G6" t="s">
        <v>59</v>
      </c>
      <c r="H6" t="s">
        <v>60</v>
      </c>
      <c r="J6" t="s">
        <v>59</v>
      </c>
      <c r="K6" t="s">
        <v>60</v>
      </c>
      <c r="O6" t="s">
        <v>59</v>
      </c>
      <c r="P6" t="s">
        <v>60</v>
      </c>
      <c r="R6" t="s">
        <v>59</v>
      </c>
      <c r="S6" t="s">
        <v>60</v>
      </c>
    </row>
    <row r="7" spans="1:23">
      <c r="A7">
        <v>-147</v>
      </c>
      <c r="B7">
        <f>A7+273.15</f>
        <v>126.14999999999998</v>
      </c>
      <c r="C7" cm="1">
        <f t="array" ref="C7">[1]!PropsSI("P","T",B7,"Q",0,$B$1)/100000</f>
        <v>33.889174371523204</v>
      </c>
      <c r="D7" cm="1">
        <f t="array" ref="D7">[1]!PropsSI("S","T",B7,"Q",0,$B$1)/1000</f>
        <v>4.1604230439264454</v>
      </c>
      <c r="E7" cm="1">
        <f t="array" ref="E7">[1]!PropsSI("S","T",B7,"Q",1,$B$1)/1000</f>
        <v>4.2762150357283142</v>
      </c>
      <c r="F7">
        <v>1</v>
      </c>
      <c r="G7">
        <f>Impianto!L3</f>
        <v>10</v>
      </c>
      <c r="H7" cm="1">
        <f t="array" ref="H7">[1]!PropsSI("S","T",G7+273.15,"P",$H$5*100000,$B$1)/1000</f>
        <v>6.7854560224020641</v>
      </c>
      <c r="J7">
        <f>Impianto!L4</f>
        <v>10</v>
      </c>
      <c r="K7" cm="1">
        <f t="array" ref="K7">[1]!PropsSI("S","T",J7+273.15,"P",$K$5*100000,$B$1)/1000</f>
        <v>4.9309319984520954</v>
      </c>
      <c r="L7" cm="1">
        <f t="array" ref="L7">[1]!PropsSI("H","T",J7+273.15,"P",$K$5*100000,$B$1)/1000</f>
        <v>249.69019113355267</v>
      </c>
      <c r="M7">
        <f>-Impianto!$J$3*('T-s'!L7-'T-s'!$L$7)</f>
        <v>0</v>
      </c>
      <c r="O7" cm="1">
        <f t="array" ref="O7">[1]!PropsSI("T","H",$P$5*1000,"S",P7*1000,$B$1)-273.15</f>
        <v>-110.00000000011306</v>
      </c>
      <c r="P7">
        <f>Impianto!$N$5</f>
        <v>4.0391588216501804</v>
      </c>
      <c r="R7">
        <f>Impianto!L9</f>
        <v>5.7143932521114493</v>
      </c>
      <c r="S7" cm="1">
        <f t="array" ref="S7">[1]!PropsSI("S","T",R7+273.15,"P",$S$5*100000,$B$1)/1000</f>
        <v>6.7695743663961379</v>
      </c>
      <c r="T7" cm="1">
        <f t="array" ref="T7">[1]!PropsSI("H","T",R7+273.15,"P",$S$5*100000,$B$1)/1000</f>
        <v>289.18734188577429</v>
      </c>
      <c r="U7">
        <f>-Impianto!$J$7*('T-s'!T7-'T-s'!$T$7)</f>
        <v>0</v>
      </c>
      <c r="V7">
        <f>J7-R7</f>
        <v>4.2856067478885507</v>
      </c>
      <c r="W7">
        <f>MIN(V7:V27)</f>
        <v>4.2856067478885507</v>
      </c>
    </row>
    <row r="8" spans="1:23">
      <c r="A8">
        <v>-148</v>
      </c>
      <c r="B8">
        <f>A8+273.15</f>
        <v>125.14999999999998</v>
      </c>
      <c r="C8" cm="1">
        <f t="array" ref="C8">[1]!PropsSI("P","T",B8,"Q",0,$B$1)/100000</f>
        <v>32.300406041456107</v>
      </c>
      <c r="D8" cm="1">
        <f t="array" ref="D8">[1]!PropsSI("S","T",B8,"Q",0,$B$1)/1000</f>
        <v>4.0463187202605679</v>
      </c>
      <c r="E8" cm="1">
        <f t="array" ref="E8">[1]!PropsSI("S","T",B8,"Q",1,$B$1)/1000</f>
        <v>4.4157947173351531</v>
      </c>
      <c r="F8">
        <v>2</v>
      </c>
      <c r="G8">
        <f>G7-$H$3</f>
        <v>-0.2953250134652059</v>
      </c>
      <c r="H8" cm="1">
        <f t="array" ref="H8">[1]!PropsSI("S","T",G8+273.15,"P",$H$5*100000,$B$1)/1000</f>
        <v>6.7468867435783739</v>
      </c>
      <c r="J8">
        <f>J7-$K$3</f>
        <v>4</v>
      </c>
      <c r="K8" cm="1">
        <f t="array" ref="K8">[1]!PropsSI("S","T",J8+273.15,"P",$K$5*100000,$B$1)/1000</f>
        <v>4.9009203978234188</v>
      </c>
      <c r="L8" cm="1">
        <f t="array" ref="L8">[1]!PropsSI("H","T",J8+273.15,"P",$K$5*100000,$B$1)/1000</f>
        <v>241.2829367241313</v>
      </c>
      <c r="M8">
        <f>-Impianto!$J$3*('T-s'!L8-'T-s'!$L$7)</f>
        <v>8.4072544094213697</v>
      </c>
      <c r="O8" cm="1">
        <f t="array" ref="O8">[1]!PropsSI("T","H",$P$5*1000,"S",P8*1000,$B$1)-273.15</f>
        <v>-109.95577150880845</v>
      </c>
      <c r="P8">
        <f t="shared" ref="P8:P27" si="0">P7-$P$3</f>
        <v>4.0953974804859188</v>
      </c>
      <c r="R8">
        <f t="shared" ref="R8:R27" si="1">R7-$S$3</f>
        <v>-4.366651423959329</v>
      </c>
      <c r="S8" cm="1">
        <f t="array" ref="S8">[1]!PropsSI("S","T",R8+273.15,"P",$S$5*100000,$B$1)/1000</f>
        <v>6.7312304748462424</v>
      </c>
      <c r="T8" cm="1">
        <f t="array" ref="T8">[1]!PropsSI("H","T",R8+273.15,"P",$S$5*100000,$B$1)/1000</f>
        <v>278.68905767028548</v>
      </c>
      <c r="U8">
        <f>-Impianto!$J$7*('T-s'!T8-'T-s'!$T$7)</f>
        <v>9.4904624707056264</v>
      </c>
      <c r="V8">
        <f t="shared" ref="V8:V27" si="2">J8-R8</f>
        <v>8.366651423959329</v>
      </c>
    </row>
    <row r="9" spans="1:23">
      <c r="A9">
        <v>-150</v>
      </c>
      <c r="B9">
        <f>A9+273.15</f>
        <v>123.14999999999998</v>
      </c>
      <c r="C9" cm="1">
        <f t="array" ref="C9">[1]!PropsSI("P","T",B9,"Q",0,$B$1)/100000</f>
        <v>29.329280280947959</v>
      </c>
      <c r="D9" cm="1">
        <f t="array" ref="D9">[1]!PropsSI("S","T",B9,"Q",0,$B$1)/1000</f>
        <v>3.9534958884757789</v>
      </c>
      <c r="E9" cm="1">
        <f t="array" ref="E9">[1]!PropsSI("S","T",B9,"Q",1,$B$1)/1000</f>
        <v>4.5188228586905019</v>
      </c>
      <c r="F9">
        <v>3</v>
      </c>
      <c r="G9">
        <f t="shared" ref="G9:G27" si="3">G8-$H$3</f>
        <v>-10.590650026930412</v>
      </c>
      <c r="H9" cm="1">
        <f t="array" ref="H9">[1]!PropsSI("S","T",G9+273.15,"P",$H$5*100000,$B$1)/1000</f>
        <v>6.7068303860206058</v>
      </c>
      <c r="J9">
        <f t="shared" ref="J9:J27" si="4">J8-$K$3</f>
        <v>-2</v>
      </c>
      <c r="K9" cm="1">
        <f t="array" ref="K9">[1]!PropsSI("S","T",J9+273.15,"P",$K$5*100000,$B$1)/1000</f>
        <v>4.8698853810634439</v>
      </c>
      <c r="L9" cm="1">
        <f t="array" ref="L9">[1]!PropsSI("H","T",J9+273.15,"P",$K$5*100000,$B$1)/1000</f>
        <v>232.77521502564579</v>
      </c>
      <c r="M9">
        <f>-Impianto!$J$3*('T-s'!L9-'T-s'!$L$7)</f>
        <v>16.914976107906881</v>
      </c>
      <c r="O9" cm="1">
        <f t="array" ref="O9">[1]!PropsSI("T","H",$P$5*1000,"S",P9*1000,$B$1)-273.15</f>
        <v>-110.91851650658586</v>
      </c>
      <c r="P9">
        <f t="shared" si="0"/>
        <v>4.1516361393216572</v>
      </c>
      <c r="R9">
        <f t="shared" si="1"/>
        <v>-14.447696100030107</v>
      </c>
      <c r="S9" cm="1">
        <f t="array" ref="S9">[1]!PropsSI("S","T",R9+273.15,"P",$S$5*100000,$B$1)/1000</f>
        <v>6.6914165313268903</v>
      </c>
      <c r="T9" cm="1">
        <f t="array" ref="T9">[1]!PropsSI("H","T",R9+273.15,"P",$S$5*100000,$B$1)/1000</f>
        <v>268.18969844429478</v>
      </c>
      <c r="U9">
        <f>-Impianto!$J$7*('T-s'!T9-'T-s'!$T$7)</f>
        <v>18.981896752291433</v>
      </c>
      <c r="V9">
        <f t="shared" si="2"/>
        <v>12.447696100030107</v>
      </c>
    </row>
    <row r="10" spans="1:23">
      <c r="A10">
        <v>-152</v>
      </c>
      <c r="B10">
        <f t="shared" ref="B10:B34" si="5">A10+273.15</f>
        <v>121.14999999999998</v>
      </c>
      <c r="C10" cm="1">
        <f t="array" ref="C10">[1]!PropsSI("P","T",B10,"Q",0,$B$1)/100000</f>
        <v>26.58826889968844</v>
      </c>
      <c r="D10" cm="1">
        <f t="array" ref="D10">[1]!PropsSI("S","T",B10,"Q",0,$B$1)/1000</f>
        <v>3.885797527926472</v>
      </c>
      <c r="E10" cm="1">
        <f t="array" ref="E10">[1]!PropsSI("S","T",B10,"Q",1,$B$1)/1000</f>
        <v>4.5863391962939843</v>
      </c>
      <c r="F10">
        <v>4</v>
      </c>
      <c r="G10">
        <f t="shared" si="3"/>
        <v>-20.885975040395618</v>
      </c>
      <c r="H10" cm="1">
        <f t="array" ref="H10">[1]!PropsSI("S","T",G10+273.15,"P",$H$5*100000,$B$1)/1000</f>
        <v>6.6651659748023473</v>
      </c>
      <c r="J10">
        <f t="shared" si="4"/>
        <v>-8</v>
      </c>
      <c r="K10" cm="1">
        <f t="array" ref="K10">[1]!PropsSI("S","T",J10+273.15,"P",$K$5*100000,$B$1)/1000</f>
        <v>4.8377591510245228</v>
      </c>
      <c r="L10" cm="1">
        <f t="array" ref="L10">[1]!PropsSI("H","T",J10+273.15,"P",$K$5*100000,$B$1)/1000</f>
        <v>224.1611300123235</v>
      </c>
      <c r="M10">
        <f>-Impianto!$J$3*('T-s'!L10-'T-s'!$L$7)</f>
        <v>25.529061121229176</v>
      </c>
      <c r="O10" cm="1">
        <f t="array" ref="O10">[1]!PropsSI("T","H",$P$5*1000,"S",P10*1000,$B$1)-273.15</f>
        <v>-113.20502692438473</v>
      </c>
      <c r="P10">
        <f t="shared" si="0"/>
        <v>4.2078747981573956</v>
      </c>
      <c r="R10">
        <f t="shared" si="1"/>
        <v>-24.528740776100886</v>
      </c>
      <c r="S10" cm="1">
        <f t="array" ref="S10">[1]!PropsSI("S","T",R10+273.15,"P",$S$5*100000,$B$1)/1000</f>
        <v>6.6500137564293853</v>
      </c>
      <c r="T10" cm="1">
        <f t="array" ref="T10">[1]!PropsSI("H","T",R10+273.15,"P",$S$5*100000,$B$1)/1000</f>
        <v>257.68878520803054</v>
      </c>
      <c r="U10">
        <f>-Impianto!$J$7*('T-s'!T10-'T-s'!$T$7)</f>
        <v>28.474735861168764</v>
      </c>
      <c r="V10">
        <f t="shared" si="2"/>
        <v>16.528740776100886</v>
      </c>
    </row>
    <row r="11" spans="1:23">
      <c r="A11">
        <v>-154</v>
      </c>
      <c r="B11">
        <f t="shared" si="5"/>
        <v>119.14999999999998</v>
      </c>
      <c r="C11" cm="1">
        <f t="array" ref="C11">[1]!PropsSI("P","T",B11,"Q",0,$B$1)/100000</f>
        <v>24.051424636861654</v>
      </c>
      <c r="D11" cm="1">
        <f t="array" ref="D11">[1]!PropsSI("S","T",B11,"Q",0,$B$1)/1000</f>
        <v>3.8273617306631165</v>
      </c>
      <c r="E11" cm="1">
        <f t="array" ref="E11">[1]!PropsSI("S","T",B11,"Q",1,$B$1)/1000</f>
        <v>4.6401777828718593</v>
      </c>
      <c r="F11">
        <v>5</v>
      </c>
      <c r="G11">
        <f t="shared" si="3"/>
        <v>-31.181300053860824</v>
      </c>
      <c r="H11" cm="1">
        <f t="array" ref="H11">[1]!PropsSI("S","T",G11+273.15,"P",$H$5*100000,$B$1)/1000</f>
        <v>6.621757363772808</v>
      </c>
      <c r="J11">
        <f t="shared" si="4"/>
        <v>-14</v>
      </c>
      <c r="K11" cm="1">
        <f t="array" ref="K11">[1]!PropsSI("S","T",J11+273.15,"P",$K$5*100000,$B$1)/1000</f>
        <v>4.8044688236099198</v>
      </c>
      <c r="L11" cm="1">
        <f t="array" ref="L11">[1]!PropsSI("H","T",J11+273.15,"P",$K$5*100000,$B$1)/1000</f>
        <v>215.43467177060737</v>
      </c>
      <c r="M11">
        <f>-Impianto!$J$3*('T-s'!L11-'T-s'!$L$7)</f>
        <v>34.255519362945307</v>
      </c>
      <c r="O11" cm="1">
        <f t="array" ref="O11">[1]!PropsSI("T","H",$P$5*1000,"S",P11*1000,$B$1)-273.15</f>
        <v>-117.24863966954334</v>
      </c>
      <c r="P11">
        <f t="shared" si="0"/>
        <v>4.264113456993134</v>
      </c>
      <c r="R11">
        <f t="shared" si="1"/>
        <v>-34.609785452171664</v>
      </c>
      <c r="S11" cm="1">
        <f t="array" ref="S11">[1]!PropsSI("S","T",R11+273.15,"P",$S$5*100000,$B$1)/1000</f>
        <v>6.6068885472575767</v>
      </c>
      <c r="T11" cm="1">
        <f t="array" ref="T11">[1]!PropsSI("H","T",R11+273.15,"P",$S$5*100000,$B$1)/1000</f>
        <v>247.1858225124642</v>
      </c>
      <c r="U11">
        <f>-Impianto!$J$7*('T-s'!T11-'T-s'!$T$7)</f>
        <v>37.969427683898431</v>
      </c>
      <c r="V11">
        <f t="shared" si="2"/>
        <v>20.609785452171664</v>
      </c>
    </row>
    <row r="12" spans="1:23">
      <c r="A12">
        <v>-156</v>
      </c>
      <c r="B12">
        <f t="shared" si="5"/>
        <v>117.14999999999998</v>
      </c>
      <c r="C12" cm="1">
        <f t="array" ref="C12">[1]!PropsSI("P","T",B12,"Q",0,$B$1)/100000</f>
        <v>21.701887924071112</v>
      </c>
      <c r="D12" cm="1">
        <f t="array" ref="D12">[1]!PropsSI("S","T",B12,"Q",0,$B$1)/1000</f>
        <v>3.7738808042638237</v>
      </c>
      <c r="E12" cm="1">
        <f t="array" ref="E12">[1]!PropsSI("S","T",B12,"Q",1,$B$1)/1000</f>
        <v>4.6865077284113275</v>
      </c>
      <c r="F12">
        <v>6</v>
      </c>
      <c r="G12">
        <f t="shared" si="3"/>
        <v>-41.476625067326026</v>
      </c>
      <c r="H12" cm="1">
        <f t="array" ref="H12">[1]!PropsSI("S","T",G12+273.15,"P",$H$5*100000,$B$1)/1000</f>
        <v>6.576450505031187</v>
      </c>
      <c r="J12">
        <f t="shared" si="4"/>
        <v>-20</v>
      </c>
      <c r="K12" cm="1">
        <f t="array" ref="K12">[1]!PropsSI("S","T",J12+273.15,"P",$K$5*100000,$B$1)/1000</f>
        <v>4.7699363353969586</v>
      </c>
      <c r="L12" cm="1">
        <f t="array" ref="L12">[1]!PropsSI("H","T",J12+273.15,"P",$K$5*100000,$B$1)/1000</f>
        <v>206.589816328496</v>
      </c>
      <c r="M12">
        <f>-Impianto!$J$3*('T-s'!L12-'T-s'!$L$7)</f>
        <v>43.100374805056674</v>
      </c>
      <c r="O12" cm="1">
        <f t="array" ref="O12">[1]!PropsSI("T","H",$P$5*1000,"S",P12*1000,$B$1)-273.15</f>
        <v>-123.60003065360019</v>
      </c>
      <c r="P12">
        <f t="shared" si="0"/>
        <v>4.3203521158288725</v>
      </c>
      <c r="R12">
        <f t="shared" si="1"/>
        <v>-44.690830128242439</v>
      </c>
      <c r="S12" cm="1">
        <f t="array" ref="S12">[1]!PropsSI("S","T",R12+273.15,"P",$S$5*100000,$B$1)/1000</f>
        <v>6.5618898254186036</v>
      </c>
      <c r="T12" cm="1">
        <f t="array" ref="T12">[1]!PropsSI("H","T",R12+273.15,"P",$S$5*100000,$B$1)/1000</f>
        <v>236.68027742166177</v>
      </c>
      <c r="U12">
        <f>-Impianto!$J$7*('T-s'!T12-'T-s'!$T$7)</f>
        <v>47.466453995252103</v>
      </c>
      <c r="V12">
        <f t="shared" si="2"/>
        <v>24.690830128242439</v>
      </c>
    </row>
    <row r="13" spans="1:23">
      <c r="A13">
        <v>-158</v>
      </c>
      <c r="B13">
        <f t="shared" si="5"/>
        <v>115.14999999999998</v>
      </c>
      <c r="C13" cm="1">
        <f t="array" ref="C13">[1]!PropsSI("P","T",B13,"Q",0,$B$1)/100000</f>
        <v>19.526816394796466</v>
      </c>
      <c r="D13" cm="1">
        <f t="array" ref="D13">[1]!PropsSI("S","T",B13,"Q",0,$B$1)/1000</f>
        <v>3.7234605370780112</v>
      </c>
      <c r="E13" cm="1">
        <f t="array" ref="E13">[1]!PropsSI("S","T",B13,"Q",1,$B$1)/1000</f>
        <v>4.728097586364437</v>
      </c>
      <c r="F13">
        <v>7</v>
      </c>
      <c r="G13">
        <f t="shared" si="3"/>
        <v>-51.771950080791228</v>
      </c>
      <c r="H13" cm="1">
        <f t="array" ref="H13">[1]!PropsSI("S","T",G13+273.15,"P",$H$5*100000,$B$1)/1000</f>
        <v>6.529070071003277</v>
      </c>
      <c r="J13">
        <f t="shared" si="4"/>
        <v>-26</v>
      </c>
      <c r="K13" cm="1">
        <f t="array" ref="K13">[1]!PropsSI("S","T",J13+273.15,"P",$K$5*100000,$B$1)/1000</f>
        <v>4.7340785020655831</v>
      </c>
      <c r="L13" cm="1">
        <f t="array" ref="L13">[1]!PropsSI("H","T",J13+273.15,"P",$K$5*100000,$B$1)/1000</f>
        <v>197.62066358027391</v>
      </c>
      <c r="M13">
        <f>-Impianto!$J$3*('T-s'!L13-'T-s'!$L$7)</f>
        <v>52.06952755327876</v>
      </c>
      <c r="O13" cm="1">
        <f t="array" ref="O13">[1]!PropsSI("T","H",$P$5*1000,"S",P13*1000,$B$1)-273.15</f>
        <v>-132.73973521269275</v>
      </c>
      <c r="P13">
        <f t="shared" si="0"/>
        <v>4.3765907746646109</v>
      </c>
      <c r="R13">
        <f t="shared" si="1"/>
        <v>-54.771874804313214</v>
      </c>
      <c r="S13" cm="1">
        <f t="array" ref="S13">[1]!PropsSI("S","T",R13+273.15,"P",$S$5*100000,$B$1)/1000</f>
        <v>6.5148457603322365</v>
      </c>
      <c r="T13" cm="1">
        <f t="array" ref="T13">[1]!PropsSI("H","T",R13+273.15,"P",$S$5*100000,$B$1)/1000</f>
        <v>226.17155271825885</v>
      </c>
      <c r="U13">
        <f>-Impianto!$J$7*('T-s'!T13-'T-s'!$T$7)</f>
        <v>56.966354680497453</v>
      </c>
      <c r="V13">
        <f t="shared" si="2"/>
        <v>28.771874804313214</v>
      </c>
    </row>
    <row r="14" spans="1:23">
      <c r="A14">
        <v>-160</v>
      </c>
      <c r="B14">
        <f t="shared" si="5"/>
        <v>113.14999999999998</v>
      </c>
      <c r="C14" cm="1">
        <f t="array" ref="C14">[1]!PropsSI("P","T",B14,"Q",0,$B$1)/100000</f>
        <v>17.515586604348243</v>
      </c>
      <c r="D14" cm="1">
        <f t="array" ref="D14">[1]!PropsSI("S","T",B14,"Q",0,$B$1)/1000</f>
        <v>3.6750666533531318</v>
      </c>
      <c r="E14" cm="1">
        <f t="array" ref="E14">[1]!PropsSI("S","T",B14,"Q",1,$B$1)/1000</f>
        <v>4.7664707517679243</v>
      </c>
      <c r="F14">
        <v>8</v>
      </c>
      <c r="G14">
        <f t="shared" si="3"/>
        <v>-62.067275094256431</v>
      </c>
      <c r="H14" cm="1">
        <f t="array" ref="H14">[1]!PropsSI("S","T",G14+273.15,"P",$H$5*100000,$B$1)/1000</f>
        <v>6.4794152349601291</v>
      </c>
      <c r="J14">
        <f t="shared" si="4"/>
        <v>-32</v>
      </c>
      <c r="K14" cm="1">
        <f t="array" ref="K14">[1]!PropsSI("S","T",J14+273.15,"P",$K$5*100000,$B$1)/1000</f>
        <v>4.6968072411548576</v>
      </c>
      <c r="L14" cm="1">
        <f t="array" ref="L14">[1]!PropsSI("H","T",J14+273.15,"P",$K$5*100000,$B$1)/1000</f>
        <v>188.52161469691319</v>
      </c>
      <c r="M14">
        <f>-Impianto!$J$3*('T-s'!L14-'T-s'!$L$7)</f>
        <v>61.168576436639484</v>
      </c>
      <c r="O14" cm="1">
        <f t="array" ref="O14">[1]!PropsSI("T","H",$P$5*1000,"S",P14*1000,$B$1)-273.15</f>
        <v>-144.33552349248916</v>
      </c>
      <c r="P14">
        <f t="shared" si="0"/>
        <v>4.4328294335003493</v>
      </c>
      <c r="R14">
        <f t="shared" si="1"/>
        <v>-64.852919480383989</v>
      </c>
      <c r="S14" cm="1">
        <f t="array" ref="S14">[1]!PropsSI("S","T",R14+273.15,"P",$S$5*100000,$B$1)/1000</f>
        <v>6.4655596813399159</v>
      </c>
      <c r="T14" cm="1">
        <f t="array" ref="T14">[1]!PropsSI("H","T",R14+273.15,"P",$S$5*100000,$B$1)/1000</f>
        <v>215.65895239400558</v>
      </c>
      <c r="U14">
        <f>-Impianto!$J$7*('T-s'!T14-'T-s'!$T$7)</f>
        <v>66.46975893199</v>
      </c>
      <c r="V14">
        <f t="shared" si="2"/>
        <v>32.852919480383989</v>
      </c>
    </row>
    <row r="15" spans="1:23">
      <c r="A15">
        <v>-162</v>
      </c>
      <c r="B15">
        <f t="shared" si="5"/>
        <v>111.14999999999998</v>
      </c>
      <c r="C15" cm="1">
        <f t="array" ref="C15">[1]!PropsSI("P","T",B15,"Q",0,$B$1)/100000</f>
        <v>15.65894492133283</v>
      </c>
      <c r="D15" cm="1">
        <f t="array" ref="D15">[1]!PropsSI("S","T",B15,"Q",0,$B$1)/1000</f>
        <v>3.6280567042774421</v>
      </c>
      <c r="E15" cm="1">
        <f t="array" ref="E15">[1]!PropsSI("S","T",B15,"Q",1,$B$1)/1000</f>
        <v>4.8025796186289353</v>
      </c>
      <c r="F15">
        <v>9</v>
      </c>
      <c r="G15">
        <f t="shared" si="3"/>
        <v>-72.362600107721633</v>
      </c>
      <c r="H15" cm="1">
        <f t="array" ref="H15">[1]!PropsSI("S","T",G15+273.15,"P",$H$5*100000,$B$1)/1000</f>
        <v>6.4272543421189692</v>
      </c>
      <c r="J15">
        <f t="shared" si="4"/>
        <v>-38</v>
      </c>
      <c r="K15" cm="1">
        <f t="array" ref="K15">[1]!PropsSI("S","T",J15+273.15,"P",$K$5*100000,$B$1)/1000</f>
        <v>4.6580299945252888</v>
      </c>
      <c r="L15" cm="1">
        <f t="array" ref="L15">[1]!PropsSI("H","T",J15+273.15,"P",$K$5*100000,$B$1)/1000</f>
        <v>179.28759018789296</v>
      </c>
      <c r="M15">
        <f>-Impianto!$J$3*('T-s'!L15-'T-s'!$L$7)</f>
        <v>70.402600945659714</v>
      </c>
      <c r="O15" cm="1">
        <f t="array" ref="O15">[1]!PropsSI("T","H",$P$5*1000,"S",P15*1000,$B$1)-273.15</f>
        <v>-153.95130138168085</v>
      </c>
      <c r="P15">
        <f t="shared" si="0"/>
        <v>4.4890680923360877</v>
      </c>
      <c r="R15">
        <f t="shared" si="1"/>
        <v>-74.933964156454763</v>
      </c>
      <c r="S15" cm="1">
        <f t="array" ref="S15">[1]!PropsSI("S","T",R15+273.15,"P",$S$5*100000,$B$1)/1000</f>
        <v>6.4138049215389987</v>
      </c>
      <c r="T15" cm="1">
        <f t="array" ref="T15">[1]!PropsSI("H","T",R15+273.15,"P",$S$5*100000,$B$1)/1000</f>
        <v>205.14163631081092</v>
      </c>
      <c r="U15">
        <f>-Impianto!$J$7*('T-s'!T15-'T-s'!$T$7)</f>
        <v>75.977426235647599</v>
      </c>
      <c r="V15">
        <f t="shared" si="2"/>
        <v>36.933964156454763</v>
      </c>
    </row>
    <row r="16" spans="1:23">
      <c r="A16">
        <v>-164</v>
      </c>
      <c r="B16">
        <f t="shared" si="5"/>
        <v>109.14999999999998</v>
      </c>
      <c r="C16" cm="1">
        <f t="array" ref="C16">[1]!PropsSI("P","T",B16,"Q",0,$B$1)/100000</f>
        <v>13.948543775546849</v>
      </c>
      <c r="D16" cm="1">
        <f t="array" ref="D16">[1]!PropsSI("S","T",B16,"Q",0,$B$1)/1000</f>
        <v>3.5819946561754312</v>
      </c>
      <c r="E16" cm="1">
        <f t="array" ref="E16">[1]!PropsSI("S","T",B16,"Q",1,$B$1)/1000</f>
        <v>4.8370807562727984</v>
      </c>
      <c r="F16">
        <v>10</v>
      </c>
      <c r="G16">
        <f t="shared" si="3"/>
        <v>-82.657925121186835</v>
      </c>
      <c r="H16" cm="1">
        <f t="array" ref="H16">[1]!PropsSI("S","T",G16+273.15,"P",$H$5*100000,$B$1)/1000</f>
        <v>6.3723180947660394</v>
      </c>
      <c r="J16">
        <f t="shared" si="4"/>
        <v>-44</v>
      </c>
      <c r="K16" cm="1">
        <f t="array" ref="K16">[1]!PropsSI("S","T",J16+273.15,"P",$K$5*100000,$B$1)/1000</f>
        <v>4.6176503548759831</v>
      </c>
      <c r="L16" cm="1">
        <f t="array" ref="L16">[1]!PropsSI("H","T",J16+273.15,"P",$K$5*100000,$B$1)/1000</f>
        <v>169.91428266432931</v>
      </c>
      <c r="M16">
        <f>-Impianto!$J$3*('T-s'!L16-'T-s'!$L$7)</f>
        <v>79.775908469223367</v>
      </c>
      <c r="O16" cm="1">
        <f t="array" ref="O16">[1]!PropsSI("T","H",$P$5*1000,"S",P16*1000,$B$1)-273.15</f>
        <v>-160.69806335535401</v>
      </c>
      <c r="P16">
        <f t="shared" si="0"/>
        <v>4.5453067511718261</v>
      </c>
      <c r="R16">
        <f t="shared" si="1"/>
        <v>-85.015008832525538</v>
      </c>
      <c r="S16" cm="1">
        <f t="array" ref="S16">[1]!PropsSI("S","T",R16+273.15,"P",$S$5*100000,$B$1)/1000</f>
        <v>6.3593182323376052</v>
      </c>
      <c r="T16" cm="1">
        <f t="array" ref="T16">[1]!PropsSI("H","T",R16+273.15,"P",$S$5*100000,$B$1)/1000</f>
        <v>194.61855901667997</v>
      </c>
      <c r="U16">
        <f>-Impianto!$J$7*('T-s'!T16-'T-s'!$T$7)</f>
        <v>85.490301681421982</v>
      </c>
      <c r="V16">
        <f t="shared" si="2"/>
        <v>41.015008832525538</v>
      </c>
    </row>
    <row r="17" spans="1:22">
      <c r="A17">
        <v>-166</v>
      </c>
      <c r="B17">
        <f t="shared" si="5"/>
        <v>107.14999999999998</v>
      </c>
      <c r="C17" cm="1">
        <f t="array" ref="C17">[1]!PropsSI("P","T",B17,"Q",0,$B$1)/100000</f>
        <v>12.376664954634087</v>
      </c>
      <c r="D17" cm="1">
        <f t="array" ref="D17">[1]!PropsSI("S","T",B17,"Q",0,$B$1)/1000</f>
        <v>3.5365641043330154</v>
      </c>
      <c r="E17" cm="1">
        <f t="array" ref="E17">[1]!PropsSI("S","T",B17,"Q",1,$B$1)/1000</f>
        <v>4.8704629984383683</v>
      </c>
      <c r="F17">
        <v>11</v>
      </c>
      <c r="G17">
        <f t="shared" si="3"/>
        <v>-92.953250134652038</v>
      </c>
      <c r="H17" cm="1">
        <f t="array" ref="H17">[1]!PropsSI("S","T",G17+273.15,"P",$H$5*100000,$B$1)/1000</f>
        <v>6.314290710701731</v>
      </c>
      <c r="J17">
        <f t="shared" si="4"/>
        <v>-50</v>
      </c>
      <c r="K17" cm="1">
        <f t="array" ref="K17">[1]!PropsSI("S","T",J17+273.15,"P",$K$5*100000,$B$1)/1000</f>
        <v>4.5755688739740501</v>
      </c>
      <c r="L17" cm="1">
        <f t="array" ref="L17">[1]!PropsSI("H","T",J17+273.15,"P",$K$5*100000,$B$1)/1000</f>
        <v>160.39843191901261</v>
      </c>
      <c r="M17">
        <f>-Impianto!$J$3*('T-s'!L17-'T-s'!$L$7)</f>
        <v>89.291759214540065</v>
      </c>
      <c r="O17" cm="1">
        <f t="array" ref="O17">[1]!PropsSI("T","H",$P$5*1000,"S",P17*1000,$B$1)-273.15</f>
        <v>-166.23576160007281</v>
      </c>
      <c r="P17">
        <f t="shared" si="0"/>
        <v>4.6015454100075646</v>
      </c>
      <c r="R17">
        <f t="shared" si="1"/>
        <v>-95.096053508596313</v>
      </c>
      <c r="S17" cm="1">
        <f t="array" ref="S17">[1]!PropsSI("S","T",R17+273.15,"P",$S$5*100000,$B$1)/1000</f>
        <v>6.3017912509960698</v>
      </c>
      <c r="T17" cm="1">
        <f t="array" ref="T17">[1]!PropsSI("H","T",R17+273.15,"P",$S$5*100000,$B$1)/1000</f>
        <v>184.08838453532366</v>
      </c>
      <c r="U17">
        <f>-Impianto!$J$7*('T-s'!T17-'T-s'!$T$7)</f>
        <v>95.009592993601515</v>
      </c>
      <c r="V17">
        <f t="shared" si="2"/>
        <v>45.096053508596313</v>
      </c>
    </row>
    <row r="18" spans="1:22">
      <c r="A18">
        <v>-168</v>
      </c>
      <c r="B18">
        <f t="shared" si="5"/>
        <v>105.14999999999998</v>
      </c>
      <c r="C18" cm="1">
        <f t="array" ref="C18">[1]!PropsSI("P","T",B18,"Q",0,$B$1)/100000</f>
        <v>10.936046171247657</v>
      </c>
      <c r="D18" cm="1">
        <f t="array" ref="D18">[1]!PropsSI("S","T",B18,"Q",0,$B$1)/1000</f>
        <v>3.4915232106521481</v>
      </c>
      <c r="E18" cm="1">
        <f t="array" ref="E18">[1]!PropsSI("S","T",B18,"Q",1,$B$1)/1000</f>
        <v>4.9031095343632494</v>
      </c>
      <c r="F18">
        <v>12</v>
      </c>
      <c r="G18">
        <f t="shared" si="3"/>
        <v>-103.24857514811724</v>
      </c>
      <c r="H18" cm="1">
        <f t="array" ref="H18">[1]!PropsSI("S","T",G18+273.15,"P",$H$5*100000,$B$1)/1000</f>
        <v>6.2527982596219394</v>
      </c>
      <c r="J18">
        <f t="shared" si="4"/>
        <v>-56</v>
      </c>
      <c r="K18" cm="1">
        <f t="array" ref="K18">[1]!PropsSI("S","T",J18+273.15,"P",$K$5*100000,$B$1)/1000</f>
        <v>4.5316840077418483</v>
      </c>
      <c r="L18" cm="1">
        <f t="array" ref="L18">[1]!PropsSI("H","T",J18+273.15,"P",$K$5*100000,$B$1)/1000</f>
        <v>150.73810591369966</v>
      </c>
      <c r="M18">
        <f>-Impianto!$J$3*('T-s'!L18-'T-s'!$L$7)</f>
        <v>98.952085219853018</v>
      </c>
      <c r="O18" cm="1">
        <f t="array" ref="O18">[1]!PropsSI("T","H",$P$5*1000,"S",P18*1000,$B$1)-273.15</f>
        <v>-170.92915489154171</v>
      </c>
      <c r="P18">
        <f t="shared" si="0"/>
        <v>4.657784068843303</v>
      </c>
      <c r="R18">
        <f t="shared" si="1"/>
        <v>-105.17709818466709</v>
      </c>
      <c r="S18" cm="1">
        <f t="array" ref="S18">[1]!PropsSI("S","T",R18+273.15,"P",$S$5*100000,$B$1)/1000</f>
        <v>6.2408592605509936</v>
      </c>
      <c r="T18" cm="1">
        <f t="array" ref="T18">[1]!PropsSI("H","T",R18+273.15,"P",$S$5*100000,$B$1)/1000</f>
        <v>173.54936355549643</v>
      </c>
      <c r="U18">
        <f>-Impianto!$J$7*('T-s'!T18-'T-s'!$T$7)</f>
        <v>104.53688155180832</v>
      </c>
      <c r="V18">
        <f t="shared" si="2"/>
        <v>49.177098184667088</v>
      </c>
    </row>
    <row r="19" spans="1:22">
      <c r="A19">
        <v>-170</v>
      </c>
      <c r="B19">
        <f t="shared" si="5"/>
        <v>103.14999999999998</v>
      </c>
      <c r="C19" cm="1">
        <f t="array" ref="C19">[1]!PropsSI("P","T",B19,"Q",0,$B$1)/100000</f>
        <v>9.6197672769881173</v>
      </c>
      <c r="D19" cm="1">
        <f t="array" ref="D19">[1]!PropsSI("S","T",B19,"Q",0,$B$1)/1000</f>
        <v>3.4466794075335163</v>
      </c>
      <c r="E19" cm="1">
        <f t="array" ref="E19">[1]!PropsSI("S","T",B19,"Q",1,$B$1)/1000</f>
        <v>4.9353305576162478</v>
      </c>
      <c r="F19">
        <v>13</v>
      </c>
      <c r="G19">
        <f t="shared" si="3"/>
        <v>-113.54390016158244</v>
      </c>
      <c r="H19" cm="1">
        <f t="array" ref="H19">[1]!PropsSI("S","T",G19+273.15,"P",$H$5*100000,$B$1)/1000</f>
        <v>6.1873929740257951</v>
      </c>
      <c r="J19">
        <f t="shared" si="4"/>
        <v>-62</v>
      </c>
      <c r="K19" cm="1">
        <f t="array" ref="K19">[1]!PropsSI("S","T",J19+273.15,"P",$K$5*100000,$B$1)/1000</f>
        <v>4.4858931565254299</v>
      </c>
      <c r="L19" cm="1">
        <f t="array" ref="L19">[1]!PropsSI("H","T",J19+273.15,"P",$K$5*100000,$B$1)/1000</f>
        <v>140.93297381093086</v>
      </c>
      <c r="M19">
        <f>-Impianto!$J$3*('T-s'!L19-'T-s'!$L$7)</f>
        <v>108.75721732262181</v>
      </c>
      <c r="O19" cm="1">
        <f t="array" ref="O19">[1]!PropsSI("T","H",$P$5*1000,"S",P19*1000,$B$1)-273.15</f>
        <v>-174.99748912966561</v>
      </c>
      <c r="P19">
        <f t="shared" si="0"/>
        <v>4.7140227276790414</v>
      </c>
      <c r="R19">
        <f t="shared" si="1"/>
        <v>-115.25814286073786</v>
      </c>
      <c r="S19" cm="1">
        <f t="array" ref="S19">[1]!PropsSI("S","T",R19+273.15,"P",$S$5*100000,$B$1)/1000</f>
        <v>6.1760860929309978</v>
      </c>
      <c r="T19" cm="1">
        <f t="array" ref="T19">[1]!PropsSI("H","T",R19+273.15,"P",$S$5*100000,$B$1)/1000</f>
        <v>162.99914996485262</v>
      </c>
      <c r="U19">
        <f>-Impianto!$J$7*('T-s'!T19-'T-s'!$T$7)</f>
        <v>114.07428824462869</v>
      </c>
      <c r="V19">
        <f t="shared" si="2"/>
        <v>53.258142860737863</v>
      </c>
    </row>
    <row r="20" spans="1:22">
      <c r="A20">
        <v>-172</v>
      </c>
      <c r="B20">
        <f t="shared" si="5"/>
        <v>101.14999999999998</v>
      </c>
      <c r="C20" cm="1">
        <f t="array" ref="C20">[1]!PropsSI("P","T",B20,"Q",0,$B$1)/100000</f>
        <v>8.4211705422143055</v>
      </c>
      <c r="D20" cm="1">
        <f t="array" ref="D20">[1]!PropsSI("S","T",B20,"Q",0,$B$1)/1000</f>
        <v>3.4018740741500633</v>
      </c>
      <c r="E20" cm="1">
        <f t="array" ref="E20">[1]!PropsSI("S","T",B20,"Q",1,$B$1)/1000</f>
        <v>4.9673852142685035</v>
      </c>
      <c r="F20">
        <v>14</v>
      </c>
      <c r="G20">
        <f t="shared" si="3"/>
        <v>-123.83922517504764</v>
      </c>
      <c r="H20" cm="1">
        <f t="array" ref="H20">[1]!PropsSI("S","T",G20+273.15,"P",$H$5*100000,$B$1)/1000</f>
        <v>6.1175316521874574</v>
      </c>
      <c r="J20">
        <f t="shared" si="4"/>
        <v>-68</v>
      </c>
      <c r="K20" cm="1">
        <f t="array" ref="K20">[1]!PropsSI("S","T",J20+273.15,"P",$K$5*100000,$B$1)/1000</f>
        <v>4.4380937972895023</v>
      </c>
      <c r="L20" cm="1">
        <f t="array" ref="L20">[1]!PropsSI("H","T",J20+273.15,"P",$K$5*100000,$B$1)/1000</f>
        <v>130.98456692079995</v>
      </c>
      <c r="M20">
        <f>-Impianto!$J$3*('T-s'!L20-'T-s'!$L$7)</f>
        <v>118.70562421275272</v>
      </c>
      <c r="O20" cm="1">
        <f t="array" ref="O20">[1]!PropsSI("T","H",$P$5*1000,"S",P20*1000,$B$1)-273.15</f>
        <v>-178.58345665624034</v>
      </c>
      <c r="P20">
        <f t="shared" si="0"/>
        <v>4.7702613865147798</v>
      </c>
      <c r="R20">
        <f t="shared" si="1"/>
        <v>-125.33918753680864</v>
      </c>
      <c r="S20" cm="1">
        <f t="array" ref="S20">[1]!PropsSI("S","T",R20+273.15,"P",$S$5*100000,$B$1)/1000</f>
        <v>6.1069433802325035</v>
      </c>
      <c r="T20" cm="1">
        <f t="array" ref="T20">[1]!PropsSI("H","T",R20+273.15,"P",$S$5*100000,$B$1)/1000</f>
        <v>152.43451633599142</v>
      </c>
      <c r="U20">
        <f>-Impianto!$J$7*('T-s'!T20-'T-s'!$T$7)</f>
        <v>123.6247306705955</v>
      </c>
      <c r="V20">
        <f t="shared" si="2"/>
        <v>57.339187536808637</v>
      </c>
    </row>
    <row r="21" spans="1:22">
      <c r="A21">
        <v>-174</v>
      </c>
      <c r="B21">
        <f t="shared" si="5"/>
        <v>99.149999999999977</v>
      </c>
      <c r="C21" cm="1">
        <f t="array" ref="C21">[1]!PropsSI("P","T",B21,"Q",0,$B$1)/100000</f>
        <v>7.3338017234829316</v>
      </c>
      <c r="D21" cm="1">
        <f t="array" ref="D21">[1]!PropsSI("S","T",B21,"Q",0,$B$1)/1000</f>
        <v>3.3569726068540211</v>
      </c>
      <c r="E21" cm="1">
        <f t="array" ref="E21">[1]!PropsSI("S","T",B21,"Q",1,$B$1)/1000</f>
        <v>4.9994991868202519</v>
      </c>
      <c r="F21">
        <v>15</v>
      </c>
      <c r="G21">
        <f t="shared" si="3"/>
        <v>-134.13455018851286</v>
      </c>
      <c r="H21" cm="1">
        <f t="array" ref="H21">[1]!PropsSI("S","T",G21+273.15,"P",$H$5*100000,$B$1)/1000</f>
        <v>6.0425450876176647</v>
      </c>
      <c r="J21">
        <f t="shared" si="4"/>
        <v>-74</v>
      </c>
      <c r="K21" cm="1">
        <f t="array" ref="K21">[1]!PropsSI("S","T",J21+273.15,"P",$K$5*100000,$B$1)/1000</f>
        <v>4.3881847442199504</v>
      </c>
      <c r="L21" cm="1">
        <f t="array" ref="L21">[1]!PropsSI("H","T",J21+273.15,"P",$K$5*100000,$B$1)/1000</f>
        <v>120.89653162054651</v>
      </c>
      <c r="M21">
        <f>-Impianto!$J$3*('T-s'!L21-'T-s'!$L$7)</f>
        <v>128.79365951300616</v>
      </c>
      <c r="O21" cm="1">
        <f t="array" ref="O21">[1]!PropsSI("T","H",$P$5*1000,"S",P21*1000,$B$1)-273.15</f>
        <v>-181.78545410041386</v>
      </c>
      <c r="P21">
        <f t="shared" si="0"/>
        <v>4.8265000453505182</v>
      </c>
      <c r="R21">
        <f t="shared" si="1"/>
        <v>-135.42023221287943</v>
      </c>
      <c r="S21" cm="1">
        <f t="array" ref="S21">[1]!PropsSI("S","T",R21+273.15,"P",$S$5*100000,$B$1)/1000</f>
        <v>6.0327812355457642</v>
      </c>
      <c r="T21" cm="1">
        <f t="array" ref="T21">[1]!PropsSI("H","T",R21+273.15,"P",$S$5*100000,$B$1)/1000</f>
        <v>141.85089477179486</v>
      </c>
      <c r="U21">
        <f>-Impianto!$J$7*('T-s'!T21-'T-s'!$T$7)</f>
        <v>133.19233821459468</v>
      </c>
      <c r="V21">
        <f t="shared" si="2"/>
        <v>61.420232212879426</v>
      </c>
    </row>
    <row r="22" spans="1:22">
      <c r="A22">
        <v>-176</v>
      </c>
      <c r="B22">
        <f t="shared" si="5"/>
        <v>97.149999999999977</v>
      </c>
      <c r="C22" cm="1">
        <f t="array" ref="C22">[1]!PropsSI("P","T",B22,"Q",0,$B$1)/100000</f>
        <v>6.3513662995420068</v>
      </c>
      <c r="D22" cm="1">
        <f t="array" ref="D22">[1]!PropsSI("S","T",B22,"Q",0,$B$1)/1000</f>
        <v>3.3118576701578779</v>
      </c>
      <c r="E22" cm="1">
        <f t="array" ref="E22">[1]!PropsSI("S","T",B22,"Q",1,$B$1)/1000</f>
        <v>5.0318781156987828</v>
      </c>
      <c r="F22">
        <v>16</v>
      </c>
      <c r="G22">
        <f t="shared" si="3"/>
        <v>-144.42987520197806</v>
      </c>
      <c r="H22" cm="1">
        <f t="array" ref="H22">[1]!PropsSI("S","T",G22+273.15,"P",$H$5*100000,$B$1)/1000</f>
        <v>5.9615932801795672</v>
      </c>
      <c r="J22">
        <f t="shared" si="4"/>
        <v>-80</v>
      </c>
      <c r="K22" cm="1">
        <f t="array" ref="K22">[1]!PropsSI("S","T",J22+273.15,"P",$K$5*100000,$B$1)/1000</f>
        <v>4.3360675202843364</v>
      </c>
      <c r="L22" cm="1">
        <f t="array" ref="L22">[1]!PropsSI("H","T",J22+273.15,"P",$K$5*100000,$B$1)/1000</f>
        <v>110.67486627079806</v>
      </c>
      <c r="M22">
        <f>-Impianto!$J$3*('T-s'!L22-'T-s'!$L$7)</f>
        <v>139.0153248627546</v>
      </c>
      <c r="O22" cm="1">
        <f t="array" ref="O22">[1]!PropsSI("T","H",$P$5*1000,"S",P22*1000,$B$1)-273.15</f>
        <v>-184.67436052613527</v>
      </c>
      <c r="P22">
        <f t="shared" si="0"/>
        <v>4.8827387041862567</v>
      </c>
      <c r="R22">
        <f t="shared" si="1"/>
        <v>-145.5012768889502</v>
      </c>
      <c r="S22" cm="1">
        <f t="array" ref="S22">[1]!PropsSI("S","T",R22+273.15,"P",$S$5*100000,$B$1)/1000</f>
        <v>5.9527853788988523</v>
      </c>
      <c r="T22" cm="1">
        <f t="array" ref="T22">[1]!PropsSI("H","T",R22+273.15,"P",$S$5*100000,$B$1)/1000</f>
        <v>131.24160246319363</v>
      </c>
      <c r="U22">
        <f>-Impianto!$J$7*('T-s'!T22-'T-s'!$T$7)</f>
        <v>142.78315214464388</v>
      </c>
      <c r="V22">
        <f t="shared" si="2"/>
        <v>65.501276888950201</v>
      </c>
    </row>
    <row r="23" spans="1:22">
      <c r="A23">
        <v>-178</v>
      </c>
      <c r="B23">
        <f t="shared" si="5"/>
        <v>95.149999999999977</v>
      </c>
      <c r="C23" cm="1">
        <f t="array" ref="C23">[1]!PropsSI("P","T",B23,"Q",0,$B$1)/100000</f>
        <v>5.4676980337689569</v>
      </c>
      <c r="D23" cm="1">
        <f t="array" ref="D23">[1]!PropsSI("S","T",B23,"Q",0,$B$1)/1000</f>
        <v>3.2664244485863985</v>
      </c>
      <c r="E23" cm="1">
        <f t="array" ref="E23">[1]!PropsSI("S","T",B23,"Q",1,$B$1)/1000</f>
        <v>5.0647167553075789</v>
      </c>
      <c r="F23">
        <v>17</v>
      </c>
      <c r="G23">
        <f t="shared" si="3"/>
        <v>-154.72520021544327</v>
      </c>
      <c r="H23" cm="1">
        <f t="array" ref="H23">[1]!PropsSI("S","T",G23+273.15,"P",$H$5*100000,$B$1)/1000</f>
        <v>5.8735968870246351</v>
      </c>
      <c r="J23">
        <f t="shared" si="4"/>
        <v>-86</v>
      </c>
      <c r="K23" cm="1">
        <f t="array" ref="K23">[1]!PropsSI("S","T",J23+273.15,"P",$K$5*100000,$B$1)/1000</f>
        <v>4.2816475770882967</v>
      </c>
      <c r="L23" cm="1">
        <f t="array" ref="L23">[1]!PropsSI("H","T",J23+273.15,"P",$K$5*100000,$B$1)/1000</f>
        <v>100.32808836259854</v>
      </c>
      <c r="M23">
        <f>-Impianto!$J$3*('T-s'!L23-'T-s'!$L$7)</f>
        <v>149.36210277095415</v>
      </c>
      <c r="O23" cm="1">
        <f t="array" ref="O23">[1]!PropsSI("T","H",$P$5*1000,"S",P23*1000,$B$1)-273.15</f>
        <v>-187.30300548465516</v>
      </c>
      <c r="P23">
        <f t="shared" si="0"/>
        <v>4.9389773630219951</v>
      </c>
      <c r="R23">
        <f t="shared" si="1"/>
        <v>-155.58232156502098</v>
      </c>
      <c r="S23" cm="1">
        <f t="array" ref="S23">[1]!PropsSI("S","T",R23+273.15,"P",$S$5*100000,$B$1)/1000</f>
        <v>5.8659116606117454</v>
      </c>
      <c r="T23" cm="1">
        <f t="array" ref="T23">[1]!PropsSI("H","T",R23+273.15,"P",$S$5*100000,$B$1)/1000</f>
        <v>120.59646726951364</v>
      </c>
      <c r="U23">
        <f>-Impianto!$J$7*('T-s'!T23-'T-s'!$T$7)</f>
        <v>152.40636808903176</v>
      </c>
      <c r="V23">
        <f t="shared" si="2"/>
        <v>69.582321565020976</v>
      </c>
    </row>
    <row r="24" spans="1:22">
      <c r="A24">
        <v>-180</v>
      </c>
      <c r="B24">
        <f t="shared" si="5"/>
        <v>93.149999999999977</v>
      </c>
      <c r="C24" cm="1">
        <f t="array" ref="C24">[1]!PropsSI("P","T",B24,"Q",0,$B$1)/100000</f>
        <v>4.6767374550204464</v>
      </c>
      <c r="D24" cm="1">
        <f t="array" ref="D24">[1]!PropsSI("S","T",B24,"Q",0,$B$1)/1000</f>
        <v>3.2205772000302288</v>
      </c>
      <c r="E24" cm="1">
        <f t="array" ref="E24">[1]!PropsSI("S","T",B24,"Q",1,$B$1)/1000</f>
        <v>5.0982050008852502</v>
      </c>
      <c r="F24">
        <v>18</v>
      </c>
      <c r="G24">
        <f t="shared" si="3"/>
        <v>-165.02052522890847</v>
      </c>
      <c r="H24" cm="1">
        <f t="array" ref="H24">[1]!PropsSI("S","T",G24+273.15,"P",$H$5*100000,$B$1)/1000</f>
        <v>5.7771261576228197</v>
      </c>
      <c r="J24">
        <f t="shared" si="4"/>
        <v>-92</v>
      </c>
      <c r="K24" cm="1">
        <f t="array" ref="K24">[1]!PropsSI("S","T",J24+273.15,"P",$K$5*100000,$B$1)/1000</f>
        <v>4.2248347148526442</v>
      </c>
      <c r="L24" cm="1">
        <f t="array" ref="L24">[1]!PropsSI("H","T",J24+273.15,"P",$K$5*100000,$B$1)/1000</f>
        <v>89.867217933532743</v>
      </c>
      <c r="M24">
        <f>-Impianto!$J$3*('T-s'!L24-'T-s'!$L$7)</f>
        <v>159.82297320001993</v>
      </c>
      <c r="O24" cm="1">
        <f t="array" ref="O24">[1]!PropsSI("T","H",$P$5*1000,"S",P24*1000,$B$1)-273.15</f>
        <v>-189.7118611159359</v>
      </c>
      <c r="P24">
        <f t="shared" si="0"/>
        <v>4.9952160218577335</v>
      </c>
      <c r="R24">
        <f t="shared" si="1"/>
        <v>-165.66336624109175</v>
      </c>
      <c r="S24" cm="1">
        <f t="array" ref="S24">[1]!PropsSI("S","T",R24+273.15,"P",$S$5*100000,$B$1)/1000</f>
        <v>5.7707802538257695</v>
      </c>
      <c r="T24" cm="1">
        <f t="array" ref="T24">[1]!PropsSI("H","T",R24+273.15,"P",$S$5*100000,$B$1)/1000</f>
        <v>109.89923609274835</v>
      </c>
      <c r="U24">
        <f>-Impianto!$J$7*('T-s'!T24-'T-s'!$T$7)</f>
        <v>162.07667886931827</v>
      </c>
      <c r="V24">
        <f t="shared" si="2"/>
        <v>73.663366241091751</v>
      </c>
    </row>
    <row r="25" spans="1:22">
      <c r="A25">
        <v>-182</v>
      </c>
      <c r="B25">
        <f t="shared" si="5"/>
        <v>91.149999999999977</v>
      </c>
      <c r="C25" cm="1">
        <f t="array" ref="C25">[1]!PropsSI("P","T",B25,"Q",0,$B$1)/100000</f>
        <v>3.9725181254459394</v>
      </c>
      <c r="D25" cm="1">
        <f t="array" ref="D25">[1]!PropsSI("S","T",B25,"Q",0,$B$1)/1000</f>
        <v>3.1742266737158582</v>
      </c>
      <c r="E25" cm="1">
        <f t="array" ref="E25">[1]!PropsSI("S","T",B25,"Q",1,$B$1)/1000</f>
        <v>5.1325323499827142</v>
      </c>
      <c r="F25">
        <v>19</v>
      </c>
      <c r="G25">
        <f t="shared" si="3"/>
        <v>-175.31585024237367</v>
      </c>
      <c r="H25" cm="1">
        <f t="array" ref="H25">[1]!PropsSI("S","T",G25+273.15,"P",$H$5*100000,$B$1)/1000</f>
        <v>5.6702066495634984</v>
      </c>
      <c r="J25">
        <f t="shared" si="4"/>
        <v>-98</v>
      </c>
      <c r="K25" cm="1">
        <f t="array" ref="K25">[1]!PropsSI("S","T",J25+273.15,"P",$K$5*100000,$B$1)/1000</f>
        <v>4.1655418048297488</v>
      </c>
      <c r="L25" cm="1">
        <f t="array" ref="L25">[1]!PropsSI("H","T",J25+273.15,"P",$K$5*100000,$B$1)/1000</f>
        <v>79.305447823947432</v>
      </c>
      <c r="M25">
        <f>-Impianto!$J$3*('T-s'!L25-'T-s'!$L$7)</f>
        <v>170.38474330960526</v>
      </c>
      <c r="O25" cm="1">
        <f t="array" ref="O25">[1]!PropsSI("T","H",$P$5*1000,"S",P25*1000,$B$1)-273.15</f>
        <v>-191.93264088280731</v>
      </c>
      <c r="P25">
        <f t="shared" si="0"/>
        <v>5.0514546806934719</v>
      </c>
      <c r="R25">
        <f t="shared" si="1"/>
        <v>-175.74441091716253</v>
      </c>
      <c r="S25" cm="1">
        <f t="array" ref="S25">[1]!PropsSI("S","T",R25+273.15,"P",$S$5*100000,$B$1)/1000</f>
        <v>5.6654912169679443</v>
      </c>
      <c r="T25" cm="1">
        <f t="array" ref="T25">[1]!PropsSI("H","T",R25+273.15,"P",$S$5*100000,$B$1)/1000</f>
        <v>99.122308091201234</v>
      </c>
      <c r="U25">
        <f>-Impianto!$J$7*('T-s'!T25-'T-s'!$T$7)</f>
        <v>171.81903568199459</v>
      </c>
      <c r="V25">
        <f t="shared" si="2"/>
        <v>77.744410917162526</v>
      </c>
    </row>
    <row r="26" spans="1:22">
      <c r="A26">
        <v>-184</v>
      </c>
      <c r="B26">
        <f t="shared" si="5"/>
        <v>89.149999999999977</v>
      </c>
      <c r="C26" cm="1">
        <f t="array" ref="C26">[1]!PropsSI("P","T",B26,"Q",0,$B$1)/100000</f>
        <v>3.3491591748960943</v>
      </c>
      <c r="D26" cm="1">
        <f t="array" ref="D26">[1]!PropsSI("S","T",B26,"Q",0,$B$1)/1000</f>
        <v>3.127288113698075</v>
      </c>
      <c r="E26" cm="1">
        <f t="array" ref="E26">[1]!PropsSI("S","T",B26,"Q",1,$B$1)/1000</f>
        <v>5.1678918071362938</v>
      </c>
      <c r="F26">
        <v>20</v>
      </c>
      <c r="G26">
        <f t="shared" si="3"/>
        <v>-185.61117525583887</v>
      </c>
      <c r="H26" cm="1">
        <f t="array" ref="H26">[1]!PropsSI("S","T",G26+273.15,"P",$H$5*100000,$B$1)/1000</f>
        <v>5.5499411805614605</v>
      </c>
      <c r="J26">
        <f t="shared" si="4"/>
        <v>-104</v>
      </c>
      <c r="K26" cm="1">
        <f t="array" ref="K26">[1]!PropsSI("S","T",J26+273.15,"P",$K$5*100000,$B$1)/1000</f>
        <v>4.1036811988026995</v>
      </c>
      <c r="L26" cm="1">
        <f t="array" ref="L26">[1]!PropsSI("H","T",J26+273.15,"P",$K$5*100000,$B$1)/1000</f>
        <v>68.657451024490356</v>
      </c>
      <c r="M26">
        <f>-Impianto!$J$3*('T-s'!L26-'T-s'!$L$7)</f>
        <v>181.03274010906233</v>
      </c>
      <c r="O26" cm="1">
        <f t="array" ref="O26">[1]!PropsSI("T","H",$P$5*1000,"S",P26*1000,$B$1)-273.15</f>
        <v>-193.99066991683739</v>
      </c>
      <c r="P26">
        <f t="shared" si="0"/>
        <v>5.1076933395292103</v>
      </c>
      <c r="R26">
        <f t="shared" si="1"/>
        <v>-185.8254555932333</v>
      </c>
      <c r="S26" cm="1">
        <f t="array" ref="S26">[1]!PropsSI("S","T",R26+273.15,"P",$S$5*100000,$B$1)/1000</f>
        <v>5.5472674990738957</v>
      </c>
      <c r="T26" cm="1">
        <f t="array" ref="T26">[1]!PropsSI("H","T",R26+273.15,"P",$S$5*100000,$B$1)/1000</f>
        <v>88.214948190805956</v>
      </c>
      <c r="U26">
        <f>-Impianto!$J$7*('T-s'!T26-'T-s'!$T$7)</f>
        <v>181.67930309945095</v>
      </c>
      <c r="V26">
        <f t="shared" si="2"/>
        <v>81.825455593233301</v>
      </c>
    </row>
    <row r="27" spans="1:22">
      <c r="A27">
        <v>-186</v>
      </c>
      <c r="B27">
        <f t="shared" si="5"/>
        <v>87.149999999999977</v>
      </c>
      <c r="C27" cm="1">
        <f t="array" ref="C27">[1]!PropsSI("P","T",B27,"Q",0,$B$1)/100000</f>
        <v>2.8008632212935631</v>
      </c>
      <c r="D27" cm="1">
        <f t="array" ref="D27">[1]!PropsSI("S","T",B27,"Q",0,$B$1)/1000</f>
        <v>3.079679665585811</v>
      </c>
      <c r="E27" cm="1">
        <f t="array" ref="E27">[1]!PropsSI("S","T",B27,"Q",1,$B$1)/1000</f>
        <v>5.2044835312966553</v>
      </c>
      <c r="F27">
        <v>21</v>
      </c>
      <c r="G27">
        <f t="shared" si="3"/>
        <v>-195.90650026930408</v>
      </c>
      <c r="H27">
        <f>Impianto!$N$7</f>
        <v>5.4116477659399145</v>
      </c>
      <c r="J27">
        <f t="shared" si="4"/>
        <v>-110</v>
      </c>
      <c r="K27" cm="1">
        <f t="array" ref="K27">[1]!PropsSI("S","T",J27+273.15,"P",$K$5*100000,$B$1)/1000</f>
        <v>4.039158821651581</v>
      </c>
      <c r="L27" cm="1">
        <f t="array" ref="L27">[1]!PropsSI("H","T",J27+273.15,"P",$K$5*100000,$B$1)/1000</f>
        <v>57.938414314168178</v>
      </c>
      <c r="M27">
        <f>-Impianto!$J$3*('T-s'!L27-'T-s'!$L$7)</f>
        <v>191.7517768193845</v>
      </c>
      <c r="O27" cm="1">
        <f t="array" ref="O27">[1]!PropsSI("T","H",$P$5*1000,"S",P27*1000,$B$1)-273.15</f>
        <v>-195.906500269204</v>
      </c>
      <c r="P27">
        <f t="shared" si="0"/>
        <v>5.1639319983649488</v>
      </c>
      <c r="R27">
        <f t="shared" si="1"/>
        <v>-195.90650026930408</v>
      </c>
      <c r="S27" cm="1">
        <f t="array" ref="S27">[1]!PropsSI("S","Q",1,"P",$S$5*100000,$B$1)/1000</f>
        <v>5.4116477659399145</v>
      </c>
      <c r="T27">
        <f>Impianto!M7</f>
        <v>77.072847140133788</v>
      </c>
      <c r="U27">
        <f>-Impianto!$J$7*('T-s'!T27-'T-s'!$T$7)</f>
        <v>191.75177681950927</v>
      </c>
      <c r="V27">
        <f t="shared" si="2"/>
        <v>85.906500269304075</v>
      </c>
    </row>
    <row r="28" spans="1:22">
      <c r="A28">
        <v>-188</v>
      </c>
      <c r="B28">
        <f t="shared" si="5"/>
        <v>85.149999999999977</v>
      </c>
      <c r="C28" cm="1">
        <f t="array" ref="C28">[1]!PropsSI("P","T",B28,"Q",0,$B$1)/100000</f>
        <v>2.3219191810938491</v>
      </c>
      <c r="D28" cm="1">
        <f t="array" ref="D28">[1]!PropsSI("S","T",B28,"Q",0,$B$1)/1000</f>
        <v>3.0313210643308466</v>
      </c>
      <c r="E28" cm="1">
        <f t="array" ref="E28">[1]!PropsSI("S","T",B28,"Q",1,$B$1)/1000</f>
        <v>5.2425183051452828</v>
      </c>
    </row>
    <row r="29" spans="1:22">
      <c r="A29">
        <v>-190</v>
      </c>
      <c r="B29">
        <f t="shared" si="5"/>
        <v>83.149999999999977</v>
      </c>
      <c r="C29" cm="1">
        <f t="array" ref="C29">[1]!PropsSI("P","T",B29,"Q",0,$B$1)/100000</f>
        <v>1.906709631865694</v>
      </c>
      <c r="D29" cm="1">
        <f t="array" ref="D29">[1]!PropsSI("S","T",B29,"Q",0,$B$1)/1000</f>
        <v>2.9821325189948058</v>
      </c>
      <c r="E29" cm="1">
        <f t="array" ref="E29">[1]!PropsSI("S","T",B29,"Q",1,$B$1)/1000</f>
        <v>5.2822209450802733</v>
      </c>
    </row>
    <row r="30" spans="1:22">
      <c r="A30">
        <v>-192</v>
      </c>
      <c r="B30">
        <f t="shared" si="5"/>
        <v>81.149999999999977</v>
      </c>
      <c r="C30" cm="1">
        <f t="array" ref="C30">[1]!PropsSI("P","T",B30,"Q",0,$B$1)/100000</f>
        <v>1.5497224506063583</v>
      </c>
      <c r="D30" cm="1">
        <f t="array" ref="D30">[1]!PropsSI("S","T",B30,"Q",0,$B$1)/1000</f>
        <v>2.9320337351510966</v>
      </c>
      <c r="E30" cm="1">
        <f t="array" ref="E30">[1]!PropsSI("S","T",B30,"Q",1,$B$1)/1000</f>
        <v>5.3238337829728</v>
      </c>
    </row>
    <row r="31" spans="1:22">
      <c r="A31">
        <v>-194</v>
      </c>
      <c r="B31">
        <f t="shared" si="5"/>
        <v>79.149999999999977</v>
      </c>
      <c r="C31" cm="1">
        <f t="array" ref="C31">[1]!PropsSI("P","T",B31,"Q",0,$B$1)/100000</f>
        <v>1.2455664658048178</v>
      </c>
      <c r="D31" cm="1">
        <f t="array" ref="D31">[1]!PropsSI("S","T",B31,"Q",0,$B$1)/1000</f>
        <v>2.8809430321935539</v>
      </c>
      <c r="E31" cm="1">
        <f t="array" ref="E31">[1]!PropsSI("S","T",B31,"Q",1,$B$1)/1000</f>
        <v>5.3676203342614315</v>
      </c>
    </row>
    <row r="32" spans="1:22">
      <c r="A32">
        <v>-196</v>
      </c>
      <c r="B32">
        <f t="shared" si="5"/>
        <v>77.149999999999977</v>
      </c>
      <c r="C32" cm="1">
        <f t="array" ref="C32">[1]!PropsSI("P","T",B32,"Q",0,$B$1)/100000</f>
        <v>0.98899083056586912</v>
      </c>
      <c r="D32" cm="1">
        <f t="array" ref="D32">[1]!PropsSI("S","T",B32,"Q",0,$B$1)/1000</f>
        <v>2.8287765245149874</v>
      </c>
      <c r="E32" cm="1">
        <f t="array" ref="E32">[1]!PropsSI("S","T",B32,"Q",1,$B$1)/1000</f>
        <v>5.413869256997982</v>
      </c>
    </row>
    <row r="33" spans="1:5">
      <c r="A33">
        <v>-198</v>
      </c>
      <c r="B33">
        <f t="shared" si="5"/>
        <v>75.149999999999977</v>
      </c>
      <c r="C33" cm="1">
        <f t="array" ref="C33">[1]!PropsSI("P","T",B33,"Q",0,$B$1)/100000</f>
        <v>0.77490774634120607</v>
      </c>
      <c r="D33" cm="1">
        <f t="array" ref="D33">[1]!PropsSI("S","T",B33,"Q",0,$B$1)/1000</f>
        <v>2.7754473443396503</v>
      </c>
      <c r="E33" cm="1">
        <f t="array" ref="E33">[1]!PropsSI("S","T",B33,"Q",1,$B$1)/1000</f>
        <v>5.4628987053547826</v>
      </c>
    </row>
    <row r="34" spans="1:5">
      <c r="A34">
        <v>-200</v>
      </c>
      <c r="B34">
        <f t="shared" si="5"/>
        <v>73.149999999999977</v>
      </c>
      <c r="C34" cm="1">
        <f t="array" ref="C34">[1]!PropsSI("P","T",B34,"Q",0,$B$1)/100000</f>
        <v>0.59841804398165466</v>
      </c>
      <c r="D34" cm="1">
        <f t="array" ref="D34">[1]!PropsSI("S","T",B34,"Q",0,$B$1)/1000</f>
        <v>2.720864891384974</v>
      </c>
      <c r="E34" cm="1">
        <f t="array" ref="E34">[1]!PropsSI("S","T",B34,"Q",1,$B$1)/1000</f>
        <v>5.5150611862603247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F9B21-80D5-4DDA-9A46-0FFE319D7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Impianto</vt:lpstr>
      <vt:lpstr>Calcolo Proprietà</vt:lpstr>
      <vt:lpstr>ListaFluidiProp</vt:lpstr>
      <vt:lpstr>T-s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giostri</dc:creator>
  <cp:lastModifiedBy>Andrea giostri</cp:lastModifiedBy>
  <dcterms:created xsi:type="dcterms:W3CDTF">2015-06-05T18:19:34Z</dcterms:created>
  <dcterms:modified xsi:type="dcterms:W3CDTF">2021-09-23T12:26:01Z</dcterms:modified>
</cp:coreProperties>
</file>