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rim Omrane\Desktop\"/>
    </mc:Choice>
  </mc:AlternateContent>
  <bookViews>
    <workbookView xWindow="0" yWindow="0" windowWidth="20490" windowHeight="8910" tabRatio="770"/>
  </bookViews>
  <sheets>
    <sheet name="Note collective" sheetId="15" r:id="rId1"/>
    <sheet name="Fiche Note collective" sheetId="3" state="hidden" r:id="rId2"/>
    <sheet name="Chef comptoir" sheetId="16" r:id="rId3"/>
    <sheet name="Fiche Chef comptoir" sheetId="5" state="hidden" r:id="rId4"/>
    <sheet name="Fiche vendeur comptoir" sheetId="8" state="hidden" r:id="rId5"/>
    <sheet name="Vendeur comptoir" sheetId="17" r:id="rId6"/>
    <sheet name="Chargé stock" sheetId="18" r:id="rId7"/>
    <sheet name="Fiche chargé stock" sheetId="9" state="hidden" r:id="rId8"/>
    <sheet name="ELS" sheetId="19" r:id="rId9"/>
    <sheet name="Fiche ELS" sheetId="10" state="hidden" r:id="rId10"/>
    <sheet name="Chargé financier" sheetId="20" r:id="rId11"/>
    <sheet name="Fiche chargé financier" sheetId="11" state="hidden" r:id="rId12"/>
    <sheet name="Caissier" sheetId="21" r:id="rId13"/>
    <sheet name="Fiche Caissiers" sheetId="12" state="hidden" r:id="rId14"/>
    <sheet name="Chargé achats ext" sheetId="22" r:id="rId15"/>
    <sheet name="Fiche chargé achats ext" sheetId="13" state="hidden" r:id="rId16"/>
    <sheet name="Chargé admin" sheetId="23" r:id="rId17"/>
    <sheet name="Gérant" sheetId="25" r:id="rId18"/>
    <sheet name="Fiche chargé admin" sheetId="14" state="hidden" r:id="rId19"/>
  </sheets>
  <calcPr calcId="152511" iterate="1"/>
</workbook>
</file>

<file path=xl/calcChain.xml><?xml version="1.0" encoding="utf-8"?>
<calcChain xmlns="http://schemas.openxmlformats.org/spreadsheetml/2006/main">
  <c r="K11" i="15" l="1"/>
  <c r="G59" i="25" l="1"/>
  <c r="B3" i="25"/>
  <c r="H105" i="25"/>
  <c r="J105" i="25" s="1"/>
  <c r="G101" i="25"/>
  <c r="H101" i="25" s="1"/>
  <c r="J101" i="25" s="1"/>
  <c r="G97" i="25"/>
  <c r="H97" i="25" s="1"/>
  <c r="J97" i="25" s="1"/>
  <c r="G93" i="25"/>
  <c r="H93" i="25" s="1"/>
  <c r="J93" i="25" s="1"/>
  <c r="G89" i="25"/>
  <c r="H89" i="25" s="1"/>
  <c r="J89" i="25" s="1"/>
  <c r="I87" i="25"/>
  <c r="I85" i="25"/>
  <c r="H85" i="25"/>
  <c r="J85" i="25" s="1"/>
  <c r="I81" i="25"/>
  <c r="G81" i="25"/>
  <c r="H81" i="25" s="1"/>
  <c r="J81" i="25" s="1"/>
  <c r="I77" i="25"/>
  <c r="I75" i="25" s="1"/>
  <c r="H77" i="25"/>
  <c r="J77" i="25" s="1"/>
  <c r="G77" i="25"/>
  <c r="H73" i="25"/>
  <c r="J73" i="25" s="1"/>
  <c r="G69" i="25"/>
  <c r="H69" i="25" s="1"/>
  <c r="J69" i="25" s="1"/>
  <c r="G65" i="25"/>
  <c r="H65" i="25" s="1"/>
  <c r="J65" i="25" s="1"/>
  <c r="G63" i="25"/>
  <c r="G61" i="25" s="1"/>
  <c r="H61" i="25" s="1"/>
  <c r="J61" i="25" s="1"/>
  <c r="I55" i="25"/>
  <c r="G49" i="25"/>
  <c r="G47" i="25" s="1"/>
  <c r="G45" i="25"/>
  <c r="G43" i="25" s="1"/>
  <c r="G38" i="25"/>
  <c r="G35" i="25"/>
  <c r="G39" i="25" s="1"/>
  <c r="G37" i="25" s="1"/>
  <c r="H37" i="25" s="1"/>
  <c r="J37" i="25" s="1"/>
  <c r="G34" i="25"/>
  <c r="G33" i="25" s="1"/>
  <c r="H33" i="25" s="1"/>
  <c r="J33" i="25" s="1"/>
  <c r="I31" i="25"/>
  <c r="I29" i="25"/>
  <c r="H29" i="25"/>
  <c r="J29" i="25" s="1"/>
  <c r="I27" i="25"/>
  <c r="I25" i="25" s="1"/>
  <c r="H27" i="25"/>
  <c r="G21" i="25"/>
  <c r="H21" i="25" s="1"/>
  <c r="J21" i="25" s="1"/>
  <c r="G19" i="25"/>
  <c r="G18" i="25"/>
  <c r="G13" i="25"/>
  <c r="H13" i="25" s="1"/>
  <c r="J13" i="25" s="1"/>
  <c r="H11" i="25"/>
  <c r="J11" i="25" s="1"/>
  <c r="I9" i="25"/>
  <c r="G30" i="21"/>
  <c r="F27" i="21" s="1"/>
  <c r="I9" i="19"/>
  <c r="G17" i="19"/>
  <c r="G16" i="19"/>
  <c r="G11" i="19"/>
  <c r="H11" i="19" s="1"/>
  <c r="J11" i="19" s="1"/>
  <c r="B3" i="18"/>
  <c r="G17" i="18"/>
  <c r="G16" i="18"/>
  <c r="G11" i="18"/>
  <c r="H11" i="18" s="1"/>
  <c r="J11" i="18" s="1"/>
  <c r="I9" i="18"/>
  <c r="I37" i="18"/>
  <c r="I33" i="18"/>
  <c r="I29" i="18"/>
  <c r="I19" i="18"/>
  <c r="I59" i="16"/>
  <c r="G14" i="17"/>
  <c r="G23" i="23"/>
  <c r="H23" i="23" s="1"/>
  <c r="J23" i="23" s="1"/>
  <c r="G19" i="23"/>
  <c r="H19" i="23" s="1"/>
  <c r="J19" i="23" s="1"/>
  <c r="G55" i="23"/>
  <c r="G53" i="23"/>
  <c r="G49" i="23"/>
  <c r="G45" i="23"/>
  <c r="G41" i="23" s="1"/>
  <c r="I43" i="23"/>
  <c r="G40" i="23"/>
  <c r="I39" i="23"/>
  <c r="I37" i="23"/>
  <c r="H37" i="23"/>
  <c r="J37" i="23" s="1"/>
  <c r="I33" i="23"/>
  <c r="H33" i="23"/>
  <c r="J33" i="23" s="1"/>
  <c r="I31" i="23"/>
  <c r="H31" i="23"/>
  <c r="J31" i="23" s="1"/>
  <c r="H29" i="23" s="1"/>
  <c r="J29" i="23" s="1"/>
  <c r="H27" i="23"/>
  <c r="G15" i="23"/>
  <c r="H15" i="23" s="1"/>
  <c r="J15" i="23" s="1"/>
  <c r="I9" i="23"/>
  <c r="G11" i="23"/>
  <c r="H11" i="23" s="1"/>
  <c r="B3" i="23"/>
  <c r="I11" i="22"/>
  <c r="I15" i="22"/>
  <c r="I19" i="22"/>
  <c r="H19" i="22"/>
  <c r="I35" i="22"/>
  <c r="I31" i="22"/>
  <c r="I29" i="22"/>
  <c r="G47" i="22"/>
  <c r="G45" i="22" s="1"/>
  <c r="G41" i="22"/>
  <c r="G37" i="22"/>
  <c r="G35" i="22" s="1"/>
  <c r="H35" i="22" s="1"/>
  <c r="G32" i="22"/>
  <c r="H29" i="22"/>
  <c r="I25" i="22"/>
  <c r="H25" i="22"/>
  <c r="I23" i="22"/>
  <c r="H23" i="22"/>
  <c r="G15" i="22"/>
  <c r="H15" i="22" s="1"/>
  <c r="B3" i="22"/>
  <c r="G27" i="21"/>
  <c r="G59" i="21"/>
  <c r="G57" i="21" s="1"/>
  <c r="G53" i="21"/>
  <c r="G49" i="21"/>
  <c r="G47" i="21" s="1"/>
  <c r="H47" i="21" s="1"/>
  <c r="J47" i="21" s="1"/>
  <c r="G44" i="21"/>
  <c r="H41" i="21"/>
  <c r="J41" i="21" s="1"/>
  <c r="I39" i="21"/>
  <c r="I37" i="21"/>
  <c r="H37" i="21"/>
  <c r="I35" i="21"/>
  <c r="H35" i="21"/>
  <c r="G23" i="21"/>
  <c r="H23" i="21" s="1"/>
  <c r="J23" i="21" s="1"/>
  <c r="G19" i="21"/>
  <c r="H19" i="21" s="1"/>
  <c r="J19" i="21" s="1"/>
  <c r="G13" i="21"/>
  <c r="G11" i="21" s="1"/>
  <c r="H11" i="21" s="1"/>
  <c r="J11" i="21" s="1"/>
  <c r="I9" i="21"/>
  <c r="B3" i="21"/>
  <c r="I9" i="20"/>
  <c r="H27" i="20"/>
  <c r="J27" i="20" s="1"/>
  <c r="G23" i="20"/>
  <c r="H23" i="20" s="1"/>
  <c r="J23" i="20" s="1"/>
  <c r="G19" i="20"/>
  <c r="H19" i="20" s="1"/>
  <c r="G13" i="20"/>
  <c r="G17" i="20" s="1"/>
  <c r="G15" i="20" s="1"/>
  <c r="H15" i="20" s="1"/>
  <c r="G63" i="20"/>
  <c r="G61" i="20" s="1"/>
  <c r="G57" i="20"/>
  <c r="G53" i="20"/>
  <c r="G51" i="20" s="1"/>
  <c r="H51" i="20" s="1"/>
  <c r="J51" i="20" s="1"/>
  <c r="G48" i="20"/>
  <c r="G45" i="20"/>
  <c r="G41" i="20" s="1"/>
  <c r="G43" i="20"/>
  <c r="H43" i="20" s="1"/>
  <c r="J43" i="20" s="1"/>
  <c r="G40" i="20"/>
  <c r="H37" i="20"/>
  <c r="J37" i="20" s="1"/>
  <c r="I35" i="20"/>
  <c r="I33" i="20"/>
  <c r="H33" i="20"/>
  <c r="I31" i="20"/>
  <c r="H31" i="20"/>
  <c r="B3" i="20"/>
  <c r="H19" i="19"/>
  <c r="J19" i="19" s="1"/>
  <c r="G37" i="19"/>
  <c r="G35" i="19" s="1"/>
  <c r="G32" i="19"/>
  <c r="G47" i="19"/>
  <c r="G45" i="19" s="1"/>
  <c r="G41" i="19"/>
  <c r="H29" i="19"/>
  <c r="J29" i="19" s="1"/>
  <c r="I27" i="19"/>
  <c r="I25" i="19"/>
  <c r="H25" i="19"/>
  <c r="I23" i="19"/>
  <c r="H23" i="19"/>
  <c r="J23" i="19" s="1"/>
  <c r="B3" i="19"/>
  <c r="G75" i="18"/>
  <c r="G73" i="18" s="1"/>
  <c r="G37" i="18"/>
  <c r="H37" i="18" s="1"/>
  <c r="J37" i="18" s="1"/>
  <c r="G33" i="18"/>
  <c r="H33" i="18" s="1"/>
  <c r="J33" i="18" s="1"/>
  <c r="G29" i="18"/>
  <c r="H29" i="18" s="1"/>
  <c r="J29" i="18" s="1"/>
  <c r="G27" i="18"/>
  <c r="G25" i="18" s="1"/>
  <c r="H25" i="18" s="1"/>
  <c r="G23" i="18"/>
  <c r="G21" i="18" s="1"/>
  <c r="H21" i="18" s="1"/>
  <c r="G69" i="18"/>
  <c r="G65" i="18"/>
  <c r="G63" i="18" s="1"/>
  <c r="H63" i="18" s="1"/>
  <c r="J63" i="18" s="1"/>
  <c r="G60" i="18"/>
  <c r="G57" i="18"/>
  <c r="G55" i="18" s="1"/>
  <c r="H55" i="18" s="1"/>
  <c r="J55" i="18" s="1"/>
  <c r="G52" i="18"/>
  <c r="H49" i="18"/>
  <c r="J49" i="18" s="1"/>
  <c r="I47" i="18"/>
  <c r="I45" i="18"/>
  <c r="H45" i="18"/>
  <c r="I43" i="18"/>
  <c r="I41" i="18" s="1"/>
  <c r="H43" i="18"/>
  <c r="G11" i="17"/>
  <c r="J27" i="25" l="1"/>
  <c r="G39" i="20"/>
  <c r="H39" i="20" s="1"/>
  <c r="J39" i="20" s="1"/>
  <c r="I33" i="21"/>
  <c r="J29" i="22"/>
  <c r="J19" i="22"/>
  <c r="G15" i="19"/>
  <c r="H15" i="19" s="1"/>
  <c r="J15" i="19" s="1"/>
  <c r="H9" i="19" s="1"/>
  <c r="J9" i="19" s="1"/>
  <c r="I9" i="22"/>
  <c r="I29" i="23"/>
  <c r="G43" i="23"/>
  <c r="H43" i="23" s="1"/>
  <c r="J43" i="23" s="1"/>
  <c r="G17" i="25"/>
  <c r="H17" i="25" s="1"/>
  <c r="J17" i="25" s="1"/>
  <c r="H9" i="25" s="1"/>
  <c r="J9" i="25" s="1"/>
  <c r="H25" i="25"/>
  <c r="J25" i="25" s="1"/>
  <c r="H75" i="25"/>
  <c r="J75" i="25" s="1"/>
  <c r="D51" i="25"/>
  <c r="D53" i="25" s="1"/>
  <c r="H41" i="25" s="1"/>
  <c r="J41" i="25" s="1"/>
  <c r="H87" i="25"/>
  <c r="J87" i="25" s="1"/>
  <c r="G57" i="25"/>
  <c r="H57" i="25" s="1"/>
  <c r="J57" i="25" s="1"/>
  <c r="H55" i="25" s="1"/>
  <c r="J55" i="25" s="1"/>
  <c r="H31" i="25"/>
  <c r="J31" i="25" s="1"/>
  <c r="H27" i="21"/>
  <c r="J27" i="21" s="1"/>
  <c r="J35" i="21"/>
  <c r="G33" i="19"/>
  <c r="G31" i="19" s="1"/>
  <c r="H31" i="19" s="1"/>
  <c r="J31" i="19" s="1"/>
  <c r="G15" i="18"/>
  <c r="H15" i="18" s="1"/>
  <c r="J15" i="18" s="1"/>
  <c r="H9" i="18" s="1"/>
  <c r="J9" i="18" s="1"/>
  <c r="G16" i="17"/>
  <c r="H11" i="17" s="1"/>
  <c r="J11" i="17" s="1"/>
  <c r="G11" i="20"/>
  <c r="H11" i="20" s="1"/>
  <c r="J11" i="20" s="1"/>
  <c r="I35" i="23"/>
  <c r="G39" i="23"/>
  <c r="H39" i="23" s="1"/>
  <c r="J39" i="23" s="1"/>
  <c r="J11" i="23"/>
  <c r="J27" i="23"/>
  <c r="D57" i="23"/>
  <c r="D59" i="23" s="1"/>
  <c r="H47" i="23" s="1"/>
  <c r="J47" i="23" s="1"/>
  <c r="J15" i="22"/>
  <c r="J23" i="22"/>
  <c r="I27" i="22"/>
  <c r="J25" i="22"/>
  <c r="J35" i="22"/>
  <c r="G11" i="22"/>
  <c r="I21" i="22"/>
  <c r="D49" i="22"/>
  <c r="D51" i="22" s="1"/>
  <c r="H39" i="22" s="1"/>
  <c r="J39" i="22" s="1"/>
  <c r="G33" i="22"/>
  <c r="G31" i="22" s="1"/>
  <c r="H31" i="22" s="1"/>
  <c r="J31" i="22" s="1"/>
  <c r="D61" i="21"/>
  <c r="D63" i="21" s="1"/>
  <c r="H51" i="21" s="1"/>
  <c r="J51" i="21" s="1"/>
  <c r="G45" i="21"/>
  <c r="G43" i="21" s="1"/>
  <c r="H43" i="21" s="1"/>
  <c r="J43" i="21" s="1"/>
  <c r="H39" i="21" s="1"/>
  <c r="J39" i="21" s="1"/>
  <c r="J37" i="21"/>
  <c r="G17" i="21"/>
  <c r="G15" i="21" s="1"/>
  <c r="H15" i="21" s="1"/>
  <c r="J15" i="21" s="1"/>
  <c r="J19" i="20"/>
  <c r="J31" i="20"/>
  <c r="G49" i="20"/>
  <c r="G47" i="20" s="1"/>
  <c r="H47" i="20" s="1"/>
  <c r="J47" i="20" s="1"/>
  <c r="H35" i="20" s="1"/>
  <c r="J35" i="20" s="1"/>
  <c r="I29" i="20"/>
  <c r="J15" i="20"/>
  <c r="J33" i="20"/>
  <c r="D65" i="20"/>
  <c r="D67" i="20" s="1"/>
  <c r="H55" i="20" s="1"/>
  <c r="J55" i="20" s="1"/>
  <c r="D49" i="19"/>
  <c r="D51" i="19" s="1"/>
  <c r="H39" i="19" s="1"/>
  <c r="J39" i="19" s="1"/>
  <c r="I21" i="19"/>
  <c r="J25" i="19"/>
  <c r="H21" i="19" s="1"/>
  <c r="J21" i="19" s="1"/>
  <c r="H35" i="19"/>
  <c r="J35" i="19" s="1"/>
  <c r="H27" i="19" s="1"/>
  <c r="J27" i="19" s="1"/>
  <c r="J43" i="18"/>
  <c r="J25" i="18"/>
  <c r="J45" i="18"/>
  <c r="D77" i="18"/>
  <c r="D79" i="18" s="1"/>
  <c r="H67" i="18" s="1"/>
  <c r="J67" i="18" s="1"/>
  <c r="G61" i="18"/>
  <c r="G59" i="18" s="1"/>
  <c r="H59" i="18" s="1"/>
  <c r="J59" i="18" s="1"/>
  <c r="J21" i="18"/>
  <c r="G53" i="18"/>
  <c r="G51" i="18" s="1"/>
  <c r="H51" i="18" s="1"/>
  <c r="J51" i="18" s="1"/>
  <c r="I25" i="17"/>
  <c r="B3" i="17"/>
  <c r="G45" i="17"/>
  <c r="G43" i="17" s="1"/>
  <c r="G41" i="17"/>
  <c r="G39" i="17" s="1"/>
  <c r="G35" i="17"/>
  <c r="G31" i="17" s="1"/>
  <c r="G33" i="17"/>
  <c r="H33" i="17" s="1"/>
  <c r="J33" i="17" s="1"/>
  <c r="G30" i="17"/>
  <c r="H27" i="17"/>
  <c r="J27" i="17" s="1"/>
  <c r="I23" i="17"/>
  <c r="H23" i="17"/>
  <c r="I21" i="17"/>
  <c r="H21" i="17"/>
  <c r="I9" i="17"/>
  <c r="O31" i="5"/>
  <c r="O18" i="5"/>
  <c r="O22" i="5"/>
  <c r="O20" i="5"/>
  <c r="O16" i="5"/>
  <c r="O14" i="5"/>
  <c r="O12" i="5"/>
  <c r="G81" i="16"/>
  <c r="H81" i="16" s="1"/>
  <c r="N22" i="5" s="1"/>
  <c r="G77" i="16"/>
  <c r="H77" i="16" s="1"/>
  <c r="N20" i="5" s="1"/>
  <c r="G73" i="16"/>
  <c r="H73" i="16" s="1"/>
  <c r="N18" i="5" s="1"/>
  <c r="G69" i="16"/>
  <c r="I25" i="16"/>
  <c r="H27" i="16"/>
  <c r="J27" i="16" s="1"/>
  <c r="D2" i="25" l="1"/>
  <c r="H19" i="18"/>
  <c r="H35" i="23"/>
  <c r="J35" i="23" s="1"/>
  <c r="H33" i="21"/>
  <c r="J33" i="21" s="1"/>
  <c r="H21" i="22"/>
  <c r="J21" i="22" s="1"/>
  <c r="H9" i="23"/>
  <c r="J9" i="23" s="1"/>
  <c r="H9" i="21"/>
  <c r="J9" i="21" s="1"/>
  <c r="D2" i="21" s="1"/>
  <c r="J19" i="18"/>
  <c r="F11" i="17"/>
  <c r="H69" i="16"/>
  <c r="N16" i="5" s="1"/>
  <c r="H27" i="22"/>
  <c r="J27" i="22" s="1"/>
  <c r="H11" i="22"/>
  <c r="J11" i="22" s="1"/>
  <c r="H9" i="22" s="1"/>
  <c r="J9" i="22" s="1"/>
  <c r="H9" i="20"/>
  <c r="J9" i="20" s="1"/>
  <c r="H29" i="20"/>
  <c r="J29" i="20" s="1"/>
  <c r="D2" i="19"/>
  <c r="H41" i="18"/>
  <c r="J41" i="18" s="1"/>
  <c r="H47" i="18"/>
  <c r="J47" i="18" s="1"/>
  <c r="I19" i="17"/>
  <c r="G29" i="17"/>
  <c r="H29" i="17" s="1"/>
  <c r="J29" i="17" s="1"/>
  <c r="J23" i="17"/>
  <c r="H9" i="17"/>
  <c r="J9" i="17" s="1"/>
  <c r="D47" i="17"/>
  <c r="D49" i="17" s="1"/>
  <c r="H37" i="17" s="1"/>
  <c r="J37" i="17" s="1"/>
  <c r="J21" i="17"/>
  <c r="N31" i="5"/>
  <c r="J81" i="16"/>
  <c r="J73" i="16"/>
  <c r="J77" i="16"/>
  <c r="G67" i="16"/>
  <c r="G65" i="16" s="1"/>
  <c r="H65" i="16" s="1"/>
  <c r="N14" i="5" s="1"/>
  <c r="G63" i="16"/>
  <c r="G61" i="16" s="1"/>
  <c r="H61" i="16" s="1"/>
  <c r="N12" i="5" s="1"/>
  <c r="B3" i="16"/>
  <c r="O35" i="5"/>
  <c r="O34" i="5"/>
  <c r="O33" i="5"/>
  <c r="O32" i="5"/>
  <c r="G18" i="5"/>
  <c r="G15" i="5"/>
  <c r="G12" i="5"/>
  <c r="G38" i="16"/>
  <c r="G43" i="16"/>
  <c r="G39" i="16" s="1"/>
  <c r="G30" i="16"/>
  <c r="G35" i="16"/>
  <c r="G31" i="16" s="1"/>
  <c r="G53" i="16"/>
  <c r="G51" i="16" s="1"/>
  <c r="F35" i="5" s="1"/>
  <c r="G49" i="16"/>
  <c r="G47" i="16" s="1"/>
  <c r="F34" i="5" s="1"/>
  <c r="I23" i="16"/>
  <c r="G28" i="5" s="1"/>
  <c r="H23" i="16"/>
  <c r="F28" i="5" s="1"/>
  <c r="I21" i="16"/>
  <c r="G27" i="5" s="1"/>
  <c r="H21" i="16"/>
  <c r="G17" i="16"/>
  <c r="G16" i="16"/>
  <c r="G11" i="16"/>
  <c r="H11" i="16" s="1"/>
  <c r="J11" i="16" s="1"/>
  <c r="I9" i="16"/>
  <c r="B3" i="15"/>
  <c r="I8" i="3"/>
  <c r="I25" i="3"/>
  <c r="A25" i="3"/>
  <c r="A8" i="3"/>
  <c r="O32" i="3"/>
  <c r="O29" i="3"/>
  <c r="G31" i="3"/>
  <c r="I29" i="15"/>
  <c r="I25" i="15" s="1"/>
  <c r="I27" i="15"/>
  <c r="G29" i="3"/>
  <c r="G20" i="3"/>
  <c r="G17" i="3"/>
  <c r="G14" i="3"/>
  <c r="G12" i="3"/>
  <c r="G49" i="15"/>
  <c r="G47" i="15" s="1"/>
  <c r="N14" i="3" s="1"/>
  <c r="G45" i="15"/>
  <c r="G43" i="15" s="1"/>
  <c r="N12" i="3" s="1"/>
  <c r="I31" i="15"/>
  <c r="G38" i="15"/>
  <c r="G35" i="15"/>
  <c r="G33" i="15" s="1"/>
  <c r="H33" i="15" s="1"/>
  <c r="J33" i="15" s="1"/>
  <c r="G34" i="15"/>
  <c r="H29" i="15"/>
  <c r="F31" i="3" s="1"/>
  <c r="H27" i="15"/>
  <c r="J27" i="15" s="1"/>
  <c r="I9" i="15"/>
  <c r="H11" i="15"/>
  <c r="J11" i="15" s="1"/>
  <c r="G13" i="15"/>
  <c r="H13" i="15" s="1"/>
  <c r="J13" i="15" s="1"/>
  <c r="G18" i="15"/>
  <c r="G19" i="15"/>
  <c r="G21" i="15"/>
  <c r="H21" i="15" s="1"/>
  <c r="J21" i="15" s="1"/>
  <c r="G7" i="14"/>
  <c r="G39" i="15" l="1"/>
  <c r="G37" i="15" s="1"/>
  <c r="H37" i="15" s="1"/>
  <c r="J37" i="15" s="1"/>
  <c r="D2" i="23"/>
  <c r="D2" i="18"/>
  <c r="J69" i="16"/>
  <c r="D2" i="22"/>
  <c r="D2" i="20"/>
  <c r="H19" i="17"/>
  <c r="J19" i="17" s="1"/>
  <c r="H25" i="17"/>
  <c r="F20" i="3"/>
  <c r="G41" i="16"/>
  <c r="H41" i="16" s="1"/>
  <c r="F29" i="3"/>
  <c r="G24" i="3" s="1"/>
  <c r="F12" i="3"/>
  <c r="F14" i="3"/>
  <c r="J65" i="16"/>
  <c r="J21" i="16"/>
  <c r="G29" i="16"/>
  <c r="H29" i="16" s="1"/>
  <c r="F27" i="5"/>
  <c r="F12" i="5"/>
  <c r="F18" i="5"/>
  <c r="G33" i="16"/>
  <c r="H33" i="16" s="1"/>
  <c r="G37" i="16"/>
  <c r="H37" i="16" s="1"/>
  <c r="D55" i="16"/>
  <c r="D57" i="16" s="1"/>
  <c r="J23" i="16"/>
  <c r="H19" i="16" s="1"/>
  <c r="J19" i="16" s="1"/>
  <c r="I19" i="16"/>
  <c r="G15" i="16"/>
  <c r="H15" i="16" s="1"/>
  <c r="N32" i="3"/>
  <c r="N29" i="3"/>
  <c r="J29" i="15"/>
  <c r="H25" i="15" s="1"/>
  <c r="J25" i="15" s="1"/>
  <c r="H31" i="15"/>
  <c r="J31" i="15" s="1"/>
  <c r="D51" i="15"/>
  <c r="D53" i="15" s="1"/>
  <c r="G17" i="15"/>
  <c r="O13" i="12"/>
  <c r="O7" i="12" s="1"/>
  <c r="O13" i="11"/>
  <c r="O7" i="11" s="1"/>
  <c r="O13" i="10"/>
  <c r="O7" i="10" s="1"/>
  <c r="G34" i="14"/>
  <c r="G36" i="14" s="1"/>
  <c r="G29" i="14" s="1"/>
  <c r="O29" i="14"/>
  <c r="G7" i="13"/>
  <c r="G31" i="13"/>
  <c r="G34" i="13" s="1"/>
  <c r="G25" i="13" s="1"/>
  <c r="O25" i="13"/>
  <c r="G29" i="12"/>
  <c r="G32" i="12" s="1"/>
  <c r="G23" i="12" s="1"/>
  <c r="G7" i="12"/>
  <c r="G7" i="11"/>
  <c r="O30" i="11"/>
  <c r="O31" i="11" s="1"/>
  <c r="O28" i="11"/>
  <c r="G29" i="11"/>
  <c r="G32" i="11" s="1"/>
  <c r="G23" i="11" s="1"/>
  <c r="I24" i="10"/>
  <c r="A24" i="10"/>
  <c r="A8" i="10"/>
  <c r="O23" i="10"/>
  <c r="I2" i="10" s="1"/>
  <c r="G29" i="10"/>
  <c r="G32" i="10" s="1"/>
  <c r="G23" i="10" s="1"/>
  <c r="G7" i="10"/>
  <c r="G16" i="9"/>
  <c r="G14" i="9"/>
  <c r="G12" i="9"/>
  <c r="G7" i="9" s="1"/>
  <c r="O23" i="9"/>
  <c r="G29" i="9"/>
  <c r="G32" i="9" s="1"/>
  <c r="O13" i="9"/>
  <c r="O7" i="9" s="1"/>
  <c r="F21" i="8"/>
  <c r="G7" i="8" s="1"/>
  <c r="O26" i="8"/>
  <c r="G32" i="8"/>
  <c r="G34" i="8" s="1"/>
  <c r="O13" i="8"/>
  <c r="O7" i="8" s="1"/>
  <c r="O33" i="11" l="1"/>
  <c r="O34" i="11" s="1"/>
  <c r="O23" i="11"/>
  <c r="G23" i="9"/>
  <c r="J25" i="17"/>
  <c r="D2" i="17" s="1"/>
  <c r="H45" i="16"/>
  <c r="J45" i="16" s="1"/>
  <c r="G34" i="5"/>
  <c r="J33" i="16"/>
  <c r="N33" i="5"/>
  <c r="J29" i="16"/>
  <c r="N32" i="5"/>
  <c r="J37" i="16"/>
  <c r="N34" i="5"/>
  <c r="N35" i="5"/>
  <c r="J41" i="16"/>
  <c r="J15" i="16"/>
  <c r="H9" i="16" s="1"/>
  <c r="J9" i="16" s="1"/>
  <c r="F15" i="5"/>
  <c r="G7" i="5" s="1"/>
  <c r="H41" i="15"/>
  <c r="J41" i="15" s="1"/>
  <c r="O12" i="3"/>
  <c r="H17" i="15"/>
  <c r="I2" i="14"/>
  <c r="I2" i="13"/>
  <c r="O23" i="12"/>
  <c r="I2" i="12" s="1"/>
  <c r="I2" i="11"/>
  <c r="I2" i="9"/>
  <c r="G26" i="8"/>
  <c r="I2" i="8" s="1"/>
  <c r="G23" i="5"/>
  <c r="O26" i="5" l="1"/>
  <c r="H25" i="16"/>
  <c r="J25" i="16" s="1"/>
  <c r="J17" i="15"/>
  <c r="H9" i="15" s="1"/>
  <c r="J9" i="15" s="1"/>
  <c r="D2" i="15" s="1"/>
  <c r="F17" i="3"/>
  <c r="G7" i="3" s="1"/>
  <c r="O7" i="5"/>
  <c r="G30" i="5"/>
  <c r="O24" i="3"/>
  <c r="O7" i="3"/>
  <c r="I2" i="3" l="1"/>
  <c r="I2" i="5"/>
  <c r="J61" i="16"/>
  <c r="H59" i="16" s="1"/>
  <c r="J59" i="16" l="1"/>
  <c r="D2" i="16" s="1"/>
</calcChain>
</file>

<file path=xl/sharedStrings.xml><?xml version="1.0" encoding="utf-8"?>
<sst xmlns="http://schemas.openxmlformats.org/spreadsheetml/2006/main" count="1319" uniqueCount="295">
  <si>
    <t>Responsable financier</t>
  </si>
  <si>
    <t>Responsable administratif</t>
  </si>
  <si>
    <t>Caissier</t>
  </si>
  <si>
    <t>Note collective</t>
  </si>
  <si>
    <t>Note du gérant</t>
  </si>
  <si>
    <t>Contrôle de gestion</t>
  </si>
  <si>
    <t>Marge en valeur réalisée</t>
  </si>
  <si>
    <t>Taux de démarque connue</t>
  </si>
  <si>
    <t>Taux de démarque inconnue</t>
  </si>
  <si>
    <t>Barème</t>
  </si>
  <si>
    <t>Magasin BOUMHAL</t>
  </si>
  <si>
    <t>Période couverte : Janvier 2022</t>
  </si>
  <si>
    <t>Volet commercial</t>
  </si>
  <si>
    <t>Volet démarque</t>
  </si>
  <si>
    <t>Volet hygiène</t>
  </si>
  <si>
    <t>Volet RH</t>
  </si>
  <si>
    <t xml:space="preserve">    Indicateurs</t>
  </si>
  <si>
    <t>Note</t>
  </si>
  <si>
    <t xml:space="preserve">    Taux de démarque connue</t>
  </si>
  <si>
    <t xml:space="preserve">    Taux de démarque inconnue</t>
  </si>
  <si>
    <t>Taux</t>
  </si>
  <si>
    <t>Valeur</t>
  </si>
  <si>
    <t xml:space="preserve">    Respect du planning d'inventaire</t>
  </si>
  <si>
    <t xml:space="preserve">    Nbr compléments de commande</t>
  </si>
  <si>
    <t xml:space="preserve">    Respect de l'horaire de passation</t>
  </si>
  <si>
    <t>Volet gestion</t>
  </si>
  <si>
    <t xml:space="preserve">    Rapport d'audit externe du magasin</t>
  </si>
  <si>
    <t xml:space="preserve">    Rapport d'audit interne du magasin</t>
  </si>
  <si>
    <t xml:space="preserve">    Heures de retard de son équipe</t>
  </si>
  <si>
    <t xml:space="preserve">    Jours d'absence de son équipe</t>
  </si>
  <si>
    <t>Chef du comptoir</t>
  </si>
  <si>
    <t xml:space="preserve">    Rapport d'audit externe du comptoir</t>
  </si>
  <si>
    <t xml:space="preserve">    Rapport d'audit interne du comptoir</t>
  </si>
  <si>
    <t xml:space="preserve">    Taux de démarque connue du comptoir</t>
  </si>
  <si>
    <t xml:space="preserve">    Taux de démarque inconnue du comptoir</t>
  </si>
  <si>
    <t>Vendeur au comptoir</t>
  </si>
  <si>
    <t xml:space="preserve">    Marge valeur réalisée du magasin en % de</t>
  </si>
  <si>
    <t xml:space="preserve">      la marge valeur budgétisée </t>
  </si>
  <si>
    <t xml:space="preserve">      chiffre d'affaires budgétisé</t>
  </si>
  <si>
    <t xml:space="preserve">    Panier moyen réalisé du magasin en % du</t>
  </si>
  <si>
    <t xml:space="preserve">      panier moyen budgétisé</t>
  </si>
  <si>
    <t xml:space="preserve">    Expérience client - Note globale du magasin</t>
  </si>
  <si>
    <t xml:space="preserve">    Marge valeur réalisée du comptoir en % de</t>
  </si>
  <si>
    <t xml:space="preserve">    Panier moyen réalisé du comptoir en % du</t>
  </si>
  <si>
    <t xml:space="preserve">    Heures de retard du vendeur</t>
  </si>
  <si>
    <t xml:space="preserve">    Jours d'absence du vendeur </t>
  </si>
  <si>
    <t xml:space="preserve">    Chiffre d'affaires réalisé du comptoir en % du</t>
  </si>
  <si>
    <t xml:space="preserve">    Chiffre d'affaires réalisé du magasin en % du</t>
  </si>
  <si>
    <t xml:space="preserve">    Chiffre d'affaires du vendeur en %</t>
  </si>
  <si>
    <t xml:space="preserve">      du chiffre d'affaires du comptoir</t>
  </si>
  <si>
    <t xml:space="preserve">    Marge valeur du vendeur en %</t>
  </si>
  <si>
    <t xml:space="preserve">      de la marge valeur du comptoir</t>
  </si>
  <si>
    <t xml:space="preserve">    Panier moyen du vendeur en %</t>
  </si>
  <si>
    <t xml:space="preserve">      du panier moyen du comptoir</t>
  </si>
  <si>
    <t>-</t>
  </si>
  <si>
    <t>Responsable du stock</t>
  </si>
  <si>
    <t xml:space="preserve">    Taux de démarque connue du magasin</t>
  </si>
  <si>
    <t xml:space="preserve">    Taux de démarque inconnue du magasin</t>
  </si>
  <si>
    <t xml:space="preserve">    Heures de retard du responsable</t>
  </si>
  <si>
    <t xml:space="preserve">    Jours d'absence du responsable</t>
  </si>
  <si>
    <t>Conseillers de vente</t>
  </si>
  <si>
    <t xml:space="preserve">    Facing</t>
  </si>
  <si>
    <t xml:space="preserve">    Étiquetage</t>
  </si>
  <si>
    <t xml:space="preserve">    Rapport d'audit externe</t>
  </si>
  <si>
    <t xml:space="preserve">    Rapport d'audit interne</t>
  </si>
  <si>
    <t xml:space="preserve">    Heures de retard du conseiller</t>
  </si>
  <si>
    <t xml:space="preserve">    Jours d'absence du conseiller</t>
  </si>
  <si>
    <t>Volet gestion financière</t>
  </si>
  <si>
    <t xml:space="preserve">    Note d'audit externe</t>
  </si>
  <si>
    <t xml:space="preserve">    Note d'audit interne</t>
  </si>
  <si>
    <t xml:space="preserve">    Port du badge</t>
  </si>
  <si>
    <t xml:space="preserve">    Gestion du coffre</t>
  </si>
  <si>
    <t xml:space="preserve">    Ecarts de caisse</t>
  </si>
  <si>
    <t xml:space="preserve">    Nombre d'annulations</t>
  </si>
  <si>
    <t xml:space="preserve">    Vente négative</t>
  </si>
  <si>
    <t xml:space="preserve">    Heures de retard des caissières</t>
  </si>
  <si>
    <t xml:space="preserve">    Nombre de retours</t>
  </si>
  <si>
    <t xml:space="preserve">    Nombre de tickets</t>
  </si>
  <si>
    <t xml:space="preserve">    Heures de retard du caissier</t>
  </si>
  <si>
    <t xml:space="preserve">    Jours d'absence du caissier</t>
  </si>
  <si>
    <t>Responsable achats externes</t>
  </si>
  <si>
    <t xml:space="preserve">    Passation des bons de commande</t>
  </si>
  <si>
    <t xml:space="preserve">      de l'achat externe en j-1</t>
  </si>
  <si>
    <t xml:space="preserve">      des commandes</t>
  </si>
  <si>
    <t xml:space="preserve">      des marchandises</t>
  </si>
  <si>
    <t xml:space="preserve">    Suivi de la réception et des retours</t>
  </si>
  <si>
    <t xml:space="preserve">    Suivi des directives de la direction </t>
  </si>
  <si>
    <t xml:space="preserve">      des achats externes (Ichrak)</t>
  </si>
  <si>
    <t>Volet gestion des achats</t>
  </si>
  <si>
    <t>Volet gestion administrative</t>
  </si>
  <si>
    <t xml:space="preserve">    Qualité du rapport journalier envoyé</t>
  </si>
  <si>
    <t xml:space="preserve">    Respect de l'horaire d'envoi</t>
  </si>
  <si>
    <t xml:space="preserve">      du rapport journalier</t>
  </si>
  <si>
    <t xml:space="preserve">    Arrêt du planning RH à temps</t>
  </si>
  <si>
    <t xml:space="preserve">    Acceptation des bons de transfert</t>
  </si>
  <si>
    <t xml:space="preserve">    Enregistrement des ajustements, des </t>
  </si>
  <si>
    <t xml:space="preserve">      bons de réception, retour, etc</t>
  </si>
  <si>
    <t xml:space="preserve">    Rotation de stock</t>
  </si>
  <si>
    <t xml:space="preserve">    Stock lourd et dormant / stock total</t>
  </si>
  <si>
    <t xml:space="preserve">    Ajustements emballages/fromage</t>
  </si>
  <si>
    <t xml:space="preserve">    Rotation de stock (Salle)</t>
  </si>
  <si>
    <t xml:space="preserve">    Rapport d'audit externe de la salle</t>
  </si>
  <si>
    <t>en DT</t>
  </si>
  <si>
    <t>Panier moyen budgétisé</t>
  </si>
  <si>
    <t>Panier moyen réalisé</t>
  </si>
  <si>
    <t>en %</t>
  </si>
  <si>
    <t>Taux de réalisation du panier moyen</t>
  </si>
  <si>
    <t>Chiffre d'affaires budgétisé</t>
  </si>
  <si>
    <t>Chiffre d'affaires réalisé</t>
  </si>
  <si>
    <t>Taux de réalisation du chiffre d'affaires</t>
  </si>
  <si>
    <t>Expérience client - Note globale du magasin</t>
  </si>
  <si>
    <t>Score</t>
  </si>
  <si>
    <t>Pondération de l'indicateur</t>
  </si>
  <si>
    <t>Seuil min</t>
  </si>
  <si>
    <t>Unité</t>
  </si>
  <si>
    <t>Source</t>
  </si>
  <si>
    <t xml:space="preserve">   Indicateurs</t>
  </si>
  <si>
    <t>Pondération des
axes de perf</t>
  </si>
  <si>
    <t>Axes de performance</t>
  </si>
  <si>
    <t>Note d'audit externe du magasin</t>
  </si>
  <si>
    <t>Note d'audit interne du magasin</t>
  </si>
  <si>
    <t>Rapport d'audit externe</t>
  </si>
  <si>
    <t>Rapport d'audit interne</t>
  </si>
  <si>
    <t>Taux de réalisation de la marge en valeur</t>
  </si>
  <si>
    <t>Marge en valeur budgétisée</t>
  </si>
  <si>
    <t>Rapport FOCUS MKG du client mystère</t>
  </si>
  <si>
    <t>Seuil min/max</t>
  </si>
  <si>
    <t>Assiduité du personnel du magasin</t>
  </si>
  <si>
    <t>DRH</t>
  </si>
  <si>
    <t>Ponctualité du personnel du magasin</t>
  </si>
  <si>
    <t>Jours d'absences injustifiées du personnel</t>
  </si>
  <si>
    <t>Jours de travail théorique du personnel</t>
  </si>
  <si>
    <t>en nbr de jours</t>
  </si>
  <si>
    <t>Heures de retard du personnel du magasin</t>
  </si>
  <si>
    <t>Heures théoriques de travail du personnel</t>
  </si>
  <si>
    <t>en nbr d'heures</t>
  </si>
  <si>
    <t>Inventaire/ DCG</t>
  </si>
  <si>
    <t>Valeur des marchandises (bons de sortie)</t>
  </si>
  <si>
    <t>Chiffre d'affaires du mois</t>
  </si>
  <si>
    <t>Valeur de l'écart d'inventaire</t>
  </si>
  <si>
    <t>Somme des deux taux de démarque</t>
  </si>
  <si>
    <t>Seuil max du taux de démarque</t>
  </si>
  <si>
    <t>Période couverte : Mars 2022</t>
  </si>
  <si>
    <t xml:space="preserve">    Heures de retard du personnel du magasin</t>
  </si>
  <si>
    <t xml:space="preserve">    Jours d'absence du personnel du magasin</t>
  </si>
  <si>
    <t>Taux de réalisation du CA du comptoir</t>
  </si>
  <si>
    <t>Chiffre d'affaires réalisé du comptoir</t>
  </si>
  <si>
    <t>Chiffre d'affaires budgétisé du comptoir</t>
  </si>
  <si>
    <t>Marge en valeur réalisée du comptoir</t>
  </si>
  <si>
    <t>Marge en valeur budgétisée du comptoir</t>
  </si>
  <si>
    <t>Note d'audit externe du comptoir</t>
  </si>
  <si>
    <t>Note d'audit interne du comptoir</t>
  </si>
  <si>
    <t>Assiduité du personnel du comptoir</t>
  </si>
  <si>
    <t>Ponctualité du personnel du comptoir</t>
  </si>
  <si>
    <t>Assiduité du chef du comptoir</t>
  </si>
  <si>
    <t>Ponctualité du chef du comptoir</t>
  </si>
  <si>
    <t>Jours d'absences injustifiées du chef</t>
  </si>
  <si>
    <t>Jours de travail théorique du chef</t>
  </si>
  <si>
    <t>Heures théoriques de travail du chef</t>
  </si>
  <si>
    <t>Heures de retard du chef du comptoir</t>
  </si>
  <si>
    <t>Taux de démarque connue du cmptoir</t>
  </si>
  <si>
    <t>Taux de démarque inconnue du cmptoir</t>
  </si>
  <si>
    <t xml:space="preserve">    Retards du chef comptoir</t>
  </si>
  <si>
    <t xml:space="preserve">    Absence du chef comptoir</t>
  </si>
  <si>
    <t xml:space="preserve">    Retards de son équipe</t>
  </si>
  <si>
    <t xml:space="preserve">    Absence de son équipe</t>
  </si>
  <si>
    <t>Taux de rotation de stock</t>
  </si>
  <si>
    <t>en jours</t>
  </si>
  <si>
    <t>Valeur du stock de marchandises du comptoir</t>
  </si>
  <si>
    <t>Achats consommés (contre-valeur des ventes)</t>
  </si>
  <si>
    <t>Niveau du stock lourd et dormant</t>
  </si>
  <si>
    <t>Valeur du stock lourd et dormant du comptoir</t>
  </si>
  <si>
    <t>Seuil max</t>
  </si>
  <si>
    <t>Fiche d'évaluation
(à préparer)</t>
  </si>
  <si>
    <t>Ecarts d'ajustement</t>
  </si>
  <si>
    <t>Coût total selon la fiche technique</t>
  </si>
  <si>
    <t>Coût total réalisé du fromage râpé</t>
  </si>
  <si>
    <t>Taux de respect du planning d'inventaire</t>
  </si>
  <si>
    <t>Nombre de jours où l'inventaire a été fait</t>
  </si>
  <si>
    <t>unités</t>
  </si>
  <si>
    <t>Nombre de jours du mois</t>
  </si>
  <si>
    <t>Dépôt</t>
  </si>
  <si>
    <t>Nombre de livraisons réalisées durant le mois</t>
  </si>
  <si>
    <t>Nombre planifié de commandes du mois</t>
  </si>
  <si>
    <t>Nombre de compléments</t>
  </si>
  <si>
    <t>en unités</t>
  </si>
  <si>
    <t>Taux de respect de l'horaire de passation des commandes d'achat centralisé</t>
  </si>
  <si>
    <t>Nombre de jours où l'horaire est respecté</t>
  </si>
  <si>
    <t xml:space="preserve">    Note du gérant</t>
  </si>
  <si>
    <t>Ponctualité du vendeur</t>
  </si>
  <si>
    <t>Assiduité du vendeur</t>
  </si>
  <si>
    <t>Contribution au CA du comptoir</t>
  </si>
  <si>
    <t>Chiffre d'affaires réalisé du vendeur</t>
  </si>
  <si>
    <t>Volet gestion de stock</t>
  </si>
  <si>
    <t>Chiffre d'affaires du mois (salle)</t>
  </si>
  <si>
    <t>Taux de démarque connue de la salle</t>
  </si>
  <si>
    <t>Taux de démarque inconnue de la salle</t>
  </si>
  <si>
    <t>Ponctualité du chargé de stock</t>
  </si>
  <si>
    <t>Heures de retard du chargé de stock</t>
  </si>
  <si>
    <t>Heures théoriques de travail chargé stock</t>
  </si>
  <si>
    <t>Jours d'absences injustifiées du chargé stock</t>
  </si>
  <si>
    <t>Jours de travail théorique du chargé stock</t>
  </si>
  <si>
    <t>Heures de retard des ELS</t>
  </si>
  <si>
    <t>Heures théoriques de travail des ELS</t>
  </si>
  <si>
    <t>Assiduité des ELS</t>
  </si>
  <si>
    <t>Jours d'absences injustifiées des ELS</t>
  </si>
  <si>
    <t>Jours de travail théorique des ELS</t>
  </si>
  <si>
    <t>Note d'audit externe de la salle</t>
  </si>
  <si>
    <t>Note d'audit interne de la salle</t>
  </si>
  <si>
    <t>Chargé de stock</t>
  </si>
  <si>
    <t>Conseillers de vente à la salle</t>
  </si>
  <si>
    <t>Assiduité du chargé de stock</t>
  </si>
  <si>
    <t>Ponctualité des ELS</t>
  </si>
  <si>
    <t>Ponctualité du conseiller de vente</t>
  </si>
  <si>
    <t>Heures de retard du conseiller de vente</t>
  </si>
  <si>
    <t>Heures théoriques de travail du conseiller</t>
  </si>
  <si>
    <t>Jours d'absences injustifiées de l'ELS</t>
  </si>
  <si>
    <t>Jours de travail théorique de l'ELS</t>
  </si>
  <si>
    <t>Assiduité du conseiller de vente</t>
  </si>
  <si>
    <t>Note d'audit externe des caisses</t>
  </si>
  <si>
    <t>Note d'audit interne des caisses</t>
  </si>
  <si>
    <t>Taux de démarque connue du magasin</t>
  </si>
  <si>
    <t>Chiffre d'affaires du mois du magasin</t>
  </si>
  <si>
    <t>Taux de démarque inconnue du magasin</t>
  </si>
  <si>
    <t>Ponctualité du chargé financier</t>
  </si>
  <si>
    <t>Heures de retard du chargé financier</t>
  </si>
  <si>
    <t>Heures théoriques de travail chargé financier</t>
  </si>
  <si>
    <t>Jours d'absences injustifiées du chargé financier</t>
  </si>
  <si>
    <t>Jours de travail théorique du chargé financier</t>
  </si>
  <si>
    <t>Assiduité du chargé financier</t>
  </si>
  <si>
    <t>Ponctualité des caissiers</t>
  </si>
  <si>
    <t>Heures de retard des caissiers</t>
  </si>
  <si>
    <t>Heures théoriques de travail des caissiers</t>
  </si>
  <si>
    <t>Assiduité des caissiers</t>
  </si>
  <si>
    <t>Jours d'absences injustifiées des caissiers</t>
  </si>
  <si>
    <t>Jours de travail théorique des caissiers</t>
  </si>
  <si>
    <t>Taux d'écart de caisse</t>
  </si>
  <si>
    <t>Chiffre d'affaires du mois du magasin en DT</t>
  </si>
  <si>
    <t>Taux des ventes négatives</t>
  </si>
  <si>
    <t>Ventes négatives du mois en DT</t>
  </si>
  <si>
    <t>Nombre des retours du mois</t>
  </si>
  <si>
    <t>Nombre de tickets enregistrés du mois</t>
  </si>
  <si>
    <t>Taux des annulations</t>
  </si>
  <si>
    <t>Nombre des annulations du mois</t>
  </si>
  <si>
    <t>Port de la carte d'annulation</t>
  </si>
  <si>
    <t>Note de ???</t>
  </si>
  <si>
    <t>Ponctualité du caissier</t>
  </si>
  <si>
    <t>Heures de retard du caissier</t>
  </si>
  <si>
    <t>Heures théoriques de travail du caissier</t>
  </si>
  <si>
    <t>Assiduité du caissier</t>
  </si>
  <si>
    <t>Jours d'absences injustifiées du caissier</t>
  </si>
  <si>
    <t>Jours de travail théorique du caissier</t>
  </si>
  <si>
    <t>Ecarts de caisse du mois en DT</t>
  </si>
  <si>
    <t>Contribution à l'enregistrement des ventes</t>
  </si>
  <si>
    <t>Heures de retard du chargé</t>
  </si>
  <si>
    <t>Heures théoriques de travail du chargé</t>
  </si>
  <si>
    <t>Jours d'absences injustifiées du chargé</t>
  </si>
  <si>
    <t>Jours de travail théorique du chargé</t>
  </si>
  <si>
    <t>Ponctualité du chargé achats externes</t>
  </si>
  <si>
    <t>Assiduité du chargé achats externes</t>
  </si>
  <si>
    <t>Taux des retours caisses</t>
  </si>
  <si>
    <t>Passation des bons de commande en j-1</t>
  </si>
  <si>
    <t>Nombre de bons ou la date a été respectée</t>
  </si>
  <si>
    <t xml:space="preserve">Nombre total de bons passés </t>
  </si>
  <si>
    <t>Taux d'érreur des factures d'achat</t>
  </si>
  <si>
    <t>Nombre de factures ayant des fautes</t>
  </si>
  <si>
    <t>Nombre total de fatures</t>
  </si>
  <si>
    <t>Note du responsable d'achats externe de La Centrale</t>
  </si>
  <si>
    <t>Ponctualité du chargé administratif</t>
  </si>
  <si>
    <t>Assiduité du chargé administratif</t>
  </si>
  <si>
    <t>Taux de respect de l'horaire d'envoi du rapport journalier</t>
  </si>
  <si>
    <t>Contrôle revenu</t>
  </si>
  <si>
    <t>Ventes réalisées par le chef comptoir</t>
  </si>
  <si>
    <t>CA réalisé par les vendeurs</t>
  </si>
  <si>
    <t>Effectif moyen mensuel</t>
  </si>
  <si>
    <t>CA théorique équiréparti entre les vendeurs</t>
  </si>
  <si>
    <t>Note des supériurs hiérarchiques</t>
  </si>
  <si>
    <t>Dépôt (à préparer)</t>
  </si>
  <si>
    <t>Taux de réalisation du CA de la salle</t>
  </si>
  <si>
    <t>Chiffre d'affaires réalisé de la salle</t>
  </si>
  <si>
    <t>Chiffre d'affaires budgétisé de la salle</t>
  </si>
  <si>
    <t>Marge en valeur réalisée de la salle</t>
  </si>
  <si>
    <t>Marge en valeur budgétisée de la salle</t>
  </si>
  <si>
    <t>Expérience client - Note / salle</t>
  </si>
  <si>
    <t>Chargé financier</t>
  </si>
  <si>
    <t>Nombre de tickets du magasin</t>
  </si>
  <si>
    <t>Nombre de tickets du caissier</t>
  </si>
  <si>
    <t>Effectif moyen mensuel des caissiers</t>
  </si>
  <si>
    <t>Nbr thérique équiréparti des tickets</t>
  </si>
  <si>
    <t>Note du chargé du contrôle revenu à La Centrale</t>
  </si>
  <si>
    <t>Chargé administratif</t>
  </si>
  <si>
    <t>Chargé achats externes</t>
  </si>
  <si>
    <t>Gérant</t>
  </si>
  <si>
    <t>Volet gestion admin</t>
  </si>
  <si>
    <t>Volet gestion achat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</si>
</sst>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76C043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6C0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2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9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5" xfId="1" applyNumberFormat="1" applyFont="1" applyFill="1" applyBorder="1" applyAlignment="1">
      <alignment horizontal="center" vertical="center"/>
    </xf>
    <xf numFmtId="164" fontId="1" fillId="6" borderId="7" xfId="1" applyNumberFormat="1" applyFont="1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8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164" fontId="2" fillId="6" borderId="7" xfId="1" applyNumberFormat="1" applyFont="1" applyFill="1" applyBorder="1" applyAlignment="1">
      <alignment vertical="center"/>
    </xf>
    <xf numFmtId="9" fontId="0" fillId="6" borderId="5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6" borderId="5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9" fontId="11" fillId="6" borderId="7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9" fontId="12" fillId="6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164" fontId="11" fillId="6" borderId="5" xfId="1" applyNumberFormat="1" applyFont="1" applyFill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3" fillId="3" borderId="8" xfId="1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vertical="center"/>
    </xf>
    <xf numFmtId="0" fontId="14" fillId="5" borderId="16" xfId="0" applyFont="1" applyFill="1" applyBorder="1" applyAlignment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4" fillId="5" borderId="6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17" fillId="5" borderId="15" xfId="0" applyFont="1" applyFill="1" applyBorder="1" applyAlignment="1">
      <alignment vertical="center"/>
    </xf>
    <xf numFmtId="0" fontId="17" fillId="5" borderId="16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164" fontId="9" fillId="6" borderId="7" xfId="1" applyNumberFormat="1" applyFont="1" applyFill="1" applyBorder="1" applyAlignment="1">
      <alignment vertical="center"/>
    </xf>
    <xf numFmtId="0" fontId="9" fillId="6" borderId="10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center" vertical="center"/>
    </xf>
    <xf numFmtId="9" fontId="9" fillId="6" borderId="7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64" fontId="9" fillId="6" borderId="5" xfId="1" applyNumberFormat="1" applyFont="1" applyFill="1" applyBorder="1" applyAlignment="1">
      <alignment horizontal="center" vertical="center"/>
    </xf>
    <xf numFmtId="9" fontId="9" fillId="6" borderId="5" xfId="0" applyNumberFormat="1" applyFont="1" applyFill="1" applyBorder="1" applyAlignment="1">
      <alignment horizontal="center" vertical="center"/>
    </xf>
    <xf numFmtId="0" fontId="9" fillId="6" borderId="5" xfId="1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vertical="center"/>
    </xf>
    <xf numFmtId="10" fontId="9" fillId="6" borderId="5" xfId="1" applyNumberFormat="1" applyFont="1" applyFill="1" applyBorder="1" applyAlignment="1">
      <alignment horizontal="center" vertical="center"/>
    </xf>
    <xf numFmtId="10" fontId="9" fillId="6" borderId="5" xfId="0" applyNumberFormat="1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9" fontId="9" fillId="6" borderId="5" xfId="0" applyNumberFormat="1" applyFont="1" applyFill="1" applyBorder="1" applyAlignment="1">
      <alignment horizontal="center" vertical="center"/>
    </xf>
    <xf numFmtId="9" fontId="9" fillId="3" borderId="8" xfId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164" fontId="9" fillId="6" borderId="2" xfId="1" applyNumberFormat="1" applyFont="1" applyFill="1" applyBorder="1" applyAlignment="1">
      <alignment vertical="center"/>
    </xf>
    <xf numFmtId="9" fontId="9" fillId="6" borderId="2" xfId="0" applyNumberFormat="1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vertical="center"/>
    </xf>
    <xf numFmtId="164" fontId="9" fillId="6" borderId="9" xfId="1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vertical="center"/>
    </xf>
    <xf numFmtId="164" fontId="9" fillId="6" borderId="4" xfId="1" applyNumberFormat="1" applyFont="1" applyFill="1" applyBorder="1" applyAlignment="1">
      <alignment horizontal="center" vertical="center"/>
    </xf>
    <xf numFmtId="0" fontId="9" fillId="6" borderId="4" xfId="1" applyNumberFormat="1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164" fontId="9" fillId="6" borderId="5" xfId="1" applyNumberFormat="1" applyFont="1" applyFill="1" applyBorder="1" applyAlignment="1">
      <alignment vertical="center"/>
    </xf>
    <xf numFmtId="9" fontId="9" fillId="6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165" fontId="21" fillId="2" borderId="1" xfId="0" applyNumberFormat="1" applyFont="1" applyFill="1" applyBorder="1" applyAlignment="1">
      <alignment horizontal="right" vertical="center"/>
    </xf>
    <xf numFmtId="3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right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5" xfId="0" applyFont="1" applyFill="1" applyBorder="1" applyAlignment="1">
      <alignment horizontal="left" vertical="center"/>
    </xf>
    <xf numFmtId="165" fontId="21" fillId="2" borderId="0" xfId="0" applyNumberFormat="1" applyFont="1" applyFill="1" applyAlignment="1">
      <alignment horizontal="right" vertical="center"/>
    </xf>
    <xf numFmtId="3" fontId="19" fillId="2" borderId="0" xfId="0" applyNumberFormat="1" applyFont="1" applyFill="1" applyAlignment="1">
      <alignment horizontal="left" vertical="center"/>
    </xf>
    <xf numFmtId="0" fontId="19" fillId="2" borderId="8" xfId="0" applyFont="1" applyFill="1" applyBorder="1" applyAlignment="1">
      <alignment horizontal="right" vertical="center"/>
    </xf>
    <xf numFmtId="164" fontId="0" fillId="6" borderId="14" xfId="1" applyNumberFormat="1" applyFont="1" applyFill="1" applyBorder="1" applyAlignment="1">
      <alignment horizontal="center" vertical="center"/>
    </xf>
    <xf numFmtId="164" fontId="0" fillId="6" borderId="13" xfId="1" applyNumberFormat="1" applyFont="1" applyFill="1" applyBorder="1" applyAlignment="1">
      <alignment horizontal="center" vertical="center"/>
    </xf>
    <xf numFmtId="164" fontId="1" fillId="6" borderId="9" xfId="1" applyNumberFormat="1" applyFont="1" applyFill="1" applyBorder="1" applyAlignment="1">
      <alignment horizontal="center" vertical="center"/>
    </xf>
    <xf numFmtId="164" fontId="0" fillId="6" borderId="17" xfId="1" applyNumberFormat="1" applyFont="1" applyFill="1" applyBorder="1" applyAlignment="1">
      <alignment horizontal="right" vertical="center"/>
    </xf>
    <xf numFmtId="9" fontId="0" fillId="6" borderId="18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1" fillId="2" borderId="0" xfId="1" applyNumberFormat="1" applyFont="1" applyFill="1" applyBorder="1" applyAlignment="1">
      <alignment horizontal="center" vertical="center"/>
    </xf>
    <xf numFmtId="164" fontId="22" fillId="2" borderId="0" xfId="1" applyNumberFormat="1" applyFont="1" applyFill="1" applyBorder="1" applyAlignment="1">
      <alignment horizontal="right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right" vertical="center"/>
    </xf>
    <xf numFmtId="0" fontId="20" fillId="2" borderId="5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right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164" fontId="0" fillId="6" borderId="18" xfId="1" applyNumberFormat="1" applyFont="1" applyFill="1" applyBorder="1" applyAlignment="1">
      <alignment horizontal="right" vertical="center"/>
    </xf>
    <xf numFmtId="164" fontId="0" fillId="6" borderId="3" xfId="1" applyNumberFormat="1" applyFont="1" applyFill="1" applyBorder="1" applyAlignment="1">
      <alignment horizontal="center" vertical="center"/>
    </xf>
    <xf numFmtId="164" fontId="0" fillId="6" borderId="16" xfId="1" applyNumberFormat="1" applyFont="1" applyFill="1" applyBorder="1" applyAlignment="1">
      <alignment horizontal="center" vertical="center"/>
    </xf>
    <xf numFmtId="164" fontId="1" fillId="6" borderId="6" xfId="1" applyNumberFormat="1" applyFont="1" applyFill="1" applyBorder="1" applyAlignment="1">
      <alignment horizontal="center" vertical="center"/>
    </xf>
    <xf numFmtId="164" fontId="22" fillId="6" borderId="16" xfId="1" applyNumberFormat="1" applyFont="1" applyFill="1" applyBorder="1" applyAlignment="1">
      <alignment horizontal="right" vertical="center"/>
    </xf>
    <xf numFmtId="9" fontId="0" fillId="6" borderId="16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64" fontId="1" fillId="4" borderId="0" xfId="1" applyNumberFormat="1" applyFont="1" applyFill="1" applyAlignment="1">
      <alignment horizontal="center" vertical="center"/>
    </xf>
    <xf numFmtId="164" fontId="1" fillId="4" borderId="11" xfId="1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9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9" fontId="2" fillId="3" borderId="0" xfId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3" fontId="23" fillId="2" borderId="1" xfId="0" applyNumberFormat="1" applyFont="1" applyFill="1" applyBorder="1" applyAlignment="1">
      <alignment horizontal="right" vertical="center"/>
    </xf>
    <xf numFmtId="10" fontId="0" fillId="6" borderId="17" xfId="1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left" vertical="center"/>
    </xf>
    <xf numFmtId="3" fontId="19" fillId="2" borderId="0" xfId="0" applyNumberFormat="1" applyFont="1" applyFill="1" applyBorder="1" applyAlignment="1">
      <alignment horizontal="left" vertical="center"/>
    </xf>
    <xf numFmtId="3" fontId="21" fillId="2" borderId="7" xfId="0" applyNumberFormat="1" applyFont="1" applyFill="1" applyBorder="1" applyAlignment="1">
      <alignment horizontal="right" vertical="center"/>
    </xf>
    <xf numFmtId="3" fontId="23" fillId="2" borderId="2" xfId="0" applyNumberFormat="1" applyFont="1" applyFill="1" applyBorder="1" applyAlignment="1">
      <alignment horizontal="right" vertical="center"/>
    </xf>
    <xf numFmtId="10" fontId="0" fillId="2" borderId="0" xfId="0" applyNumberFormat="1" applyFill="1" applyAlignment="1">
      <alignment horizontal="left" vertical="center"/>
    </xf>
    <xf numFmtId="10" fontId="0" fillId="2" borderId="14" xfId="0" applyNumberFormat="1" applyFill="1" applyBorder="1" applyAlignment="1">
      <alignment horizontal="left" vertical="center"/>
    </xf>
    <xf numFmtId="10" fontId="0" fillId="2" borderId="7" xfId="0" applyNumberForma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17" fillId="5" borderId="3" xfId="0" applyFont="1" applyFill="1" applyBorder="1" applyAlignment="1">
      <alignment vertical="center"/>
    </xf>
    <xf numFmtId="9" fontId="9" fillId="6" borderId="5" xfId="1" applyNumberFormat="1" applyFont="1" applyFill="1" applyBorder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9" fontId="9" fillId="6" borderId="7" xfId="1" applyNumberFormat="1" applyFont="1" applyFill="1" applyBorder="1" applyAlignment="1">
      <alignment vertical="center"/>
    </xf>
    <xf numFmtId="9" fontId="9" fillId="6" borderId="7" xfId="0" applyNumberFormat="1" applyFont="1" applyFill="1" applyBorder="1" applyAlignment="1">
      <alignment vertical="center"/>
    </xf>
    <xf numFmtId="9" fontId="9" fillId="6" borderId="9" xfId="1" applyNumberFormat="1" applyFont="1" applyFill="1" applyBorder="1" applyAlignment="1">
      <alignment horizontal="center" vertical="center"/>
    </xf>
    <xf numFmtId="9" fontId="9" fillId="6" borderId="4" xfId="1" applyNumberFormat="1" applyFont="1" applyFill="1" applyBorder="1" applyAlignment="1">
      <alignment horizontal="center" vertical="center"/>
    </xf>
    <xf numFmtId="164" fontId="9" fillId="6" borderId="7" xfId="1" applyNumberFormat="1" applyFont="1" applyFill="1" applyBorder="1" applyAlignment="1">
      <alignment horizontal="center" vertical="center"/>
    </xf>
    <xf numFmtId="164" fontId="9" fillId="6" borderId="2" xfId="1" applyNumberFormat="1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vertical="center"/>
    </xf>
    <xf numFmtId="0" fontId="17" fillId="5" borderId="13" xfId="0" applyFont="1" applyFill="1" applyBorder="1" applyAlignment="1">
      <alignment vertical="center"/>
    </xf>
    <xf numFmtId="0" fontId="9" fillId="6" borderId="14" xfId="1" applyNumberFormat="1" applyFont="1" applyFill="1" applyBorder="1" applyAlignment="1">
      <alignment horizontal="center" vertical="center"/>
    </xf>
    <xf numFmtId="0" fontId="9" fillId="6" borderId="7" xfId="1" applyNumberFormat="1" applyFont="1" applyFill="1" applyBorder="1" applyAlignment="1">
      <alignment horizontal="center" vertical="center"/>
    </xf>
    <xf numFmtId="0" fontId="9" fillId="6" borderId="2" xfId="1" applyNumberFormat="1" applyFont="1" applyFill="1" applyBorder="1" applyAlignment="1">
      <alignment horizontal="center" vertical="center"/>
    </xf>
    <xf numFmtId="9" fontId="9" fillId="6" borderId="7" xfId="1" applyNumberFormat="1" applyFont="1" applyFill="1" applyBorder="1" applyAlignment="1">
      <alignment horizontal="center" vertical="center"/>
    </xf>
    <xf numFmtId="9" fontId="9" fillId="6" borderId="2" xfId="1" applyNumberFormat="1" applyFont="1" applyFill="1" applyBorder="1" applyAlignment="1">
      <alignment horizontal="center" vertical="center"/>
    </xf>
    <xf numFmtId="10" fontId="9" fillId="6" borderId="4" xfId="1" applyNumberFormat="1" applyFont="1" applyFill="1" applyBorder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 wrapText="1"/>
    </xf>
    <xf numFmtId="1" fontId="0" fillId="7" borderId="18" xfId="0" applyNumberFormat="1" applyFill="1" applyBorder="1" applyAlignment="1">
      <alignment horizontal="center" vertical="center"/>
    </xf>
    <xf numFmtId="9" fontId="0" fillId="7" borderId="18" xfId="0" applyNumberFormat="1" applyFill="1" applyBorder="1" applyAlignment="1">
      <alignment horizontal="center" vertical="center"/>
    </xf>
    <xf numFmtId="1" fontId="0" fillId="6" borderId="17" xfId="1" applyNumberFormat="1" applyFont="1" applyFill="1" applyBorder="1" applyAlignment="1">
      <alignment horizontal="right" vertical="center"/>
    </xf>
    <xf numFmtId="0" fontId="0" fillId="6" borderId="19" xfId="0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/>
    </xf>
    <xf numFmtId="164" fontId="1" fillId="7" borderId="9" xfId="1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right" vertical="center"/>
    </xf>
    <xf numFmtId="0" fontId="0" fillId="7" borderId="15" xfId="0" applyFill="1" applyBorder="1" applyAlignment="1">
      <alignment horizontal="left" vertical="center"/>
    </xf>
    <xf numFmtId="10" fontId="0" fillId="6" borderId="18" xfId="1" applyNumberFormat="1" applyFont="1" applyFill="1" applyBorder="1" applyAlignment="1">
      <alignment horizontal="right" vertical="center"/>
    </xf>
    <xf numFmtId="10" fontId="0" fillId="7" borderId="18" xfId="1" applyNumberFormat="1" applyFont="1" applyFill="1" applyBorder="1" applyAlignment="1">
      <alignment horizontal="center" vertical="center"/>
    </xf>
    <xf numFmtId="9" fontId="0" fillId="7" borderId="18" xfId="1" applyNumberFormat="1" applyFont="1" applyFill="1" applyBorder="1" applyAlignment="1">
      <alignment horizontal="center" vertical="center"/>
    </xf>
    <xf numFmtId="9" fontId="0" fillId="6" borderId="18" xfId="1" applyNumberFormat="1" applyFont="1" applyFill="1" applyBorder="1" applyAlignment="1">
      <alignment horizontal="right" vertical="center"/>
    </xf>
    <xf numFmtId="0" fontId="0" fillId="7" borderId="18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7" borderId="19" xfId="0" applyFill="1" applyBorder="1" applyAlignment="1">
      <alignment horizontal="left" vertical="center"/>
    </xf>
    <xf numFmtId="166" fontId="0" fillId="7" borderId="18" xfId="1" applyNumberFormat="1" applyFont="1" applyFill="1" applyBorder="1" applyAlignment="1">
      <alignment horizontal="right" vertical="center"/>
    </xf>
    <xf numFmtId="164" fontId="0" fillId="7" borderId="13" xfId="1" applyNumberFormat="1" applyFont="1" applyFill="1" applyBorder="1" applyAlignment="1">
      <alignment horizontal="center" vertical="center"/>
    </xf>
    <xf numFmtId="164" fontId="0" fillId="7" borderId="14" xfId="1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left" vertical="center"/>
    </xf>
    <xf numFmtId="0" fontId="19" fillId="7" borderId="8" xfId="0" applyFont="1" applyFill="1" applyBorder="1" applyAlignment="1">
      <alignment horizontal="right" vertical="center"/>
    </xf>
    <xf numFmtId="3" fontId="21" fillId="7" borderId="0" xfId="0" applyNumberFormat="1" applyFont="1" applyFill="1" applyAlignment="1">
      <alignment horizontal="right" vertical="center"/>
    </xf>
    <xf numFmtId="0" fontId="20" fillId="7" borderId="5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right" vertical="center"/>
    </xf>
    <xf numFmtId="0" fontId="19" fillId="7" borderId="1" xfId="0" applyFont="1" applyFill="1" applyBorder="1" applyAlignment="1">
      <alignment horizontal="left" vertical="center"/>
    </xf>
    <xf numFmtId="3" fontId="21" fillId="7" borderId="1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 wrapText="1"/>
    </xf>
    <xf numFmtId="9" fontId="0" fillId="7" borderId="0" xfId="0" applyNumberFormat="1" applyFill="1" applyAlignment="1">
      <alignment horizontal="center" vertical="center"/>
    </xf>
    <xf numFmtId="164" fontId="22" fillId="7" borderId="0" xfId="1" applyNumberFormat="1" applyFont="1" applyFill="1" applyBorder="1" applyAlignment="1">
      <alignment horizontal="right" vertical="center"/>
    </xf>
    <xf numFmtId="164" fontId="1" fillId="7" borderId="0" xfId="1" applyNumberFormat="1" applyFont="1" applyFill="1" applyBorder="1" applyAlignment="1">
      <alignment horizontal="center" vertical="center"/>
    </xf>
    <xf numFmtId="164" fontId="0" fillId="7" borderId="0" xfId="1" applyNumberFormat="1" applyFont="1" applyFill="1" applyBorder="1" applyAlignment="1">
      <alignment horizontal="center" vertical="center"/>
    </xf>
    <xf numFmtId="164" fontId="0" fillId="7" borderId="17" xfId="1" applyNumberFormat="1" applyFont="1" applyFill="1" applyBorder="1" applyAlignment="1">
      <alignment horizontal="right" vertical="center"/>
    </xf>
    <xf numFmtId="3" fontId="23" fillId="7" borderId="1" xfId="0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3" fontId="23" fillId="2" borderId="0" xfId="0" applyNumberFormat="1" applyFont="1" applyFill="1" applyAlignment="1">
      <alignment horizontal="right" vertical="center"/>
    </xf>
    <xf numFmtId="9" fontId="0" fillId="7" borderId="18" xfId="1" applyNumberFormat="1" applyFont="1" applyFill="1" applyBorder="1" applyAlignment="1">
      <alignment horizontal="right" vertical="center"/>
    </xf>
    <xf numFmtId="0" fontId="0" fillId="7" borderId="15" xfId="0" applyFill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/>
    </xf>
    <xf numFmtId="9" fontId="0" fillId="7" borderId="16" xfId="0" applyNumberFormat="1" applyFill="1" applyBorder="1" applyAlignment="1">
      <alignment horizontal="center" vertical="center"/>
    </xf>
    <xf numFmtId="164" fontId="22" fillId="7" borderId="16" xfId="1" applyNumberFormat="1" applyFont="1" applyFill="1" applyBorder="1" applyAlignment="1">
      <alignment horizontal="right" vertical="center"/>
    </xf>
    <xf numFmtId="164" fontId="1" fillId="7" borderId="6" xfId="1" applyNumberFormat="1" applyFont="1" applyFill="1" applyBorder="1" applyAlignment="1">
      <alignment horizontal="center" vertical="center"/>
    </xf>
    <xf numFmtId="164" fontId="0" fillId="7" borderId="16" xfId="1" applyNumberFormat="1" applyFont="1" applyFill="1" applyBorder="1" applyAlignment="1">
      <alignment horizontal="center" vertical="center"/>
    </xf>
    <xf numFmtId="164" fontId="0" fillId="7" borderId="3" xfId="1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18" fillId="2" borderId="9" xfId="0" applyNumberFormat="1" applyFont="1" applyFill="1" applyBorder="1" applyAlignment="1">
      <alignment horizontal="center" vertical="center"/>
    </xf>
    <xf numFmtId="164" fontId="18" fillId="2" borderId="5" xfId="0" applyNumberFormat="1" applyFont="1" applyFill="1" applyBorder="1" applyAlignment="1">
      <alignment horizontal="center" vertical="center"/>
    </xf>
    <xf numFmtId="164" fontId="18" fillId="2" borderId="4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9" fontId="9" fillId="6" borderId="5" xfId="0" applyNumberFormat="1" applyFont="1" applyFill="1" applyBorder="1" applyAlignment="1">
      <alignment horizontal="center" vertical="center"/>
    </xf>
    <xf numFmtId="9" fontId="9" fillId="6" borderId="9" xfId="0" applyNumberFormat="1" applyFont="1" applyFill="1" applyBorder="1" applyAlignment="1">
      <alignment horizontal="center" vertical="center"/>
    </xf>
    <xf numFmtId="9" fontId="9" fillId="6" borderId="4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10" fillId="2" borderId="9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76C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CCFDF0FF-EFB7-4CBC-B70B-0C1947A0E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EA56912-5403-416C-A1B0-6F22E4DAD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12CF30F-CB08-4AA3-95E2-AC5E23E77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10846F4-5434-4A7A-AB11-F3FD4A4A0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9A03CE2-2FE8-4A1E-8A58-5E1A385AB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CCFDF0FF-EFB7-4CBC-B70B-0C1947A0E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D65C062-6D29-4CB9-950B-C6AA51AE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0E6BDE1-4C89-4F9C-89B0-55010F42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400709</xdr:colOff>
      <xdr:row>4</xdr:row>
      <xdr:rowOff>135890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C389329-ABA6-485B-98EA-817BA24E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A4F1E31-1907-484F-8271-541B60AB2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9AAA52B0-DAD3-4543-BA22-BECCCC975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177807</xdr:colOff>
      <xdr:row>0</xdr:row>
      <xdr:rowOff>19050</xdr:rowOff>
    </xdr:from>
    <xdr:to>
      <xdr:col>1</xdr:col>
      <xdr:colOff>391184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F3362EC-6B15-4EE0-9EBC-2FA26AE77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7" y="19050"/>
          <a:ext cx="822977" cy="806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421647</xdr:colOff>
      <xdr:row>0</xdr:row>
      <xdr:rowOff>19050</xdr:rowOff>
    </xdr:from>
    <xdr:ext cx="822977" cy="75438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2D631C3-A471-4154-BF24-14C76D46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7" y="19050"/>
          <a:ext cx="822977" cy="7543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K55"/>
  <sheetViews>
    <sheetView tabSelected="1" topLeftCell="B13" zoomScale="120" zoomScaleNormal="120" workbookViewId="0">
      <selection activeCell="G13" sqref="G13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4257812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0" width="8.85546875" style="114"/>
    <col min="11" max="11" width="12" style="114" bestFit="1" customWidth="1"/>
    <col min="12" max="16384" width="8.85546875" style="114"/>
  </cols>
  <sheetData>
    <row r="1" spans="1:11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1" ht="13.15" customHeight="1" x14ac:dyDescent="0.25">
      <c r="A2" s="178"/>
      <c r="B2" s="175"/>
      <c r="C2" s="268" t="s">
        <v>3</v>
      </c>
      <c r="D2" s="271">
        <f>J9+J25+J31+J41</f>
        <v>0.82642588235294112</v>
      </c>
      <c r="E2" s="175"/>
      <c r="F2" s="177"/>
      <c r="G2" s="274" t="s">
        <v>10</v>
      </c>
      <c r="H2" s="274"/>
      <c r="I2" s="274"/>
      <c r="J2" s="61"/>
    </row>
    <row r="3" spans="1:11" ht="13.15" customHeight="1" x14ac:dyDescent="0.25">
      <c r="A3" s="178"/>
      <c r="B3" s="183">
        <f>B9+B25+B31+B41</f>
        <v>1</v>
      </c>
      <c r="C3" s="269"/>
      <c r="D3" s="272"/>
      <c r="E3" s="175"/>
      <c r="F3" s="177"/>
      <c r="G3" s="274"/>
      <c r="H3" s="274"/>
      <c r="I3" s="274"/>
      <c r="J3" s="61"/>
    </row>
    <row r="4" spans="1:11" ht="13.15" customHeight="1" x14ac:dyDescent="0.25">
      <c r="A4" s="178"/>
      <c r="B4" s="175"/>
      <c r="C4" s="270"/>
      <c r="D4" s="273"/>
      <c r="E4" s="175"/>
      <c r="F4" s="177"/>
      <c r="G4" s="176" t="s">
        <v>142</v>
      </c>
      <c r="H4" s="175"/>
      <c r="I4" s="175"/>
      <c r="J4" s="174"/>
    </row>
    <row r="5" spans="1:11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1" ht="15.75" thickBot="1" x14ac:dyDescent="0.3"/>
    <row r="7" spans="1:11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113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1" ht="6" customHeight="1" thickBot="1" x14ac:dyDescent="0.3">
      <c r="F8" s="115"/>
      <c r="G8" s="159"/>
      <c r="H8" s="159"/>
      <c r="J8" s="159"/>
    </row>
    <row r="9" spans="1:11" s="160" customFormat="1" ht="15.75" thickBot="1" x14ac:dyDescent="0.3">
      <c r="A9" s="165" t="s">
        <v>12</v>
      </c>
      <c r="B9" s="166">
        <v>0.25</v>
      </c>
      <c r="C9" s="165"/>
      <c r="D9" s="165"/>
      <c r="E9" s="165"/>
      <c r="F9" s="164"/>
      <c r="G9" s="163"/>
      <c r="H9" s="162">
        <f>SUM(J11:J23)</f>
        <v>0.89237999999999995</v>
      </c>
      <c r="I9" s="198">
        <f>SUM(I11:I23)</f>
        <v>0.99999999999999989</v>
      </c>
      <c r="J9" s="161">
        <f>H9*B9</f>
        <v>0.22309499999999999</v>
      </c>
    </row>
    <row r="10" spans="1:11" ht="6" customHeight="1" outlineLevel="1" x14ac:dyDescent="0.25">
      <c r="F10" s="115"/>
      <c r="G10" s="159"/>
      <c r="H10" s="159"/>
      <c r="J10" s="159"/>
    </row>
    <row r="11" spans="1:11" ht="45" outlineLevel="1" x14ac:dyDescent="0.25">
      <c r="C11" s="158" t="s">
        <v>110</v>
      </c>
      <c r="D11" s="157" t="s">
        <v>125</v>
      </c>
      <c r="E11" s="156" t="s">
        <v>105</v>
      </c>
      <c r="F11" s="155">
        <v>0.6</v>
      </c>
      <c r="G11" s="154">
        <v>0.64800000000000002</v>
      </c>
      <c r="H11" s="153">
        <f>IF(G11&lt;F11,0,G11)</f>
        <v>0.64800000000000002</v>
      </c>
      <c r="I11" s="152">
        <v>0.3</v>
      </c>
      <c r="J11" s="151">
        <f>H11*I11</f>
        <v>0.19439999999999999</v>
      </c>
      <c r="K11" s="267">
        <f>100-(225000/222360)</f>
        <v>98.988127361036163</v>
      </c>
    </row>
    <row r="12" spans="1:11" ht="6" customHeight="1" outlineLevel="1" x14ac:dyDescent="0.25">
      <c r="D12" s="149"/>
      <c r="F12" s="148"/>
      <c r="G12" s="140"/>
      <c r="H12" s="139"/>
      <c r="I12" s="138"/>
      <c r="J12" s="138"/>
    </row>
    <row r="13" spans="1:11" outlineLevel="1" x14ac:dyDescent="0.25">
      <c r="C13" s="136" t="s">
        <v>109</v>
      </c>
      <c r="D13" s="135" t="s">
        <v>5</v>
      </c>
      <c r="E13" s="135" t="s">
        <v>105</v>
      </c>
      <c r="F13" s="134">
        <v>0.85</v>
      </c>
      <c r="G13" s="150">
        <f>G14/G15</f>
        <v>1.02</v>
      </c>
      <c r="H13" s="132">
        <f>IF(G13&lt;F13,0,G13)</f>
        <v>1.02</v>
      </c>
      <c r="I13" s="131">
        <v>0.3</v>
      </c>
      <c r="J13" s="130">
        <f>H13*I13</f>
        <v>0.30599999999999999</v>
      </c>
    </row>
    <row r="14" spans="1:11" s="116" customFormat="1" outlineLevel="1" x14ac:dyDescent="0.25">
      <c r="C14" s="129" t="s">
        <v>108</v>
      </c>
      <c r="E14" s="116" t="s">
        <v>102</v>
      </c>
      <c r="G14" s="147">
        <v>1020000</v>
      </c>
      <c r="H14" s="146"/>
      <c r="I14" s="125"/>
      <c r="J14" s="124"/>
    </row>
    <row r="15" spans="1:11" s="116" customFormat="1" outlineLevel="1" x14ac:dyDescent="0.25">
      <c r="C15" s="123" t="s">
        <v>107</v>
      </c>
      <c r="D15" s="122"/>
      <c r="E15" s="122" t="s">
        <v>102</v>
      </c>
      <c r="F15" s="122"/>
      <c r="G15" s="145">
        <v>1000000</v>
      </c>
      <c r="H15" s="144"/>
      <c r="I15" s="118"/>
      <c r="J15" s="117"/>
    </row>
    <row r="16" spans="1:11" ht="6" customHeight="1" outlineLevel="1" x14ac:dyDescent="0.25">
      <c r="D16" s="149"/>
      <c r="F16" s="148"/>
      <c r="G16" s="140"/>
      <c r="H16" s="139"/>
      <c r="I16" s="138"/>
      <c r="J16" s="138"/>
    </row>
    <row r="17" spans="1:10" outlineLevel="1" x14ac:dyDescent="0.25">
      <c r="C17" s="136" t="s">
        <v>123</v>
      </c>
      <c r="D17" s="135" t="s">
        <v>5</v>
      </c>
      <c r="E17" s="135" t="s">
        <v>105</v>
      </c>
      <c r="F17" s="134">
        <v>0.85</v>
      </c>
      <c r="G17" s="133">
        <f>G18/G19</f>
        <v>0.98826666666666663</v>
      </c>
      <c r="H17" s="132">
        <f>IF(G17&lt;F17,0,G17)</f>
        <v>0.98826666666666663</v>
      </c>
      <c r="I17" s="131">
        <v>0.3</v>
      </c>
      <c r="J17" s="130">
        <f>H17*I17</f>
        <v>0.29647999999999997</v>
      </c>
    </row>
    <row r="18" spans="1:10" s="116" customFormat="1" outlineLevel="1" x14ac:dyDescent="0.25">
      <c r="C18" s="129" t="s">
        <v>6</v>
      </c>
      <c r="E18" s="116" t="s">
        <v>102</v>
      </c>
      <c r="G18" s="147">
        <f>21.8%*G14</f>
        <v>222360</v>
      </c>
      <c r="H18" s="146"/>
      <c r="I18" s="125"/>
      <c r="J18" s="124"/>
    </row>
    <row r="19" spans="1:10" s="116" customFormat="1" outlineLevel="1" x14ac:dyDescent="0.25">
      <c r="C19" s="123" t="s">
        <v>124</v>
      </c>
      <c r="D19" s="122"/>
      <c r="E19" s="122" t="s">
        <v>102</v>
      </c>
      <c r="F19" s="122"/>
      <c r="G19" s="145">
        <f>22.5%*G15</f>
        <v>225000</v>
      </c>
      <c r="H19" s="144"/>
      <c r="I19" s="118"/>
      <c r="J19" s="117"/>
    </row>
    <row r="20" spans="1:10" ht="6" customHeight="1" outlineLevel="1" x14ac:dyDescent="0.25">
      <c r="C20" s="142"/>
      <c r="D20" s="143"/>
      <c r="E20" s="142"/>
      <c r="F20" s="141"/>
      <c r="G20" s="140"/>
      <c r="H20" s="139"/>
      <c r="I20" s="138"/>
      <c r="J20" s="137"/>
    </row>
    <row r="21" spans="1:10" outlineLevel="1" x14ac:dyDescent="0.25">
      <c r="C21" s="136" t="s">
        <v>106</v>
      </c>
      <c r="D21" s="135" t="s">
        <v>5</v>
      </c>
      <c r="E21" s="135" t="s">
        <v>105</v>
      </c>
      <c r="F21" s="134">
        <v>0.85</v>
      </c>
      <c r="G21" s="133">
        <f>G22/G23</f>
        <v>0.95500000000000007</v>
      </c>
      <c r="H21" s="132">
        <f>IF(G21&lt;F21,0,G21)</f>
        <v>0.95500000000000007</v>
      </c>
      <c r="I21" s="131">
        <v>0.1</v>
      </c>
      <c r="J21" s="130">
        <f>H21*I21</f>
        <v>9.5500000000000015E-2</v>
      </c>
    </row>
    <row r="22" spans="1:10" s="116" customFormat="1" outlineLevel="1" x14ac:dyDescent="0.25">
      <c r="C22" s="129" t="s">
        <v>104</v>
      </c>
      <c r="E22" s="116" t="s">
        <v>102</v>
      </c>
      <c r="F22" s="128"/>
      <c r="G22" s="127">
        <v>38.200000000000003</v>
      </c>
      <c r="H22" s="126"/>
      <c r="I22" s="125"/>
      <c r="J22" s="124"/>
    </row>
    <row r="23" spans="1:10" s="116" customFormat="1" outlineLevel="1" x14ac:dyDescent="0.25">
      <c r="C23" s="123" t="s">
        <v>103</v>
      </c>
      <c r="D23" s="122"/>
      <c r="E23" s="122" t="s">
        <v>102</v>
      </c>
      <c r="F23" s="121"/>
      <c r="G23" s="120">
        <v>40</v>
      </c>
      <c r="H23" s="119"/>
      <c r="I23" s="118"/>
      <c r="J23" s="117"/>
    </row>
    <row r="24" spans="1:10" ht="15.75" thickBot="1" x14ac:dyDescent="0.3">
      <c r="I24" s="115"/>
    </row>
    <row r="25" spans="1:10" s="160" customFormat="1" ht="15.75" thickBot="1" x14ac:dyDescent="0.3">
      <c r="A25" s="165" t="s">
        <v>14</v>
      </c>
      <c r="B25" s="166">
        <v>0.25</v>
      </c>
      <c r="C25" s="165"/>
      <c r="D25" s="165"/>
      <c r="E25" s="165"/>
      <c r="F25" s="164"/>
      <c r="G25" s="163"/>
      <c r="H25" s="162">
        <f>SUM(J27:J29)</f>
        <v>0.70199999999999996</v>
      </c>
      <c r="I25" s="198">
        <f>SUM(I27:I29)</f>
        <v>1</v>
      </c>
      <c r="J25" s="161">
        <f>H25*B25</f>
        <v>0.17549999999999999</v>
      </c>
    </row>
    <row r="26" spans="1:10" ht="6" hidden="1" customHeight="1" outlineLevel="1" x14ac:dyDescent="0.25">
      <c r="F26" s="115"/>
      <c r="G26" s="159"/>
      <c r="H26" s="159"/>
      <c r="J26" s="159"/>
    </row>
    <row r="27" spans="1:10" ht="30" hidden="1" outlineLevel="1" x14ac:dyDescent="0.25">
      <c r="C27" s="158" t="s">
        <v>119</v>
      </c>
      <c r="D27" s="157" t="s">
        <v>121</v>
      </c>
      <c r="E27" s="156" t="s">
        <v>105</v>
      </c>
      <c r="F27" s="155">
        <v>0.65</v>
      </c>
      <c r="G27" s="154">
        <v>0.68700000000000006</v>
      </c>
      <c r="H27" s="153">
        <f>IF(G27&lt;F27,0,G27)</f>
        <v>0.68700000000000006</v>
      </c>
      <c r="I27" s="152">
        <f>2/3</f>
        <v>0.66666666666666663</v>
      </c>
      <c r="J27" s="151">
        <f>H27*I27</f>
        <v>0.45800000000000002</v>
      </c>
    </row>
    <row r="28" spans="1:10" ht="6" hidden="1" customHeight="1" outlineLevel="1" x14ac:dyDescent="0.25">
      <c r="D28" s="149"/>
      <c r="F28" s="148"/>
      <c r="G28" s="140"/>
      <c r="H28" s="139"/>
      <c r="I28" s="138"/>
      <c r="J28" s="138"/>
    </row>
    <row r="29" spans="1:10" ht="30" hidden="1" outlineLevel="1" x14ac:dyDescent="0.25">
      <c r="C29" s="158" t="s">
        <v>120</v>
      </c>
      <c r="D29" s="157" t="s">
        <v>122</v>
      </c>
      <c r="E29" s="156" t="s">
        <v>105</v>
      </c>
      <c r="F29" s="155">
        <v>0.65</v>
      </c>
      <c r="G29" s="154">
        <v>0.73199999999999998</v>
      </c>
      <c r="H29" s="153">
        <f>IF(G29&lt;F29,0,G29)</f>
        <v>0.73199999999999998</v>
      </c>
      <c r="I29" s="152">
        <f>1/3</f>
        <v>0.33333333333333331</v>
      </c>
      <c r="J29" s="151">
        <f>H29*I29</f>
        <v>0.24399999999999999</v>
      </c>
    </row>
    <row r="30" spans="1:10" ht="15.75" collapsed="1" thickBot="1" x14ac:dyDescent="0.3">
      <c r="I30" s="115"/>
    </row>
    <row r="31" spans="1:10" s="160" customFormat="1" ht="15.75" thickBot="1" x14ac:dyDescent="0.3">
      <c r="A31" s="165" t="s">
        <v>15</v>
      </c>
      <c r="B31" s="166">
        <v>0.25</v>
      </c>
      <c r="C31" s="165"/>
      <c r="D31" s="165"/>
      <c r="E31" s="165"/>
      <c r="F31" s="164"/>
      <c r="G31" s="163"/>
      <c r="H31" s="162">
        <f>SUM(J33:J39)</f>
        <v>0.98583333333333334</v>
      </c>
      <c r="I31" s="198">
        <f>SUM(I33:I39)</f>
        <v>1</v>
      </c>
      <c r="J31" s="161">
        <f>H31*B31</f>
        <v>0.24645833333333333</v>
      </c>
    </row>
    <row r="32" spans="1:10" ht="6" hidden="1" customHeight="1" outlineLevel="1" x14ac:dyDescent="0.25">
      <c r="D32" s="149"/>
      <c r="F32" s="148"/>
      <c r="G32" s="140"/>
      <c r="H32" s="139"/>
      <c r="I32" s="138"/>
      <c r="J32" s="138"/>
    </row>
    <row r="33" spans="1:10" hidden="1" outlineLevel="1" x14ac:dyDescent="0.25">
      <c r="C33" s="136" t="s">
        <v>127</v>
      </c>
      <c r="D33" s="135" t="s">
        <v>128</v>
      </c>
      <c r="E33" s="135" t="s">
        <v>105</v>
      </c>
      <c r="F33" s="134">
        <v>0.95</v>
      </c>
      <c r="G33" s="133">
        <f>(G35-G34)/G35</f>
        <v>0.98666666666666669</v>
      </c>
      <c r="H33" s="132">
        <f>IF(G33&lt;F33,0,G33)</f>
        <v>0.98666666666666669</v>
      </c>
      <c r="I33" s="131">
        <v>0.5</v>
      </c>
      <c r="J33" s="130">
        <f>H33*I33</f>
        <v>0.49333333333333335</v>
      </c>
    </row>
    <row r="34" spans="1:10" s="116" customFormat="1" hidden="1" outlineLevel="1" x14ac:dyDescent="0.25">
      <c r="C34" s="129" t="s">
        <v>130</v>
      </c>
      <c r="E34" s="116" t="s">
        <v>132</v>
      </c>
      <c r="G34" s="147">
        <f>10</f>
        <v>10</v>
      </c>
      <c r="H34" s="146"/>
      <c r="I34" s="125"/>
      <c r="J34" s="124"/>
    </row>
    <row r="35" spans="1:10" s="116" customFormat="1" hidden="1" outlineLevel="1" x14ac:dyDescent="0.25">
      <c r="C35" s="123" t="s">
        <v>131</v>
      </c>
      <c r="D35" s="122"/>
      <c r="E35" s="122" t="s">
        <v>132</v>
      </c>
      <c r="F35" s="122"/>
      <c r="G35" s="145">
        <f>30*25</f>
        <v>750</v>
      </c>
      <c r="H35" s="144"/>
      <c r="I35" s="118"/>
      <c r="J35" s="117"/>
    </row>
    <row r="36" spans="1:10" ht="6" hidden="1" customHeight="1" outlineLevel="1" x14ac:dyDescent="0.25">
      <c r="C36" s="142"/>
      <c r="D36" s="143"/>
      <c r="E36" s="142"/>
      <c r="F36" s="141"/>
      <c r="G36" s="140"/>
      <c r="H36" s="139"/>
      <c r="I36" s="138"/>
      <c r="J36" s="137"/>
    </row>
    <row r="37" spans="1:10" hidden="1" outlineLevel="1" x14ac:dyDescent="0.25">
      <c r="C37" s="136" t="s">
        <v>129</v>
      </c>
      <c r="D37" s="135" t="s">
        <v>128</v>
      </c>
      <c r="E37" s="135" t="s">
        <v>105</v>
      </c>
      <c r="F37" s="134">
        <v>0.95</v>
      </c>
      <c r="G37" s="133">
        <f>(G39-G38)/G39</f>
        <v>0.98499999999999999</v>
      </c>
      <c r="H37" s="132">
        <f>IF(G37&lt;F37,0,G37)</f>
        <v>0.98499999999999999</v>
      </c>
      <c r="I37" s="131">
        <v>0.5</v>
      </c>
      <c r="J37" s="130">
        <f>H37*I37</f>
        <v>0.49249999999999999</v>
      </c>
    </row>
    <row r="38" spans="1:10" s="116" customFormat="1" hidden="1" outlineLevel="1" x14ac:dyDescent="0.25">
      <c r="C38" s="129" t="s">
        <v>133</v>
      </c>
      <c r="E38" s="116" t="s">
        <v>135</v>
      </c>
      <c r="F38" s="128"/>
      <c r="G38" s="147">
        <f>0.5*6*30</f>
        <v>90</v>
      </c>
      <c r="H38" s="126"/>
      <c r="I38" s="125"/>
      <c r="J38" s="124"/>
    </row>
    <row r="39" spans="1:10" s="116" customFormat="1" hidden="1" outlineLevel="1" x14ac:dyDescent="0.25">
      <c r="C39" s="123" t="s">
        <v>134</v>
      </c>
      <c r="D39" s="122"/>
      <c r="E39" s="122" t="s">
        <v>135</v>
      </c>
      <c r="F39" s="121"/>
      <c r="G39" s="145">
        <f>G35*8</f>
        <v>6000</v>
      </c>
      <c r="H39" s="119"/>
      <c r="I39" s="118"/>
      <c r="J39" s="117"/>
    </row>
    <row r="40" spans="1:10" ht="15.75" collapsed="1" thickBot="1" x14ac:dyDescent="0.3">
      <c r="I40" s="115"/>
    </row>
    <row r="41" spans="1:10" s="160" customFormat="1" ht="15.75" thickBot="1" x14ac:dyDescent="0.3">
      <c r="A41" s="165" t="s">
        <v>13</v>
      </c>
      <c r="B41" s="166">
        <v>0.25</v>
      </c>
      <c r="C41" s="165"/>
      <c r="D41" s="165"/>
      <c r="E41" s="165"/>
      <c r="F41" s="164"/>
      <c r="G41" s="163"/>
      <c r="H41" s="162">
        <f>D53</f>
        <v>0.72549019607843135</v>
      </c>
      <c r="I41" s="161"/>
      <c r="J41" s="161">
        <f>H41*B41</f>
        <v>0.18137254901960784</v>
      </c>
    </row>
    <row r="42" spans="1:10" ht="6" hidden="1" customHeight="1" outlineLevel="1" x14ac:dyDescent="0.25">
      <c r="D42" s="149"/>
      <c r="F42" s="148"/>
      <c r="G42" s="140"/>
      <c r="H42" s="139"/>
      <c r="I42" s="138"/>
      <c r="J42" s="138"/>
    </row>
    <row r="43" spans="1:10" hidden="1" outlineLevel="1" x14ac:dyDescent="0.25">
      <c r="C43" s="136" t="s">
        <v>7</v>
      </c>
      <c r="D43" s="135" t="s">
        <v>136</v>
      </c>
      <c r="E43" s="135" t="s">
        <v>105</v>
      </c>
      <c r="F43" s="134"/>
      <c r="G43" s="186">
        <f>G44/G45</f>
        <v>4.9019607843137254E-4</v>
      </c>
    </row>
    <row r="44" spans="1:10" s="116" customFormat="1" hidden="1" outlineLevel="1" x14ac:dyDescent="0.25">
      <c r="C44" s="129" t="s">
        <v>137</v>
      </c>
      <c r="D44" s="187"/>
      <c r="E44" s="187" t="s">
        <v>102</v>
      </c>
      <c r="F44" s="187"/>
      <c r="G44" s="189">
        <v>500</v>
      </c>
      <c r="H44" s="114"/>
      <c r="I44" s="114"/>
      <c r="J44" s="114"/>
    </row>
    <row r="45" spans="1:10" s="116" customFormat="1" hidden="1" outlineLevel="1" x14ac:dyDescent="0.25">
      <c r="C45" s="123" t="s">
        <v>138</v>
      </c>
      <c r="D45" s="122"/>
      <c r="E45" s="122" t="s">
        <v>102</v>
      </c>
      <c r="F45" s="122"/>
      <c r="G45" s="190">
        <f>G$14</f>
        <v>1020000</v>
      </c>
      <c r="H45" s="114"/>
      <c r="I45" s="114"/>
      <c r="J45" s="114"/>
    </row>
    <row r="46" spans="1:10" ht="6" hidden="1" customHeight="1" outlineLevel="1" x14ac:dyDescent="0.25">
      <c r="C46" s="142"/>
      <c r="D46" s="143"/>
      <c r="E46" s="142"/>
      <c r="F46" s="141"/>
      <c r="G46" s="140"/>
    </row>
    <row r="47" spans="1:10" hidden="1" outlineLevel="1" x14ac:dyDescent="0.25">
      <c r="C47" s="136" t="s">
        <v>8</v>
      </c>
      <c r="D47" s="135" t="s">
        <v>136</v>
      </c>
      <c r="E47" s="135" t="s">
        <v>105</v>
      </c>
      <c r="F47" s="134"/>
      <c r="G47" s="186">
        <f>G48/G49</f>
        <v>2.9411764705882353E-3</v>
      </c>
    </row>
    <row r="48" spans="1:10" s="116" customFormat="1" hidden="1" outlineLevel="1" x14ac:dyDescent="0.25">
      <c r="C48" s="129" t="s">
        <v>139</v>
      </c>
      <c r="D48" s="187"/>
      <c r="E48" s="187" t="s">
        <v>102</v>
      </c>
      <c r="F48" s="188"/>
      <c r="G48" s="189">
        <v>3000</v>
      </c>
      <c r="H48" s="114"/>
      <c r="I48" s="114"/>
      <c r="J48" s="114"/>
    </row>
    <row r="49" spans="3:10" s="116" customFormat="1" hidden="1" outlineLevel="1" x14ac:dyDescent="0.25">
      <c r="C49" s="123" t="s">
        <v>138</v>
      </c>
      <c r="D49" s="122"/>
      <c r="E49" s="122" t="s">
        <v>102</v>
      </c>
      <c r="F49" s="121"/>
      <c r="G49" s="190">
        <f>G$14</f>
        <v>1020000</v>
      </c>
      <c r="H49" s="114"/>
      <c r="I49" s="114"/>
      <c r="J49" s="114"/>
    </row>
    <row r="50" spans="3:10" hidden="1" outlineLevel="1" x14ac:dyDescent="0.25">
      <c r="I50" s="115"/>
    </row>
    <row r="51" spans="3:10" hidden="1" outlineLevel="1" x14ac:dyDescent="0.25">
      <c r="C51" s="182" t="s">
        <v>140</v>
      </c>
      <c r="D51" s="192">
        <f>G43+G47</f>
        <v>3.4313725490196078E-3</v>
      </c>
    </row>
    <row r="52" spans="3:10" hidden="1" outlineLevel="1" x14ac:dyDescent="0.25">
      <c r="C52" s="178" t="s">
        <v>141</v>
      </c>
      <c r="D52" s="193">
        <v>5.0000000000000001E-3</v>
      </c>
    </row>
    <row r="53" spans="3:10" hidden="1" outlineLevel="1" x14ac:dyDescent="0.25">
      <c r="C53" s="194" t="s">
        <v>17</v>
      </c>
      <c r="D53" s="195">
        <f>IF(D51&gt;D52,0,1-(0.4*D51/D52))</f>
        <v>0.72549019607843135</v>
      </c>
    </row>
    <row r="54" spans="3:10" collapsed="1" x14ac:dyDescent="0.25">
      <c r="D54" s="191"/>
    </row>
    <row r="55" spans="3:10" x14ac:dyDescent="0.25">
      <c r="D55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90" zoomScaleNormal="90" workbookViewId="0">
      <selection activeCell="K31" sqref="K31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94" t="s">
        <v>60</v>
      </c>
      <c r="E2" s="295"/>
      <c r="F2" s="295"/>
      <c r="G2" s="295"/>
      <c r="H2" s="296"/>
      <c r="I2" s="312">
        <f>(G7*A8)+(G23*A24)+(O23*I24)</f>
        <v>0.85399999999999998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97"/>
      <c r="E3" s="298"/>
      <c r="F3" s="298"/>
      <c r="G3" s="298"/>
      <c r="H3" s="299"/>
      <c r="I3" s="313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00"/>
      <c r="E4" s="301"/>
      <c r="F4" s="301"/>
      <c r="G4" s="301"/>
      <c r="H4" s="302"/>
      <c r="I4" s="314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3.15" customHeight="1" x14ac:dyDescent="0.25">
      <c r="A7" s="9"/>
      <c r="B7" s="309" t="s">
        <v>25</v>
      </c>
      <c r="C7" s="309"/>
      <c r="D7" s="309"/>
      <c r="E7" s="309"/>
      <c r="F7" s="8"/>
      <c r="G7" s="312">
        <f>SUMPRODUCT(F13:F19,G13:G19)</f>
        <v>0.85</v>
      </c>
      <c r="H7" s="2"/>
      <c r="I7" s="107"/>
      <c r="J7" s="275" t="s">
        <v>13</v>
      </c>
      <c r="K7" s="275"/>
      <c r="L7" s="275"/>
      <c r="M7" s="275"/>
      <c r="N7" s="104"/>
      <c r="O7" s="271">
        <f>O13</f>
        <v>0.67999999999999994</v>
      </c>
    </row>
    <row r="8" spans="1:15" ht="13.15" customHeight="1" x14ac:dyDescent="0.25">
      <c r="A8" s="52">
        <f>1/3</f>
        <v>0.33333333333333331</v>
      </c>
      <c r="B8" s="310"/>
      <c r="C8" s="310"/>
      <c r="D8" s="310"/>
      <c r="E8" s="310"/>
      <c r="F8" s="11"/>
      <c r="G8" s="313"/>
      <c r="H8" s="2"/>
      <c r="I8" s="89">
        <v>0.25</v>
      </c>
      <c r="J8" s="276"/>
      <c r="K8" s="276"/>
      <c r="L8" s="276"/>
      <c r="M8" s="276"/>
      <c r="N8" s="90"/>
      <c r="O8" s="278"/>
    </row>
    <row r="9" spans="1:15" ht="13.15" customHeight="1" x14ac:dyDescent="0.25">
      <c r="A9" s="15"/>
      <c r="B9" s="311"/>
      <c r="C9" s="311"/>
      <c r="D9" s="311"/>
      <c r="E9" s="311"/>
      <c r="F9" s="14"/>
      <c r="G9" s="313"/>
      <c r="H9" s="2"/>
      <c r="I9" s="109"/>
      <c r="J9" s="277"/>
      <c r="K9" s="277"/>
      <c r="L9" s="277"/>
      <c r="M9" s="277"/>
      <c r="N9" s="105"/>
      <c r="O9" s="278"/>
    </row>
    <row r="10" spans="1:15" s="58" customFormat="1" ht="13.15" customHeight="1" x14ac:dyDescent="0.25">
      <c r="A10" s="62" t="s">
        <v>16</v>
      </c>
      <c r="B10" s="63"/>
      <c r="C10" s="63"/>
      <c r="D10" s="63"/>
      <c r="E10" s="75" t="s">
        <v>21</v>
      </c>
      <c r="F10" s="75" t="s">
        <v>17</v>
      </c>
      <c r="G10" s="64" t="s">
        <v>9</v>
      </c>
      <c r="H10" s="110"/>
      <c r="I10" s="62" t="s">
        <v>16</v>
      </c>
      <c r="J10" s="63"/>
      <c r="K10" s="63"/>
      <c r="L10" s="63"/>
      <c r="M10" s="63"/>
      <c r="N10" s="75" t="s">
        <v>20</v>
      </c>
      <c r="O10" s="75" t="s">
        <v>17</v>
      </c>
    </row>
    <row r="11" spans="1:15" ht="13.15" customHeight="1" x14ac:dyDescent="0.25">
      <c r="A11" s="65"/>
      <c r="B11" s="66"/>
      <c r="C11" s="66"/>
      <c r="D11" s="66"/>
      <c r="E11" s="76"/>
      <c r="F11" s="87"/>
      <c r="G11" s="72"/>
      <c r="H11" s="91"/>
      <c r="I11" s="65"/>
      <c r="J11" s="66"/>
      <c r="K11" s="66"/>
      <c r="L11" s="66"/>
      <c r="M11" s="81"/>
      <c r="N11" s="82"/>
      <c r="O11" s="76"/>
    </row>
    <row r="12" spans="1:15" ht="13.15" customHeight="1" x14ac:dyDescent="0.25">
      <c r="A12" s="65"/>
      <c r="B12" s="83"/>
      <c r="C12" s="66"/>
      <c r="D12" s="66"/>
      <c r="E12" s="77"/>
      <c r="F12" s="77"/>
      <c r="G12" s="73"/>
      <c r="H12" s="91"/>
      <c r="I12" s="65"/>
      <c r="J12" s="66"/>
      <c r="K12" s="66"/>
      <c r="L12" s="66"/>
      <c r="M12" s="81"/>
      <c r="N12" s="76"/>
      <c r="O12" s="76"/>
    </row>
    <row r="13" spans="1:15" ht="13.15" customHeight="1" x14ac:dyDescent="0.25">
      <c r="A13" s="65" t="s">
        <v>61</v>
      </c>
      <c r="B13" s="83"/>
      <c r="C13" s="66"/>
      <c r="D13" s="66"/>
      <c r="E13" s="77" t="s">
        <v>54</v>
      </c>
      <c r="F13" s="77">
        <v>0.7</v>
      </c>
      <c r="G13" s="73">
        <v>0.5</v>
      </c>
      <c r="H13" s="91"/>
      <c r="I13" s="65" t="s">
        <v>56</v>
      </c>
      <c r="J13" s="83"/>
      <c r="K13" s="66"/>
      <c r="L13" s="66"/>
      <c r="M13" s="81"/>
      <c r="N13" s="84">
        <v>2E-3</v>
      </c>
      <c r="O13" s="291">
        <f>IF(N13+N15&gt;0.5%,0,1-(0.4*(N13+N15)/0.5%))</f>
        <v>0.67999999999999994</v>
      </c>
    </row>
    <row r="14" spans="1:15" ht="13.15" customHeight="1" x14ac:dyDescent="0.25">
      <c r="A14" s="65"/>
      <c r="B14" s="83"/>
      <c r="C14" s="66"/>
      <c r="D14" s="66"/>
      <c r="E14" s="77"/>
      <c r="F14" s="77"/>
      <c r="G14" s="73"/>
      <c r="H14" s="91"/>
      <c r="I14" s="65"/>
      <c r="J14" s="66"/>
      <c r="K14" s="66"/>
      <c r="L14" s="66"/>
      <c r="M14" s="81"/>
      <c r="N14" s="85"/>
      <c r="O14" s="291"/>
    </row>
    <row r="15" spans="1:15" ht="13.15" customHeight="1" x14ac:dyDescent="0.25">
      <c r="A15" s="65"/>
      <c r="B15" s="66"/>
      <c r="C15" s="66"/>
      <c r="D15" s="66"/>
      <c r="E15" s="76"/>
      <c r="F15" s="76"/>
      <c r="G15" s="87"/>
      <c r="H15" s="91"/>
      <c r="I15" s="65" t="s">
        <v>57</v>
      </c>
      <c r="J15" s="83"/>
      <c r="K15" s="66"/>
      <c r="L15" s="66"/>
      <c r="M15" s="81"/>
      <c r="N15" s="84">
        <v>2E-3</v>
      </c>
      <c r="O15" s="291"/>
    </row>
    <row r="16" spans="1:15" ht="13.15" customHeight="1" x14ac:dyDescent="0.25">
      <c r="A16" s="65" t="s">
        <v>62</v>
      </c>
      <c r="B16" s="83"/>
      <c r="C16" s="66"/>
      <c r="D16" s="66"/>
      <c r="E16" s="77" t="s">
        <v>54</v>
      </c>
      <c r="F16" s="77">
        <v>1</v>
      </c>
      <c r="G16" s="73">
        <v>0.5</v>
      </c>
      <c r="H16" s="91"/>
      <c r="I16" s="65"/>
      <c r="J16" s="83"/>
      <c r="K16" s="66"/>
      <c r="L16" s="66"/>
      <c r="M16" s="81"/>
      <c r="N16" s="84"/>
      <c r="O16" s="78"/>
    </row>
    <row r="17" spans="1:15" ht="13.15" customHeight="1" x14ac:dyDescent="0.25">
      <c r="A17" s="65"/>
      <c r="B17" s="66"/>
      <c r="C17" s="66"/>
      <c r="D17" s="66"/>
      <c r="E17" s="76"/>
      <c r="F17" s="76"/>
      <c r="G17" s="87"/>
      <c r="H17" s="91"/>
      <c r="I17" s="65"/>
      <c r="J17" s="66"/>
      <c r="K17" s="66"/>
      <c r="L17" s="66"/>
      <c r="M17" s="66"/>
      <c r="N17" s="87"/>
      <c r="O17" s="87"/>
    </row>
    <row r="18" spans="1:15" ht="13.15" customHeight="1" x14ac:dyDescent="0.25">
      <c r="A18" s="65"/>
      <c r="B18" s="83"/>
      <c r="C18" s="66"/>
      <c r="D18" s="66"/>
      <c r="E18" s="77"/>
      <c r="F18" s="77"/>
      <c r="G18" s="73"/>
      <c r="H18" s="91"/>
      <c r="I18" s="65"/>
      <c r="J18" s="66"/>
      <c r="K18" s="66"/>
      <c r="L18" s="66"/>
      <c r="M18" s="66"/>
      <c r="N18" s="87"/>
      <c r="O18" s="87"/>
    </row>
    <row r="19" spans="1:15" ht="13.15" customHeight="1" x14ac:dyDescent="0.25">
      <c r="A19" s="65"/>
      <c r="B19" s="83"/>
      <c r="C19" s="66"/>
      <c r="D19" s="66"/>
      <c r="E19" s="77"/>
      <c r="F19" s="77"/>
      <c r="G19" s="73"/>
      <c r="H19" s="91"/>
      <c r="I19" s="65"/>
      <c r="J19" s="66"/>
      <c r="K19" s="66"/>
      <c r="L19" s="66"/>
      <c r="M19" s="66"/>
      <c r="N19" s="87"/>
      <c r="O19" s="87"/>
    </row>
    <row r="20" spans="1:15" ht="13.15" customHeight="1" x14ac:dyDescent="0.25">
      <c r="A20" s="65"/>
      <c r="B20" s="83"/>
      <c r="C20" s="66"/>
      <c r="D20" s="66"/>
      <c r="E20" s="77"/>
      <c r="F20" s="77"/>
      <c r="G20" s="73"/>
      <c r="H20" s="91"/>
      <c r="I20" s="65"/>
      <c r="J20" s="66"/>
      <c r="K20" s="66"/>
      <c r="L20" s="66"/>
      <c r="M20" s="66"/>
      <c r="N20" s="87"/>
      <c r="O20" s="87"/>
    </row>
    <row r="21" spans="1:15" ht="13.15" customHeight="1" x14ac:dyDescent="0.25">
      <c r="A21" s="69"/>
      <c r="B21" s="70"/>
      <c r="C21" s="70"/>
      <c r="D21" s="70"/>
      <c r="E21" s="106"/>
      <c r="F21" s="106"/>
      <c r="G21" s="74"/>
      <c r="H21" s="91"/>
      <c r="I21" s="69"/>
      <c r="J21" s="70"/>
      <c r="K21" s="70"/>
      <c r="L21" s="70"/>
      <c r="M21" s="70"/>
      <c r="N21" s="106"/>
      <c r="O21" s="106"/>
    </row>
    <row r="22" spans="1:15" ht="13.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3.15" customHeight="1" x14ac:dyDescent="0.25">
      <c r="A23" s="9"/>
      <c r="B23" s="309" t="s">
        <v>14</v>
      </c>
      <c r="C23" s="309"/>
      <c r="D23" s="309"/>
      <c r="E23" s="309"/>
      <c r="F23" s="8"/>
      <c r="G23" s="312">
        <f>SUMPRODUCT(F29:F32,G29:G32)</f>
        <v>0.76200000000000001</v>
      </c>
      <c r="H23" s="2"/>
      <c r="I23" s="9"/>
      <c r="J23" s="309" t="s">
        <v>15</v>
      </c>
      <c r="K23" s="309"/>
      <c r="L23" s="309"/>
      <c r="M23" s="309"/>
      <c r="N23" s="8"/>
      <c r="O23" s="312">
        <f>SUMPRODUCT(N29:N36,O29:O36)</f>
        <v>0.95</v>
      </c>
    </row>
    <row r="24" spans="1:15" ht="13.15" customHeight="1" x14ac:dyDescent="0.25">
      <c r="A24" s="52">
        <f>1/3</f>
        <v>0.33333333333333331</v>
      </c>
      <c r="B24" s="310"/>
      <c r="C24" s="310"/>
      <c r="D24" s="310"/>
      <c r="E24" s="310"/>
      <c r="F24" s="11"/>
      <c r="G24" s="313"/>
      <c r="H24" s="2"/>
      <c r="I24" s="52">
        <f>1/3</f>
        <v>0.33333333333333331</v>
      </c>
      <c r="J24" s="310"/>
      <c r="K24" s="310"/>
      <c r="L24" s="310"/>
      <c r="M24" s="310"/>
      <c r="N24" s="11"/>
      <c r="O24" s="313"/>
    </row>
    <row r="25" spans="1:15" ht="13.15" customHeight="1" x14ac:dyDescent="0.25">
      <c r="A25" s="15"/>
      <c r="B25" s="311"/>
      <c r="C25" s="311"/>
      <c r="D25" s="311"/>
      <c r="E25" s="311"/>
      <c r="F25" s="14"/>
      <c r="G25" s="313"/>
      <c r="H25" s="2"/>
      <c r="I25" s="15"/>
      <c r="J25" s="311"/>
      <c r="K25" s="311"/>
      <c r="L25" s="311"/>
      <c r="M25" s="311"/>
      <c r="N25" s="14"/>
      <c r="O25" s="313"/>
    </row>
    <row r="26" spans="1:15" s="60" customFormat="1" ht="13.15" customHeight="1" x14ac:dyDescent="0.25">
      <c r="A26" s="62" t="s">
        <v>16</v>
      </c>
      <c r="B26" s="63"/>
      <c r="C26" s="63"/>
      <c r="D26" s="63"/>
      <c r="E26" s="63"/>
      <c r="F26" s="75" t="s">
        <v>17</v>
      </c>
      <c r="G26" s="75" t="s">
        <v>9</v>
      </c>
      <c r="H26" s="91"/>
      <c r="I26" s="62" t="s">
        <v>16</v>
      </c>
      <c r="J26" s="63"/>
      <c r="K26" s="63"/>
      <c r="L26" s="63"/>
      <c r="M26" s="75" t="s">
        <v>21</v>
      </c>
      <c r="N26" s="75" t="s">
        <v>17</v>
      </c>
      <c r="O26" s="64" t="s">
        <v>9</v>
      </c>
    </row>
    <row r="27" spans="1:15" ht="13.15" customHeight="1" x14ac:dyDescent="0.25">
      <c r="A27" s="65"/>
      <c r="B27" s="66"/>
      <c r="C27" s="66"/>
      <c r="D27" s="66"/>
      <c r="E27" s="66"/>
      <c r="F27" s="76"/>
      <c r="G27" s="76"/>
      <c r="H27" s="91"/>
      <c r="I27" s="65"/>
      <c r="J27" s="83"/>
      <c r="K27" s="66"/>
      <c r="L27" s="66"/>
      <c r="M27" s="79"/>
      <c r="N27" s="77"/>
      <c r="O27" s="73"/>
    </row>
    <row r="28" spans="1:15" ht="13.15" customHeight="1" x14ac:dyDescent="0.25">
      <c r="A28" s="65"/>
      <c r="B28" s="66"/>
      <c r="C28" s="66"/>
      <c r="D28" s="66"/>
      <c r="E28" s="66"/>
      <c r="F28" s="76"/>
      <c r="G28" s="76"/>
      <c r="H28" s="91"/>
      <c r="I28" s="65"/>
      <c r="J28" s="83"/>
      <c r="K28" s="66"/>
      <c r="L28" s="66"/>
      <c r="M28" s="79"/>
      <c r="N28" s="77"/>
      <c r="O28" s="73"/>
    </row>
    <row r="29" spans="1:15" ht="13.15" customHeight="1" x14ac:dyDescent="0.25">
      <c r="A29" s="65" t="s">
        <v>63</v>
      </c>
      <c r="B29" s="83"/>
      <c r="C29" s="66"/>
      <c r="D29" s="66"/>
      <c r="E29" s="66"/>
      <c r="F29" s="77">
        <v>0.71799999999999997</v>
      </c>
      <c r="G29" s="78">
        <f>2/3</f>
        <v>0.66666666666666663</v>
      </c>
      <c r="H29" s="91"/>
      <c r="I29" s="65" t="s">
        <v>65</v>
      </c>
      <c r="J29" s="83"/>
      <c r="K29" s="66"/>
      <c r="L29" s="66"/>
      <c r="M29" s="79">
        <v>2</v>
      </c>
      <c r="N29" s="77">
        <v>0.9</v>
      </c>
      <c r="O29" s="73">
        <v>0.5</v>
      </c>
    </row>
    <row r="30" spans="1:15" ht="13.15" customHeight="1" x14ac:dyDescent="0.25">
      <c r="A30" s="65"/>
      <c r="B30" s="83"/>
      <c r="C30" s="66"/>
      <c r="D30" s="66"/>
      <c r="E30" s="66"/>
      <c r="F30" s="77"/>
      <c r="G30" s="78"/>
      <c r="H30" s="91"/>
      <c r="I30" s="65"/>
      <c r="J30" s="83"/>
      <c r="K30" s="66"/>
      <c r="L30" s="66"/>
      <c r="M30" s="79"/>
      <c r="N30" s="77"/>
      <c r="O30" s="73"/>
    </row>
    <row r="31" spans="1:15" ht="13.15" customHeight="1" x14ac:dyDescent="0.25">
      <c r="A31" s="65"/>
      <c r="B31" s="83"/>
      <c r="C31" s="66"/>
      <c r="D31" s="66"/>
      <c r="E31" s="66"/>
      <c r="F31" s="77"/>
      <c r="G31" s="78"/>
      <c r="H31" s="91"/>
      <c r="I31" s="65"/>
      <c r="J31" s="83"/>
      <c r="K31" s="66"/>
      <c r="L31" s="66"/>
      <c r="M31" s="79"/>
      <c r="N31" s="77"/>
      <c r="O31" s="87"/>
    </row>
    <row r="32" spans="1:15" ht="13.15" customHeight="1" x14ac:dyDescent="0.25">
      <c r="A32" s="65" t="s">
        <v>64</v>
      </c>
      <c r="B32" s="83"/>
      <c r="C32" s="66"/>
      <c r="D32" s="66"/>
      <c r="E32" s="66"/>
      <c r="F32" s="77">
        <v>0.85</v>
      </c>
      <c r="G32" s="78">
        <f>1-G29</f>
        <v>0.33333333333333337</v>
      </c>
      <c r="H32" s="91"/>
      <c r="I32" s="65" t="s">
        <v>66</v>
      </c>
      <c r="J32" s="83"/>
      <c r="K32" s="66"/>
      <c r="L32" s="66"/>
      <c r="M32" s="79">
        <v>0</v>
      </c>
      <c r="N32" s="77">
        <v>1</v>
      </c>
      <c r="O32" s="73">
        <v>0.5</v>
      </c>
    </row>
    <row r="33" spans="1:15" ht="13.15" customHeight="1" x14ac:dyDescent="0.25">
      <c r="A33" s="65"/>
      <c r="B33" s="83"/>
      <c r="C33" s="66"/>
      <c r="D33" s="66"/>
      <c r="E33" s="66"/>
      <c r="F33" s="77"/>
      <c r="G33" s="73"/>
      <c r="H33" s="91"/>
      <c r="I33" s="65"/>
      <c r="J33" s="83"/>
      <c r="K33" s="66"/>
      <c r="L33" s="66"/>
      <c r="M33" s="79"/>
      <c r="N33" s="77"/>
      <c r="O33" s="73"/>
    </row>
    <row r="34" spans="1:15" ht="13.15" customHeight="1" x14ac:dyDescent="0.25">
      <c r="A34" s="65"/>
      <c r="B34" s="83"/>
      <c r="C34" s="66"/>
      <c r="D34" s="66"/>
      <c r="E34" s="66"/>
      <c r="F34" s="77"/>
      <c r="G34" s="73"/>
      <c r="H34" s="91"/>
      <c r="I34" s="65"/>
      <c r="J34" s="83"/>
      <c r="K34" s="66"/>
      <c r="L34" s="66"/>
      <c r="M34" s="79"/>
      <c r="N34" s="77"/>
      <c r="O34" s="73"/>
    </row>
    <row r="35" spans="1:15" ht="13.15" customHeight="1" x14ac:dyDescent="0.25">
      <c r="A35" s="65"/>
      <c r="B35" s="66"/>
      <c r="C35" s="66"/>
      <c r="D35" s="66"/>
      <c r="E35" s="66"/>
      <c r="F35" s="87"/>
      <c r="G35" s="67"/>
      <c r="H35" s="91"/>
      <c r="I35" s="65"/>
      <c r="J35" s="83"/>
      <c r="K35" s="66"/>
      <c r="L35" s="66"/>
      <c r="M35" s="79"/>
      <c r="N35" s="77"/>
      <c r="O35" s="73"/>
    </row>
    <row r="36" spans="1:15" x14ac:dyDescent="0.25">
      <c r="A36" s="69"/>
      <c r="B36" s="70"/>
      <c r="C36" s="70"/>
      <c r="D36" s="70"/>
      <c r="E36" s="70"/>
      <c r="F36" s="106"/>
      <c r="G36" s="71"/>
      <c r="H36" s="91"/>
      <c r="I36" s="69"/>
      <c r="J36" s="101"/>
      <c r="K36" s="70"/>
      <c r="L36" s="70"/>
      <c r="M36" s="103"/>
      <c r="N36" s="102"/>
      <c r="O36" s="98"/>
    </row>
  </sheetData>
  <mergeCells count="12">
    <mergeCell ref="B23:E25"/>
    <mergeCell ref="G23:G25"/>
    <mergeCell ref="J23:M25"/>
    <mergeCell ref="O23:O25"/>
    <mergeCell ref="D2:H4"/>
    <mergeCell ref="I2:I4"/>
    <mergeCell ref="L2:O3"/>
    <mergeCell ref="B7:E9"/>
    <mergeCell ref="G7:G9"/>
    <mergeCell ref="J7:M9"/>
    <mergeCell ref="O7:O9"/>
    <mergeCell ref="O13:O15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69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268" t="s">
        <v>284</v>
      </c>
      <c r="D2" s="271">
        <f>J29+J35+J55+J9</f>
        <v>0.6170641456582634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B29+B35+B55+B9</f>
        <v>1</v>
      </c>
      <c r="C3" s="269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270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67</v>
      </c>
      <c r="B9" s="166">
        <v>0.5</v>
      </c>
      <c r="C9" s="165"/>
      <c r="D9" s="165"/>
      <c r="E9" s="165"/>
      <c r="F9" s="164" t="s">
        <v>172</v>
      </c>
      <c r="G9" s="163"/>
      <c r="H9" s="162">
        <f>SUM(J11:J27)</f>
        <v>0.56168067226890761</v>
      </c>
      <c r="I9" s="198">
        <f>SUM(I11:I27)</f>
        <v>1</v>
      </c>
      <c r="J9" s="161">
        <f>H9*B9</f>
        <v>0.28084033613445381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236</v>
      </c>
      <c r="D11" s="135" t="s">
        <v>5</v>
      </c>
      <c r="E11" s="135" t="s">
        <v>105</v>
      </c>
      <c r="F11" s="225">
        <v>1E-3</v>
      </c>
      <c r="G11" s="224">
        <f>G12/G13</f>
        <v>9.8039215686274508E-4</v>
      </c>
      <c r="H11" s="132">
        <f>IF(G11&gt;F11,0,1-(0.4*G11/F11))</f>
        <v>0.60784313725490191</v>
      </c>
      <c r="I11" s="131">
        <v>0.2</v>
      </c>
      <c r="J11" s="130">
        <f>H11*I11</f>
        <v>0.12156862745098039</v>
      </c>
    </row>
    <row r="12" spans="1:10" s="116" customFormat="1" hidden="1" outlineLevel="1" x14ac:dyDescent="0.25">
      <c r="C12" s="129" t="s">
        <v>252</v>
      </c>
      <c r="E12" s="116" t="s">
        <v>102</v>
      </c>
      <c r="G12" s="147">
        <v>1000</v>
      </c>
      <c r="H12" s="146"/>
      <c r="I12" s="125"/>
      <c r="J12" s="124"/>
    </row>
    <row r="13" spans="1:10" s="116" customFormat="1" hidden="1" outlineLevel="1" x14ac:dyDescent="0.25">
      <c r="C13" s="123" t="s">
        <v>237</v>
      </c>
      <c r="D13" s="122"/>
      <c r="E13" s="122" t="s">
        <v>102</v>
      </c>
      <c r="F13" s="122"/>
      <c r="G13" s="185">
        <f>'Note collective'!G14</f>
        <v>1020000</v>
      </c>
      <c r="H13" s="144"/>
      <c r="I13" s="118"/>
      <c r="J13" s="117"/>
    </row>
    <row r="14" spans="1:10" ht="6" hidden="1" customHeight="1" outlineLevel="1" x14ac:dyDescent="0.25">
      <c r="D14" s="149"/>
      <c r="F14" s="148"/>
      <c r="G14" s="140"/>
      <c r="H14" s="139"/>
      <c r="I14" s="138"/>
      <c r="J14" s="138"/>
    </row>
    <row r="15" spans="1:10" hidden="1" outlineLevel="1" x14ac:dyDescent="0.25">
      <c r="C15" s="136" t="s">
        <v>238</v>
      </c>
      <c r="D15" s="135" t="s">
        <v>5</v>
      </c>
      <c r="E15" s="135" t="s">
        <v>105</v>
      </c>
      <c r="F15" s="225">
        <v>1E-3</v>
      </c>
      <c r="G15" s="224">
        <f>G16/G17</f>
        <v>7.8431372549019605E-4</v>
      </c>
      <c r="H15" s="132">
        <f>IF(G15&gt;F15,0,1-(0.4*G15/F15))</f>
        <v>0.68627450980392157</v>
      </c>
      <c r="I15" s="131">
        <v>0.2</v>
      </c>
      <c r="J15" s="130">
        <f>H15*I15</f>
        <v>0.13725490196078433</v>
      </c>
    </row>
    <row r="16" spans="1:10" s="116" customFormat="1" hidden="1" outlineLevel="1" x14ac:dyDescent="0.25">
      <c r="C16" s="129" t="s">
        <v>239</v>
      </c>
      <c r="E16" s="116" t="s">
        <v>102</v>
      </c>
      <c r="G16" s="147">
        <v>800</v>
      </c>
      <c r="H16" s="146"/>
      <c r="I16" s="125"/>
      <c r="J16" s="124"/>
    </row>
    <row r="17" spans="1:10" s="116" customFormat="1" hidden="1" outlineLevel="1" x14ac:dyDescent="0.25">
      <c r="C17" s="123" t="s">
        <v>237</v>
      </c>
      <c r="D17" s="122"/>
      <c r="E17" s="122" t="s">
        <v>102</v>
      </c>
      <c r="F17" s="122"/>
      <c r="G17" s="185">
        <f>G13</f>
        <v>1020000</v>
      </c>
      <c r="H17" s="144"/>
      <c r="I17" s="118"/>
      <c r="J17" s="117"/>
    </row>
    <row r="18" spans="1:10" ht="6" hidden="1" customHeight="1" outlineLevel="1" x14ac:dyDescent="0.25">
      <c r="C18" s="142"/>
      <c r="D18" s="143"/>
      <c r="E18" s="142"/>
      <c r="F18" s="141"/>
      <c r="G18" s="140"/>
      <c r="H18" s="139"/>
      <c r="I18" s="138"/>
      <c r="J18" s="137"/>
    </row>
    <row r="19" spans="1:10" hidden="1" outlineLevel="1" x14ac:dyDescent="0.25">
      <c r="C19" s="136" t="s">
        <v>260</v>
      </c>
      <c r="D19" s="135" t="s">
        <v>5</v>
      </c>
      <c r="E19" s="135" t="s">
        <v>105</v>
      </c>
      <c r="F19" s="225">
        <v>1E-3</v>
      </c>
      <c r="G19" s="224">
        <f>G20/G21</f>
        <v>7.1428571428571429E-4</v>
      </c>
      <c r="H19" s="132">
        <f>IF(G19&gt;F19,0,1-(0.4*G19/F19))</f>
        <v>0.71428571428571419</v>
      </c>
      <c r="I19" s="131">
        <v>0.2</v>
      </c>
      <c r="J19" s="130">
        <f>H19*I19</f>
        <v>0.14285714285714285</v>
      </c>
    </row>
    <row r="20" spans="1:10" s="116" customFormat="1" hidden="1" outlineLevel="1" x14ac:dyDescent="0.25">
      <c r="C20" s="129" t="s">
        <v>240</v>
      </c>
      <c r="E20" s="116" t="s">
        <v>179</v>
      </c>
      <c r="F20" s="128"/>
      <c r="G20" s="147">
        <v>25</v>
      </c>
      <c r="H20" s="126"/>
      <c r="I20" s="125"/>
      <c r="J20" s="124"/>
    </row>
    <row r="21" spans="1:10" s="116" customFormat="1" hidden="1" outlineLevel="1" x14ac:dyDescent="0.25">
      <c r="C21" s="123" t="s">
        <v>241</v>
      </c>
      <c r="D21" s="122"/>
      <c r="E21" s="122" t="s">
        <v>179</v>
      </c>
      <c r="F21" s="121"/>
      <c r="G21" s="145">
        <v>35000</v>
      </c>
      <c r="H21" s="119"/>
      <c r="I21" s="118"/>
      <c r="J21" s="117"/>
    </row>
    <row r="22" spans="1:10" ht="6" hidden="1" customHeight="1" outlineLevel="1" x14ac:dyDescent="0.25">
      <c r="C22" s="142"/>
      <c r="D22" s="143"/>
      <c r="E22" s="142"/>
      <c r="F22" s="141"/>
      <c r="G22" s="140"/>
      <c r="H22" s="139"/>
      <c r="I22" s="138"/>
      <c r="J22" s="137"/>
    </row>
    <row r="23" spans="1:10" hidden="1" outlineLevel="1" x14ac:dyDescent="0.25">
      <c r="C23" s="136" t="s">
        <v>242</v>
      </c>
      <c r="D23" s="135" t="s">
        <v>5</v>
      </c>
      <c r="E23" s="135" t="s">
        <v>105</v>
      </c>
      <c r="F23" s="225">
        <v>1E-3</v>
      </c>
      <c r="G23" s="224">
        <f>G24/G25</f>
        <v>1.7142857142857142E-3</v>
      </c>
      <c r="H23" s="132">
        <f>IF(G23&gt;F23,0,1-(0.4*G23/F23))</f>
        <v>0</v>
      </c>
      <c r="I23" s="131">
        <v>0.2</v>
      </c>
      <c r="J23" s="130">
        <f>H23*I23</f>
        <v>0</v>
      </c>
    </row>
    <row r="24" spans="1:10" s="116" customFormat="1" hidden="1" outlineLevel="1" x14ac:dyDescent="0.25">
      <c r="C24" s="129" t="s">
        <v>243</v>
      </c>
      <c r="E24" s="116" t="s">
        <v>179</v>
      </c>
      <c r="F24" s="128"/>
      <c r="G24" s="147">
        <v>60</v>
      </c>
      <c r="H24" s="126"/>
      <c r="I24" s="125"/>
      <c r="J24" s="124"/>
    </row>
    <row r="25" spans="1:10" s="116" customFormat="1" hidden="1" outlineLevel="1" x14ac:dyDescent="0.25">
      <c r="C25" s="123" t="s">
        <v>241</v>
      </c>
      <c r="D25" s="122"/>
      <c r="E25" s="122" t="s">
        <v>179</v>
      </c>
      <c r="F25" s="121"/>
      <c r="G25" s="145">
        <v>35000</v>
      </c>
      <c r="H25" s="119"/>
      <c r="I25" s="118"/>
      <c r="J25" s="117"/>
    </row>
    <row r="26" spans="1:10" ht="6" hidden="1" customHeight="1" outlineLevel="1" x14ac:dyDescent="0.25">
      <c r="C26" s="142"/>
      <c r="D26" s="143"/>
      <c r="E26" s="142"/>
      <c r="F26" s="141"/>
      <c r="G26" s="140"/>
      <c r="H26" s="139"/>
      <c r="I26" s="138"/>
      <c r="J26" s="137"/>
    </row>
    <row r="27" spans="1:10" hidden="1" outlineLevel="1" x14ac:dyDescent="0.25">
      <c r="C27" s="158" t="s">
        <v>244</v>
      </c>
      <c r="D27" s="215" t="s">
        <v>245</v>
      </c>
      <c r="E27" s="156" t="s">
        <v>105</v>
      </c>
      <c r="F27" s="155">
        <v>0.65</v>
      </c>
      <c r="G27" s="154">
        <v>0.8</v>
      </c>
      <c r="H27" s="153">
        <f>IF(G27&lt;F27,0,G27)</f>
        <v>0.8</v>
      </c>
      <c r="I27" s="152">
        <v>0.2</v>
      </c>
      <c r="J27" s="151">
        <f>H27*I27</f>
        <v>0.16000000000000003</v>
      </c>
    </row>
    <row r="28" spans="1:10" ht="15.75" collapsed="1" thickBot="1" x14ac:dyDescent="0.3">
      <c r="I28" s="115"/>
    </row>
    <row r="29" spans="1:10" s="160" customFormat="1" ht="15.75" thickBot="1" x14ac:dyDescent="0.3">
      <c r="A29" s="165" t="s">
        <v>14</v>
      </c>
      <c r="B29" s="166">
        <v>0.1</v>
      </c>
      <c r="C29" s="165"/>
      <c r="D29" s="165"/>
      <c r="E29" s="165"/>
      <c r="F29" s="164"/>
      <c r="G29" s="163"/>
      <c r="H29" s="162">
        <f>SUM(J31:J33)</f>
        <v>0.66766666666666663</v>
      </c>
      <c r="I29" s="198">
        <f>SUM(I31:I33)</f>
        <v>1</v>
      </c>
      <c r="J29" s="161">
        <f>H29*B29</f>
        <v>6.6766666666666669E-2</v>
      </c>
    </row>
    <row r="30" spans="1:10" ht="6" hidden="1" customHeight="1" outlineLevel="1" x14ac:dyDescent="0.25">
      <c r="F30" s="115"/>
      <c r="G30" s="159"/>
      <c r="H30" s="159"/>
      <c r="J30" s="159"/>
    </row>
    <row r="31" spans="1:10" ht="30" hidden="1" outlineLevel="1" x14ac:dyDescent="0.25">
      <c r="C31" s="223" t="s">
        <v>219</v>
      </c>
      <c r="D31" s="157" t="s">
        <v>121</v>
      </c>
      <c r="E31" s="156" t="s">
        <v>105</v>
      </c>
      <c r="F31" s="155">
        <v>0.65</v>
      </c>
      <c r="G31" s="154">
        <v>0.65500000000000003</v>
      </c>
      <c r="H31" s="153">
        <f>IF(G31&lt;F31,0,G31)</f>
        <v>0.65500000000000003</v>
      </c>
      <c r="I31" s="152">
        <f>2/3</f>
        <v>0.66666666666666663</v>
      </c>
      <c r="J31" s="151">
        <f>H31*I31</f>
        <v>0.43666666666666665</v>
      </c>
    </row>
    <row r="32" spans="1:10" ht="6" hidden="1" customHeight="1" outlineLevel="1" x14ac:dyDescent="0.25">
      <c r="D32" s="149"/>
      <c r="F32" s="148"/>
      <c r="G32" s="140"/>
      <c r="H32" s="139"/>
      <c r="I32" s="138"/>
      <c r="J32" s="138"/>
    </row>
    <row r="33" spans="1:10" ht="30" hidden="1" outlineLevel="1" x14ac:dyDescent="0.25">
      <c r="C33" s="223" t="s">
        <v>220</v>
      </c>
      <c r="D33" s="157" t="s">
        <v>122</v>
      </c>
      <c r="E33" s="156" t="s">
        <v>105</v>
      </c>
      <c r="F33" s="155">
        <v>0.65</v>
      </c>
      <c r="G33" s="154">
        <v>0.69299999999999995</v>
      </c>
      <c r="H33" s="153">
        <f>IF(G33&lt;F33,0,G33)</f>
        <v>0.69299999999999995</v>
      </c>
      <c r="I33" s="152">
        <f>1/3</f>
        <v>0.33333333333333331</v>
      </c>
      <c r="J33" s="151">
        <f>H33*I33</f>
        <v>0.23099999999999998</v>
      </c>
    </row>
    <row r="34" spans="1:10" ht="15.75" collapsed="1" thickBot="1" x14ac:dyDescent="0.3">
      <c r="I34" s="115"/>
    </row>
    <row r="35" spans="1:10" s="160" customFormat="1" ht="15.75" thickBot="1" x14ac:dyDescent="0.3">
      <c r="A35" s="165" t="s">
        <v>15</v>
      </c>
      <c r="B35" s="166">
        <v>0.2</v>
      </c>
      <c r="C35" s="165"/>
      <c r="D35" s="165"/>
      <c r="E35" s="165"/>
      <c r="F35" s="164"/>
      <c r="G35" s="163"/>
      <c r="H35" s="162">
        <f>SUM(J37:J53)</f>
        <v>0.73928571428571432</v>
      </c>
      <c r="I35" s="198">
        <f>SUM(I37:I53)</f>
        <v>1</v>
      </c>
      <c r="J35" s="161">
        <f>H35*B35</f>
        <v>0.14785714285714288</v>
      </c>
    </row>
    <row r="36" spans="1:10" ht="6" hidden="1" customHeight="1" outlineLevel="1" x14ac:dyDescent="0.25">
      <c r="D36" s="149"/>
      <c r="F36" s="148"/>
      <c r="G36" s="140"/>
      <c r="H36" s="139"/>
      <c r="I36" s="138"/>
      <c r="J36" s="138"/>
    </row>
    <row r="37" spans="1:10" ht="30" hidden="1" outlineLevel="1" x14ac:dyDescent="0.25">
      <c r="C37" s="158" t="s">
        <v>4</v>
      </c>
      <c r="D37" s="215" t="s">
        <v>173</v>
      </c>
      <c r="E37" s="156" t="s">
        <v>105</v>
      </c>
      <c r="F37" s="155">
        <v>0.65</v>
      </c>
      <c r="G37" s="154">
        <v>0.8</v>
      </c>
      <c r="H37" s="153">
        <f>IF(G37&lt;F37,0,G37)</f>
        <v>0.8</v>
      </c>
      <c r="I37" s="152">
        <v>0.2</v>
      </c>
      <c r="J37" s="151">
        <f>H37*I37</f>
        <v>0.16000000000000003</v>
      </c>
    </row>
    <row r="38" spans="1:10" ht="6" hidden="1" customHeight="1" outlineLevel="1" x14ac:dyDescent="0.25">
      <c r="C38" s="142"/>
      <c r="D38" s="143"/>
      <c r="E38" s="142"/>
      <c r="F38" s="141"/>
      <c r="G38" s="140"/>
      <c r="H38" s="139"/>
      <c r="I38" s="138"/>
      <c r="J38" s="137"/>
    </row>
    <row r="39" spans="1:10" hidden="1" outlineLevel="1" x14ac:dyDescent="0.25">
      <c r="C39" s="136" t="s">
        <v>224</v>
      </c>
      <c r="D39" s="135" t="s">
        <v>128</v>
      </c>
      <c r="E39" s="135" t="s">
        <v>105</v>
      </c>
      <c r="F39" s="134">
        <v>0.95</v>
      </c>
      <c r="G39" s="133">
        <f>(G41-G40)/G41</f>
        <v>0.95833333333333337</v>
      </c>
      <c r="H39" s="132">
        <f>IF(G39&lt;F39,0,G39)</f>
        <v>0.95833333333333337</v>
      </c>
      <c r="I39" s="131">
        <v>0.2</v>
      </c>
      <c r="J39" s="130">
        <f>H39*I39</f>
        <v>0.19166666666666668</v>
      </c>
    </row>
    <row r="40" spans="1:10" s="116" customFormat="1" hidden="1" outlineLevel="1" x14ac:dyDescent="0.25">
      <c r="C40" s="129" t="s">
        <v>225</v>
      </c>
      <c r="E40" s="116" t="s">
        <v>135</v>
      </c>
      <c r="F40" s="128"/>
      <c r="G40" s="147">
        <f>0.5*20</f>
        <v>10</v>
      </c>
      <c r="H40" s="126"/>
      <c r="I40" s="125"/>
      <c r="J40" s="124"/>
    </row>
    <row r="41" spans="1:10" s="116" customFormat="1" hidden="1" outlineLevel="1" x14ac:dyDescent="0.25">
      <c r="C41" s="123" t="s">
        <v>226</v>
      </c>
      <c r="D41" s="122"/>
      <c r="E41" s="122" t="s">
        <v>135</v>
      </c>
      <c r="F41" s="121"/>
      <c r="G41" s="145">
        <f>G45*8</f>
        <v>240</v>
      </c>
      <c r="H41" s="119"/>
      <c r="I41" s="118"/>
      <c r="J41" s="117"/>
    </row>
    <row r="42" spans="1:10" ht="6" hidden="1" customHeight="1" outlineLevel="1" x14ac:dyDescent="0.25">
      <c r="C42" s="142"/>
      <c r="D42" s="143"/>
      <c r="E42" s="142"/>
      <c r="F42" s="141"/>
      <c r="G42" s="140"/>
      <c r="H42" s="139"/>
      <c r="I42" s="138"/>
      <c r="J42" s="137"/>
    </row>
    <row r="43" spans="1:10" hidden="1" outlineLevel="1" x14ac:dyDescent="0.25">
      <c r="C43" s="136" t="s">
        <v>229</v>
      </c>
      <c r="D43" s="135" t="s">
        <v>128</v>
      </c>
      <c r="E43" s="135" t="s">
        <v>105</v>
      </c>
      <c r="F43" s="134">
        <v>0.95</v>
      </c>
      <c r="G43" s="133">
        <f>(G45-G44)/G45</f>
        <v>0.96666666666666667</v>
      </c>
      <c r="H43" s="132">
        <f>IF(G43&lt;F43,0,G43)</f>
        <v>0.96666666666666667</v>
      </c>
      <c r="I43" s="131">
        <v>0.2</v>
      </c>
      <c r="J43" s="130">
        <f>H43*I43</f>
        <v>0.19333333333333336</v>
      </c>
    </row>
    <row r="44" spans="1:10" s="116" customFormat="1" hidden="1" outlineLevel="1" x14ac:dyDescent="0.25">
      <c r="C44" s="129" t="s">
        <v>227</v>
      </c>
      <c r="E44" s="116" t="s">
        <v>132</v>
      </c>
      <c r="G44" s="147">
        <v>1</v>
      </c>
      <c r="H44" s="146"/>
      <c r="I44" s="125"/>
      <c r="J44" s="124"/>
    </row>
    <row r="45" spans="1:10" s="116" customFormat="1" hidden="1" outlineLevel="1" x14ac:dyDescent="0.25">
      <c r="C45" s="123" t="s">
        <v>228</v>
      </c>
      <c r="D45" s="122"/>
      <c r="E45" s="122" t="s">
        <v>132</v>
      </c>
      <c r="F45" s="122"/>
      <c r="G45" s="145">
        <f>30</f>
        <v>30</v>
      </c>
      <c r="H45" s="144"/>
      <c r="I45" s="118"/>
      <c r="J45" s="117"/>
    </row>
    <row r="46" spans="1:10" ht="6" hidden="1" customHeight="1" outlineLevel="1" x14ac:dyDescent="0.25">
      <c r="C46" s="142"/>
      <c r="D46" s="143"/>
      <c r="E46" s="142"/>
      <c r="F46" s="141"/>
      <c r="G46" s="140"/>
      <c r="H46" s="139"/>
      <c r="I46" s="138"/>
      <c r="J46" s="137"/>
    </row>
    <row r="47" spans="1:10" hidden="1" outlineLevel="1" x14ac:dyDescent="0.25">
      <c r="C47" s="136" t="s">
        <v>230</v>
      </c>
      <c r="D47" s="135" t="s">
        <v>128</v>
      </c>
      <c r="E47" s="135" t="s">
        <v>105</v>
      </c>
      <c r="F47" s="134">
        <v>0.95</v>
      </c>
      <c r="G47" s="133">
        <f>(G49-G48)/G49</f>
        <v>0.9375</v>
      </c>
      <c r="H47" s="132">
        <f>IF(G47&lt;F47,0,G47)</f>
        <v>0</v>
      </c>
      <c r="I47" s="131">
        <v>0.2</v>
      </c>
      <c r="J47" s="130">
        <f>H47*I47</f>
        <v>0</v>
      </c>
    </row>
    <row r="48" spans="1:10" s="116" customFormat="1" hidden="1" outlineLevel="1" x14ac:dyDescent="0.25">
      <c r="C48" s="129" t="s">
        <v>231</v>
      </c>
      <c r="E48" s="116" t="s">
        <v>135</v>
      </c>
      <c r="F48" s="128"/>
      <c r="G48" s="147">
        <f>0.5*7*30</f>
        <v>105</v>
      </c>
      <c r="H48" s="126"/>
      <c r="I48" s="125"/>
      <c r="J48" s="124"/>
    </row>
    <row r="49" spans="1:10" s="116" customFormat="1" hidden="1" outlineLevel="1" x14ac:dyDescent="0.25">
      <c r="C49" s="123" t="s">
        <v>232</v>
      </c>
      <c r="D49" s="122"/>
      <c r="E49" s="122" t="s">
        <v>135</v>
      </c>
      <c r="F49" s="121"/>
      <c r="G49" s="145">
        <f>G53*8</f>
        <v>1680</v>
      </c>
      <c r="H49" s="119"/>
      <c r="I49" s="118"/>
      <c r="J49" s="117"/>
    </row>
    <row r="50" spans="1:10" ht="6" hidden="1" customHeight="1" outlineLevel="1" x14ac:dyDescent="0.25">
      <c r="C50" s="142"/>
      <c r="D50" s="143"/>
      <c r="E50" s="142"/>
      <c r="F50" s="141"/>
      <c r="G50" s="140"/>
      <c r="H50" s="139"/>
      <c r="I50" s="138"/>
      <c r="J50" s="137"/>
    </row>
    <row r="51" spans="1:10" hidden="1" outlineLevel="1" x14ac:dyDescent="0.25">
      <c r="C51" s="136" t="s">
        <v>233</v>
      </c>
      <c r="D51" s="135" t="s">
        <v>128</v>
      </c>
      <c r="E51" s="135" t="s">
        <v>105</v>
      </c>
      <c r="F51" s="134">
        <v>0.95</v>
      </c>
      <c r="G51" s="133">
        <f>(G53-G52)/G53</f>
        <v>0.97142857142857142</v>
      </c>
      <c r="H51" s="132">
        <f>IF(G51&lt;F51,0,G51)</f>
        <v>0.97142857142857142</v>
      </c>
      <c r="I51" s="131">
        <v>0.2</v>
      </c>
      <c r="J51" s="130">
        <f>H51*I51</f>
        <v>0.19428571428571428</v>
      </c>
    </row>
    <row r="52" spans="1:10" s="116" customFormat="1" hidden="1" outlineLevel="1" x14ac:dyDescent="0.25">
      <c r="C52" s="129" t="s">
        <v>234</v>
      </c>
      <c r="E52" s="116" t="s">
        <v>132</v>
      </c>
      <c r="G52" s="147">
        <v>6</v>
      </c>
      <c r="H52" s="146"/>
      <c r="I52" s="125"/>
      <c r="J52" s="124"/>
    </row>
    <row r="53" spans="1:10" s="116" customFormat="1" hidden="1" outlineLevel="1" x14ac:dyDescent="0.25">
      <c r="C53" s="123" t="s">
        <v>235</v>
      </c>
      <c r="D53" s="122"/>
      <c r="E53" s="122" t="s">
        <v>132</v>
      </c>
      <c r="F53" s="122"/>
      <c r="G53" s="145">
        <f>30*7</f>
        <v>210</v>
      </c>
      <c r="H53" s="144"/>
      <c r="I53" s="118"/>
      <c r="J53" s="117"/>
    </row>
    <row r="54" spans="1:10" ht="15.75" collapsed="1" thickBot="1" x14ac:dyDescent="0.3">
      <c r="I54" s="115"/>
    </row>
    <row r="55" spans="1:10" s="160" customFormat="1" ht="15.75" thickBot="1" x14ac:dyDescent="0.3">
      <c r="A55" s="165" t="s">
        <v>13</v>
      </c>
      <c r="B55" s="166">
        <v>0.2</v>
      </c>
      <c r="C55" s="165"/>
      <c r="D55" s="165"/>
      <c r="E55" s="165"/>
      <c r="F55" s="164"/>
      <c r="G55" s="163"/>
      <c r="H55" s="162">
        <f>D67</f>
        <v>0.6080000000000001</v>
      </c>
      <c r="I55" s="161"/>
      <c r="J55" s="161">
        <f>H55*B55</f>
        <v>0.12160000000000003</v>
      </c>
    </row>
    <row r="56" spans="1:10" ht="6" hidden="1" customHeight="1" outlineLevel="1" x14ac:dyDescent="0.25">
      <c r="D56" s="149"/>
      <c r="F56" s="148"/>
      <c r="G56" s="140"/>
      <c r="H56" s="139"/>
      <c r="I56" s="138"/>
      <c r="J56" s="138"/>
    </row>
    <row r="57" spans="1:10" hidden="1" outlineLevel="1" x14ac:dyDescent="0.25">
      <c r="C57" s="136" t="s">
        <v>221</v>
      </c>
      <c r="D57" s="135" t="s">
        <v>5</v>
      </c>
      <c r="E57" s="135" t="s">
        <v>105</v>
      </c>
      <c r="F57" s="134"/>
      <c r="G57" s="186">
        <f>G58/G59</f>
        <v>4.0000000000000002E-4</v>
      </c>
    </row>
    <row r="58" spans="1:10" s="116" customFormat="1" hidden="1" outlineLevel="1" x14ac:dyDescent="0.25">
      <c r="C58" s="129" t="s">
        <v>137</v>
      </c>
      <c r="E58" s="187" t="s">
        <v>102</v>
      </c>
      <c r="F58" s="187"/>
      <c r="G58" s="189">
        <v>80</v>
      </c>
      <c r="H58" s="114"/>
      <c r="I58" s="114"/>
      <c r="J58" s="114"/>
    </row>
    <row r="59" spans="1:10" s="116" customFormat="1" hidden="1" outlineLevel="1" x14ac:dyDescent="0.25">
      <c r="C59" s="123" t="s">
        <v>222</v>
      </c>
      <c r="D59" s="122"/>
      <c r="E59" s="122" t="s">
        <v>102</v>
      </c>
      <c r="F59" s="122"/>
      <c r="G59" s="222">
        <v>200000</v>
      </c>
      <c r="H59" s="114"/>
      <c r="I59" s="114"/>
      <c r="J59" s="114"/>
    </row>
    <row r="60" spans="1:10" ht="6" hidden="1" customHeight="1" outlineLevel="1" x14ac:dyDescent="0.25">
      <c r="C60" s="142"/>
      <c r="D60" s="149"/>
      <c r="E60" s="142"/>
      <c r="F60" s="141"/>
      <c r="G60" s="140"/>
    </row>
    <row r="61" spans="1:10" hidden="1" outlineLevel="1" x14ac:dyDescent="0.25">
      <c r="C61" s="136" t="s">
        <v>223</v>
      </c>
      <c r="D61" s="135" t="s">
        <v>5</v>
      </c>
      <c r="E61" s="135" t="s">
        <v>105</v>
      </c>
      <c r="F61" s="134"/>
      <c r="G61" s="186">
        <f>G62/G63</f>
        <v>4.4999999999999997E-3</v>
      </c>
    </row>
    <row r="62" spans="1:10" s="116" customFormat="1" hidden="1" outlineLevel="1" x14ac:dyDescent="0.25">
      <c r="C62" s="129" t="s">
        <v>139</v>
      </c>
      <c r="D62" s="187"/>
      <c r="E62" s="187" t="s">
        <v>102</v>
      </c>
      <c r="F62" s="188"/>
      <c r="G62" s="189">
        <v>900</v>
      </c>
      <c r="H62" s="114"/>
      <c r="I62" s="114"/>
      <c r="J62" s="114"/>
    </row>
    <row r="63" spans="1:10" s="116" customFormat="1" hidden="1" outlineLevel="1" x14ac:dyDescent="0.25">
      <c r="C63" s="123" t="s">
        <v>222</v>
      </c>
      <c r="D63" s="122"/>
      <c r="E63" s="122" t="s">
        <v>102</v>
      </c>
      <c r="F63" s="121"/>
      <c r="G63" s="190">
        <f>G59</f>
        <v>200000</v>
      </c>
      <c r="H63" s="114"/>
      <c r="I63" s="114"/>
      <c r="J63" s="114"/>
    </row>
    <row r="64" spans="1:10" hidden="1" outlineLevel="1" x14ac:dyDescent="0.25">
      <c r="I64" s="115"/>
    </row>
    <row r="65" spans="3:4" hidden="1" outlineLevel="1" x14ac:dyDescent="0.25">
      <c r="C65" s="182" t="s">
        <v>140</v>
      </c>
      <c r="D65" s="192">
        <f>G57+G61</f>
        <v>4.8999999999999998E-3</v>
      </c>
    </row>
    <row r="66" spans="3:4" hidden="1" outlineLevel="1" x14ac:dyDescent="0.25">
      <c r="C66" s="178" t="s">
        <v>141</v>
      </c>
      <c r="D66" s="193">
        <v>5.0000000000000001E-3</v>
      </c>
    </row>
    <row r="67" spans="3:4" hidden="1" outlineLevel="1" x14ac:dyDescent="0.25">
      <c r="C67" s="194" t="s">
        <v>17</v>
      </c>
      <c r="D67" s="195">
        <f>IF(D65&gt;D66,0,1-(0.4*D65/D66))</f>
        <v>0.6080000000000001</v>
      </c>
    </row>
    <row r="68" spans="3:4" collapsed="1" x14ac:dyDescent="0.25">
      <c r="D68" s="191"/>
    </row>
    <row r="69" spans="3:4" x14ac:dyDescent="0.25">
      <c r="D69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zoomScale="90" zoomScaleNormal="90" workbookViewId="0">
      <selection activeCell="D2" sqref="D2:H4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94" t="s">
        <v>0</v>
      </c>
      <c r="E2" s="295"/>
      <c r="F2" s="295"/>
      <c r="G2" s="295"/>
      <c r="H2" s="296"/>
      <c r="I2" s="312">
        <f>(G7*A8)+(G23*A24)+(O23*I24)</f>
        <v>0.72619999999999996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97"/>
      <c r="E3" s="298"/>
      <c r="F3" s="298"/>
      <c r="G3" s="298"/>
      <c r="H3" s="299"/>
      <c r="I3" s="313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00"/>
      <c r="E4" s="301"/>
      <c r="F4" s="301"/>
      <c r="G4" s="301"/>
      <c r="H4" s="302"/>
      <c r="I4" s="314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3.15" customHeight="1" x14ac:dyDescent="0.25">
      <c r="A7" s="9"/>
      <c r="B7" s="309" t="s">
        <v>67</v>
      </c>
      <c r="C7" s="309"/>
      <c r="D7" s="309"/>
      <c r="E7" s="309"/>
      <c r="F7" s="315"/>
      <c r="G7" s="312">
        <f>SUMPRODUCT(F12:F20,G12:G20)</f>
        <v>0.7</v>
      </c>
      <c r="H7" s="2"/>
      <c r="I7" s="107"/>
      <c r="J7" s="275" t="s">
        <v>13</v>
      </c>
      <c r="K7" s="275"/>
      <c r="L7" s="275"/>
      <c r="M7" s="275"/>
      <c r="N7" s="104"/>
      <c r="O7" s="271">
        <f>O13</f>
        <v>0.67999999999999994</v>
      </c>
    </row>
    <row r="8" spans="1:15" ht="13.15" customHeight="1" x14ac:dyDescent="0.25">
      <c r="A8" s="89">
        <v>0.7</v>
      </c>
      <c r="B8" s="310"/>
      <c r="C8" s="310"/>
      <c r="D8" s="310"/>
      <c r="E8" s="310"/>
      <c r="F8" s="316"/>
      <c r="G8" s="313"/>
      <c r="H8" s="2"/>
      <c r="I8" s="89">
        <v>0.25</v>
      </c>
      <c r="J8" s="276"/>
      <c r="K8" s="276"/>
      <c r="L8" s="276"/>
      <c r="M8" s="276"/>
      <c r="N8" s="90"/>
      <c r="O8" s="278"/>
    </row>
    <row r="9" spans="1:15" ht="13.15" customHeight="1" x14ac:dyDescent="0.25">
      <c r="A9" s="15"/>
      <c r="B9" s="311"/>
      <c r="C9" s="311"/>
      <c r="D9" s="311"/>
      <c r="E9" s="311"/>
      <c r="F9" s="317"/>
      <c r="G9" s="313"/>
      <c r="H9" s="2"/>
      <c r="I9" s="109"/>
      <c r="J9" s="277"/>
      <c r="K9" s="277"/>
      <c r="L9" s="277"/>
      <c r="M9" s="277"/>
      <c r="N9" s="105"/>
      <c r="O9" s="278"/>
    </row>
    <row r="10" spans="1:15" s="58" customFormat="1" ht="13.15" customHeight="1" x14ac:dyDescent="0.25">
      <c r="A10" s="62" t="s">
        <v>16</v>
      </c>
      <c r="B10" s="63"/>
      <c r="C10" s="63"/>
      <c r="D10" s="63"/>
      <c r="E10" s="75" t="s">
        <v>21</v>
      </c>
      <c r="F10" s="75" t="s">
        <v>17</v>
      </c>
      <c r="G10" s="55" t="s">
        <v>9</v>
      </c>
      <c r="H10" s="56"/>
      <c r="I10" s="62" t="s">
        <v>16</v>
      </c>
      <c r="J10" s="63"/>
      <c r="K10" s="63"/>
      <c r="L10" s="63"/>
      <c r="M10" s="63"/>
      <c r="N10" s="75" t="s">
        <v>20</v>
      </c>
      <c r="O10" s="75" t="s">
        <v>17</v>
      </c>
    </row>
    <row r="11" spans="1:15" ht="13.15" customHeight="1" x14ac:dyDescent="0.25">
      <c r="A11" s="65"/>
      <c r="B11" s="66"/>
      <c r="C11" s="66"/>
      <c r="D11" s="66"/>
      <c r="E11" s="76"/>
      <c r="F11" s="87"/>
      <c r="G11" s="21"/>
      <c r="H11" s="2"/>
      <c r="I11" s="65"/>
      <c r="J11" s="66"/>
      <c r="K11" s="66"/>
      <c r="L11" s="66"/>
      <c r="M11" s="81"/>
      <c r="N11" s="82"/>
      <c r="O11" s="76"/>
    </row>
    <row r="12" spans="1:15" ht="13.15" customHeight="1" x14ac:dyDescent="0.25">
      <c r="A12" s="65" t="s">
        <v>72</v>
      </c>
      <c r="B12" s="83"/>
      <c r="C12" s="66"/>
      <c r="D12" s="66"/>
      <c r="E12" s="77" t="s">
        <v>54</v>
      </c>
      <c r="F12" s="77">
        <v>0.7</v>
      </c>
      <c r="G12" s="43">
        <v>0.2</v>
      </c>
      <c r="H12" s="2"/>
      <c r="I12" s="65"/>
      <c r="J12" s="66"/>
      <c r="K12" s="66"/>
      <c r="L12" s="66"/>
      <c r="M12" s="81"/>
      <c r="N12" s="76"/>
      <c r="O12" s="76"/>
    </row>
    <row r="13" spans="1:15" ht="13.15" customHeight="1" x14ac:dyDescent="0.25">
      <c r="A13" s="65"/>
      <c r="B13" s="83"/>
      <c r="C13" s="66"/>
      <c r="D13" s="66"/>
      <c r="E13" s="77"/>
      <c r="F13" s="77"/>
      <c r="G13" s="43"/>
      <c r="H13" s="2"/>
      <c r="I13" s="65" t="s">
        <v>56</v>
      </c>
      <c r="J13" s="83"/>
      <c r="K13" s="66"/>
      <c r="L13" s="66"/>
      <c r="M13" s="81"/>
      <c r="N13" s="84">
        <v>2E-3</v>
      </c>
      <c r="O13" s="291">
        <f>IF(N13+N15&gt;0.5%,0,1-(0.4*(N13+N15)/0.5%))</f>
        <v>0.67999999999999994</v>
      </c>
    </row>
    <row r="14" spans="1:15" ht="13.15" customHeight="1" x14ac:dyDescent="0.25">
      <c r="A14" s="65" t="s">
        <v>73</v>
      </c>
      <c r="B14" s="83"/>
      <c r="C14" s="66"/>
      <c r="D14" s="66"/>
      <c r="E14" s="77" t="s">
        <v>54</v>
      </c>
      <c r="F14" s="77">
        <v>0.7</v>
      </c>
      <c r="G14" s="43">
        <v>0.2</v>
      </c>
      <c r="H14" s="2"/>
      <c r="I14" s="65"/>
      <c r="J14" s="66"/>
      <c r="K14" s="66"/>
      <c r="L14" s="66"/>
      <c r="M14" s="81"/>
      <c r="N14" s="85"/>
      <c r="O14" s="291"/>
    </row>
    <row r="15" spans="1:15" ht="13.15" customHeight="1" x14ac:dyDescent="0.25">
      <c r="A15" s="40"/>
      <c r="B15" s="46"/>
      <c r="C15" s="41"/>
      <c r="D15" s="41"/>
      <c r="E15" s="50"/>
      <c r="F15" s="50"/>
      <c r="G15" s="43"/>
      <c r="H15" s="2"/>
      <c r="I15" s="65" t="s">
        <v>57</v>
      </c>
      <c r="J15" s="83"/>
      <c r="K15" s="66"/>
      <c r="L15" s="66"/>
      <c r="M15" s="81"/>
      <c r="N15" s="84">
        <v>2E-3</v>
      </c>
      <c r="O15" s="291"/>
    </row>
    <row r="16" spans="1:15" ht="13.15" customHeight="1" x14ac:dyDescent="0.25">
      <c r="A16" s="65" t="s">
        <v>76</v>
      </c>
      <c r="B16" s="46"/>
      <c r="C16" s="41"/>
      <c r="D16" s="41"/>
      <c r="E16" s="50" t="s">
        <v>54</v>
      </c>
      <c r="F16" s="50">
        <v>0.7</v>
      </c>
      <c r="G16" s="43">
        <v>0.2</v>
      </c>
      <c r="H16" s="2"/>
      <c r="I16" s="65"/>
      <c r="J16" s="83"/>
      <c r="K16" s="66"/>
      <c r="L16" s="66"/>
      <c r="M16" s="81"/>
      <c r="N16" s="84"/>
      <c r="O16" s="78"/>
    </row>
    <row r="17" spans="1:15" ht="13.15" customHeight="1" x14ac:dyDescent="0.25">
      <c r="A17" s="40"/>
      <c r="B17" s="46"/>
      <c r="C17" s="41"/>
      <c r="D17" s="41"/>
      <c r="E17" s="50"/>
      <c r="F17" s="50"/>
      <c r="G17" s="43"/>
      <c r="H17" s="2"/>
      <c r="I17" s="65"/>
      <c r="J17" s="66"/>
      <c r="K17" s="66"/>
      <c r="L17" s="66"/>
      <c r="M17" s="66"/>
      <c r="N17" s="87"/>
      <c r="O17" s="87"/>
    </row>
    <row r="18" spans="1:15" ht="13.15" customHeight="1" x14ac:dyDescent="0.25">
      <c r="A18" s="65" t="s">
        <v>74</v>
      </c>
      <c r="B18" s="46"/>
      <c r="C18" s="41"/>
      <c r="D18" s="41"/>
      <c r="E18" s="50" t="s">
        <v>54</v>
      </c>
      <c r="F18" s="50">
        <v>0.7</v>
      </c>
      <c r="G18" s="43">
        <v>0.2</v>
      </c>
      <c r="H18" s="2"/>
      <c r="I18" s="65"/>
      <c r="J18" s="66"/>
      <c r="K18" s="66"/>
      <c r="L18" s="66"/>
      <c r="M18" s="66"/>
      <c r="N18" s="87"/>
      <c r="O18" s="87"/>
    </row>
    <row r="19" spans="1:15" ht="13.15" customHeight="1" x14ac:dyDescent="0.25">
      <c r="A19" s="40"/>
      <c r="B19" s="46"/>
      <c r="C19" s="41"/>
      <c r="D19" s="41"/>
      <c r="E19" s="50"/>
      <c r="F19" s="50"/>
      <c r="G19" s="43"/>
      <c r="H19" s="2"/>
      <c r="I19" s="65"/>
      <c r="J19" s="66"/>
      <c r="K19" s="66"/>
      <c r="L19" s="66"/>
      <c r="M19" s="66"/>
      <c r="N19" s="87"/>
      <c r="O19" s="87"/>
    </row>
    <row r="20" spans="1:15" ht="13.15" customHeight="1" x14ac:dyDescent="0.25">
      <c r="A20" s="65" t="s">
        <v>71</v>
      </c>
      <c r="B20" s="46"/>
      <c r="C20" s="41"/>
      <c r="D20" s="41"/>
      <c r="E20" s="50" t="s">
        <v>54</v>
      </c>
      <c r="F20" s="50">
        <v>0.7</v>
      </c>
      <c r="G20" s="43">
        <v>0.2</v>
      </c>
      <c r="H20" s="2"/>
      <c r="I20" s="65"/>
      <c r="J20" s="66"/>
      <c r="K20" s="66"/>
      <c r="L20" s="66"/>
      <c r="M20" s="66"/>
      <c r="N20" s="87"/>
      <c r="O20" s="87"/>
    </row>
    <row r="21" spans="1:15" ht="13.15" customHeight="1" x14ac:dyDescent="0.25">
      <c r="A21" s="25"/>
      <c r="B21" s="26"/>
      <c r="C21" s="26"/>
      <c r="D21" s="26"/>
      <c r="E21" s="27"/>
      <c r="F21" s="27"/>
      <c r="G21" s="30"/>
      <c r="H21" s="2"/>
      <c r="I21" s="69"/>
      <c r="J21" s="70"/>
      <c r="K21" s="70"/>
      <c r="L21" s="70"/>
      <c r="M21" s="70"/>
      <c r="N21" s="106"/>
      <c r="O21" s="106"/>
    </row>
    <row r="22" spans="1:15" ht="13.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3.15" customHeight="1" x14ac:dyDescent="0.25">
      <c r="A23" s="9"/>
      <c r="B23" s="309" t="s">
        <v>14</v>
      </c>
      <c r="C23" s="309"/>
      <c r="D23" s="309"/>
      <c r="E23" s="309"/>
      <c r="F23" s="8"/>
      <c r="G23" s="312">
        <f>SUMPRODUCT(F29:F32,G29:G32)</f>
        <v>0.76200000000000001</v>
      </c>
      <c r="H23" s="2"/>
      <c r="I23" s="9"/>
      <c r="J23" s="309" t="s">
        <v>15</v>
      </c>
      <c r="K23" s="309"/>
      <c r="L23" s="309"/>
      <c r="M23" s="309"/>
      <c r="N23" s="8"/>
      <c r="O23" s="312">
        <f>SUMPRODUCT(N28:N36,O28:O36)</f>
        <v>0.8</v>
      </c>
    </row>
    <row r="24" spans="1:15" ht="13.15" customHeight="1" x14ac:dyDescent="0.25">
      <c r="A24" s="89">
        <v>0.1</v>
      </c>
      <c r="B24" s="310"/>
      <c r="C24" s="310"/>
      <c r="D24" s="310"/>
      <c r="E24" s="310"/>
      <c r="F24" s="11"/>
      <c r="G24" s="313"/>
      <c r="H24" s="2"/>
      <c r="I24" s="89">
        <v>0.2</v>
      </c>
      <c r="J24" s="310"/>
      <c r="K24" s="310"/>
      <c r="L24" s="310"/>
      <c r="M24" s="310"/>
      <c r="N24" s="11"/>
      <c r="O24" s="313"/>
    </row>
    <row r="25" spans="1:15" ht="13.15" customHeight="1" x14ac:dyDescent="0.25">
      <c r="A25" s="15"/>
      <c r="B25" s="311"/>
      <c r="C25" s="311"/>
      <c r="D25" s="311"/>
      <c r="E25" s="311"/>
      <c r="F25" s="14"/>
      <c r="G25" s="313"/>
      <c r="H25" s="2"/>
      <c r="I25" s="15"/>
      <c r="J25" s="311"/>
      <c r="K25" s="311"/>
      <c r="L25" s="311"/>
      <c r="M25" s="311"/>
      <c r="N25" s="14"/>
      <c r="O25" s="313"/>
    </row>
    <row r="26" spans="1:15" s="60" customFormat="1" ht="13.15" customHeight="1" x14ac:dyDescent="0.25">
      <c r="A26" s="62" t="s">
        <v>16</v>
      </c>
      <c r="B26" s="54"/>
      <c r="C26" s="54"/>
      <c r="D26" s="54"/>
      <c r="E26" s="54"/>
      <c r="F26" s="57" t="s">
        <v>17</v>
      </c>
      <c r="G26" s="57" t="s">
        <v>9</v>
      </c>
      <c r="H26" s="59"/>
      <c r="I26" s="62" t="s">
        <v>16</v>
      </c>
      <c r="J26" s="63"/>
      <c r="K26" s="63"/>
      <c r="L26" s="63"/>
      <c r="M26" s="75" t="s">
        <v>21</v>
      </c>
      <c r="N26" s="75" t="s">
        <v>17</v>
      </c>
      <c r="O26" s="64" t="s">
        <v>9</v>
      </c>
    </row>
    <row r="27" spans="1:15" ht="13.15" customHeight="1" x14ac:dyDescent="0.25">
      <c r="A27" s="65"/>
      <c r="B27" s="19"/>
      <c r="C27" s="19"/>
      <c r="D27" s="19"/>
      <c r="E27" s="19"/>
      <c r="F27" s="29"/>
      <c r="G27" s="29"/>
      <c r="H27" s="2"/>
      <c r="I27" s="65"/>
      <c r="J27" s="83"/>
      <c r="K27" s="66"/>
      <c r="L27" s="66"/>
      <c r="M27" s="79"/>
      <c r="N27" s="77"/>
      <c r="O27" s="73"/>
    </row>
    <row r="28" spans="1:15" ht="13.15" customHeight="1" x14ac:dyDescent="0.25">
      <c r="A28" s="65"/>
      <c r="B28" s="19"/>
      <c r="C28" s="19"/>
      <c r="D28" s="19"/>
      <c r="E28" s="19"/>
      <c r="F28" s="29"/>
      <c r="G28" s="29"/>
      <c r="H28" s="2"/>
      <c r="I28" s="65" t="s">
        <v>70</v>
      </c>
      <c r="J28" s="83"/>
      <c r="K28" s="66"/>
      <c r="L28" s="66"/>
      <c r="M28" s="79" t="s">
        <v>54</v>
      </c>
      <c r="N28" s="77">
        <v>0.75</v>
      </c>
      <c r="O28" s="73">
        <f>1/3</f>
        <v>0.33333333333333331</v>
      </c>
    </row>
    <row r="29" spans="1:15" ht="13.15" customHeight="1" x14ac:dyDescent="0.25">
      <c r="A29" s="65" t="s">
        <v>68</v>
      </c>
      <c r="B29" s="46"/>
      <c r="C29" s="41"/>
      <c r="D29" s="41"/>
      <c r="E29" s="41"/>
      <c r="F29" s="50">
        <v>0.71799999999999997</v>
      </c>
      <c r="G29" s="51">
        <f>2/3</f>
        <v>0.66666666666666663</v>
      </c>
      <c r="H29" s="2"/>
      <c r="I29" s="65"/>
      <c r="J29" s="83"/>
      <c r="K29" s="66"/>
      <c r="L29" s="66"/>
      <c r="M29" s="79"/>
      <c r="N29" s="77"/>
      <c r="O29" s="73"/>
    </row>
    <row r="30" spans="1:15" ht="13.15" customHeight="1" x14ac:dyDescent="0.25">
      <c r="A30" s="65"/>
      <c r="B30" s="46"/>
      <c r="C30" s="41"/>
      <c r="D30" s="41"/>
      <c r="E30" s="41"/>
      <c r="F30" s="50"/>
      <c r="G30" s="51"/>
      <c r="H30" s="2"/>
      <c r="I30" s="65" t="s">
        <v>58</v>
      </c>
      <c r="J30" s="83"/>
      <c r="K30" s="66"/>
      <c r="L30" s="66"/>
      <c r="M30" s="79">
        <v>2</v>
      </c>
      <c r="N30" s="77">
        <v>0.9</v>
      </c>
      <c r="O30" s="73">
        <f>(1-O28)/4</f>
        <v>0.16666666666666669</v>
      </c>
    </row>
    <row r="31" spans="1:15" ht="13.15" customHeight="1" x14ac:dyDescent="0.25">
      <c r="A31" s="65"/>
      <c r="B31" s="46"/>
      <c r="C31" s="41"/>
      <c r="D31" s="41"/>
      <c r="E31" s="41"/>
      <c r="F31" s="50"/>
      <c r="G31" s="51"/>
      <c r="H31" s="2"/>
      <c r="I31" s="65" t="s">
        <v>59</v>
      </c>
      <c r="J31" s="83"/>
      <c r="K31" s="66"/>
      <c r="L31" s="66"/>
      <c r="M31" s="79">
        <v>0</v>
      </c>
      <c r="N31" s="77">
        <v>1</v>
      </c>
      <c r="O31" s="73">
        <f>O30</f>
        <v>0.16666666666666669</v>
      </c>
    </row>
    <row r="32" spans="1:15" ht="13.15" customHeight="1" x14ac:dyDescent="0.25">
      <c r="A32" s="65" t="s">
        <v>69</v>
      </c>
      <c r="B32" s="46"/>
      <c r="C32" s="41"/>
      <c r="D32" s="41"/>
      <c r="E32" s="41"/>
      <c r="F32" s="50">
        <v>0.85</v>
      </c>
      <c r="G32" s="51">
        <f>1-G29</f>
        <v>0.33333333333333337</v>
      </c>
      <c r="H32" s="2"/>
      <c r="I32" s="65"/>
      <c r="J32" s="66"/>
      <c r="K32" s="66"/>
      <c r="L32" s="66"/>
      <c r="M32" s="79"/>
      <c r="N32" s="76"/>
      <c r="O32" s="72"/>
    </row>
    <row r="33" spans="1:15" ht="13.15" customHeight="1" x14ac:dyDescent="0.25">
      <c r="A33" s="65"/>
      <c r="B33" s="22"/>
      <c r="C33" s="19"/>
      <c r="D33" s="19"/>
      <c r="E33" s="19"/>
      <c r="F33" s="31"/>
      <c r="G33" s="23"/>
      <c r="H33" s="2"/>
      <c r="I33" s="65" t="s">
        <v>75</v>
      </c>
      <c r="J33" s="83"/>
      <c r="K33" s="66"/>
      <c r="L33" s="66"/>
      <c r="M33" s="79">
        <v>11</v>
      </c>
      <c r="N33" s="77">
        <v>0.6</v>
      </c>
      <c r="O33" s="73">
        <f>O31</f>
        <v>0.16666666666666669</v>
      </c>
    </row>
    <row r="34" spans="1:15" ht="13.15" customHeight="1" x14ac:dyDescent="0.25">
      <c r="A34" s="65"/>
      <c r="B34" s="22"/>
      <c r="C34" s="19"/>
      <c r="D34" s="19"/>
      <c r="E34" s="19"/>
      <c r="F34" s="31"/>
      <c r="G34" s="23"/>
      <c r="H34" s="2"/>
      <c r="I34" s="65" t="s">
        <v>29</v>
      </c>
      <c r="J34" s="83"/>
      <c r="K34" s="66"/>
      <c r="L34" s="66"/>
      <c r="M34" s="79">
        <v>4</v>
      </c>
      <c r="N34" s="77">
        <v>0.8</v>
      </c>
      <c r="O34" s="73">
        <f>O33</f>
        <v>0.16666666666666669</v>
      </c>
    </row>
    <row r="35" spans="1:15" ht="13.15" customHeight="1" x14ac:dyDescent="0.25">
      <c r="A35" s="65"/>
      <c r="B35" s="19"/>
      <c r="C35" s="19"/>
      <c r="D35" s="19"/>
      <c r="E35" s="19"/>
      <c r="F35" s="20"/>
      <c r="G35" s="24"/>
      <c r="H35" s="2"/>
      <c r="I35" s="65"/>
      <c r="J35" s="83"/>
      <c r="K35" s="66"/>
      <c r="L35" s="66"/>
      <c r="M35" s="79"/>
      <c r="N35" s="77"/>
      <c r="O35" s="73"/>
    </row>
    <row r="36" spans="1:15" x14ac:dyDescent="0.25">
      <c r="A36" s="69"/>
      <c r="B36" s="26"/>
      <c r="C36" s="26"/>
      <c r="D36" s="26"/>
      <c r="E36" s="26"/>
      <c r="F36" s="27"/>
      <c r="G36" s="28"/>
      <c r="H36" s="2"/>
      <c r="I36" s="69"/>
      <c r="J36" s="101"/>
      <c r="K36" s="70"/>
      <c r="L36" s="70"/>
      <c r="M36" s="103"/>
      <c r="N36" s="102"/>
      <c r="O36" s="98"/>
    </row>
  </sheetData>
  <mergeCells count="12">
    <mergeCell ref="D2:H4"/>
    <mergeCell ref="I2:I4"/>
    <mergeCell ref="L2:O3"/>
    <mergeCell ref="G7:G9"/>
    <mergeCell ref="B23:E25"/>
    <mergeCell ref="G23:G25"/>
    <mergeCell ref="J23:M25"/>
    <mergeCell ref="O23:O25"/>
    <mergeCell ref="B7:F9"/>
    <mergeCell ref="J7:M9"/>
    <mergeCell ref="O7:O9"/>
    <mergeCell ref="O13:O15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65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268" t="s">
        <v>2</v>
      </c>
      <c r="D2" s="271">
        <f>J33+J39+J51+J9</f>
        <v>0.67505115546218497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B33+B39+B51+B9</f>
        <v>1</v>
      </c>
      <c r="C3" s="269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270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67</v>
      </c>
      <c r="B9" s="166">
        <v>0.55000000000000004</v>
      </c>
      <c r="C9" s="165"/>
      <c r="D9" s="165"/>
      <c r="E9" s="165"/>
      <c r="F9" s="164" t="s">
        <v>172</v>
      </c>
      <c r="G9" s="163"/>
      <c r="H9" s="162">
        <f>SUM(J11:J31)</f>
        <v>0.63025210084033612</v>
      </c>
      <c r="I9" s="198">
        <f>SUM(I11:I31)</f>
        <v>1</v>
      </c>
      <c r="J9" s="161">
        <f>H9*B9</f>
        <v>0.34663865546218492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236</v>
      </c>
      <c r="D11" s="135" t="s">
        <v>5</v>
      </c>
      <c r="E11" s="135" t="s">
        <v>105</v>
      </c>
      <c r="F11" s="225">
        <v>1E-3</v>
      </c>
      <c r="G11" s="224">
        <f>G12/G13</f>
        <v>9.8039215686274508E-4</v>
      </c>
      <c r="H11" s="132">
        <f>IF(G11&gt;F11,0,1-(0.4*G11/F11))</f>
        <v>0.60784313725490191</v>
      </c>
      <c r="I11" s="131">
        <v>0.2</v>
      </c>
      <c r="J11" s="130">
        <f>H11*I11</f>
        <v>0.12156862745098039</v>
      </c>
    </row>
    <row r="12" spans="1:10" s="116" customFormat="1" hidden="1" outlineLevel="1" x14ac:dyDescent="0.25">
      <c r="C12" s="129" t="s">
        <v>252</v>
      </c>
      <c r="E12" s="116" t="s">
        <v>102</v>
      </c>
      <c r="G12" s="147">
        <v>1000</v>
      </c>
      <c r="H12" s="146"/>
      <c r="I12" s="125"/>
      <c r="J12" s="124"/>
    </row>
    <row r="13" spans="1:10" s="116" customFormat="1" hidden="1" outlineLevel="1" x14ac:dyDescent="0.25">
      <c r="C13" s="123" t="s">
        <v>237</v>
      </c>
      <c r="D13" s="122"/>
      <c r="E13" s="122" t="s">
        <v>102</v>
      </c>
      <c r="F13" s="122"/>
      <c r="G13" s="185">
        <f>'Note collective'!G14</f>
        <v>1020000</v>
      </c>
      <c r="H13" s="144"/>
      <c r="I13" s="118"/>
      <c r="J13" s="117"/>
    </row>
    <row r="14" spans="1:10" ht="6" hidden="1" customHeight="1" outlineLevel="1" x14ac:dyDescent="0.25">
      <c r="D14" s="149"/>
      <c r="F14" s="148"/>
      <c r="G14" s="140"/>
      <c r="H14" s="139"/>
      <c r="I14" s="138"/>
      <c r="J14" s="138"/>
    </row>
    <row r="15" spans="1:10" hidden="1" outlineLevel="1" x14ac:dyDescent="0.25">
      <c r="C15" s="136" t="s">
        <v>238</v>
      </c>
      <c r="D15" s="135" t="s">
        <v>5</v>
      </c>
      <c r="E15" s="135" t="s">
        <v>105</v>
      </c>
      <c r="F15" s="225">
        <v>1E-3</v>
      </c>
      <c r="G15" s="224">
        <f>G16/G17</f>
        <v>7.8431372549019605E-4</v>
      </c>
      <c r="H15" s="132">
        <f>IF(G15&gt;F15,0,1-(0.4*G15/F15))</f>
        <v>0.68627450980392157</v>
      </c>
      <c r="I15" s="131">
        <v>0.2</v>
      </c>
      <c r="J15" s="130">
        <f>H15*I15</f>
        <v>0.13725490196078433</v>
      </c>
    </row>
    <row r="16" spans="1:10" s="116" customFormat="1" hidden="1" outlineLevel="1" x14ac:dyDescent="0.25">
      <c r="C16" s="129" t="s">
        <v>239</v>
      </c>
      <c r="E16" s="116" t="s">
        <v>102</v>
      </c>
      <c r="G16" s="147">
        <v>800</v>
      </c>
      <c r="H16" s="146"/>
      <c r="I16" s="125"/>
      <c r="J16" s="124"/>
    </row>
    <row r="17" spans="3:10" s="116" customFormat="1" hidden="1" outlineLevel="1" x14ac:dyDescent="0.25">
      <c r="C17" s="123" t="s">
        <v>237</v>
      </c>
      <c r="D17" s="122"/>
      <c r="E17" s="122" t="s">
        <v>102</v>
      </c>
      <c r="F17" s="122"/>
      <c r="G17" s="185">
        <f>G13</f>
        <v>1020000</v>
      </c>
      <c r="H17" s="144"/>
      <c r="I17" s="118"/>
      <c r="J17" s="117"/>
    </row>
    <row r="18" spans="3:10" ht="6" hidden="1" customHeight="1" outlineLevel="1" x14ac:dyDescent="0.25">
      <c r="C18" s="142"/>
      <c r="D18" s="143"/>
      <c r="E18" s="142"/>
      <c r="F18" s="141"/>
      <c r="G18" s="140"/>
      <c r="H18" s="139"/>
      <c r="I18" s="138"/>
      <c r="J18" s="137"/>
    </row>
    <row r="19" spans="3:10" hidden="1" outlineLevel="1" x14ac:dyDescent="0.25">
      <c r="C19" s="136" t="s">
        <v>260</v>
      </c>
      <c r="D19" s="135" t="s">
        <v>5</v>
      </c>
      <c r="E19" s="135" t="s">
        <v>105</v>
      </c>
      <c r="F19" s="225">
        <v>1E-3</v>
      </c>
      <c r="G19" s="224">
        <f>G20/G21</f>
        <v>7.1428571428571429E-4</v>
      </c>
      <c r="H19" s="132">
        <f>IF(G19&gt;F19,0,1-(0.4*G19/F19))</f>
        <v>0.71428571428571419</v>
      </c>
      <c r="I19" s="131">
        <v>0.2</v>
      </c>
      <c r="J19" s="130">
        <f>H19*I19</f>
        <v>0.14285714285714285</v>
      </c>
    </row>
    <row r="20" spans="3:10" s="116" customFormat="1" hidden="1" outlineLevel="1" x14ac:dyDescent="0.25">
      <c r="C20" s="129" t="s">
        <v>240</v>
      </c>
      <c r="E20" s="116" t="s">
        <v>179</v>
      </c>
      <c r="F20" s="128"/>
      <c r="G20" s="147">
        <v>25</v>
      </c>
      <c r="H20" s="126"/>
      <c r="I20" s="125"/>
      <c r="J20" s="124"/>
    </row>
    <row r="21" spans="3:10" s="116" customFormat="1" hidden="1" outlineLevel="1" x14ac:dyDescent="0.25">
      <c r="C21" s="123" t="s">
        <v>241</v>
      </c>
      <c r="D21" s="122"/>
      <c r="E21" s="122" t="s">
        <v>179</v>
      </c>
      <c r="F21" s="121"/>
      <c r="G21" s="145">
        <v>35000</v>
      </c>
      <c r="H21" s="119"/>
      <c r="I21" s="118"/>
      <c r="J21" s="117"/>
    </row>
    <row r="22" spans="3:10" ht="6" hidden="1" customHeight="1" outlineLevel="1" x14ac:dyDescent="0.25">
      <c r="C22" s="142"/>
      <c r="D22" s="143"/>
      <c r="E22" s="142"/>
      <c r="F22" s="141"/>
      <c r="G22" s="140"/>
      <c r="H22" s="139"/>
      <c r="I22" s="138"/>
      <c r="J22" s="137"/>
    </row>
    <row r="23" spans="3:10" hidden="1" outlineLevel="1" x14ac:dyDescent="0.25">
      <c r="C23" s="136" t="s">
        <v>242</v>
      </c>
      <c r="D23" s="135" t="s">
        <v>5</v>
      </c>
      <c r="E23" s="135" t="s">
        <v>105</v>
      </c>
      <c r="F23" s="225">
        <v>1E-3</v>
      </c>
      <c r="G23" s="224">
        <f>G24/G25</f>
        <v>1.7142857142857142E-3</v>
      </c>
      <c r="H23" s="132">
        <f>IF(G23&gt;F23,0,1-(0.4*G23/F23))</f>
        <v>0</v>
      </c>
      <c r="I23" s="131">
        <v>0.2</v>
      </c>
      <c r="J23" s="130">
        <f>H23*I23</f>
        <v>0</v>
      </c>
    </row>
    <row r="24" spans="3:10" s="116" customFormat="1" hidden="1" outlineLevel="1" x14ac:dyDescent="0.25">
      <c r="C24" s="129" t="s">
        <v>243</v>
      </c>
      <c r="E24" s="116" t="s">
        <v>179</v>
      </c>
      <c r="F24" s="128"/>
      <c r="G24" s="147">
        <v>60</v>
      </c>
      <c r="H24" s="126"/>
      <c r="I24" s="125"/>
      <c r="J24" s="124"/>
    </row>
    <row r="25" spans="3:10" s="116" customFormat="1" hidden="1" outlineLevel="1" x14ac:dyDescent="0.25">
      <c r="C25" s="123" t="s">
        <v>241</v>
      </c>
      <c r="D25" s="122"/>
      <c r="E25" s="122" t="s">
        <v>179</v>
      </c>
      <c r="F25" s="121"/>
      <c r="G25" s="145">
        <v>35000</v>
      </c>
      <c r="H25" s="119"/>
      <c r="I25" s="118"/>
      <c r="J25" s="117"/>
    </row>
    <row r="26" spans="3:10" ht="6" hidden="1" customHeight="1" outlineLevel="1" x14ac:dyDescent="0.25">
      <c r="C26" s="142"/>
      <c r="D26" s="143"/>
      <c r="E26" s="142"/>
      <c r="F26" s="141"/>
      <c r="G26" s="140"/>
      <c r="H26" s="139"/>
      <c r="I26" s="138"/>
      <c r="J26" s="137"/>
    </row>
    <row r="27" spans="3:10" hidden="1" outlineLevel="1" x14ac:dyDescent="0.25">
      <c r="C27" s="136" t="s">
        <v>253</v>
      </c>
      <c r="D27" s="135" t="s">
        <v>5</v>
      </c>
      <c r="E27" s="135" t="s">
        <v>105</v>
      </c>
      <c r="F27" s="226">
        <f>G28/(G29*1.5)/G30</f>
        <v>0.66666666666666674</v>
      </c>
      <c r="G27" s="227">
        <f>G28/G31</f>
        <v>4.375</v>
      </c>
      <c r="H27" s="132">
        <f>G31/G30</f>
        <v>1.1428571428571428</v>
      </c>
      <c r="I27" s="131">
        <v>0.2</v>
      </c>
      <c r="J27" s="130">
        <f>H27*I27</f>
        <v>0.22857142857142856</v>
      </c>
    </row>
    <row r="28" spans="3:10" s="116" customFormat="1" hidden="1" outlineLevel="1" x14ac:dyDescent="0.25">
      <c r="C28" s="129" t="s">
        <v>285</v>
      </c>
      <c r="E28" s="116" t="s">
        <v>179</v>
      </c>
      <c r="F28" s="128"/>
      <c r="G28" s="147">
        <v>35000</v>
      </c>
      <c r="H28" s="126"/>
      <c r="I28" s="125"/>
      <c r="J28" s="124"/>
    </row>
    <row r="29" spans="3:10" s="116" customFormat="1" hidden="1" outlineLevel="1" x14ac:dyDescent="0.25">
      <c r="C29" s="129" t="s">
        <v>287</v>
      </c>
      <c r="E29" s="116" t="s">
        <v>179</v>
      </c>
      <c r="F29" s="128"/>
      <c r="G29" s="147">
        <v>5</v>
      </c>
      <c r="H29" s="126"/>
      <c r="I29" s="125"/>
      <c r="J29" s="124"/>
    </row>
    <row r="30" spans="3:10" s="116" customFormat="1" hidden="1" outlineLevel="1" x14ac:dyDescent="0.25">
      <c r="C30" s="129" t="s">
        <v>288</v>
      </c>
      <c r="E30" s="116" t="s">
        <v>179</v>
      </c>
      <c r="F30" s="128"/>
      <c r="G30" s="258">
        <f>G28/G29</f>
        <v>7000</v>
      </c>
      <c r="H30" s="126"/>
      <c r="I30" s="125"/>
      <c r="J30" s="124"/>
    </row>
    <row r="31" spans="3:10" s="116" customFormat="1" hidden="1" outlineLevel="1" x14ac:dyDescent="0.25">
      <c r="C31" s="123" t="s">
        <v>286</v>
      </c>
      <c r="D31" s="122"/>
      <c r="E31" s="122" t="s">
        <v>179</v>
      </c>
      <c r="F31" s="121"/>
      <c r="G31" s="145">
        <v>8000</v>
      </c>
      <c r="H31" s="119"/>
      <c r="I31" s="118"/>
      <c r="J31" s="117"/>
    </row>
    <row r="32" spans="3:10" ht="15.75" collapsed="1" thickBot="1" x14ac:dyDescent="0.3">
      <c r="I32" s="115"/>
    </row>
    <row r="33" spans="1:10" s="160" customFormat="1" ht="15.75" thickBot="1" x14ac:dyDescent="0.3">
      <c r="A33" s="165" t="s">
        <v>14</v>
      </c>
      <c r="B33" s="166">
        <v>0.15</v>
      </c>
      <c r="C33" s="165"/>
      <c r="D33" s="165"/>
      <c r="E33" s="165"/>
      <c r="F33" s="164"/>
      <c r="G33" s="163"/>
      <c r="H33" s="162">
        <f>SUM(J35:J37)</f>
        <v>0.66766666666666663</v>
      </c>
      <c r="I33" s="198">
        <f>SUM(I35:I37)</f>
        <v>1</v>
      </c>
      <c r="J33" s="161">
        <f>H33*B33</f>
        <v>0.10014999999999999</v>
      </c>
    </row>
    <row r="34" spans="1:10" ht="6" hidden="1" customHeight="1" outlineLevel="1" x14ac:dyDescent="0.25">
      <c r="F34" s="115"/>
      <c r="G34" s="159"/>
      <c r="H34" s="159"/>
      <c r="J34" s="159"/>
    </row>
    <row r="35" spans="1:10" ht="30" hidden="1" outlineLevel="1" x14ac:dyDescent="0.25">
      <c r="C35" s="223" t="s">
        <v>219</v>
      </c>
      <c r="D35" s="157" t="s">
        <v>121</v>
      </c>
      <c r="E35" s="156" t="s">
        <v>105</v>
      </c>
      <c r="F35" s="155">
        <v>0.65</v>
      </c>
      <c r="G35" s="154">
        <v>0.65500000000000003</v>
      </c>
      <c r="H35" s="153">
        <f>IF(G35&lt;F35,0,G35)</f>
        <v>0.65500000000000003</v>
      </c>
      <c r="I35" s="152">
        <f>2/3</f>
        <v>0.66666666666666663</v>
      </c>
      <c r="J35" s="151">
        <f>H35*I35</f>
        <v>0.43666666666666665</v>
      </c>
    </row>
    <row r="36" spans="1:10" ht="6" hidden="1" customHeight="1" outlineLevel="1" x14ac:dyDescent="0.25">
      <c r="D36" s="149"/>
      <c r="F36" s="148"/>
      <c r="G36" s="140"/>
      <c r="H36" s="139"/>
      <c r="I36" s="138"/>
      <c r="J36" s="138"/>
    </row>
    <row r="37" spans="1:10" ht="30" hidden="1" outlineLevel="1" x14ac:dyDescent="0.25">
      <c r="C37" s="223" t="s">
        <v>220</v>
      </c>
      <c r="D37" s="157" t="s">
        <v>122</v>
      </c>
      <c r="E37" s="156" t="s">
        <v>105</v>
      </c>
      <c r="F37" s="155">
        <v>0.65</v>
      </c>
      <c r="G37" s="154">
        <v>0.69299999999999995</v>
      </c>
      <c r="H37" s="153">
        <f>IF(G37&lt;F37,0,G37)</f>
        <v>0.69299999999999995</v>
      </c>
      <c r="I37" s="152">
        <f>1/3</f>
        <v>0.33333333333333331</v>
      </c>
      <c r="J37" s="151">
        <f>H37*I37</f>
        <v>0.23099999999999998</v>
      </c>
    </row>
    <row r="38" spans="1:10" ht="15.75" collapsed="1" thickBot="1" x14ac:dyDescent="0.3">
      <c r="I38" s="115"/>
    </row>
    <row r="39" spans="1:10" s="160" customFormat="1" ht="15.75" thickBot="1" x14ac:dyDescent="0.3">
      <c r="A39" s="165" t="s">
        <v>15</v>
      </c>
      <c r="B39" s="166">
        <v>0.15</v>
      </c>
      <c r="C39" s="165"/>
      <c r="D39" s="165"/>
      <c r="E39" s="165"/>
      <c r="F39" s="164"/>
      <c r="G39" s="163"/>
      <c r="H39" s="162">
        <f>SUM(J41:J49)</f>
        <v>0.91375000000000006</v>
      </c>
      <c r="I39" s="198">
        <f>SUM(I41:I49)</f>
        <v>0.99999999999999989</v>
      </c>
      <c r="J39" s="161">
        <f>H39*B39</f>
        <v>0.1370625</v>
      </c>
    </row>
    <row r="40" spans="1:10" ht="6" hidden="1" customHeight="1" outlineLevel="1" x14ac:dyDescent="0.25">
      <c r="D40" s="149"/>
      <c r="F40" s="148"/>
      <c r="G40" s="140"/>
      <c r="H40" s="139"/>
      <c r="I40" s="138"/>
      <c r="J40" s="138"/>
    </row>
    <row r="41" spans="1:10" ht="30" hidden="1" outlineLevel="1" x14ac:dyDescent="0.25">
      <c r="C41" s="158" t="s">
        <v>276</v>
      </c>
      <c r="D41" s="215" t="s">
        <v>173</v>
      </c>
      <c r="E41" s="156" t="s">
        <v>105</v>
      </c>
      <c r="F41" s="155">
        <v>0.65</v>
      </c>
      <c r="G41" s="154">
        <v>0.8</v>
      </c>
      <c r="H41" s="153">
        <f>IF(G41&lt;F41,0,G41)</f>
        <v>0.8</v>
      </c>
      <c r="I41" s="152">
        <v>0.3</v>
      </c>
      <c r="J41" s="151">
        <f>H41*I41</f>
        <v>0.24</v>
      </c>
    </row>
    <row r="42" spans="1:10" ht="6" hidden="1" customHeight="1" outlineLevel="1" x14ac:dyDescent="0.25">
      <c r="C42" s="142"/>
      <c r="D42" s="143"/>
      <c r="E42" s="142"/>
      <c r="F42" s="141"/>
      <c r="G42" s="140"/>
      <c r="H42" s="139"/>
      <c r="I42" s="138"/>
      <c r="J42" s="137"/>
    </row>
    <row r="43" spans="1:10" hidden="1" outlineLevel="1" x14ac:dyDescent="0.25">
      <c r="C43" s="136" t="s">
        <v>246</v>
      </c>
      <c r="D43" s="135" t="s">
        <v>128</v>
      </c>
      <c r="E43" s="135" t="s">
        <v>105</v>
      </c>
      <c r="F43" s="134">
        <v>0.95</v>
      </c>
      <c r="G43" s="133">
        <f>(G45-G44)/G45</f>
        <v>0.95833333333333337</v>
      </c>
      <c r="H43" s="132">
        <f>IF(G43&lt;F43,0,G43)</f>
        <v>0.95833333333333337</v>
      </c>
      <c r="I43" s="131">
        <v>0.35</v>
      </c>
      <c r="J43" s="130">
        <f>H43*I43</f>
        <v>0.33541666666666664</v>
      </c>
    </row>
    <row r="44" spans="1:10" s="116" customFormat="1" hidden="1" outlineLevel="1" x14ac:dyDescent="0.25">
      <c r="C44" s="129" t="s">
        <v>247</v>
      </c>
      <c r="E44" s="116" t="s">
        <v>135</v>
      </c>
      <c r="F44" s="128"/>
      <c r="G44" s="147">
        <f>0.5*20</f>
        <v>10</v>
      </c>
      <c r="H44" s="126"/>
      <c r="I44" s="125"/>
      <c r="J44" s="124"/>
    </row>
    <row r="45" spans="1:10" s="116" customFormat="1" hidden="1" outlineLevel="1" x14ac:dyDescent="0.25">
      <c r="C45" s="123" t="s">
        <v>248</v>
      </c>
      <c r="D45" s="122"/>
      <c r="E45" s="122" t="s">
        <v>135</v>
      </c>
      <c r="F45" s="121"/>
      <c r="G45" s="145">
        <f>G49*8</f>
        <v>240</v>
      </c>
      <c r="H45" s="119"/>
      <c r="I45" s="118"/>
      <c r="J45" s="117"/>
    </row>
    <row r="46" spans="1:10" ht="6" hidden="1" customHeight="1" outlineLevel="1" x14ac:dyDescent="0.25">
      <c r="C46" s="142"/>
      <c r="D46" s="143"/>
      <c r="E46" s="142"/>
      <c r="F46" s="141"/>
      <c r="G46" s="140"/>
      <c r="H46" s="139"/>
      <c r="I46" s="138"/>
      <c r="J46" s="137"/>
    </row>
    <row r="47" spans="1:10" hidden="1" outlineLevel="1" x14ac:dyDescent="0.25">
      <c r="C47" s="136" t="s">
        <v>249</v>
      </c>
      <c r="D47" s="135" t="s">
        <v>128</v>
      </c>
      <c r="E47" s="135" t="s">
        <v>105</v>
      </c>
      <c r="F47" s="134">
        <v>0.95</v>
      </c>
      <c r="G47" s="133">
        <f>(G49-G48)/G49</f>
        <v>0.96666666666666667</v>
      </c>
      <c r="H47" s="132">
        <f>IF(G47&lt;F47,0,G47)</f>
        <v>0.96666666666666667</v>
      </c>
      <c r="I47" s="131">
        <v>0.35</v>
      </c>
      <c r="J47" s="130">
        <f>H47*I47</f>
        <v>0.33833333333333332</v>
      </c>
    </row>
    <row r="48" spans="1:10" s="116" customFormat="1" hidden="1" outlineLevel="1" x14ac:dyDescent="0.25">
      <c r="C48" s="129" t="s">
        <v>250</v>
      </c>
      <c r="E48" s="116" t="s">
        <v>132</v>
      </c>
      <c r="G48" s="147">
        <v>1</v>
      </c>
      <c r="H48" s="146"/>
      <c r="I48" s="125"/>
      <c r="J48" s="124"/>
    </row>
    <row r="49" spans="1:10" s="116" customFormat="1" hidden="1" outlineLevel="1" x14ac:dyDescent="0.25">
      <c r="C49" s="123" t="s">
        <v>251</v>
      </c>
      <c r="D49" s="122"/>
      <c r="E49" s="122" t="s">
        <v>132</v>
      </c>
      <c r="F49" s="122"/>
      <c r="G49" s="145">
        <f>30</f>
        <v>30</v>
      </c>
      <c r="H49" s="144"/>
      <c r="I49" s="118"/>
      <c r="J49" s="117"/>
    </row>
    <row r="50" spans="1:10" ht="15.75" collapsed="1" thickBot="1" x14ac:dyDescent="0.3">
      <c r="I50" s="115"/>
    </row>
    <row r="51" spans="1:10" s="160" customFormat="1" ht="15.75" thickBot="1" x14ac:dyDescent="0.3">
      <c r="A51" s="165" t="s">
        <v>13</v>
      </c>
      <c r="B51" s="166">
        <v>0.15</v>
      </c>
      <c r="C51" s="165"/>
      <c r="D51" s="165"/>
      <c r="E51" s="165"/>
      <c r="F51" s="164"/>
      <c r="G51" s="163"/>
      <c r="H51" s="162">
        <f>D63</f>
        <v>0.6080000000000001</v>
      </c>
      <c r="I51" s="161"/>
      <c r="J51" s="161">
        <f>H51*B51</f>
        <v>9.1200000000000017E-2</v>
      </c>
    </row>
    <row r="52" spans="1:10" ht="6" hidden="1" customHeight="1" outlineLevel="1" x14ac:dyDescent="0.25">
      <c r="D52" s="149"/>
      <c r="F52" s="148"/>
      <c r="G52" s="140"/>
      <c r="H52" s="139"/>
      <c r="I52" s="138"/>
      <c r="J52" s="138"/>
    </row>
    <row r="53" spans="1:10" hidden="1" outlineLevel="1" x14ac:dyDescent="0.25">
      <c r="C53" s="136" t="s">
        <v>221</v>
      </c>
      <c r="D53" s="135" t="s">
        <v>5</v>
      </c>
      <c r="E53" s="135" t="s">
        <v>105</v>
      </c>
      <c r="F53" s="134"/>
      <c r="G53" s="186">
        <f>G54/G55</f>
        <v>4.0000000000000002E-4</v>
      </c>
    </row>
    <row r="54" spans="1:10" s="116" customFormat="1" hidden="1" outlineLevel="1" x14ac:dyDescent="0.25">
      <c r="C54" s="129" t="s">
        <v>137</v>
      </c>
      <c r="E54" s="187" t="s">
        <v>102</v>
      </c>
      <c r="F54" s="187"/>
      <c r="G54" s="189">
        <v>80</v>
      </c>
      <c r="H54" s="114"/>
      <c r="I54" s="114"/>
      <c r="J54" s="114"/>
    </row>
    <row r="55" spans="1:10" s="116" customFormat="1" hidden="1" outlineLevel="1" x14ac:dyDescent="0.25">
      <c r="C55" s="123" t="s">
        <v>222</v>
      </c>
      <c r="D55" s="122"/>
      <c r="E55" s="122" t="s">
        <v>102</v>
      </c>
      <c r="F55" s="122"/>
      <c r="G55" s="222">
        <v>200000</v>
      </c>
      <c r="H55" s="114"/>
      <c r="I55" s="114"/>
      <c r="J55" s="114"/>
    </row>
    <row r="56" spans="1:10" ht="6" hidden="1" customHeight="1" outlineLevel="1" x14ac:dyDescent="0.25">
      <c r="C56" s="142"/>
      <c r="D56" s="149"/>
      <c r="E56" s="142"/>
      <c r="F56" s="141"/>
      <c r="G56" s="140"/>
    </row>
    <row r="57" spans="1:10" hidden="1" outlineLevel="1" x14ac:dyDescent="0.25">
      <c r="C57" s="136" t="s">
        <v>223</v>
      </c>
      <c r="D57" s="135" t="s">
        <v>5</v>
      </c>
      <c r="E57" s="135" t="s">
        <v>105</v>
      </c>
      <c r="F57" s="134"/>
      <c r="G57" s="186">
        <f>G58/G59</f>
        <v>4.4999999999999997E-3</v>
      </c>
    </row>
    <row r="58" spans="1:10" s="116" customFormat="1" hidden="1" outlineLevel="1" x14ac:dyDescent="0.25">
      <c r="C58" s="129" t="s">
        <v>139</v>
      </c>
      <c r="D58" s="187"/>
      <c r="E58" s="187" t="s">
        <v>102</v>
      </c>
      <c r="F58" s="188"/>
      <c r="G58" s="189">
        <v>900</v>
      </c>
      <c r="H58" s="114"/>
      <c r="I58" s="114"/>
      <c r="J58" s="114"/>
    </row>
    <row r="59" spans="1:10" s="116" customFormat="1" hidden="1" outlineLevel="1" x14ac:dyDescent="0.25">
      <c r="C59" s="123" t="s">
        <v>222</v>
      </c>
      <c r="D59" s="122"/>
      <c r="E59" s="122" t="s">
        <v>102</v>
      </c>
      <c r="F59" s="121"/>
      <c r="G59" s="190">
        <f>G55</f>
        <v>200000</v>
      </c>
      <c r="H59" s="114"/>
      <c r="I59" s="114"/>
      <c r="J59" s="114"/>
    </row>
    <row r="60" spans="1:10" hidden="1" outlineLevel="1" x14ac:dyDescent="0.25">
      <c r="I60" s="115"/>
    </row>
    <row r="61" spans="1:10" hidden="1" outlineLevel="1" x14ac:dyDescent="0.25">
      <c r="C61" s="182" t="s">
        <v>140</v>
      </c>
      <c r="D61" s="192">
        <f>G53+G57</f>
        <v>4.8999999999999998E-3</v>
      </c>
    </row>
    <row r="62" spans="1:10" hidden="1" outlineLevel="1" x14ac:dyDescent="0.25">
      <c r="C62" s="178" t="s">
        <v>141</v>
      </c>
      <c r="D62" s="193">
        <v>5.0000000000000001E-3</v>
      </c>
    </row>
    <row r="63" spans="1:10" hidden="1" outlineLevel="1" x14ac:dyDescent="0.25">
      <c r="C63" s="194" t="s">
        <v>17</v>
      </c>
      <c r="D63" s="195">
        <f>IF(D61&gt;D62,0,1-(0.4*D61/D62))</f>
        <v>0.6080000000000001</v>
      </c>
    </row>
    <row r="64" spans="1:10" collapsed="1" x14ac:dyDescent="0.25">
      <c r="D64" s="191"/>
    </row>
    <row r="65" spans="4:4" x14ac:dyDescent="0.25">
      <c r="D65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90" zoomScaleNormal="90" workbookViewId="0">
      <selection activeCell="A20" sqref="A20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94" t="s">
        <v>2</v>
      </c>
      <c r="E2" s="295"/>
      <c r="F2" s="295"/>
      <c r="G2" s="295"/>
      <c r="H2" s="296"/>
      <c r="I2" s="271">
        <f>(G7*A8)+(G23*A24)+(O23*I24)</f>
        <v>0.77800000000000002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97"/>
      <c r="E3" s="298"/>
      <c r="F3" s="298"/>
      <c r="G3" s="298"/>
      <c r="H3" s="299"/>
      <c r="I3" s="278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00"/>
      <c r="E4" s="301"/>
      <c r="F4" s="301"/>
      <c r="G4" s="301"/>
      <c r="H4" s="302"/>
      <c r="I4" s="290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92" customFormat="1" ht="13.15" customHeight="1" x14ac:dyDescent="0.25">
      <c r="A7" s="107"/>
      <c r="B7" s="275" t="s">
        <v>67</v>
      </c>
      <c r="C7" s="275"/>
      <c r="D7" s="275"/>
      <c r="E7" s="275"/>
      <c r="F7" s="318"/>
      <c r="G7" s="271">
        <f>SUMPRODUCT(F12:F20,G12:G20)</f>
        <v>0.7</v>
      </c>
      <c r="H7" s="91"/>
      <c r="I7" s="107"/>
      <c r="J7" s="275" t="s">
        <v>13</v>
      </c>
      <c r="K7" s="275"/>
      <c r="L7" s="275"/>
      <c r="M7" s="275"/>
      <c r="N7" s="104"/>
      <c r="O7" s="271">
        <f>O13</f>
        <v>0.67999999999999994</v>
      </c>
    </row>
    <row r="8" spans="1:15" s="92" customFormat="1" ht="13.15" customHeight="1" x14ac:dyDescent="0.25">
      <c r="A8" s="89">
        <v>0.5</v>
      </c>
      <c r="B8" s="276"/>
      <c r="C8" s="276"/>
      <c r="D8" s="276"/>
      <c r="E8" s="276"/>
      <c r="F8" s="319"/>
      <c r="G8" s="278"/>
      <c r="H8" s="91"/>
      <c r="I8" s="89">
        <v>0.25</v>
      </c>
      <c r="J8" s="276"/>
      <c r="K8" s="276"/>
      <c r="L8" s="276"/>
      <c r="M8" s="276"/>
      <c r="N8" s="90"/>
      <c r="O8" s="278"/>
    </row>
    <row r="9" spans="1:15" s="92" customFormat="1" ht="13.15" customHeight="1" x14ac:dyDescent="0.25">
      <c r="A9" s="109"/>
      <c r="B9" s="277"/>
      <c r="C9" s="277"/>
      <c r="D9" s="277"/>
      <c r="E9" s="277"/>
      <c r="F9" s="320"/>
      <c r="G9" s="278"/>
      <c r="H9" s="91"/>
      <c r="I9" s="109"/>
      <c r="J9" s="277"/>
      <c r="K9" s="277"/>
      <c r="L9" s="277"/>
      <c r="M9" s="277"/>
      <c r="N9" s="105"/>
      <c r="O9" s="278"/>
    </row>
    <row r="10" spans="1:15" s="111" customFormat="1" ht="13.15" customHeight="1" x14ac:dyDescent="0.25">
      <c r="A10" s="62" t="s">
        <v>16</v>
      </c>
      <c r="B10" s="63"/>
      <c r="C10" s="63"/>
      <c r="D10" s="63"/>
      <c r="E10" s="75" t="s">
        <v>21</v>
      </c>
      <c r="F10" s="75" t="s">
        <v>17</v>
      </c>
      <c r="G10" s="64" t="s">
        <v>9</v>
      </c>
      <c r="H10" s="110"/>
      <c r="I10" s="62" t="s">
        <v>16</v>
      </c>
      <c r="J10" s="63"/>
      <c r="K10" s="63"/>
      <c r="L10" s="63"/>
      <c r="M10" s="63"/>
      <c r="N10" s="75" t="s">
        <v>20</v>
      </c>
      <c r="O10" s="75" t="s">
        <v>17</v>
      </c>
    </row>
    <row r="11" spans="1:15" s="92" customFormat="1" ht="13.15" customHeight="1" x14ac:dyDescent="0.25">
      <c r="A11" s="65"/>
      <c r="B11" s="66"/>
      <c r="C11" s="66"/>
      <c r="D11" s="66"/>
      <c r="E11" s="76"/>
      <c r="F11" s="87"/>
      <c r="G11" s="72"/>
      <c r="H11" s="91"/>
      <c r="I11" s="65"/>
      <c r="J11" s="66"/>
      <c r="K11" s="66"/>
      <c r="L11" s="66"/>
      <c r="M11" s="81"/>
      <c r="N11" s="82"/>
      <c r="O11" s="76"/>
    </row>
    <row r="12" spans="1:15" s="92" customFormat="1" ht="13.15" customHeight="1" x14ac:dyDescent="0.25">
      <c r="A12" s="65" t="s">
        <v>72</v>
      </c>
      <c r="B12" s="83"/>
      <c r="C12" s="66"/>
      <c r="D12" s="66"/>
      <c r="E12" s="77" t="s">
        <v>54</v>
      </c>
      <c r="F12" s="77">
        <v>0.7</v>
      </c>
      <c r="G12" s="73">
        <v>0.2</v>
      </c>
      <c r="H12" s="91"/>
      <c r="I12" s="65"/>
      <c r="J12" s="66"/>
      <c r="K12" s="66"/>
      <c r="L12" s="66"/>
      <c r="M12" s="81"/>
      <c r="N12" s="76"/>
      <c r="O12" s="76"/>
    </row>
    <row r="13" spans="1:15" s="92" customFormat="1" ht="13.15" customHeight="1" x14ac:dyDescent="0.25">
      <c r="A13" s="65"/>
      <c r="B13" s="83"/>
      <c r="C13" s="66"/>
      <c r="D13" s="66"/>
      <c r="E13" s="77"/>
      <c r="F13" s="77"/>
      <c r="G13" s="73"/>
      <c r="H13" s="91"/>
      <c r="I13" s="65" t="s">
        <v>56</v>
      </c>
      <c r="J13" s="83"/>
      <c r="K13" s="66"/>
      <c r="L13" s="66"/>
      <c r="M13" s="81"/>
      <c r="N13" s="84">
        <v>2E-3</v>
      </c>
      <c r="O13" s="291">
        <f>IF(N13+N15&gt;0.5%,0,1-(0.4*(N13+N15)/0.5%))</f>
        <v>0.67999999999999994</v>
      </c>
    </row>
    <row r="14" spans="1:15" s="92" customFormat="1" ht="13.15" customHeight="1" x14ac:dyDescent="0.25">
      <c r="A14" s="65" t="s">
        <v>73</v>
      </c>
      <c r="B14" s="83"/>
      <c r="C14" s="66"/>
      <c r="D14" s="66"/>
      <c r="E14" s="77" t="s">
        <v>54</v>
      </c>
      <c r="F14" s="77">
        <v>0.7</v>
      </c>
      <c r="G14" s="73">
        <v>0.2</v>
      </c>
      <c r="H14" s="91"/>
      <c r="I14" s="65"/>
      <c r="J14" s="66"/>
      <c r="K14" s="66"/>
      <c r="L14" s="66"/>
      <c r="M14" s="81"/>
      <c r="N14" s="85"/>
      <c r="O14" s="291"/>
    </row>
    <row r="15" spans="1:15" s="92" customFormat="1" ht="13.15" customHeight="1" x14ac:dyDescent="0.25">
      <c r="A15" s="65"/>
      <c r="B15" s="83"/>
      <c r="C15" s="66"/>
      <c r="D15" s="66"/>
      <c r="E15" s="77"/>
      <c r="F15" s="77"/>
      <c r="G15" s="73"/>
      <c r="H15" s="91"/>
      <c r="I15" s="65" t="s">
        <v>57</v>
      </c>
      <c r="J15" s="83"/>
      <c r="K15" s="66"/>
      <c r="L15" s="66"/>
      <c r="M15" s="81"/>
      <c r="N15" s="84">
        <v>2E-3</v>
      </c>
      <c r="O15" s="291"/>
    </row>
    <row r="16" spans="1:15" s="92" customFormat="1" ht="13.15" customHeight="1" x14ac:dyDescent="0.25">
      <c r="A16" s="65" t="s">
        <v>76</v>
      </c>
      <c r="B16" s="83"/>
      <c r="C16" s="66"/>
      <c r="D16" s="66"/>
      <c r="E16" s="77" t="s">
        <v>54</v>
      </c>
      <c r="F16" s="77">
        <v>0.7</v>
      </c>
      <c r="G16" s="73">
        <v>0.2</v>
      </c>
      <c r="H16" s="91"/>
      <c r="I16" s="65"/>
      <c r="J16" s="83"/>
      <c r="K16" s="66"/>
      <c r="L16" s="66"/>
      <c r="M16" s="81"/>
      <c r="N16" s="84"/>
      <c r="O16" s="78"/>
    </row>
    <row r="17" spans="1:15" s="92" customFormat="1" ht="13.15" customHeight="1" x14ac:dyDescent="0.25">
      <c r="A17" s="65"/>
      <c r="B17" s="83"/>
      <c r="C17" s="66"/>
      <c r="D17" s="66"/>
      <c r="E17" s="77"/>
      <c r="F17" s="77"/>
      <c r="G17" s="73"/>
      <c r="H17" s="91"/>
      <c r="I17" s="65"/>
      <c r="J17" s="66"/>
      <c r="K17" s="66"/>
      <c r="L17" s="66"/>
      <c r="M17" s="66"/>
      <c r="N17" s="87"/>
      <c r="O17" s="87"/>
    </row>
    <row r="18" spans="1:15" s="92" customFormat="1" ht="13.15" customHeight="1" x14ac:dyDescent="0.25">
      <c r="A18" s="65" t="s">
        <v>74</v>
      </c>
      <c r="B18" s="83"/>
      <c r="C18" s="66"/>
      <c r="D18" s="66"/>
      <c r="E18" s="77" t="s">
        <v>54</v>
      </c>
      <c r="F18" s="77">
        <v>0.7</v>
      </c>
      <c r="G18" s="73">
        <v>0.2</v>
      </c>
      <c r="H18" s="91"/>
      <c r="I18" s="65"/>
      <c r="J18" s="66"/>
      <c r="K18" s="66"/>
      <c r="L18" s="66"/>
      <c r="M18" s="66"/>
      <c r="N18" s="87"/>
      <c r="O18" s="87"/>
    </row>
    <row r="19" spans="1:15" s="92" customFormat="1" ht="13.15" customHeight="1" x14ac:dyDescent="0.25">
      <c r="A19" s="65"/>
      <c r="B19" s="83"/>
      <c r="C19" s="66"/>
      <c r="D19" s="66"/>
      <c r="E19" s="77"/>
      <c r="F19" s="77"/>
      <c r="G19" s="73"/>
      <c r="H19" s="91"/>
      <c r="I19" s="65"/>
      <c r="J19" s="66"/>
      <c r="K19" s="66"/>
      <c r="L19" s="66"/>
      <c r="M19" s="66"/>
      <c r="N19" s="87"/>
      <c r="O19" s="87"/>
    </row>
    <row r="20" spans="1:15" s="92" customFormat="1" ht="13.15" customHeight="1" x14ac:dyDescent="0.25">
      <c r="A20" s="65" t="s">
        <v>77</v>
      </c>
      <c r="B20" s="83"/>
      <c r="C20" s="66"/>
      <c r="D20" s="66"/>
      <c r="E20" s="77" t="s">
        <v>54</v>
      </c>
      <c r="F20" s="77">
        <v>0.7</v>
      </c>
      <c r="G20" s="73">
        <v>0.2</v>
      </c>
      <c r="H20" s="91"/>
      <c r="I20" s="65"/>
      <c r="J20" s="66"/>
      <c r="K20" s="66"/>
      <c r="L20" s="66"/>
      <c r="M20" s="66"/>
      <c r="N20" s="87"/>
      <c r="O20" s="87"/>
    </row>
    <row r="21" spans="1:15" s="92" customFormat="1" ht="13.15" customHeight="1" x14ac:dyDescent="0.25">
      <c r="A21" s="69"/>
      <c r="B21" s="70"/>
      <c r="C21" s="70"/>
      <c r="D21" s="70"/>
      <c r="E21" s="106"/>
      <c r="F21" s="106"/>
      <c r="G21" s="74"/>
      <c r="H21" s="91"/>
      <c r="I21" s="69"/>
      <c r="J21" s="70"/>
      <c r="K21" s="70"/>
      <c r="L21" s="70"/>
      <c r="M21" s="70"/>
      <c r="N21" s="106"/>
      <c r="O21" s="106"/>
    </row>
    <row r="22" spans="1:15" s="92" customFormat="1" ht="13.15" customHeight="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</row>
    <row r="23" spans="1:15" s="92" customFormat="1" ht="13.15" customHeight="1" x14ac:dyDescent="0.25">
      <c r="A23" s="107"/>
      <c r="B23" s="275" t="s">
        <v>14</v>
      </c>
      <c r="C23" s="275"/>
      <c r="D23" s="275"/>
      <c r="E23" s="275"/>
      <c r="F23" s="104"/>
      <c r="G23" s="271">
        <f>SUMPRODUCT(F29:F32,G29:G32)</f>
        <v>0.76200000000000001</v>
      </c>
      <c r="H23" s="91"/>
      <c r="I23" s="107"/>
      <c r="J23" s="275" t="s">
        <v>15</v>
      </c>
      <c r="K23" s="275"/>
      <c r="L23" s="275"/>
      <c r="M23" s="275"/>
      <c r="N23" s="104"/>
      <c r="O23" s="271">
        <f>SUMPRODUCT(N28:N36,O28:O36)</f>
        <v>0.95</v>
      </c>
    </row>
    <row r="24" spans="1:15" s="92" customFormat="1" ht="13.15" customHeight="1" x14ac:dyDescent="0.25">
      <c r="A24" s="89">
        <v>0.25</v>
      </c>
      <c r="B24" s="276"/>
      <c r="C24" s="276"/>
      <c r="D24" s="276"/>
      <c r="E24" s="276"/>
      <c r="F24" s="90"/>
      <c r="G24" s="278"/>
      <c r="H24" s="91"/>
      <c r="I24" s="89">
        <v>0.25</v>
      </c>
      <c r="J24" s="276"/>
      <c r="K24" s="276"/>
      <c r="L24" s="276"/>
      <c r="M24" s="276"/>
      <c r="N24" s="90"/>
      <c r="O24" s="278"/>
    </row>
    <row r="25" spans="1:15" s="92" customFormat="1" ht="13.15" customHeight="1" x14ac:dyDescent="0.25">
      <c r="A25" s="109"/>
      <c r="B25" s="277"/>
      <c r="C25" s="277"/>
      <c r="D25" s="277"/>
      <c r="E25" s="277"/>
      <c r="F25" s="105"/>
      <c r="G25" s="278"/>
      <c r="H25" s="91"/>
      <c r="I25" s="109"/>
      <c r="J25" s="277"/>
      <c r="K25" s="277"/>
      <c r="L25" s="277"/>
      <c r="M25" s="277"/>
      <c r="N25" s="105"/>
      <c r="O25" s="278"/>
    </row>
    <row r="26" spans="1:15" s="92" customFormat="1" ht="13.15" customHeight="1" x14ac:dyDescent="0.25">
      <c r="A26" s="62" t="s">
        <v>16</v>
      </c>
      <c r="B26" s="63"/>
      <c r="C26" s="63"/>
      <c r="D26" s="63"/>
      <c r="E26" s="63"/>
      <c r="F26" s="75" t="s">
        <v>17</v>
      </c>
      <c r="G26" s="75" t="s">
        <v>9</v>
      </c>
      <c r="H26" s="91"/>
      <c r="I26" s="62" t="s">
        <v>16</v>
      </c>
      <c r="J26" s="63"/>
      <c r="K26" s="63"/>
      <c r="L26" s="63"/>
      <c r="M26" s="75" t="s">
        <v>21</v>
      </c>
      <c r="N26" s="75" t="s">
        <v>17</v>
      </c>
      <c r="O26" s="64" t="s">
        <v>9</v>
      </c>
    </row>
    <row r="27" spans="1:15" s="92" customFormat="1" ht="13.15" customHeight="1" x14ac:dyDescent="0.25">
      <c r="A27" s="65"/>
      <c r="B27" s="66"/>
      <c r="C27" s="66"/>
      <c r="D27" s="66"/>
      <c r="E27" s="66"/>
      <c r="F27" s="76"/>
      <c r="G27" s="76"/>
      <c r="H27" s="91"/>
      <c r="I27" s="65"/>
      <c r="J27" s="83"/>
      <c r="K27" s="66"/>
      <c r="L27" s="66"/>
      <c r="M27" s="79"/>
      <c r="N27" s="77"/>
      <c r="O27" s="73"/>
    </row>
    <row r="28" spans="1:15" s="92" customFormat="1" ht="13.15" customHeight="1" x14ac:dyDescent="0.25">
      <c r="A28" s="65"/>
      <c r="B28" s="66"/>
      <c r="C28" s="66"/>
      <c r="D28" s="66"/>
      <c r="E28" s="66"/>
      <c r="F28" s="76"/>
      <c r="G28" s="76"/>
      <c r="H28" s="91"/>
      <c r="I28" s="65"/>
      <c r="J28" s="83"/>
      <c r="K28" s="66"/>
      <c r="L28" s="66"/>
      <c r="M28" s="79"/>
      <c r="N28" s="77"/>
      <c r="O28" s="73"/>
    </row>
    <row r="29" spans="1:15" s="92" customFormat="1" ht="13.15" customHeight="1" x14ac:dyDescent="0.25">
      <c r="A29" s="65" t="s">
        <v>68</v>
      </c>
      <c r="B29" s="83"/>
      <c r="C29" s="66"/>
      <c r="D29" s="66"/>
      <c r="E29" s="66"/>
      <c r="F29" s="77">
        <v>0.71799999999999997</v>
      </c>
      <c r="G29" s="78">
        <f>2/3</f>
        <v>0.66666666666666663</v>
      </c>
      <c r="H29" s="91"/>
      <c r="I29" s="65" t="s">
        <v>78</v>
      </c>
      <c r="J29" s="83"/>
      <c r="K29" s="66"/>
      <c r="L29" s="66"/>
      <c r="M29" s="79">
        <v>2</v>
      </c>
      <c r="N29" s="77">
        <v>0.9</v>
      </c>
      <c r="O29" s="73">
        <v>0.5</v>
      </c>
    </row>
    <row r="30" spans="1:15" s="92" customFormat="1" ht="13.15" customHeight="1" x14ac:dyDescent="0.25">
      <c r="A30" s="65"/>
      <c r="B30" s="83"/>
      <c r="C30" s="66"/>
      <c r="D30" s="66"/>
      <c r="E30" s="66"/>
      <c r="F30" s="77"/>
      <c r="G30" s="78"/>
      <c r="H30" s="91"/>
      <c r="I30" s="65"/>
      <c r="J30" s="83"/>
      <c r="K30" s="66"/>
      <c r="L30" s="66"/>
      <c r="M30" s="79"/>
      <c r="N30" s="77"/>
      <c r="O30" s="73"/>
    </row>
    <row r="31" spans="1:15" s="92" customFormat="1" ht="13.15" customHeight="1" x14ac:dyDescent="0.25">
      <c r="A31" s="65"/>
      <c r="B31" s="83"/>
      <c r="C31" s="66"/>
      <c r="D31" s="66"/>
      <c r="E31" s="66"/>
      <c r="F31" s="77"/>
      <c r="G31" s="78"/>
      <c r="H31" s="91"/>
      <c r="I31" s="65"/>
      <c r="J31" s="83"/>
      <c r="K31" s="66"/>
      <c r="L31" s="66"/>
      <c r="M31" s="79"/>
      <c r="N31" s="77"/>
      <c r="O31" s="87"/>
    </row>
    <row r="32" spans="1:15" s="92" customFormat="1" ht="13.15" customHeight="1" x14ac:dyDescent="0.25">
      <c r="A32" s="65" t="s">
        <v>69</v>
      </c>
      <c r="B32" s="83"/>
      <c r="C32" s="66"/>
      <c r="D32" s="66"/>
      <c r="E32" s="66"/>
      <c r="F32" s="77">
        <v>0.85</v>
      </c>
      <c r="G32" s="78">
        <f>1-G29</f>
        <v>0.33333333333333337</v>
      </c>
      <c r="H32" s="91"/>
      <c r="I32" s="65" t="s">
        <v>79</v>
      </c>
      <c r="J32" s="83"/>
      <c r="K32" s="66"/>
      <c r="L32" s="66"/>
      <c r="M32" s="79">
        <v>0</v>
      </c>
      <c r="N32" s="77">
        <v>1</v>
      </c>
      <c r="O32" s="73">
        <v>0.5</v>
      </c>
    </row>
    <row r="33" spans="1:15" s="92" customFormat="1" ht="13.15" customHeight="1" x14ac:dyDescent="0.25">
      <c r="A33" s="65"/>
      <c r="B33" s="83"/>
      <c r="C33" s="66"/>
      <c r="D33" s="66"/>
      <c r="E33" s="66"/>
      <c r="F33" s="77"/>
      <c r="G33" s="73"/>
      <c r="H33" s="91"/>
      <c r="I33" s="65"/>
      <c r="J33" s="83"/>
      <c r="K33" s="66"/>
      <c r="L33" s="66"/>
      <c r="M33" s="79"/>
      <c r="N33" s="77"/>
      <c r="O33" s="73"/>
    </row>
    <row r="34" spans="1:15" s="92" customFormat="1" ht="13.15" customHeight="1" x14ac:dyDescent="0.25">
      <c r="A34" s="65"/>
      <c r="B34" s="83"/>
      <c r="C34" s="66"/>
      <c r="D34" s="66"/>
      <c r="E34" s="66"/>
      <c r="F34" s="77"/>
      <c r="G34" s="73"/>
      <c r="H34" s="91"/>
      <c r="I34" s="65"/>
      <c r="J34" s="83"/>
      <c r="K34" s="66"/>
      <c r="L34" s="66"/>
      <c r="M34" s="79"/>
      <c r="N34" s="77"/>
      <c r="O34" s="73"/>
    </row>
    <row r="35" spans="1:15" s="92" customFormat="1" ht="13.15" customHeight="1" x14ac:dyDescent="0.25">
      <c r="A35" s="65"/>
      <c r="B35" s="66"/>
      <c r="C35" s="66"/>
      <c r="D35" s="66"/>
      <c r="E35" s="66"/>
      <c r="F35" s="87"/>
      <c r="G35" s="67"/>
      <c r="H35" s="91"/>
      <c r="I35" s="65"/>
      <c r="J35" s="83"/>
      <c r="K35" s="66"/>
      <c r="L35" s="66"/>
      <c r="M35" s="79"/>
      <c r="N35" s="77"/>
      <c r="O35" s="73"/>
    </row>
    <row r="36" spans="1:15" s="92" customFormat="1" x14ac:dyDescent="0.25">
      <c r="A36" s="69"/>
      <c r="B36" s="70"/>
      <c r="C36" s="70"/>
      <c r="D36" s="70"/>
      <c r="E36" s="70"/>
      <c r="F36" s="106"/>
      <c r="G36" s="71"/>
      <c r="H36" s="91"/>
      <c r="I36" s="69"/>
      <c r="J36" s="101"/>
      <c r="K36" s="70"/>
      <c r="L36" s="70"/>
      <c r="M36" s="103"/>
      <c r="N36" s="102"/>
      <c r="O36" s="98"/>
    </row>
  </sheetData>
  <mergeCells count="12">
    <mergeCell ref="B23:E25"/>
    <mergeCell ref="G23:G25"/>
    <mergeCell ref="J23:M25"/>
    <mergeCell ref="O23:O25"/>
    <mergeCell ref="D2:H4"/>
    <mergeCell ref="I2:I4"/>
    <mergeCell ref="L2:O3"/>
    <mergeCell ref="B7:F9"/>
    <mergeCell ref="G7:G9"/>
    <mergeCell ref="J7:M9"/>
    <mergeCell ref="O7:O9"/>
    <mergeCell ref="O13:O15"/>
  </mergeCell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53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321" t="s">
        <v>291</v>
      </c>
      <c r="D2" s="271">
        <f>J21+J27+J39+J9</f>
        <v>0.58423333333333327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B21+B27+B39+B9</f>
        <v>1</v>
      </c>
      <c r="C3" s="322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323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294</v>
      </c>
      <c r="B9" s="166">
        <v>0.6</v>
      </c>
      <c r="C9" s="165"/>
      <c r="D9" s="165"/>
      <c r="E9" s="165"/>
      <c r="F9" s="164"/>
      <c r="G9" s="163"/>
      <c r="H9" s="162">
        <f>SUM(J11:J19)</f>
        <v>0.45833333333333331</v>
      </c>
      <c r="I9" s="198">
        <f>SUM(I11:I19)</f>
        <v>1</v>
      </c>
      <c r="J9" s="161">
        <f>H9*B9</f>
        <v>0.27499999999999997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261</v>
      </c>
      <c r="D11" s="135" t="s">
        <v>5</v>
      </c>
      <c r="E11" s="135" t="s">
        <v>105</v>
      </c>
      <c r="F11" s="226">
        <v>0.8</v>
      </c>
      <c r="G11" s="227">
        <f>G12/G13</f>
        <v>0.85</v>
      </c>
      <c r="H11" s="132">
        <f>IF(G11&lt;F11,0,1-(0.4*G11/F11))</f>
        <v>0.57499999999999996</v>
      </c>
      <c r="I11" s="131">
        <f>1/3</f>
        <v>0.33333333333333331</v>
      </c>
      <c r="J11" s="130">
        <f>H11*I11</f>
        <v>0.19166666666666665</v>
      </c>
    </row>
    <row r="12" spans="1:10" s="116" customFormat="1" hidden="1" outlineLevel="1" x14ac:dyDescent="0.25">
      <c r="C12" s="129" t="s">
        <v>262</v>
      </c>
      <c r="E12" s="116" t="s">
        <v>179</v>
      </c>
      <c r="G12" s="147">
        <v>850</v>
      </c>
      <c r="H12" s="146"/>
      <c r="I12" s="125"/>
      <c r="J12" s="124"/>
    </row>
    <row r="13" spans="1:10" s="116" customFormat="1" hidden="1" outlineLevel="1" x14ac:dyDescent="0.25">
      <c r="C13" s="123" t="s">
        <v>263</v>
      </c>
      <c r="D13" s="122"/>
      <c r="E13" s="122" t="s">
        <v>179</v>
      </c>
      <c r="F13" s="122"/>
      <c r="G13" s="145">
        <v>1000</v>
      </c>
      <c r="H13" s="144"/>
      <c r="I13" s="118"/>
      <c r="J13" s="117"/>
    </row>
    <row r="14" spans="1:10" s="230" customFormat="1" ht="6" hidden="1" customHeight="1" outlineLevel="1" x14ac:dyDescent="0.25">
      <c r="D14" s="247"/>
      <c r="F14" s="248"/>
      <c r="G14" s="249"/>
      <c r="H14" s="250"/>
      <c r="I14" s="251"/>
      <c r="J14" s="251"/>
    </row>
    <row r="15" spans="1:10" s="230" customFormat="1" hidden="1" outlineLevel="1" x14ac:dyDescent="0.25">
      <c r="C15" s="231" t="s">
        <v>264</v>
      </c>
      <c r="D15" s="228" t="s">
        <v>5</v>
      </c>
      <c r="E15" s="228" t="s">
        <v>105</v>
      </c>
      <c r="F15" s="226">
        <v>0.05</v>
      </c>
      <c r="G15" s="259">
        <f>G16/G17</f>
        <v>0.1</v>
      </c>
      <c r="H15" s="221">
        <f>IF(G15&gt;F15,0,1-(0.4*G15/F15))</f>
        <v>0</v>
      </c>
      <c r="I15" s="233">
        <f>1/3</f>
        <v>0.33333333333333331</v>
      </c>
      <c r="J15" s="234">
        <f>H15*I15</f>
        <v>0</v>
      </c>
    </row>
    <row r="16" spans="1:10" s="235" customFormat="1" hidden="1" outlineLevel="1" x14ac:dyDescent="0.25">
      <c r="C16" s="236" t="s">
        <v>265</v>
      </c>
      <c r="E16" s="235" t="s">
        <v>179</v>
      </c>
      <c r="G16" s="237">
        <v>100</v>
      </c>
      <c r="H16" s="238"/>
      <c r="I16" s="239"/>
      <c r="J16" s="240"/>
    </row>
    <row r="17" spans="1:10" s="235" customFormat="1" hidden="1" outlineLevel="1" x14ac:dyDescent="0.25">
      <c r="C17" s="241" t="s">
        <v>266</v>
      </c>
      <c r="D17" s="242"/>
      <c r="E17" s="242" t="s">
        <v>179</v>
      </c>
      <c r="F17" s="242"/>
      <c r="G17" s="243">
        <v>1000</v>
      </c>
      <c r="H17" s="244"/>
      <c r="I17" s="245"/>
      <c r="J17" s="246"/>
    </row>
    <row r="18" spans="1:10" s="230" customFormat="1" ht="6" hidden="1" customHeight="1" outlineLevel="1" x14ac:dyDescent="0.25">
      <c r="D18" s="247"/>
      <c r="F18" s="248"/>
      <c r="G18" s="249"/>
      <c r="H18" s="250"/>
      <c r="I18" s="251"/>
      <c r="J18" s="251"/>
    </row>
    <row r="19" spans="1:10" s="230" customFormat="1" ht="30" hidden="1" outlineLevel="1" x14ac:dyDescent="0.25">
      <c r="C19" s="260" t="s">
        <v>267</v>
      </c>
      <c r="D19" s="215" t="s">
        <v>173</v>
      </c>
      <c r="E19" s="261" t="s">
        <v>105</v>
      </c>
      <c r="F19" s="262">
        <v>0.65</v>
      </c>
      <c r="G19" s="263">
        <v>0.8</v>
      </c>
      <c r="H19" s="264">
        <f>IF(G19&lt;F19,0,G19)</f>
        <v>0.8</v>
      </c>
      <c r="I19" s="265">
        <f>1/3</f>
        <v>0.33333333333333331</v>
      </c>
      <c r="J19" s="266">
        <f>H19*I19</f>
        <v>0.26666666666666666</v>
      </c>
    </row>
    <row r="20" spans="1:10" ht="15.75" collapsed="1" thickBot="1" x14ac:dyDescent="0.3">
      <c r="I20" s="115"/>
    </row>
    <row r="21" spans="1:10" s="160" customFormat="1" ht="15.75" thickBot="1" x14ac:dyDescent="0.3">
      <c r="A21" s="165" t="s">
        <v>14</v>
      </c>
      <c r="B21" s="166">
        <v>0.1</v>
      </c>
      <c r="C21" s="165"/>
      <c r="D21" s="165"/>
      <c r="E21" s="165"/>
      <c r="F21" s="164"/>
      <c r="G21" s="163"/>
      <c r="H21" s="162">
        <f>SUM(J23:J25)</f>
        <v>0.66766666666666663</v>
      </c>
      <c r="I21" s="198">
        <f>SUM(I23:I25)</f>
        <v>1</v>
      </c>
      <c r="J21" s="161">
        <f>H21*B21</f>
        <v>6.6766666666666669E-2</v>
      </c>
    </row>
    <row r="22" spans="1:10" ht="6" hidden="1" customHeight="1" outlineLevel="1" x14ac:dyDescent="0.25">
      <c r="F22" s="115"/>
      <c r="G22" s="159"/>
      <c r="H22" s="159"/>
      <c r="J22" s="159"/>
    </row>
    <row r="23" spans="1:10" ht="30" hidden="1" outlineLevel="1" x14ac:dyDescent="0.25">
      <c r="C23" s="223" t="s">
        <v>119</v>
      </c>
      <c r="D23" s="157" t="s">
        <v>121</v>
      </c>
      <c r="E23" s="156" t="s">
        <v>105</v>
      </c>
      <c r="F23" s="155">
        <v>0.65</v>
      </c>
      <c r="G23" s="154">
        <v>0.65500000000000003</v>
      </c>
      <c r="H23" s="153">
        <f>IF(G23&lt;F23,0,G23)</f>
        <v>0.65500000000000003</v>
      </c>
      <c r="I23" s="152">
        <f>2/3</f>
        <v>0.66666666666666663</v>
      </c>
      <c r="J23" s="151">
        <f>H23*I23</f>
        <v>0.43666666666666665</v>
      </c>
    </row>
    <row r="24" spans="1:10" ht="6" hidden="1" customHeight="1" outlineLevel="1" x14ac:dyDescent="0.25">
      <c r="D24" s="149"/>
      <c r="F24" s="148"/>
      <c r="G24" s="140"/>
      <c r="H24" s="139"/>
      <c r="I24" s="138"/>
      <c r="J24" s="138"/>
    </row>
    <row r="25" spans="1:10" ht="30" hidden="1" outlineLevel="1" x14ac:dyDescent="0.25">
      <c r="C25" s="223" t="s">
        <v>120</v>
      </c>
      <c r="D25" s="157" t="s">
        <v>122</v>
      </c>
      <c r="E25" s="156" t="s">
        <v>105</v>
      </c>
      <c r="F25" s="155">
        <v>0.65</v>
      </c>
      <c r="G25" s="154">
        <v>0.69299999999999995</v>
      </c>
      <c r="H25" s="153">
        <f>IF(G25&lt;F25,0,G25)</f>
        <v>0.69299999999999995</v>
      </c>
      <c r="I25" s="152">
        <f>1/3</f>
        <v>0.33333333333333331</v>
      </c>
      <c r="J25" s="151">
        <f>H25*I25</f>
        <v>0.23099999999999998</v>
      </c>
    </row>
    <row r="26" spans="1:10" ht="15.75" collapsed="1" thickBot="1" x14ac:dyDescent="0.3">
      <c r="I26" s="115"/>
    </row>
    <row r="27" spans="1:10" s="160" customFormat="1" ht="15.75" thickBot="1" x14ac:dyDescent="0.3">
      <c r="A27" s="165" t="s">
        <v>15</v>
      </c>
      <c r="B27" s="166">
        <v>0.2</v>
      </c>
      <c r="C27" s="165"/>
      <c r="D27" s="165"/>
      <c r="E27" s="165"/>
      <c r="F27" s="164"/>
      <c r="G27" s="163"/>
      <c r="H27" s="162">
        <f>SUM(J29:J37)</f>
        <v>0.90833333333333321</v>
      </c>
      <c r="I27" s="198">
        <f>SUM(I29:I37)</f>
        <v>1</v>
      </c>
      <c r="J27" s="161">
        <f>H27*B27</f>
        <v>0.18166666666666664</v>
      </c>
    </row>
    <row r="28" spans="1:10" ht="6" hidden="1" customHeight="1" outlineLevel="1" x14ac:dyDescent="0.25">
      <c r="D28" s="149"/>
      <c r="F28" s="148"/>
      <c r="G28" s="140"/>
      <c r="H28" s="139"/>
      <c r="I28" s="138"/>
      <c r="J28" s="138"/>
    </row>
    <row r="29" spans="1:10" ht="30" hidden="1" outlineLevel="1" x14ac:dyDescent="0.25">
      <c r="C29" s="158" t="s">
        <v>4</v>
      </c>
      <c r="D29" s="215" t="s">
        <v>173</v>
      </c>
      <c r="E29" s="156" t="s">
        <v>105</v>
      </c>
      <c r="F29" s="155">
        <v>0.65</v>
      </c>
      <c r="G29" s="154">
        <v>0.8</v>
      </c>
      <c r="H29" s="153">
        <f>IF(G29&lt;F29,0,G29)</f>
        <v>0.8</v>
      </c>
      <c r="I29" s="152">
        <f>1/3</f>
        <v>0.33333333333333331</v>
      </c>
      <c r="J29" s="151">
        <f>H29*I29</f>
        <v>0.26666666666666666</v>
      </c>
    </row>
    <row r="30" spans="1:10" ht="6" hidden="1" customHeight="1" outlineLevel="1" x14ac:dyDescent="0.25">
      <c r="C30" s="142"/>
      <c r="D30" s="143"/>
      <c r="E30" s="142"/>
      <c r="F30" s="141"/>
      <c r="G30" s="140"/>
      <c r="H30" s="139"/>
      <c r="I30" s="138"/>
      <c r="J30" s="137"/>
    </row>
    <row r="31" spans="1:10" hidden="1" outlineLevel="1" x14ac:dyDescent="0.25">
      <c r="C31" s="136" t="s">
        <v>258</v>
      </c>
      <c r="D31" s="135" t="s">
        <v>128</v>
      </c>
      <c r="E31" s="135" t="s">
        <v>105</v>
      </c>
      <c r="F31" s="134">
        <v>0.95</v>
      </c>
      <c r="G31" s="133">
        <f>(G33-G32)/G33</f>
        <v>0.95833333333333337</v>
      </c>
      <c r="H31" s="132">
        <f>IF(G31&lt;F31,0,G31)</f>
        <v>0.95833333333333337</v>
      </c>
      <c r="I31" s="131">
        <f>1/3</f>
        <v>0.33333333333333331</v>
      </c>
      <c r="J31" s="130">
        <f>H31*I31</f>
        <v>0.31944444444444442</v>
      </c>
    </row>
    <row r="32" spans="1:10" s="116" customFormat="1" hidden="1" outlineLevel="1" x14ac:dyDescent="0.25">
      <c r="C32" s="129" t="s">
        <v>254</v>
      </c>
      <c r="E32" s="116" t="s">
        <v>135</v>
      </c>
      <c r="F32" s="128"/>
      <c r="G32" s="147">
        <f>0.5*20</f>
        <v>10</v>
      </c>
      <c r="H32" s="126"/>
      <c r="I32" s="125"/>
      <c r="J32" s="124"/>
    </row>
    <row r="33" spans="1:10" s="116" customFormat="1" hidden="1" outlineLevel="1" x14ac:dyDescent="0.25">
      <c r="C33" s="123" t="s">
        <v>255</v>
      </c>
      <c r="D33" s="122"/>
      <c r="E33" s="122" t="s">
        <v>135</v>
      </c>
      <c r="F33" s="121"/>
      <c r="G33" s="145">
        <f>G37*8</f>
        <v>240</v>
      </c>
      <c r="H33" s="119"/>
      <c r="I33" s="118"/>
      <c r="J33" s="117"/>
    </row>
    <row r="34" spans="1:10" ht="6" hidden="1" customHeight="1" outlineLevel="1" x14ac:dyDescent="0.25">
      <c r="C34" s="142"/>
      <c r="D34" s="143"/>
      <c r="E34" s="142"/>
      <c r="F34" s="141"/>
      <c r="G34" s="140"/>
      <c r="H34" s="139"/>
      <c r="I34" s="138"/>
      <c r="J34" s="137"/>
    </row>
    <row r="35" spans="1:10" hidden="1" outlineLevel="1" x14ac:dyDescent="0.25">
      <c r="C35" s="136" t="s">
        <v>259</v>
      </c>
      <c r="D35" s="135" t="s">
        <v>128</v>
      </c>
      <c r="E35" s="135" t="s">
        <v>105</v>
      </c>
      <c r="F35" s="134">
        <v>0.95</v>
      </c>
      <c r="G35" s="133">
        <f>(G37-G36)/G37</f>
        <v>0.96666666666666667</v>
      </c>
      <c r="H35" s="132">
        <f>IF(G35&lt;F35,0,G35)</f>
        <v>0.96666666666666667</v>
      </c>
      <c r="I35" s="131">
        <f>1/3</f>
        <v>0.33333333333333331</v>
      </c>
      <c r="J35" s="130">
        <f>H35*I35</f>
        <v>0.32222222222222219</v>
      </c>
    </row>
    <row r="36" spans="1:10" s="116" customFormat="1" hidden="1" outlineLevel="1" x14ac:dyDescent="0.25">
      <c r="C36" s="129" t="s">
        <v>256</v>
      </c>
      <c r="E36" s="116" t="s">
        <v>132</v>
      </c>
      <c r="G36" s="147">
        <v>1</v>
      </c>
      <c r="H36" s="146"/>
      <c r="I36" s="125"/>
      <c r="J36" s="124"/>
    </row>
    <row r="37" spans="1:10" s="116" customFormat="1" hidden="1" outlineLevel="1" x14ac:dyDescent="0.25">
      <c r="C37" s="123" t="s">
        <v>257</v>
      </c>
      <c r="D37" s="122"/>
      <c r="E37" s="122" t="s">
        <v>132</v>
      </c>
      <c r="F37" s="122"/>
      <c r="G37" s="145">
        <f>30</f>
        <v>30</v>
      </c>
      <c r="H37" s="144"/>
      <c r="I37" s="118"/>
      <c r="J37" s="117"/>
    </row>
    <row r="38" spans="1:10" ht="15.75" collapsed="1" thickBot="1" x14ac:dyDescent="0.3">
      <c r="I38" s="115"/>
    </row>
    <row r="39" spans="1:10" s="160" customFormat="1" ht="15.75" thickBot="1" x14ac:dyDescent="0.3">
      <c r="A39" s="165" t="s">
        <v>13</v>
      </c>
      <c r="B39" s="166">
        <v>0.1</v>
      </c>
      <c r="C39" s="165"/>
      <c r="D39" s="165"/>
      <c r="E39" s="165"/>
      <c r="F39" s="164"/>
      <c r="G39" s="163"/>
      <c r="H39" s="162">
        <f>D51</f>
        <v>0.6080000000000001</v>
      </c>
      <c r="I39" s="161"/>
      <c r="J39" s="161">
        <f>H39*B39</f>
        <v>6.0800000000000014E-2</v>
      </c>
    </row>
    <row r="40" spans="1:10" ht="6" hidden="1" customHeight="1" outlineLevel="1" x14ac:dyDescent="0.25">
      <c r="D40" s="149"/>
      <c r="F40" s="148"/>
      <c r="G40" s="140"/>
      <c r="H40" s="139"/>
      <c r="I40" s="138"/>
      <c r="J40" s="138"/>
    </row>
    <row r="41" spans="1:10" hidden="1" outlineLevel="1" x14ac:dyDescent="0.25">
      <c r="C41" s="136" t="s">
        <v>221</v>
      </c>
      <c r="D41" s="135" t="s">
        <v>5</v>
      </c>
      <c r="E41" s="135" t="s">
        <v>105</v>
      </c>
      <c r="F41" s="134"/>
      <c r="G41" s="186">
        <f>G42/G43</f>
        <v>4.0000000000000002E-4</v>
      </c>
    </row>
    <row r="42" spans="1:10" s="116" customFormat="1" hidden="1" outlineLevel="1" x14ac:dyDescent="0.25">
      <c r="C42" s="129" t="s">
        <v>137</v>
      </c>
      <c r="E42" s="187" t="s">
        <v>102</v>
      </c>
      <c r="F42" s="187"/>
      <c r="G42" s="189">
        <v>80</v>
      </c>
      <c r="H42" s="114"/>
      <c r="I42" s="114"/>
      <c r="J42" s="114"/>
    </row>
    <row r="43" spans="1:10" s="116" customFormat="1" hidden="1" outlineLevel="1" x14ac:dyDescent="0.25">
      <c r="C43" s="123" t="s">
        <v>222</v>
      </c>
      <c r="D43" s="122"/>
      <c r="E43" s="122" t="s">
        <v>102</v>
      </c>
      <c r="F43" s="122"/>
      <c r="G43" s="222">
        <v>200000</v>
      </c>
      <c r="H43" s="114"/>
      <c r="I43" s="114"/>
      <c r="J43" s="114"/>
    </row>
    <row r="44" spans="1:10" ht="6" hidden="1" customHeight="1" outlineLevel="1" x14ac:dyDescent="0.25">
      <c r="C44" s="142"/>
      <c r="D44" s="149"/>
      <c r="E44" s="142"/>
      <c r="F44" s="141"/>
      <c r="G44" s="140"/>
    </row>
    <row r="45" spans="1:10" hidden="1" outlineLevel="1" x14ac:dyDescent="0.25">
      <c r="C45" s="136" t="s">
        <v>223</v>
      </c>
      <c r="D45" s="135" t="s">
        <v>5</v>
      </c>
      <c r="E45" s="135" t="s">
        <v>105</v>
      </c>
      <c r="F45" s="134"/>
      <c r="G45" s="186">
        <f>G46/G47</f>
        <v>4.4999999999999997E-3</v>
      </c>
    </row>
    <row r="46" spans="1:10" s="116" customFormat="1" hidden="1" outlineLevel="1" x14ac:dyDescent="0.25">
      <c r="C46" s="129" t="s">
        <v>139</v>
      </c>
      <c r="D46" s="187"/>
      <c r="E46" s="187" t="s">
        <v>102</v>
      </c>
      <c r="F46" s="188"/>
      <c r="G46" s="189">
        <v>900</v>
      </c>
      <c r="H46" s="114"/>
      <c r="I46" s="114"/>
      <c r="J46" s="114"/>
    </row>
    <row r="47" spans="1:10" s="116" customFormat="1" hidden="1" outlineLevel="1" x14ac:dyDescent="0.25">
      <c r="C47" s="123" t="s">
        <v>222</v>
      </c>
      <c r="D47" s="122"/>
      <c r="E47" s="122" t="s">
        <v>102</v>
      </c>
      <c r="F47" s="121"/>
      <c r="G47" s="190">
        <f>G43</f>
        <v>200000</v>
      </c>
      <c r="H47" s="114"/>
      <c r="I47" s="114"/>
      <c r="J47" s="114"/>
    </row>
    <row r="48" spans="1:10" hidden="1" outlineLevel="1" x14ac:dyDescent="0.25">
      <c r="I48" s="115"/>
    </row>
    <row r="49" spans="3:4" hidden="1" outlineLevel="1" x14ac:dyDescent="0.25">
      <c r="C49" s="182" t="s">
        <v>140</v>
      </c>
      <c r="D49" s="192">
        <f>G41+G45</f>
        <v>4.8999999999999998E-3</v>
      </c>
    </row>
    <row r="50" spans="3:4" hidden="1" outlineLevel="1" x14ac:dyDescent="0.25">
      <c r="C50" s="178" t="s">
        <v>141</v>
      </c>
      <c r="D50" s="193">
        <v>5.0000000000000001E-3</v>
      </c>
    </row>
    <row r="51" spans="3:4" hidden="1" outlineLevel="1" x14ac:dyDescent="0.25">
      <c r="C51" s="194" t="s">
        <v>17</v>
      </c>
      <c r="D51" s="195">
        <f>IF(D49&gt;D50,0,1-(0.4*D49/D50))</f>
        <v>0.6080000000000001</v>
      </c>
    </row>
    <row r="52" spans="3:4" collapsed="1" x14ac:dyDescent="0.25">
      <c r="D52" s="191"/>
    </row>
    <row r="53" spans="3:4" x14ac:dyDescent="0.25">
      <c r="D53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90" zoomScaleNormal="90" workbookViewId="0">
      <selection activeCell="D2" sqref="D2:H4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324" t="s">
        <v>80</v>
      </c>
      <c r="E2" s="325"/>
      <c r="F2" s="325"/>
      <c r="G2" s="325"/>
      <c r="H2" s="326"/>
      <c r="I2" s="312">
        <f>(G7*A8)+(G25*A26)+(O25*I26)</f>
        <v>0.63369999999999993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327"/>
      <c r="E3" s="328"/>
      <c r="F3" s="328"/>
      <c r="G3" s="328"/>
      <c r="H3" s="329"/>
      <c r="I3" s="313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30"/>
      <c r="E4" s="331"/>
      <c r="F4" s="331"/>
      <c r="G4" s="331"/>
      <c r="H4" s="332"/>
      <c r="I4" s="314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3.15" customHeight="1" x14ac:dyDescent="0.25">
      <c r="A7" s="9"/>
      <c r="B7" s="309" t="s">
        <v>88</v>
      </c>
      <c r="C7" s="309"/>
      <c r="D7" s="309"/>
      <c r="E7" s="309"/>
      <c r="F7" s="315"/>
      <c r="G7" s="312">
        <f>SUMPRODUCT(F12:F23,G12:G23)</f>
        <v>0.52499999999999991</v>
      </c>
      <c r="H7" s="2"/>
    </row>
    <row r="8" spans="1:15" ht="13.15" customHeight="1" x14ac:dyDescent="0.25">
      <c r="A8" s="89">
        <v>0.7</v>
      </c>
      <c r="B8" s="310"/>
      <c r="C8" s="310"/>
      <c r="D8" s="310"/>
      <c r="E8" s="310"/>
      <c r="F8" s="316"/>
      <c r="G8" s="313"/>
      <c r="H8" s="2"/>
    </row>
    <row r="9" spans="1:15" ht="13.15" customHeight="1" x14ac:dyDescent="0.25">
      <c r="A9" s="15"/>
      <c r="B9" s="311"/>
      <c r="C9" s="311"/>
      <c r="D9" s="311"/>
      <c r="E9" s="311"/>
      <c r="F9" s="317"/>
      <c r="G9" s="313"/>
      <c r="H9" s="2"/>
    </row>
    <row r="10" spans="1:15" s="58" customFormat="1" ht="13.15" customHeight="1" x14ac:dyDescent="0.25">
      <c r="A10" s="53" t="s">
        <v>16</v>
      </c>
      <c r="B10" s="54"/>
      <c r="C10" s="54"/>
      <c r="D10" s="54"/>
      <c r="E10" s="57" t="s">
        <v>21</v>
      </c>
      <c r="F10" s="57" t="s">
        <v>17</v>
      </c>
      <c r="G10" s="55" t="s">
        <v>9</v>
      </c>
      <c r="H10" s="56"/>
      <c r="I10" s="60"/>
      <c r="J10" s="60"/>
      <c r="K10" s="60"/>
      <c r="L10" s="60"/>
      <c r="M10" s="60"/>
      <c r="N10" s="60"/>
      <c r="O10" s="60"/>
    </row>
    <row r="11" spans="1:15" ht="13.15" customHeight="1" x14ac:dyDescent="0.25">
      <c r="A11" s="18"/>
      <c r="B11" s="19"/>
      <c r="C11" s="19"/>
      <c r="D11" s="19"/>
      <c r="E11" s="29"/>
      <c r="F11" s="20"/>
      <c r="G11" s="21"/>
      <c r="H11" s="2"/>
    </row>
    <row r="12" spans="1:15" ht="13.15" customHeight="1" x14ac:dyDescent="0.25">
      <c r="A12" s="65" t="s">
        <v>81</v>
      </c>
      <c r="B12" s="46"/>
      <c r="C12" s="41"/>
      <c r="D12" s="41"/>
      <c r="E12" s="50" t="s">
        <v>54</v>
      </c>
      <c r="F12" s="50">
        <v>0.7</v>
      </c>
      <c r="G12" s="43">
        <v>0.25</v>
      </c>
      <c r="H12" s="2"/>
    </row>
    <row r="13" spans="1:15" ht="13.15" customHeight="1" x14ac:dyDescent="0.25">
      <c r="A13" s="65" t="s">
        <v>82</v>
      </c>
      <c r="B13" s="46"/>
      <c r="C13" s="41"/>
      <c r="D13" s="41"/>
      <c r="E13" s="50"/>
      <c r="F13" s="50"/>
      <c r="G13" s="43"/>
      <c r="H13" s="2"/>
    </row>
    <row r="14" spans="1:15" ht="13.15" customHeight="1" x14ac:dyDescent="0.25">
      <c r="A14" s="40"/>
      <c r="B14" s="46"/>
      <c r="C14" s="41"/>
      <c r="D14" s="41"/>
      <c r="E14" s="50"/>
      <c r="F14" s="50"/>
      <c r="G14" s="43"/>
      <c r="H14" s="2"/>
    </row>
    <row r="15" spans="1:15" ht="13.15" customHeight="1" x14ac:dyDescent="0.25">
      <c r="A15" s="65"/>
      <c r="B15" s="46"/>
      <c r="C15" s="41"/>
      <c r="D15" s="41"/>
      <c r="E15" s="50"/>
      <c r="F15" s="50"/>
      <c r="G15" s="43"/>
      <c r="H15" s="2"/>
    </row>
    <row r="16" spans="1:15" ht="13.15" customHeight="1" x14ac:dyDescent="0.25">
      <c r="A16" s="65"/>
      <c r="B16" s="46"/>
      <c r="C16" s="41"/>
      <c r="D16" s="41"/>
      <c r="E16" s="50"/>
      <c r="F16" s="50"/>
      <c r="G16" s="43"/>
      <c r="H16" s="2"/>
    </row>
    <row r="17" spans="1:15" ht="13.15" customHeight="1" x14ac:dyDescent="0.25">
      <c r="A17" s="65"/>
      <c r="B17" s="46"/>
      <c r="C17" s="41"/>
      <c r="D17" s="41"/>
      <c r="E17" s="50"/>
      <c r="F17" s="50"/>
      <c r="G17" s="43"/>
      <c r="H17" s="2"/>
    </row>
    <row r="18" spans="1:15" ht="13.15" customHeight="1" x14ac:dyDescent="0.25">
      <c r="A18" s="65" t="s">
        <v>85</v>
      </c>
      <c r="B18" s="46"/>
      <c r="C18" s="41"/>
      <c r="D18" s="41"/>
      <c r="E18" s="50" t="s">
        <v>54</v>
      </c>
      <c r="F18" s="50">
        <v>0.7</v>
      </c>
      <c r="G18" s="43">
        <v>0.25</v>
      </c>
      <c r="H18" s="2"/>
    </row>
    <row r="19" spans="1:15" ht="13.15" customHeight="1" x14ac:dyDescent="0.25">
      <c r="A19" s="65" t="s">
        <v>84</v>
      </c>
      <c r="B19" s="46"/>
      <c r="C19" s="41"/>
      <c r="D19" s="41"/>
      <c r="E19" s="50"/>
      <c r="F19" s="50"/>
      <c r="G19" s="43"/>
      <c r="H19" s="2"/>
    </row>
    <row r="20" spans="1:15" ht="13.15" customHeight="1" x14ac:dyDescent="0.25">
      <c r="A20" s="65"/>
      <c r="B20" s="46"/>
      <c r="C20" s="41"/>
      <c r="D20" s="41"/>
      <c r="E20" s="50"/>
      <c r="F20" s="50"/>
      <c r="G20" s="43"/>
      <c r="H20" s="2"/>
    </row>
    <row r="21" spans="1:15" ht="13.15" customHeight="1" x14ac:dyDescent="0.25">
      <c r="A21" s="65" t="s">
        <v>86</v>
      </c>
      <c r="B21" s="46"/>
      <c r="C21" s="41"/>
      <c r="D21" s="41"/>
      <c r="E21" s="50" t="s">
        <v>54</v>
      </c>
      <c r="F21" s="50">
        <v>0.7</v>
      </c>
      <c r="G21" s="43">
        <v>0.25</v>
      </c>
      <c r="H21" s="2"/>
    </row>
    <row r="22" spans="1:15" ht="13.15" customHeight="1" x14ac:dyDescent="0.25">
      <c r="A22" s="65" t="s">
        <v>87</v>
      </c>
      <c r="B22" s="46"/>
      <c r="C22" s="41"/>
      <c r="D22" s="41"/>
      <c r="E22" s="50"/>
      <c r="F22" s="50"/>
      <c r="G22" s="43"/>
      <c r="H22" s="2"/>
    </row>
    <row r="23" spans="1:15" ht="13.15" customHeight="1" x14ac:dyDescent="0.25">
      <c r="A23" s="25"/>
      <c r="B23" s="26"/>
      <c r="C23" s="26"/>
      <c r="D23" s="26"/>
      <c r="E23" s="27"/>
      <c r="F23" s="27"/>
      <c r="G23" s="30"/>
      <c r="H23" s="2"/>
    </row>
    <row r="24" spans="1:15" ht="13.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3.15" customHeight="1" x14ac:dyDescent="0.25">
      <c r="A25" s="9"/>
      <c r="B25" s="309" t="s">
        <v>14</v>
      </c>
      <c r="C25" s="309"/>
      <c r="D25" s="309"/>
      <c r="E25" s="309"/>
      <c r="F25" s="8"/>
      <c r="G25" s="312">
        <f>SUMPRODUCT(F31:F34,G31:G34)</f>
        <v>0.76200000000000001</v>
      </c>
      <c r="H25" s="2"/>
      <c r="I25" s="9"/>
      <c r="J25" s="309" t="s">
        <v>15</v>
      </c>
      <c r="K25" s="309"/>
      <c r="L25" s="309"/>
      <c r="M25" s="309"/>
      <c r="N25" s="8"/>
      <c r="O25" s="312">
        <f>SUMPRODUCT(N30:N36,O30:O36)</f>
        <v>0.95</v>
      </c>
    </row>
    <row r="26" spans="1:15" ht="13.15" customHeight="1" x14ac:dyDescent="0.25">
      <c r="A26" s="89">
        <v>0.1</v>
      </c>
      <c r="B26" s="310"/>
      <c r="C26" s="310"/>
      <c r="D26" s="310"/>
      <c r="E26" s="310"/>
      <c r="F26" s="11"/>
      <c r="G26" s="313"/>
      <c r="H26" s="2"/>
      <c r="I26" s="89">
        <v>0.2</v>
      </c>
      <c r="J26" s="310"/>
      <c r="K26" s="310"/>
      <c r="L26" s="310"/>
      <c r="M26" s="310"/>
      <c r="N26" s="11"/>
      <c r="O26" s="313"/>
    </row>
    <row r="27" spans="1:15" ht="13.15" customHeight="1" x14ac:dyDescent="0.25">
      <c r="A27" s="15"/>
      <c r="B27" s="311"/>
      <c r="C27" s="311"/>
      <c r="D27" s="311"/>
      <c r="E27" s="311"/>
      <c r="F27" s="14"/>
      <c r="G27" s="313"/>
      <c r="H27" s="2"/>
      <c r="I27" s="15"/>
      <c r="J27" s="311"/>
      <c r="K27" s="311"/>
      <c r="L27" s="311"/>
      <c r="M27" s="311"/>
      <c r="N27" s="14"/>
      <c r="O27" s="313"/>
    </row>
    <row r="28" spans="1:15" s="60" customFormat="1" ht="13.15" customHeight="1" x14ac:dyDescent="0.25">
      <c r="A28" s="62" t="s">
        <v>16</v>
      </c>
      <c r="B28" s="63"/>
      <c r="C28" s="63"/>
      <c r="D28" s="63"/>
      <c r="E28" s="63"/>
      <c r="F28" s="75" t="s">
        <v>17</v>
      </c>
      <c r="G28" s="75" t="s">
        <v>9</v>
      </c>
      <c r="H28" s="91"/>
      <c r="I28" s="62" t="s">
        <v>16</v>
      </c>
      <c r="J28" s="63"/>
      <c r="K28" s="63"/>
      <c r="L28" s="63"/>
      <c r="M28" s="75" t="s">
        <v>21</v>
      </c>
      <c r="N28" s="75" t="s">
        <v>17</v>
      </c>
      <c r="O28" s="64" t="s">
        <v>9</v>
      </c>
    </row>
    <row r="29" spans="1:15" ht="13.15" customHeight="1" x14ac:dyDescent="0.25">
      <c r="A29" s="65"/>
      <c r="B29" s="66"/>
      <c r="C29" s="66"/>
      <c r="D29" s="66"/>
      <c r="E29" s="66"/>
      <c r="F29" s="76"/>
      <c r="G29" s="76"/>
      <c r="H29" s="91"/>
      <c r="I29" s="65"/>
      <c r="J29" s="83"/>
      <c r="K29" s="66"/>
      <c r="L29" s="66"/>
      <c r="M29" s="79"/>
      <c r="N29" s="77"/>
      <c r="O29" s="73"/>
    </row>
    <row r="30" spans="1:15" ht="13.15" customHeight="1" x14ac:dyDescent="0.25">
      <c r="A30" s="65"/>
      <c r="B30" s="66"/>
      <c r="C30" s="66"/>
      <c r="D30" s="66"/>
      <c r="E30" s="66"/>
      <c r="F30" s="76"/>
      <c r="G30" s="76"/>
      <c r="H30" s="91"/>
      <c r="I30" s="65"/>
      <c r="J30" s="83"/>
      <c r="K30" s="66"/>
      <c r="L30" s="66"/>
      <c r="M30" s="79"/>
      <c r="N30" s="77"/>
      <c r="O30" s="73"/>
    </row>
    <row r="31" spans="1:15" ht="13.15" customHeight="1" x14ac:dyDescent="0.25">
      <c r="A31" s="65" t="s">
        <v>68</v>
      </c>
      <c r="B31" s="83"/>
      <c r="C31" s="66"/>
      <c r="D31" s="66"/>
      <c r="E31" s="66"/>
      <c r="F31" s="77">
        <v>0.71799999999999997</v>
      </c>
      <c r="G31" s="78">
        <f>2/3</f>
        <v>0.66666666666666663</v>
      </c>
      <c r="H31" s="91"/>
      <c r="I31" s="65" t="s">
        <v>58</v>
      </c>
      <c r="J31" s="83"/>
      <c r="K31" s="66"/>
      <c r="L31" s="66"/>
      <c r="M31" s="79">
        <v>2</v>
      </c>
      <c r="N31" s="77">
        <v>0.9</v>
      </c>
      <c r="O31" s="73">
        <v>0.5</v>
      </c>
    </row>
    <row r="32" spans="1:15" ht="13.15" customHeight="1" x14ac:dyDescent="0.25">
      <c r="A32" s="65"/>
      <c r="B32" s="83"/>
      <c r="C32" s="66"/>
      <c r="D32" s="66"/>
      <c r="E32" s="66"/>
      <c r="F32" s="77"/>
      <c r="G32" s="78"/>
      <c r="H32" s="91"/>
      <c r="I32" s="65"/>
      <c r="J32" s="83"/>
      <c r="K32" s="66"/>
      <c r="L32" s="66"/>
      <c r="M32" s="79"/>
      <c r="N32" s="77"/>
      <c r="O32" s="73"/>
    </row>
    <row r="33" spans="1:15" ht="13.15" customHeight="1" x14ac:dyDescent="0.25">
      <c r="A33" s="65"/>
      <c r="B33" s="83"/>
      <c r="C33" s="66"/>
      <c r="D33" s="66"/>
      <c r="E33" s="66"/>
      <c r="F33" s="77"/>
      <c r="G33" s="78"/>
      <c r="H33" s="91"/>
      <c r="I33" s="65"/>
      <c r="J33" s="83"/>
      <c r="K33" s="66"/>
      <c r="L33" s="66"/>
      <c r="M33" s="79"/>
      <c r="N33" s="77"/>
      <c r="O33" s="87"/>
    </row>
    <row r="34" spans="1:15" ht="13.15" customHeight="1" x14ac:dyDescent="0.25">
      <c r="A34" s="65" t="s">
        <v>69</v>
      </c>
      <c r="B34" s="83"/>
      <c r="C34" s="66"/>
      <c r="D34" s="66"/>
      <c r="E34" s="66"/>
      <c r="F34" s="77">
        <v>0.85</v>
      </c>
      <c r="G34" s="78">
        <f>1-G31</f>
        <v>0.33333333333333337</v>
      </c>
      <c r="H34" s="91"/>
      <c r="I34" s="65" t="s">
        <v>59</v>
      </c>
      <c r="J34" s="83"/>
      <c r="K34" s="66"/>
      <c r="L34" s="66"/>
      <c r="M34" s="79">
        <v>0</v>
      </c>
      <c r="N34" s="77">
        <v>1</v>
      </c>
      <c r="O34" s="73">
        <v>0.5</v>
      </c>
    </row>
    <row r="35" spans="1:15" ht="13.15" customHeight="1" x14ac:dyDescent="0.25">
      <c r="A35" s="65"/>
      <c r="B35" s="83"/>
      <c r="C35" s="66"/>
      <c r="D35" s="66"/>
      <c r="E35" s="66"/>
      <c r="F35" s="77"/>
      <c r="G35" s="73"/>
      <c r="H35" s="91"/>
      <c r="I35" s="65"/>
      <c r="J35" s="83"/>
      <c r="K35" s="66"/>
      <c r="L35" s="66"/>
      <c r="M35" s="79"/>
      <c r="N35" s="77"/>
      <c r="O35" s="73"/>
    </row>
    <row r="36" spans="1:15" x14ac:dyDescent="0.25">
      <c r="A36" s="69"/>
      <c r="B36" s="70"/>
      <c r="C36" s="70"/>
      <c r="D36" s="70"/>
      <c r="E36" s="70"/>
      <c r="F36" s="106"/>
      <c r="G36" s="71"/>
      <c r="H36" s="91"/>
      <c r="I36" s="69"/>
      <c r="J36" s="101"/>
      <c r="K36" s="70"/>
      <c r="L36" s="70"/>
      <c r="M36" s="103"/>
      <c r="N36" s="102"/>
      <c r="O36" s="98"/>
    </row>
  </sheetData>
  <mergeCells count="9">
    <mergeCell ref="B25:E27"/>
    <mergeCell ref="G25:G27"/>
    <mergeCell ref="J25:M27"/>
    <mergeCell ref="O25:O27"/>
    <mergeCell ref="D2:H4"/>
    <mergeCell ref="I2:I4"/>
    <mergeCell ref="L2:O3"/>
    <mergeCell ref="B7:F9"/>
    <mergeCell ref="G7:G9"/>
  </mergeCells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61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303" t="s">
        <v>290</v>
      </c>
      <c r="D2" s="271">
        <f>J29+J35+J47+J9</f>
        <v>0.57523333333333326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B29+B35+B47+B9</f>
        <v>1</v>
      </c>
      <c r="C3" s="304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305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293</v>
      </c>
      <c r="B9" s="166">
        <v>0.6</v>
      </c>
      <c r="C9" s="165"/>
      <c r="D9" s="165"/>
      <c r="E9" s="165"/>
      <c r="F9" s="164"/>
      <c r="G9" s="163"/>
      <c r="H9" s="162">
        <f>SUM(J11:J27)</f>
        <v>0.44333333333333336</v>
      </c>
      <c r="I9" s="198">
        <f>SUM(I11:I27)</f>
        <v>1</v>
      </c>
      <c r="J9" s="161">
        <f>H9*B9</f>
        <v>0.26600000000000001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t="30" hidden="1" outlineLevel="1" x14ac:dyDescent="0.25">
      <c r="C11" s="219" t="s">
        <v>270</v>
      </c>
      <c r="D11" s="228" t="s">
        <v>271</v>
      </c>
      <c r="E11" s="135" t="s">
        <v>105</v>
      </c>
      <c r="F11" s="226">
        <v>0.8</v>
      </c>
      <c r="G11" s="227">
        <f>G12/G13</f>
        <v>0.83333333333333337</v>
      </c>
      <c r="H11" s="132">
        <f>IF(G11&lt;F11,0,1-(0.4*G11/F11))</f>
        <v>0.58333333333333326</v>
      </c>
      <c r="I11" s="131">
        <v>0.2</v>
      </c>
      <c r="J11" s="130">
        <f>H11*I11</f>
        <v>0.11666666666666665</v>
      </c>
    </row>
    <row r="12" spans="1:10" s="116" customFormat="1" hidden="1" outlineLevel="1" x14ac:dyDescent="0.25">
      <c r="C12" s="129" t="s">
        <v>187</v>
      </c>
      <c r="E12" s="116" t="s">
        <v>179</v>
      </c>
      <c r="F12" s="128"/>
      <c r="G12" s="147">
        <v>25</v>
      </c>
      <c r="H12" s="146"/>
      <c r="I12" s="125"/>
      <c r="J12" s="124"/>
    </row>
    <row r="13" spans="1:10" s="116" customFormat="1" hidden="1" outlineLevel="1" x14ac:dyDescent="0.25">
      <c r="C13" s="123" t="s">
        <v>180</v>
      </c>
      <c r="D13" s="122"/>
      <c r="E13" s="122" t="s">
        <v>179</v>
      </c>
      <c r="F13" s="121"/>
      <c r="G13" s="145">
        <v>30</v>
      </c>
      <c r="H13" s="144"/>
      <c r="I13" s="118"/>
      <c r="J13" s="117"/>
    </row>
    <row r="14" spans="1:10" ht="6" hidden="1" customHeight="1" outlineLevel="1" x14ac:dyDescent="0.25">
      <c r="D14" s="149"/>
      <c r="F14" s="148"/>
      <c r="G14" s="140"/>
      <c r="H14" s="139"/>
      <c r="I14" s="138"/>
      <c r="J14" s="138"/>
    </row>
    <row r="15" spans="1:10" hidden="1" outlineLevel="1" x14ac:dyDescent="0.25">
      <c r="C15" s="136" t="s">
        <v>264</v>
      </c>
      <c r="D15" s="135" t="s">
        <v>5</v>
      </c>
      <c r="E15" s="135" t="s">
        <v>105</v>
      </c>
      <c r="F15" s="226">
        <v>0.05</v>
      </c>
      <c r="G15" s="227">
        <f>G16/G17</f>
        <v>0.1</v>
      </c>
      <c r="H15" s="132">
        <f>IF(G15&gt;F15,0,1-(0.4*G15/F15))</f>
        <v>0</v>
      </c>
      <c r="I15" s="131">
        <v>0.2</v>
      </c>
      <c r="J15" s="130">
        <f>H15*I15</f>
        <v>0</v>
      </c>
    </row>
    <row r="16" spans="1:10" s="116" customFormat="1" hidden="1" outlineLevel="1" x14ac:dyDescent="0.25">
      <c r="C16" s="129" t="s">
        <v>265</v>
      </c>
      <c r="E16" s="116" t="s">
        <v>179</v>
      </c>
      <c r="G16" s="147">
        <v>100</v>
      </c>
      <c r="H16" s="146"/>
      <c r="I16" s="125"/>
      <c r="J16" s="124"/>
    </row>
    <row r="17" spans="1:10" s="116" customFormat="1" hidden="1" outlineLevel="1" x14ac:dyDescent="0.25">
      <c r="C17" s="123" t="s">
        <v>266</v>
      </c>
      <c r="D17" s="122"/>
      <c r="E17" s="122" t="s">
        <v>179</v>
      </c>
      <c r="F17" s="122"/>
      <c r="G17" s="145">
        <v>1000</v>
      </c>
      <c r="H17" s="144"/>
      <c r="I17" s="118"/>
      <c r="J17" s="117"/>
    </row>
    <row r="18" spans="1:10" ht="6" hidden="1" customHeight="1" outlineLevel="1" x14ac:dyDescent="0.25">
      <c r="C18" s="142"/>
      <c r="D18" s="143"/>
      <c r="E18" s="142"/>
      <c r="F18" s="141"/>
      <c r="G18" s="140"/>
      <c r="H18" s="139"/>
      <c r="I18" s="138"/>
      <c r="J18" s="137"/>
    </row>
    <row r="19" spans="1:10" ht="30" hidden="1" outlineLevel="1" x14ac:dyDescent="0.25">
      <c r="C19" s="219" t="s">
        <v>186</v>
      </c>
      <c r="D19" s="228" t="s">
        <v>181</v>
      </c>
      <c r="E19" s="135" t="s">
        <v>105</v>
      </c>
      <c r="F19" s="134">
        <v>0.8</v>
      </c>
      <c r="G19" s="133">
        <f>G20/G21</f>
        <v>0.66666666666666663</v>
      </c>
      <c r="H19" s="132">
        <f>IF(G19&lt;F19,0,G19)</f>
        <v>0</v>
      </c>
      <c r="I19" s="131">
        <v>0.2</v>
      </c>
      <c r="J19" s="130">
        <f>H19*I19</f>
        <v>0</v>
      </c>
    </row>
    <row r="20" spans="1:10" s="116" customFormat="1" hidden="1" outlineLevel="1" x14ac:dyDescent="0.25">
      <c r="C20" s="129" t="s">
        <v>187</v>
      </c>
      <c r="E20" s="116" t="s">
        <v>179</v>
      </c>
      <c r="F20" s="128"/>
      <c r="G20" s="147">
        <v>20</v>
      </c>
      <c r="H20" s="126"/>
      <c r="I20" s="125"/>
      <c r="J20" s="124"/>
    </row>
    <row r="21" spans="1:10" s="116" customFormat="1" hidden="1" outlineLevel="1" x14ac:dyDescent="0.25">
      <c r="C21" s="123" t="s">
        <v>180</v>
      </c>
      <c r="D21" s="122"/>
      <c r="E21" s="122" t="s">
        <v>179</v>
      </c>
      <c r="F21" s="121"/>
      <c r="G21" s="145">
        <v>30</v>
      </c>
      <c r="H21" s="119"/>
      <c r="I21" s="118"/>
      <c r="J21" s="117"/>
    </row>
    <row r="22" spans="1:10" ht="6" hidden="1" customHeight="1" outlineLevel="1" x14ac:dyDescent="0.25">
      <c r="D22" s="149"/>
      <c r="F22" s="148"/>
      <c r="G22" s="140"/>
      <c r="H22" s="139"/>
      <c r="I22" s="138"/>
      <c r="J22" s="138"/>
    </row>
    <row r="23" spans="1:10" hidden="1" outlineLevel="1" x14ac:dyDescent="0.25">
      <c r="C23" s="136" t="s">
        <v>177</v>
      </c>
      <c r="D23" s="135" t="s">
        <v>5</v>
      </c>
      <c r="E23" s="135" t="s">
        <v>105</v>
      </c>
      <c r="F23" s="134">
        <v>0.8</v>
      </c>
      <c r="G23" s="133">
        <f>G24/G25</f>
        <v>0.83333333333333337</v>
      </c>
      <c r="H23" s="132">
        <f>IF(G23&lt;F23,0,G23)</f>
        <v>0.83333333333333337</v>
      </c>
      <c r="I23" s="131">
        <v>0.2</v>
      </c>
      <c r="J23" s="130">
        <f>H23*I23</f>
        <v>0.16666666666666669</v>
      </c>
    </row>
    <row r="24" spans="1:10" s="116" customFormat="1" hidden="1" outlineLevel="1" x14ac:dyDescent="0.25">
      <c r="C24" s="129" t="s">
        <v>178</v>
      </c>
      <c r="E24" s="116" t="s">
        <v>179</v>
      </c>
      <c r="F24" s="128"/>
      <c r="G24" s="147">
        <v>25</v>
      </c>
      <c r="H24" s="126"/>
      <c r="I24" s="125"/>
      <c r="J24" s="124"/>
    </row>
    <row r="25" spans="1:10" s="116" customFormat="1" hidden="1" outlineLevel="1" x14ac:dyDescent="0.25">
      <c r="C25" s="123" t="s">
        <v>180</v>
      </c>
      <c r="D25" s="122"/>
      <c r="E25" s="122" t="s">
        <v>179</v>
      </c>
      <c r="F25" s="121"/>
      <c r="G25" s="145">
        <v>30</v>
      </c>
      <c r="H25" s="119"/>
      <c r="I25" s="118"/>
      <c r="J25" s="117"/>
    </row>
    <row r="26" spans="1:10" ht="6" hidden="1" customHeight="1" outlineLevel="1" x14ac:dyDescent="0.25">
      <c r="C26" s="142"/>
      <c r="D26" s="143"/>
      <c r="E26" s="142"/>
      <c r="F26" s="141"/>
      <c r="G26" s="140"/>
      <c r="H26" s="139"/>
      <c r="I26" s="138"/>
      <c r="J26" s="137"/>
    </row>
    <row r="27" spans="1:10" ht="30" hidden="1" outlineLevel="1" x14ac:dyDescent="0.25">
      <c r="C27" s="229" t="s">
        <v>289</v>
      </c>
      <c r="D27" s="215" t="s">
        <v>173</v>
      </c>
      <c r="E27" s="156" t="s">
        <v>105</v>
      </c>
      <c r="F27" s="155">
        <v>0.65</v>
      </c>
      <c r="G27" s="154">
        <v>0.8</v>
      </c>
      <c r="H27" s="153">
        <f>IF(G27&lt;F27,0,G27)</f>
        <v>0.8</v>
      </c>
      <c r="I27" s="152">
        <v>0.2</v>
      </c>
      <c r="J27" s="151">
        <f>H27*I27</f>
        <v>0.16000000000000003</v>
      </c>
    </row>
    <row r="28" spans="1:10" ht="15.75" collapsed="1" thickBot="1" x14ac:dyDescent="0.3">
      <c r="I28" s="115"/>
    </row>
    <row r="29" spans="1:10" s="160" customFormat="1" ht="15.75" thickBot="1" x14ac:dyDescent="0.3">
      <c r="A29" s="165" t="s">
        <v>14</v>
      </c>
      <c r="B29" s="166">
        <v>0.1</v>
      </c>
      <c r="C29" s="165"/>
      <c r="D29" s="165"/>
      <c r="E29" s="165"/>
      <c r="F29" s="164"/>
      <c r="G29" s="163"/>
      <c r="H29" s="162">
        <f>SUM(J31:J33)</f>
        <v>0.66766666666666663</v>
      </c>
      <c r="I29" s="198">
        <f>SUM(I31:I33)</f>
        <v>1</v>
      </c>
      <c r="J29" s="161">
        <f>H29*B29</f>
        <v>6.6766666666666669E-2</v>
      </c>
    </row>
    <row r="30" spans="1:10" ht="6" hidden="1" customHeight="1" outlineLevel="1" x14ac:dyDescent="0.25">
      <c r="F30" s="115"/>
      <c r="G30" s="159"/>
      <c r="H30" s="159"/>
      <c r="J30" s="159"/>
    </row>
    <row r="31" spans="1:10" ht="30" hidden="1" outlineLevel="1" x14ac:dyDescent="0.25">
      <c r="C31" s="223" t="s">
        <v>119</v>
      </c>
      <c r="D31" s="157" t="s">
        <v>121</v>
      </c>
      <c r="E31" s="156" t="s">
        <v>105</v>
      </c>
      <c r="F31" s="155">
        <v>0.65</v>
      </c>
      <c r="G31" s="154">
        <v>0.65500000000000003</v>
      </c>
      <c r="H31" s="153">
        <f>IF(G31&lt;F31,0,G31)</f>
        <v>0.65500000000000003</v>
      </c>
      <c r="I31" s="152">
        <f>2/3</f>
        <v>0.66666666666666663</v>
      </c>
      <c r="J31" s="151">
        <f>H31*I31</f>
        <v>0.43666666666666665</v>
      </c>
    </row>
    <row r="32" spans="1:10" ht="6" hidden="1" customHeight="1" outlineLevel="1" x14ac:dyDescent="0.25">
      <c r="D32" s="149"/>
      <c r="F32" s="148"/>
      <c r="G32" s="140"/>
      <c r="H32" s="139"/>
      <c r="I32" s="138"/>
      <c r="J32" s="138"/>
    </row>
    <row r="33" spans="1:10" ht="30" hidden="1" outlineLevel="1" x14ac:dyDescent="0.25">
      <c r="C33" s="223" t="s">
        <v>120</v>
      </c>
      <c r="D33" s="157" t="s">
        <v>122</v>
      </c>
      <c r="E33" s="156" t="s">
        <v>105</v>
      </c>
      <c r="F33" s="155">
        <v>0.65</v>
      </c>
      <c r="G33" s="154">
        <v>0.69299999999999995</v>
      </c>
      <c r="H33" s="153">
        <f>IF(G33&lt;F33,0,G33)</f>
        <v>0.69299999999999995</v>
      </c>
      <c r="I33" s="152">
        <f>1/3</f>
        <v>0.33333333333333331</v>
      </c>
      <c r="J33" s="151">
        <f>H33*I33</f>
        <v>0.23099999999999998</v>
      </c>
    </row>
    <row r="34" spans="1:10" ht="15.75" collapsed="1" thickBot="1" x14ac:dyDescent="0.3">
      <c r="I34" s="115"/>
    </row>
    <row r="35" spans="1:10" s="160" customFormat="1" ht="15.75" thickBot="1" x14ac:dyDescent="0.3">
      <c r="A35" s="165" t="s">
        <v>15</v>
      </c>
      <c r="B35" s="166">
        <v>0.2</v>
      </c>
      <c r="C35" s="165"/>
      <c r="D35" s="165"/>
      <c r="E35" s="165"/>
      <c r="F35" s="164"/>
      <c r="G35" s="163"/>
      <c r="H35" s="162">
        <f>SUM(J37:J45)</f>
        <v>0.90833333333333321</v>
      </c>
      <c r="I35" s="198">
        <f>SUM(I37:I45)</f>
        <v>1</v>
      </c>
      <c r="J35" s="161">
        <f>H35*B35</f>
        <v>0.18166666666666664</v>
      </c>
    </row>
    <row r="36" spans="1:10" ht="6" hidden="1" customHeight="1" outlineLevel="1" x14ac:dyDescent="0.25">
      <c r="D36" s="149"/>
      <c r="F36" s="148"/>
      <c r="G36" s="140"/>
      <c r="H36" s="139"/>
      <c r="I36" s="138"/>
      <c r="J36" s="138"/>
    </row>
    <row r="37" spans="1:10" ht="30" hidden="1" outlineLevel="1" x14ac:dyDescent="0.25">
      <c r="C37" s="158" t="s">
        <v>4</v>
      </c>
      <c r="D37" s="215" t="s">
        <v>173</v>
      </c>
      <c r="E37" s="156" t="s">
        <v>105</v>
      </c>
      <c r="F37" s="155">
        <v>0.65</v>
      </c>
      <c r="G37" s="154">
        <v>0.8</v>
      </c>
      <c r="H37" s="153">
        <f>IF(G37&lt;F37,0,G37)</f>
        <v>0.8</v>
      </c>
      <c r="I37" s="152">
        <f>1/3</f>
        <v>0.33333333333333331</v>
      </c>
      <c r="J37" s="151">
        <f>H37*I37</f>
        <v>0.26666666666666666</v>
      </c>
    </row>
    <row r="38" spans="1:10" ht="6" hidden="1" customHeight="1" outlineLevel="1" x14ac:dyDescent="0.25">
      <c r="C38" s="142"/>
      <c r="D38" s="143"/>
      <c r="E38" s="142"/>
      <c r="F38" s="141"/>
      <c r="G38" s="140"/>
      <c r="H38" s="139"/>
      <c r="I38" s="138"/>
      <c r="J38" s="137"/>
    </row>
    <row r="39" spans="1:10" hidden="1" outlineLevel="1" x14ac:dyDescent="0.25">
      <c r="C39" s="136" t="s">
        <v>268</v>
      </c>
      <c r="D39" s="135" t="s">
        <v>128</v>
      </c>
      <c r="E39" s="135" t="s">
        <v>105</v>
      </c>
      <c r="F39" s="134">
        <v>0.95</v>
      </c>
      <c r="G39" s="133">
        <f>(G41-G40)/G41</f>
        <v>0.95833333333333337</v>
      </c>
      <c r="H39" s="132">
        <f>IF(G39&lt;F39,0,G39)</f>
        <v>0.95833333333333337</v>
      </c>
      <c r="I39" s="131">
        <f>1/3</f>
        <v>0.33333333333333331</v>
      </c>
      <c r="J39" s="130">
        <f>H39*I39</f>
        <v>0.31944444444444442</v>
      </c>
    </row>
    <row r="40" spans="1:10" s="116" customFormat="1" hidden="1" outlineLevel="1" x14ac:dyDescent="0.25">
      <c r="C40" s="129" t="s">
        <v>254</v>
      </c>
      <c r="E40" s="116" t="s">
        <v>135</v>
      </c>
      <c r="F40" s="128"/>
      <c r="G40" s="147">
        <f>0.5*20</f>
        <v>10</v>
      </c>
      <c r="H40" s="126"/>
      <c r="I40" s="125"/>
      <c r="J40" s="124"/>
    </row>
    <row r="41" spans="1:10" s="116" customFormat="1" hidden="1" outlineLevel="1" x14ac:dyDescent="0.25">
      <c r="C41" s="123" t="s">
        <v>255</v>
      </c>
      <c r="D41" s="122"/>
      <c r="E41" s="122" t="s">
        <v>135</v>
      </c>
      <c r="F41" s="121"/>
      <c r="G41" s="145">
        <f>G45*8</f>
        <v>240</v>
      </c>
      <c r="H41" s="119"/>
      <c r="I41" s="118"/>
      <c r="J41" s="117"/>
    </row>
    <row r="42" spans="1:10" ht="6" hidden="1" customHeight="1" outlineLevel="1" x14ac:dyDescent="0.25">
      <c r="C42" s="142"/>
      <c r="D42" s="143"/>
      <c r="E42" s="142"/>
      <c r="F42" s="141"/>
      <c r="G42" s="140"/>
      <c r="H42" s="139"/>
      <c r="I42" s="138"/>
      <c r="J42" s="137"/>
    </row>
    <row r="43" spans="1:10" hidden="1" outlineLevel="1" x14ac:dyDescent="0.25">
      <c r="C43" s="136" t="s">
        <v>269</v>
      </c>
      <c r="D43" s="135" t="s">
        <v>128</v>
      </c>
      <c r="E43" s="135" t="s">
        <v>105</v>
      </c>
      <c r="F43" s="134">
        <v>0.95</v>
      </c>
      <c r="G43" s="133">
        <f>(G45-G44)/G45</f>
        <v>0.96666666666666667</v>
      </c>
      <c r="H43" s="132">
        <f>IF(G43&lt;F43,0,G43)</f>
        <v>0.96666666666666667</v>
      </c>
      <c r="I43" s="131">
        <f>1/3</f>
        <v>0.33333333333333331</v>
      </c>
      <c r="J43" s="130">
        <f>H43*I43</f>
        <v>0.32222222222222219</v>
      </c>
    </row>
    <row r="44" spans="1:10" s="116" customFormat="1" hidden="1" outlineLevel="1" x14ac:dyDescent="0.25">
      <c r="C44" s="129" t="s">
        <v>256</v>
      </c>
      <c r="E44" s="116" t="s">
        <v>132</v>
      </c>
      <c r="G44" s="147">
        <v>1</v>
      </c>
      <c r="H44" s="146"/>
      <c r="I44" s="125"/>
      <c r="J44" s="124"/>
    </row>
    <row r="45" spans="1:10" s="116" customFormat="1" hidden="1" outlineLevel="1" x14ac:dyDescent="0.25">
      <c r="C45" s="123" t="s">
        <v>257</v>
      </c>
      <c r="D45" s="122"/>
      <c r="E45" s="122" t="s">
        <v>132</v>
      </c>
      <c r="F45" s="122"/>
      <c r="G45" s="145">
        <f>30</f>
        <v>30</v>
      </c>
      <c r="H45" s="144"/>
      <c r="I45" s="118"/>
      <c r="J45" s="117"/>
    </row>
    <row r="46" spans="1:10" ht="15.75" collapsed="1" thickBot="1" x14ac:dyDescent="0.3">
      <c r="I46" s="115"/>
    </row>
    <row r="47" spans="1:10" s="160" customFormat="1" ht="15.75" thickBot="1" x14ac:dyDescent="0.3">
      <c r="A47" s="165" t="s">
        <v>13</v>
      </c>
      <c r="B47" s="166">
        <v>0.1</v>
      </c>
      <c r="C47" s="165"/>
      <c r="D47" s="165"/>
      <c r="E47" s="165"/>
      <c r="F47" s="164"/>
      <c r="G47" s="163"/>
      <c r="H47" s="162">
        <f>D59</f>
        <v>0.6080000000000001</v>
      </c>
      <c r="I47" s="161"/>
      <c r="J47" s="161">
        <f>H47*B47</f>
        <v>6.0800000000000014E-2</v>
      </c>
    </row>
    <row r="48" spans="1:10" ht="6" hidden="1" customHeight="1" outlineLevel="1" x14ac:dyDescent="0.25">
      <c r="D48" s="149"/>
      <c r="F48" s="148"/>
      <c r="G48" s="140"/>
      <c r="H48" s="139"/>
      <c r="I48" s="138"/>
      <c r="J48" s="138"/>
    </row>
    <row r="49" spans="3:10" hidden="1" outlineLevel="1" x14ac:dyDescent="0.25">
      <c r="C49" s="136" t="s">
        <v>221</v>
      </c>
      <c r="D49" s="135" t="s">
        <v>5</v>
      </c>
      <c r="E49" s="135" t="s">
        <v>105</v>
      </c>
      <c r="F49" s="134"/>
      <c r="G49" s="186">
        <f>G50/G51</f>
        <v>4.0000000000000002E-4</v>
      </c>
    </row>
    <row r="50" spans="3:10" s="116" customFormat="1" hidden="1" outlineLevel="1" x14ac:dyDescent="0.25">
      <c r="C50" s="129" t="s">
        <v>137</v>
      </c>
      <c r="E50" s="187" t="s">
        <v>102</v>
      </c>
      <c r="F50" s="187"/>
      <c r="G50" s="189">
        <v>80</v>
      </c>
      <c r="H50" s="114"/>
      <c r="I50" s="114"/>
      <c r="J50" s="114"/>
    </row>
    <row r="51" spans="3:10" s="116" customFormat="1" hidden="1" outlineLevel="1" x14ac:dyDescent="0.25">
      <c r="C51" s="123" t="s">
        <v>222</v>
      </c>
      <c r="D51" s="122"/>
      <c r="E51" s="122" t="s">
        <v>102</v>
      </c>
      <c r="F51" s="122"/>
      <c r="G51" s="222">
        <v>200000</v>
      </c>
      <c r="H51" s="114"/>
      <c r="I51" s="114"/>
      <c r="J51" s="114"/>
    </row>
    <row r="52" spans="3:10" ht="6" hidden="1" customHeight="1" outlineLevel="1" x14ac:dyDescent="0.25">
      <c r="C52" s="142"/>
      <c r="D52" s="149"/>
      <c r="E52" s="142"/>
      <c r="F52" s="141"/>
      <c r="G52" s="140"/>
    </row>
    <row r="53" spans="3:10" hidden="1" outlineLevel="1" x14ac:dyDescent="0.25">
      <c r="C53" s="136" t="s">
        <v>223</v>
      </c>
      <c r="D53" s="135" t="s">
        <v>5</v>
      </c>
      <c r="E53" s="135" t="s">
        <v>105</v>
      </c>
      <c r="F53" s="134"/>
      <c r="G53" s="186">
        <f>G54/G55</f>
        <v>4.4999999999999997E-3</v>
      </c>
    </row>
    <row r="54" spans="3:10" s="116" customFormat="1" hidden="1" outlineLevel="1" x14ac:dyDescent="0.25">
      <c r="C54" s="129" t="s">
        <v>139</v>
      </c>
      <c r="D54" s="187"/>
      <c r="E54" s="187" t="s">
        <v>102</v>
      </c>
      <c r="F54" s="188"/>
      <c r="G54" s="189">
        <v>900</v>
      </c>
      <c r="H54" s="114"/>
      <c r="I54" s="114"/>
      <c r="J54" s="114"/>
    </row>
    <row r="55" spans="3:10" s="116" customFormat="1" hidden="1" outlineLevel="1" x14ac:dyDescent="0.25">
      <c r="C55" s="123" t="s">
        <v>222</v>
      </c>
      <c r="D55" s="122"/>
      <c r="E55" s="122" t="s">
        <v>102</v>
      </c>
      <c r="F55" s="121"/>
      <c r="G55" s="190">
        <f>G51</f>
        <v>200000</v>
      </c>
      <c r="H55" s="114"/>
      <c r="I55" s="114"/>
      <c r="J55" s="114"/>
    </row>
    <row r="56" spans="3:10" hidden="1" outlineLevel="1" x14ac:dyDescent="0.25">
      <c r="I56" s="115"/>
    </row>
    <row r="57" spans="3:10" hidden="1" outlineLevel="1" x14ac:dyDescent="0.25">
      <c r="C57" s="182" t="s">
        <v>140</v>
      </c>
      <c r="D57" s="192">
        <f>G49+G53</f>
        <v>4.8999999999999998E-3</v>
      </c>
    </row>
    <row r="58" spans="3:10" hidden="1" outlineLevel="1" x14ac:dyDescent="0.25">
      <c r="C58" s="178" t="s">
        <v>141</v>
      </c>
      <c r="D58" s="193">
        <v>5.0000000000000001E-3</v>
      </c>
    </row>
    <row r="59" spans="3:10" hidden="1" outlineLevel="1" x14ac:dyDescent="0.25">
      <c r="C59" s="194" t="s">
        <v>17</v>
      </c>
      <c r="D59" s="195">
        <f>IF(D57&gt;D58,0,1-(0.4*D57/D58))</f>
        <v>0.6080000000000001</v>
      </c>
    </row>
    <row r="60" spans="3:10" collapsed="1" x14ac:dyDescent="0.25">
      <c r="D60" s="191"/>
    </row>
    <row r="61" spans="3:10" x14ac:dyDescent="0.25">
      <c r="D61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107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4257812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268" t="s">
        <v>292</v>
      </c>
      <c r="D2" s="271">
        <f>J9+J25+J31+J41+J55+J75+J87</f>
        <v>0.70029081288515405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B9+B25+B31+B41+B55+B75+B87</f>
        <v>1</v>
      </c>
      <c r="C3" s="269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270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113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12</v>
      </c>
      <c r="B9" s="166">
        <v>0.22</v>
      </c>
      <c r="C9" s="165"/>
      <c r="D9" s="165"/>
      <c r="E9" s="165"/>
      <c r="F9" s="164"/>
      <c r="G9" s="163"/>
      <c r="H9" s="162">
        <f>SUM(J11:J23)</f>
        <v>0.89237999999999995</v>
      </c>
      <c r="I9" s="198">
        <f>SUM(I11:I23)</f>
        <v>0.99999999999999989</v>
      </c>
      <c r="J9" s="161">
        <f>H9*B9</f>
        <v>0.19632359999999999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t="45" hidden="1" outlineLevel="1" x14ac:dyDescent="0.25">
      <c r="C11" s="158" t="s">
        <v>110</v>
      </c>
      <c r="D11" s="157" t="s">
        <v>125</v>
      </c>
      <c r="E11" s="156" t="s">
        <v>105</v>
      </c>
      <c r="F11" s="155">
        <v>0.6</v>
      </c>
      <c r="G11" s="154">
        <v>0.64800000000000002</v>
      </c>
      <c r="H11" s="153">
        <f>IF(G11&lt;F11,0,G11)</f>
        <v>0.64800000000000002</v>
      </c>
      <c r="I11" s="152">
        <v>0.3</v>
      </c>
      <c r="J11" s="151">
        <f>H11*I11</f>
        <v>0.19439999999999999</v>
      </c>
    </row>
    <row r="12" spans="1:10" ht="6" hidden="1" customHeight="1" outlineLevel="1" x14ac:dyDescent="0.25">
      <c r="D12" s="149"/>
      <c r="F12" s="148"/>
      <c r="G12" s="140"/>
      <c r="H12" s="139"/>
      <c r="I12" s="138"/>
      <c r="J12" s="138"/>
    </row>
    <row r="13" spans="1:10" hidden="1" outlineLevel="1" x14ac:dyDescent="0.25">
      <c r="C13" s="136" t="s">
        <v>109</v>
      </c>
      <c r="D13" s="135" t="s">
        <v>5</v>
      </c>
      <c r="E13" s="135" t="s">
        <v>105</v>
      </c>
      <c r="F13" s="134">
        <v>0.85</v>
      </c>
      <c r="G13" s="150">
        <f>G14/G15</f>
        <v>1.02</v>
      </c>
      <c r="H13" s="132">
        <f>IF(G13&lt;F13,0,G13)</f>
        <v>1.02</v>
      </c>
      <c r="I13" s="131">
        <v>0.3</v>
      </c>
      <c r="J13" s="130">
        <f>H13*I13</f>
        <v>0.30599999999999999</v>
      </c>
    </row>
    <row r="14" spans="1:10" s="116" customFormat="1" hidden="1" outlineLevel="1" x14ac:dyDescent="0.25">
      <c r="C14" s="129" t="s">
        <v>108</v>
      </c>
      <c r="E14" s="116" t="s">
        <v>102</v>
      </c>
      <c r="G14" s="147">
        <v>1020000</v>
      </c>
      <c r="H14" s="146"/>
      <c r="I14" s="125"/>
      <c r="J14" s="124"/>
    </row>
    <row r="15" spans="1:10" s="116" customFormat="1" hidden="1" outlineLevel="1" x14ac:dyDescent="0.25">
      <c r="C15" s="123" t="s">
        <v>107</v>
      </c>
      <c r="D15" s="122"/>
      <c r="E15" s="122" t="s">
        <v>102</v>
      </c>
      <c r="F15" s="122"/>
      <c r="G15" s="145">
        <v>1000000</v>
      </c>
      <c r="H15" s="144"/>
      <c r="I15" s="118"/>
      <c r="J15" s="117"/>
    </row>
    <row r="16" spans="1:10" ht="6" hidden="1" customHeight="1" outlineLevel="1" x14ac:dyDescent="0.25">
      <c r="D16" s="149"/>
      <c r="F16" s="148"/>
      <c r="G16" s="140"/>
      <c r="H16" s="139"/>
      <c r="I16" s="138"/>
      <c r="J16" s="138"/>
    </row>
    <row r="17" spans="1:10" hidden="1" outlineLevel="1" x14ac:dyDescent="0.25">
      <c r="C17" s="136" t="s">
        <v>123</v>
      </c>
      <c r="D17" s="135" t="s">
        <v>5</v>
      </c>
      <c r="E17" s="135" t="s">
        <v>105</v>
      </c>
      <c r="F17" s="134">
        <v>0.85</v>
      </c>
      <c r="G17" s="133">
        <f>G18/G19</f>
        <v>0.98826666666666663</v>
      </c>
      <c r="H17" s="132">
        <f>IF(G17&lt;F17,0,G17)</f>
        <v>0.98826666666666663</v>
      </c>
      <c r="I17" s="131">
        <v>0.3</v>
      </c>
      <c r="J17" s="130">
        <f>H17*I17</f>
        <v>0.29647999999999997</v>
      </c>
    </row>
    <row r="18" spans="1:10" s="116" customFormat="1" hidden="1" outlineLevel="1" x14ac:dyDescent="0.25">
      <c r="C18" s="129" t="s">
        <v>6</v>
      </c>
      <c r="E18" s="116" t="s">
        <v>102</v>
      </c>
      <c r="G18" s="147">
        <f>21.8%*G14</f>
        <v>222360</v>
      </c>
      <c r="H18" s="146"/>
      <c r="I18" s="125"/>
      <c r="J18" s="124"/>
    </row>
    <row r="19" spans="1:10" s="116" customFormat="1" hidden="1" outlineLevel="1" x14ac:dyDescent="0.25">
      <c r="C19" s="123" t="s">
        <v>124</v>
      </c>
      <c r="D19" s="122"/>
      <c r="E19" s="122" t="s">
        <v>102</v>
      </c>
      <c r="F19" s="122"/>
      <c r="G19" s="145">
        <f>22.5%*G15</f>
        <v>225000</v>
      </c>
      <c r="H19" s="144"/>
      <c r="I19" s="118"/>
      <c r="J19" s="117"/>
    </row>
    <row r="20" spans="1:10" ht="6" hidden="1" customHeight="1" outlineLevel="1" x14ac:dyDescent="0.25">
      <c r="C20" s="142"/>
      <c r="D20" s="143"/>
      <c r="E20" s="142"/>
      <c r="F20" s="141"/>
      <c r="G20" s="140"/>
      <c r="H20" s="139"/>
      <c r="I20" s="138"/>
      <c r="J20" s="137"/>
    </row>
    <row r="21" spans="1:10" hidden="1" outlineLevel="1" x14ac:dyDescent="0.25">
      <c r="C21" s="136" t="s">
        <v>106</v>
      </c>
      <c r="D21" s="135" t="s">
        <v>5</v>
      </c>
      <c r="E21" s="135" t="s">
        <v>105</v>
      </c>
      <c r="F21" s="134">
        <v>0.85</v>
      </c>
      <c r="G21" s="133">
        <f>G22/G23</f>
        <v>0.95500000000000007</v>
      </c>
      <c r="H21" s="132">
        <f>IF(G21&lt;F21,0,G21)</f>
        <v>0.95500000000000007</v>
      </c>
      <c r="I21" s="131">
        <v>0.1</v>
      </c>
      <c r="J21" s="130">
        <f>H21*I21</f>
        <v>9.5500000000000015E-2</v>
      </c>
    </row>
    <row r="22" spans="1:10" s="116" customFormat="1" hidden="1" outlineLevel="1" x14ac:dyDescent="0.25">
      <c r="C22" s="129" t="s">
        <v>104</v>
      </c>
      <c r="E22" s="116" t="s">
        <v>102</v>
      </c>
      <c r="F22" s="128"/>
      <c r="G22" s="127">
        <v>38.200000000000003</v>
      </c>
      <c r="H22" s="126"/>
      <c r="I22" s="125"/>
      <c r="J22" s="124"/>
    </row>
    <row r="23" spans="1:10" s="116" customFormat="1" hidden="1" outlineLevel="1" x14ac:dyDescent="0.25">
      <c r="C23" s="123" t="s">
        <v>103</v>
      </c>
      <c r="D23" s="122"/>
      <c r="E23" s="122" t="s">
        <v>102</v>
      </c>
      <c r="F23" s="121"/>
      <c r="G23" s="120">
        <v>40</v>
      </c>
      <c r="H23" s="119"/>
      <c r="I23" s="118"/>
      <c r="J23" s="117"/>
    </row>
    <row r="24" spans="1:10" ht="15.75" collapsed="1" thickBot="1" x14ac:dyDescent="0.3">
      <c r="I24" s="115"/>
    </row>
    <row r="25" spans="1:10" s="160" customFormat="1" ht="15.75" thickBot="1" x14ac:dyDescent="0.3">
      <c r="A25" s="165" t="s">
        <v>14</v>
      </c>
      <c r="B25" s="166">
        <v>0.13</v>
      </c>
      <c r="C25" s="165"/>
      <c r="D25" s="165"/>
      <c r="E25" s="165"/>
      <c r="F25" s="164"/>
      <c r="G25" s="163"/>
      <c r="H25" s="162">
        <f>SUM(J27:J29)</f>
        <v>0.70199999999999996</v>
      </c>
      <c r="I25" s="198">
        <f>SUM(I27:I29)</f>
        <v>1</v>
      </c>
      <c r="J25" s="161">
        <f>H25*B25</f>
        <v>9.1259999999999994E-2</v>
      </c>
    </row>
    <row r="26" spans="1:10" ht="6" hidden="1" customHeight="1" outlineLevel="1" x14ac:dyDescent="0.25">
      <c r="F26" s="115"/>
      <c r="G26" s="159"/>
      <c r="H26" s="159"/>
      <c r="J26" s="159"/>
    </row>
    <row r="27" spans="1:10" ht="30" hidden="1" outlineLevel="1" x14ac:dyDescent="0.25">
      <c r="C27" s="158" t="s">
        <v>119</v>
      </c>
      <c r="D27" s="157" t="s">
        <v>121</v>
      </c>
      <c r="E27" s="156" t="s">
        <v>105</v>
      </c>
      <c r="F27" s="155">
        <v>0.65</v>
      </c>
      <c r="G27" s="154">
        <v>0.68700000000000006</v>
      </c>
      <c r="H27" s="153">
        <f>IF(G27&lt;F27,0,G27)</f>
        <v>0.68700000000000006</v>
      </c>
      <c r="I27" s="152">
        <f>2/3</f>
        <v>0.66666666666666663</v>
      </c>
      <c r="J27" s="151">
        <f>H27*I27</f>
        <v>0.45800000000000002</v>
      </c>
    </row>
    <row r="28" spans="1:10" ht="6" hidden="1" customHeight="1" outlineLevel="1" x14ac:dyDescent="0.25">
      <c r="D28" s="149"/>
      <c r="F28" s="148"/>
      <c r="G28" s="140"/>
      <c r="H28" s="139"/>
      <c r="I28" s="138"/>
      <c r="J28" s="138"/>
    </row>
    <row r="29" spans="1:10" ht="30" hidden="1" outlineLevel="1" x14ac:dyDescent="0.25">
      <c r="C29" s="158" t="s">
        <v>120</v>
      </c>
      <c r="D29" s="157" t="s">
        <v>122</v>
      </c>
      <c r="E29" s="156" t="s">
        <v>105</v>
      </c>
      <c r="F29" s="155">
        <v>0.65</v>
      </c>
      <c r="G29" s="154">
        <v>0.73199999999999998</v>
      </c>
      <c r="H29" s="153">
        <f>IF(G29&lt;F29,0,G29)</f>
        <v>0.73199999999999998</v>
      </c>
      <c r="I29" s="152">
        <f>1/3</f>
        <v>0.33333333333333331</v>
      </c>
      <c r="J29" s="151">
        <f>H29*I29</f>
        <v>0.24399999999999999</v>
      </c>
    </row>
    <row r="30" spans="1:10" ht="15.75" collapsed="1" thickBot="1" x14ac:dyDescent="0.3">
      <c r="I30" s="115"/>
    </row>
    <row r="31" spans="1:10" s="160" customFormat="1" ht="15.75" thickBot="1" x14ac:dyDescent="0.3">
      <c r="A31" s="165" t="s">
        <v>15</v>
      </c>
      <c r="B31" s="166">
        <v>0.13</v>
      </c>
      <c r="C31" s="165"/>
      <c r="D31" s="165"/>
      <c r="E31" s="165"/>
      <c r="F31" s="164"/>
      <c r="G31" s="163"/>
      <c r="H31" s="162">
        <f>SUM(J33:J39)</f>
        <v>0.98583333333333334</v>
      </c>
      <c r="I31" s="198">
        <f>SUM(I33:I39)</f>
        <v>1</v>
      </c>
      <c r="J31" s="161">
        <f>H31*B31</f>
        <v>0.12815833333333335</v>
      </c>
    </row>
    <row r="32" spans="1:10" ht="6" hidden="1" customHeight="1" outlineLevel="1" x14ac:dyDescent="0.25">
      <c r="D32" s="149"/>
      <c r="F32" s="148"/>
      <c r="G32" s="140"/>
      <c r="H32" s="139"/>
      <c r="I32" s="138"/>
      <c r="J32" s="138"/>
    </row>
    <row r="33" spans="1:10" hidden="1" outlineLevel="1" x14ac:dyDescent="0.25">
      <c r="C33" s="136" t="s">
        <v>127</v>
      </c>
      <c r="D33" s="135" t="s">
        <v>128</v>
      </c>
      <c r="E33" s="135" t="s">
        <v>105</v>
      </c>
      <c r="F33" s="134">
        <v>0.95</v>
      </c>
      <c r="G33" s="133">
        <f>(G35-G34)/G35</f>
        <v>0.98666666666666669</v>
      </c>
      <c r="H33" s="132">
        <f>IF(G33&lt;F33,0,G33)</f>
        <v>0.98666666666666669</v>
      </c>
      <c r="I33" s="131">
        <v>0.5</v>
      </c>
      <c r="J33" s="130">
        <f>H33*I33</f>
        <v>0.49333333333333335</v>
      </c>
    </row>
    <row r="34" spans="1:10" s="116" customFormat="1" hidden="1" outlineLevel="1" x14ac:dyDescent="0.25">
      <c r="C34" s="129" t="s">
        <v>130</v>
      </c>
      <c r="E34" s="116" t="s">
        <v>132</v>
      </c>
      <c r="G34" s="147">
        <f>10</f>
        <v>10</v>
      </c>
      <c r="H34" s="146"/>
      <c r="I34" s="125"/>
      <c r="J34" s="124"/>
    </row>
    <row r="35" spans="1:10" s="116" customFormat="1" hidden="1" outlineLevel="1" x14ac:dyDescent="0.25">
      <c r="C35" s="123" t="s">
        <v>131</v>
      </c>
      <c r="D35" s="122"/>
      <c r="E35" s="122" t="s">
        <v>132</v>
      </c>
      <c r="F35" s="122"/>
      <c r="G35" s="145">
        <f>30*25</f>
        <v>750</v>
      </c>
      <c r="H35" s="144"/>
      <c r="I35" s="118"/>
      <c r="J35" s="117"/>
    </row>
    <row r="36" spans="1:10" ht="6" hidden="1" customHeight="1" outlineLevel="1" x14ac:dyDescent="0.25">
      <c r="C36" s="142"/>
      <c r="D36" s="143"/>
      <c r="E36" s="142"/>
      <c r="F36" s="141"/>
      <c r="G36" s="140"/>
      <c r="H36" s="139"/>
      <c r="I36" s="138"/>
      <c r="J36" s="137"/>
    </row>
    <row r="37" spans="1:10" hidden="1" outlineLevel="1" x14ac:dyDescent="0.25">
      <c r="C37" s="136" t="s">
        <v>129</v>
      </c>
      <c r="D37" s="135" t="s">
        <v>128</v>
      </c>
      <c r="E37" s="135" t="s">
        <v>105</v>
      </c>
      <c r="F37" s="134">
        <v>0.95</v>
      </c>
      <c r="G37" s="133">
        <f>(G39-G38)/G39</f>
        <v>0.98499999999999999</v>
      </c>
      <c r="H37" s="132">
        <f>IF(G37&lt;F37,0,G37)</f>
        <v>0.98499999999999999</v>
      </c>
      <c r="I37" s="131">
        <v>0.5</v>
      </c>
      <c r="J37" s="130">
        <f>H37*I37</f>
        <v>0.49249999999999999</v>
      </c>
    </row>
    <row r="38" spans="1:10" s="116" customFormat="1" hidden="1" outlineLevel="1" x14ac:dyDescent="0.25">
      <c r="C38" s="129" t="s">
        <v>133</v>
      </c>
      <c r="E38" s="116" t="s">
        <v>135</v>
      </c>
      <c r="F38" s="128"/>
      <c r="G38" s="147">
        <f>0.5*6*30</f>
        <v>90</v>
      </c>
      <c r="H38" s="126"/>
      <c r="I38" s="125"/>
      <c r="J38" s="124"/>
    </row>
    <row r="39" spans="1:10" s="116" customFormat="1" hidden="1" outlineLevel="1" x14ac:dyDescent="0.25">
      <c r="C39" s="123" t="s">
        <v>134</v>
      </c>
      <c r="D39" s="122"/>
      <c r="E39" s="122" t="s">
        <v>135</v>
      </c>
      <c r="F39" s="121"/>
      <c r="G39" s="145">
        <f>G35*8</f>
        <v>6000</v>
      </c>
      <c r="H39" s="119"/>
      <c r="I39" s="118"/>
      <c r="J39" s="117"/>
    </row>
    <row r="40" spans="1:10" ht="15.75" collapsed="1" thickBot="1" x14ac:dyDescent="0.3">
      <c r="I40" s="115"/>
    </row>
    <row r="41" spans="1:10" s="160" customFormat="1" ht="15.75" thickBot="1" x14ac:dyDescent="0.3">
      <c r="A41" s="165" t="s">
        <v>13</v>
      </c>
      <c r="B41" s="166">
        <v>0.13</v>
      </c>
      <c r="C41" s="165"/>
      <c r="D41" s="165"/>
      <c r="E41" s="165"/>
      <c r="F41" s="164"/>
      <c r="G41" s="163"/>
      <c r="H41" s="162">
        <f>D53</f>
        <v>0.72549019607843135</v>
      </c>
      <c r="I41" s="161"/>
      <c r="J41" s="161">
        <f>H41*B41</f>
        <v>9.4313725490196079E-2</v>
      </c>
    </row>
    <row r="42" spans="1:10" ht="6" hidden="1" customHeight="1" outlineLevel="1" x14ac:dyDescent="0.25">
      <c r="D42" s="149"/>
      <c r="F42" s="148"/>
      <c r="G42" s="140"/>
      <c r="H42" s="139"/>
      <c r="I42" s="138"/>
      <c r="J42" s="138"/>
    </row>
    <row r="43" spans="1:10" hidden="1" outlineLevel="1" x14ac:dyDescent="0.25">
      <c r="C43" s="136" t="s">
        <v>7</v>
      </c>
      <c r="D43" s="135" t="s">
        <v>136</v>
      </c>
      <c r="E43" s="135" t="s">
        <v>105</v>
      </c>
      <c r="F43" s="134"/>
      <c r="G43" s="186">
        <f>G44/G45</f>
        <v>4.9019607843137254E-4</v>
      </c>
    </row>
    <row r="44" spans="1:10" s="116" customFormat="1" hidden="1" outlineLevel="1" x14ac:dyDescent="0.25">
      <c r="C44" s="129" t="s">
        <v>137</v>
      </c>
      <c r="D44" s="187"/>
      <c r="E44" s="187" t="s">
        <v>102</v>
      </c>
      <c r="F44" s="187"/>
      <c r="G44" s="189">
        <v>500</v>
      </c>
      <c r="H44" s="114"/>
      <c r="I44" s="114"/>
      <c r="J44" s="114"/>
    </row>
    <row r="45" spans="1:10" s="116" customFormat="1" hidden="1" outlineLevel="1" x14ac:dyDescent="0.25">
      <c r="C45" s="123" t="s">
        <v>138</v>
      </c>
      <c r="D45" s="122"/>
      <c r="E45" s="122" t="s">
        <v>102</v>
      </c>
      <c r="F45" s="122"/>
      <c r="G45" s="190">
        <f>G$14</f>
        <v>1020000</v>
      </c>
      <c r="H45" s="114"/>
      <c r="I45" s="114"/>
      <c r="J45" s="114"/>
    </row>
    <row r="46" spans="1:10" ht="6" hidden="1" customHeight="1" outlineLevel="1" x14ac:dyDescent="0.25">
      <c r="C46" s="142"/>
      <c r="D46" s="143"/>
      <c r="E46" s="142"/>
      <c r="F46" s="141"/>
      <c r="G46" s="140"/>
    </row>
    <row r="47" spans="1:10" hidden="1" outlineLevel="1" x14ac:dyDescent="0.25">
      <c r="C47" s="136" t="s">
        <v>8</v>
      </c>
      <c r="D47" s="135" t="s">
        <v>136</v>
      </c>
      <c r="E47" s="135" t="s">
        <v>105</v>
      </c>
      <c r="F47" s="134"/>
      <c r="G47" s="186">
        <f>G48/G49</f>
        <v>2.9411764705882353E-3</v>
      </c>
    </row>
    <row r="48" spans="1:10" s="116" customFormat="1" hidden="1" outlineLevel="1" x14ac:dyDescent="0.25">
      <c r="C48" s="129" t="s">
        <v>139</v>
      </c>
      <c r="D48" s="187"/>
      <c r="E48" s="187" t="s">
        <v>102</v>
      </c>
      <c r="F48" s="188"/>
      <c r="G48" s="189">
        <v>3000</v>
      </c>
      <c r="H48" s="114"/>
      <c r="I48" s="114"/>
      <c r="J48" s="114"/>
    </row>
    <row r="49" spans="1:10" s="116" customFormat="1" hidden="1" outlineLevel="1" x14ac:dyDescent="0.25">
      <c r="C49" s="123" t="s">
        <v>138</v>
      </c>
      <c r="D49" s="122"/>
      <c r="E49" s="122" t="s">
        <v>102</v>
      </c>
      <c r="F49" s="121"/>
      <c r="G49" s="190">
        <f>G$14</f>
        <v>1020000</v>
      </c>
      <c r="H49" s="114"/>
      <c r="I49" s="114"/>
      <c r="J49" s="114"/>
    </row>
    <row r="50" spans="1:10" hidden="1" outlineLevel="1" x14ac:dyDescent="0.25">
      <c r="I50" s="115"/>
    </row>
    <row r="51" spans="1:10" hidden="1" outlineLevel="1" x14ac:dyDescent="0.25">
      <c r="C51" s="182" t="s">
        <v>140</v>
      </c>
      <c r="D51" s="192">
        <f>G43+G47</f>
        <v>3.4313725490196078E-3</v>
      </c>
    </row>
    <row r="52" spans="1:10" hidden="1" outlineLevel="1" x14ac:dyDescent="0.25">
      <c r="C52" s="178" t="s">
        <v>141</v>
      </c>
      <c r="D52" s="193">
        <v>5.0000000000000001E-3</v>
      </c>
    </row>
    <row r="53" spans="1:10" hidden="1" outlineLevel="1" x14ac:dyDescent="0.25">
      <c r="C53" s="194" t="s">
        <v>17</v>
      </c>
      <c r="D53" s="195">
        <f>IF(D51&gt;D52,0,1-(0.4*D51/D52))</f>
        <v>0.72549019607843135</v>
      </c>
    </row>
    <row r="54" spans="1:10" ht="15.75" collapsed="1" thickBot="1" x14ac:dyDescent="0.3">
      <c r="D54" s="191"/>
    </row>
    <row r="55" spans="1:10" s="160" customFormat="1" ht="15.75" thickBot="1" x14ac:dyDescent="0.3">
      <c r="A55" s="165" t="s">
        <v>67</v>
      </c>
      <c r="B55" s="166">
        <v>0.13</v>
      </c>
      <c r="C55" s="165"/>
      <c r="D55" s="165"/>
      <c r="E55" s="165"/>
      <c r="F55" s="164" t="s">
        <v>172</v>
      </c>
      <c r="G55" s="163"/>
      <c r="H55" s="162">
        <f>SUM(J57:J73)</f>
        <v>0.56168067226890761</v>
      </c>
      <c r="I55" s="198">
        <f>SUM(I57:I73)</f>
        <v>1</v>
      </c>
      <c r="J55" s="161">
        <f>H55*B55</f>
        <v>7.301848739495799E-2</v>
      </c>
    </row>
    <row r="56" spans="1:10" ht="6" hidden="1" customHeight="1" outlineLevel="1" x14ac:dyDescent="0.25">
      <c r="F56" s="115"/>
      <c r="G56" s="159"/>
      <c r="H56" s="159"/>
      <c r="J56" s="159"/>
    </row>
    <row r="57" spans="1:10" hidden="1" outlineLevel="1" x14ac:dyDescent="0.25">
      <c r="C57" s="136" t="s">
        <v>236</v>
      </c>
      <c r="D57" s="135" t="s">
        <v>5</v>
      </c>
      <c r="E57" s="135" t="s">
        <v>105</v>
      </c>
      <c r="F57" s="225">
        <v>1E-3</v>
      </c>
      <c r="G57" s="224">
        <f>G58/G59</f>
        <v>9.8039215686274508E-4</v>
      </c>
      <c r="H57" s="132">
        <f>IF(G57&gt;F57,0,1-(0.4*G57/F57))</f>
        <v>0.60784313725490191</v>
      </c>
      <c r="I57" s="131">
        <v>0.2</v>
      </c>
      <c r="J57" s="130">
        <f>H57*I57</f>
        <v>0.12156862745098039</v>
      </c>
    </row>
    <row r="58" spans="1:10" s="116" customFormat="1" hidden="1" outlineLevel="1" x14ac:dyDescent="0.25">
      <c r="C58" s="129" t="s">
        <v>252</v>
      </c>
      <c r="E58" s="116" t="s">
        <v>102</v>
      </c>
      <c r="G58" s="147">
        <v>1000</v>
      </c>
      <c r="H58" s="146"/>
      <c r="I58" s="125"/>
      <c r="J58" s="124"/>
    </row>
    <row r="59" spans="1:10" s="116" customFormat="1" hidden="1" outlineLevel="1" x14ac:dyDescent="0.25">
      <c r="C59" s="123" t="s">
        <v>237</v>
      </c>
      <c r="D59" s="122"/>
      <c r="E59" s="122" t="s">
        <v>102</v>
      </c>
      <c r="F59" s="122"/>
      <c r="G59" s="185">
        <f>G14</f>
        <v>1020000</v>
      </c>
      <c r="H59" s="144"/>
      <c r="I59" s="118"/>
      <c r="J59" s="117"/>
    </row>
    <row r="60" spans="1:10" ht="6" hidden="1" customHeight="1" outlineLevel="1" x14ac:dyDescent="0.25">
      <c r="D60" s="149"/>
      <c r="F60" s="148"/>
      <c r="G60" s="140"/>
      <c r="H60" s="139"/>
      <c r="I60" s="138"/>
      <c r="J60" s="138"/>
    </row>
    <row r="61" spans="1:10" hidden="1" outlineLevel="1" x14ac:dyDescent="0.25">
      <c r="C61" s="136" t="s">
        <v>238</v>
      </c>
      <c r="D61" s="135" t="s">
        <v>5</v>
      </c>
      <c r="E61" s="135" t="s">
        <v>105</v>
      </c>
      <c r="F61" s="225">
        <v>1E-3</v>
      </c>
      <c r="G61" s="224">
        <f>G62/G63</f>
        <v>7.8431372549019605E-4</v>
      </c>
      <c r="H61" s="132">
        <f>IF(G61&gt;F61,0,1-(0.4*G61/F61))</f>
        <v>0.68627450980392157</v>
      </c>
      <c r="I61" s="131">
        <v>0.2</v>
      </c>
      <c r="J61" s="130">
        <f>H61*I61</f>
        <v>0.13725490196078433</v>
      </c>
    </row>
    <row r="62" spans="1:10" s="116" customFormat="1" hidden="1" outlineLevel="1" x14ac:dyDescent="0.25">
      <c r="C62" s="129" t="s">
        <v>239</v>
      </c>
      <c r="E62" s="116" t="s">
        <v>102</v>
      </c>
      <c r="G62" s="147">
        <v>800</v>
      </c>
      <c r="H62" s="146"/>
      <c r="I62" s="125"/>
      <c r="J62" s="124"/>
    </row>
    <row r="63" spans="1:10" s="116" customFormat="1" hidden="1" outlineLevel="1" x14ac:dyDescent="0.25">
      <c r="C63" s="123" t="s">
        <v>237</v>
      </c>
      <c r="D63" s="122"/>
      <c r="E63" s="122" t="s">
        <v>102</v>
      </c>
      <c r="F63" s="122"/>
      <c r="G63" s="185">
        <f>G59</f>
        <v>1020000</v>
      </c>
      <c r="H63" s="144"/>
      <c r="I63" s="118"/>
      <c r="J63" s="117"/>
    </row>
    <row r="64" spans="1:10" ht="6" hidden="1" customHeight="1" outlineLevel="1" x14ac:dyDescent="0.25">
      <c r="C64" s="142"/>
      <c r="D64" s="143"/>
      <c r="E64" s="142"/>
      <c r="F64" s="141"/>
      <c r="G64" s="140"/>
      <c r="H64" s="139"/>
      <c r="I64" s="138"/>
      <c r="J64" s="137"/>
    </row>
    <row r="65" spans="1:10" hidden="1" outlineLevel="1" x14ac:dyDescent="0.25">
      <c r="C65" s="136" t="s">
        <v>260</v>
      </c>
      <c r="D65" s="135" t="s">
        <v>5</v>
      </c>
      <c r="E65" s="135" t="s">
        <v>105</v>
      </c>
      <c r="F65" s="225">
        <v>1E-3</v>
      </c>
      <c r="G65" s="224">
        <f>G66/G67</f>
        <v>7.1428571428571429E-4</v>
      </c>
      <c r="H65" s="132">
        <f>IF(G65&gt;F65,0,1-(0.4*G65/F65))</f>
        <v>0.71428571428571419</v>
      </c>
      <c r="I65" s="131">
        <v>0.2</v>
      </c>
      <c r="J65" s="130">
        <f>H65*I65</f>
        <v>0.14285714285714285</v>
      </c>
    </row>
    <row r="66" spans="1:10" s="116" customFormat="1" hidden="1" outlineLevel="1" x14ac:dyDescent="0.25">
      <c r="C66" s="129" t="s">
        <v>240</v>
      </c>
      <c r="E66" s="116" t="s">
        <v>179</v>
      </c>
      <c r="F66" s="128"/>
      <c r="G66" s="147">
        <v>25</v>
      </c>
      <c r="H66" s="126"/>
      <c r="I66" s="125"/>
      <c r="J66" s="124"/>
    </row>
    <row r="67" spans="1:10" s="116" customFormat="1" hidden="1" outlineLevel="1" x14ac:dyDescent="0.25">
      <c r="C67" s="123" t="s">
        <v>241</v>
      </c>
      <c r="D67" s="122"/>
      <c r="E67" s="122" t="s">
        <v>179</v>
      </c>
      <c r="F67" s="121"/>
      <c r="G67" s="145">
        <v>35000</v>
      </c>
      <c r="H67" s="119"/>
      <c r="I67" s="118"/>
      <c r="J67" s="117"/>
    </row>
    <row r="68" spans="1:10" ht="6" hidden="1" customHeight="1" outlineLevel="1" x14ac:dyDescent="0.25">
      <c r="C68" s="142"/>
      <c r="D68" s="143"/>
      <c r="E68" s="142"/>
      <c r="F68" s="141"/>
      <c r="G68" s="140"/>
      <c r="H68" s="139"/>
      <c r="I68" s="138"/>
      <c r="J68" s="137"/>
    </row>
    <row r="69" spans="1:10" hidden="1" outlineLevel="1" x14ac:dyDescent="0.25">
      <c r="C69" s="136" t="s">
        <v>242</v>
      </c>
      <c r="D69" s="135" t="s">
        <v>5</v>
      </c>
      <c r="E69" s="135" t="s">
        <v>105</v>
      </c>
      <c r="F69" s="225">
        <v>1E-3</v>
      </c>
      <c r="G69" s="224">
        <f>G70/G71</f>
        <v>1.7142857142857142E-3</v>
      </c>
      <c r="H69" s="132">
        <f>IF(G69&gt;F69,0,1-(0.4*G69/F69))</f>
        <v>0</v>
      </c>
      <c r="I69" s="131">
        <v>0.2</v>
      </c>
      <c r="J69" s="130">
        <f>H69*I69</f>
        <v>0</v>
      </c>
    </row>
    <row r="70" spans="1:10" s="116" customFormat="1" hidden="1" outlineLevel="1" x14ac:dyDescent="0.25">
      <c r="C70" s="129" t="s">
        <v>243</v>
      </c>
      <c r="E70" s="116" t="s">
        <v>179</v>
      </c>
      <c r="F70" s="128"/>
      <c r="G70" s="147">
        <v>60</v>
      </c>
      <c r="H70" s="126"/>
      <c r="I70" s="125"/>
      <c r="J70" s="124"/>
    </row>
    <row r="71" spans="1:10" s="116" customFormat="1" hidden="1" outlineLevel="1" x14ac:dyDescent="0.25">
      <c r="C71" s="123" t="s">
        <v>241</v>
      </c>
      <c r="D71" s="122"/>
      <c r="E71" s="122" t="s">
        <v>179</v>
      </c>
      <c r="F71" s="121"/>
      <c r="G71" s="145">
        <v>35000</v>
      </c>
      <c r="H71" s="119"/>
      <c r="I71" s="118"/>
      <c r="J71" s="117"/>
    </row>
    <row r="72" spans="1:10" ht="6" hidden="1" customHeight="1" outlineLevel="1" x14ac:dyDescent="0.25">
      <c r="C72" s="142"/>
      <c r="D72" s="143"/>
      <c r="E72" s="142"/>
      <c r="F72" s="141"/>
      <c r="G72" s="140"/>
      <c r="H72" s="139"/>
      <c r="I72" s="138"/>
      <c r="J72" s="137"/>
    </row>
    <row r="73" spans="1:10" hidden="1" outlineLevel="1" x14ac:dyDescent="0.25">
      <c r="C73" s="158" t="s">
        <v>244</v>
      </c>
      <c r="D73" s="215" t="s">
        <v>245</v>
      </c>
      <c r="E73" s="156" t="s">
        <v>105</v>
      </c>
      <c r="F73" s="155">
        <v>0.65</v>
      </c>
      <c r="G73" s="154">
        <v>0.8</v>
      </c>
      <c r="H73" s="153">
        <f>IF(G73&lt;F73,0,G73)</f>
        <v>0.8</v>
      </c>
      <c r="I73" s="152">
        <v>0.2</v>
      </c>
      <c r="J73" s="151">
        <f>H73*I73</f>
        <v>0.16000000000000003</v>
      </c>
    </row>
    <row r="74" spans="1:10" ht="15.75" collapsed="1" thickBot="1" x14ac:dyDescent="0.3">
      <c r="I74" s="115"/>
    </row>
    <row r="75" spans="1:10" s="160" customFormat="1" ht="15.75" thickBot="1" x14ac:dyDescent="0.3">
      <c r="A75" s="165" t="s">
        <v>294</v>
      </c>
      <c r="B75" s="166">
        <v>0.13</v>
      </c>
      <c r="C75" s="165"/>
      <c r="D75" s="165"/>
      <c r="E75" s="165"/>
      <c r="F75" s="164"/>
      <c r="G75" s="163"/>
      <c r="H75" s="162">
        <f>SUM(J77:J85)</f>
        <v>0.45833333333333331</v>
      </c>
      <c r="I75" s="198">
        <f>SUM(I77:I85)</f>
        <v>1</v>
      </c>
      <c r="J75" s="161">
        <f>H75*B75</f>
        <v>5.9583333333333335E-2</v>
      </c>
    </row>
    <row r="76" spans="1:10" ht="6" hidden="1" customHeight="1" outlineLevel="1" x14ac:dyDescent="0.25">
      <c r="F76" s="115"/>
      <c r="G76" s="159"/>
      <c r="H76" s="159"/>
      <c r="J76" s="159"/>
    </row>
    <row r="77" spans="1:10" hidden="1" outlineLevel="1" x14ac:dyDescent="0.25">
      <c r="C77" s="136" t="s">
        <v>261</v>
      </c>
      <c r="D77" s="135" t="s">
        <v>5</v>
      </c>
      <c r="E77" s="135" t="s">
        <v>105</v>
      </c>
      <c r="F77" s="226">
        <v>0.8</v>
      </c>
      <c r="G77" s="227">
        <f>G78/G79</f>
        <v>0.85</v>
      </c>
      <c r="H77" s="132">
        <f>IF(G77&lt;F77,0,1-(0.4*G77/F77))</f>
        <v>0.57499999999999996</v>
      </c>
      <c r="I77" s="131">
        <f>1/3</f>
        <v>0.33333333333333331</v>
      </c>
      <c r="J77" s="130">
        <f>H77*I77</f>
        <v>0.19166666666666665</v>
      </c>
    </row>
    <row r="78" spans="1:10" s="116" customFormat="1" hidden="1" outlineLevel="1" x14ac:dyDescent="0.25">
      <c r="C78" s="129" t="s">
        <v>262</v>
      </c>
      <c r="E78" s="116" t="s">
        <v>179</v>
      </c>
      <c r="G78" s="147">
        <v>850</v>
      </c>
      <c r="H78" s="146"/>
      <c r="I78" s="125"/>
      <c r="J78" s="124"/>
    </row>
    <row r="79" spans="1:10" s="116" customFormat="1" hidden="1" outlineLevel="1" x14ac:dyDescent="0.25">
      <c r="C79" s="123" t="s">
        <v>263</v>
      </c>
      <c r="D79" s="122"/>
      <c r="E79" s="122" t="s">
        <v>179</v>
      </c>
      <c r="F79" s="122"/>
      <c r="G79" s="145">
        <v>1000</v>
      </c>
      <c r="H79" s="144"/>
      <c r="I79" s="118"/>
      <c r="J79" s="117"/>
    </row>
    <row r="80" spans="1:10" s="230" customFormat="1" ht="6" hidden="1" customHeight="1" outlineLevel="1" x14ac:dyDescent="0.25">
      <c r="D80" s="247"/>
      <c r="F80" s="248"/>
      <c r="G80" s="249"/>
      <c r="H80" s="250"/>
      <c r="I80" s="251"/>
      <c r="J80" s="251"/>
    </row>
    <row r="81" spans="1:10" s="230" customFormat="1" hidden="1" outlineLevel="1" x14ac:dyDescent="0.25">
      <c r="C81" s="231" t="s">
        <v>264</v>
      </c>
      <c r="D81" s="228" t="s">
        <v>5</v>
      </c>
      <c r="E81" s="228" t="s">
        <v>105</v>
      </c>
      <c r="F81" s="226">
        <v>0.05</v>
      </c>
      <c r="G81" s="259">
        <f>G82/G83</f>
        <v>0.1</v>
      </c>
      <c r="H81" s="221">
        <f>IF(G81&gt;F81,0,1-(0.4*G81/F81))</f>
        <v>0</v>
      </c>
      <c r="I81" s="233">
        <f>1/3</f>
        <v>0.33333333333333331</v>
      </c>
      <c r="J81" s="234">
        <f>H81*I81</f>
        <v>0</v>
      </c>
    </row>
    <row r="82" spans="1:10" s="235" customFormat="1" hidden="1" outlineLevel="1" x14ac:dyDescent="0.25">
      <c r="C82" s="236" t="s">
        <v>265</v>
      </c>
      <c r="E82" s="235" t="s">
        <v>179</v>
      </c>
      <c r="G82" s="237">
        <v>100</v>
      </c>
      <c r="H82" s="238"/>
      <c r="I82" s="239"/>
      <c r="J82" s="240"/>
    </row>
    <row r="83" spans="1:10" s="235" customFormat="1" hidden="1" outlineLevel="1" x14ac:dyDescent="0.25">
      <c r="C83" s="241" t="s">
        <v>266</v>
      </c>
      <c r="D83" s="242"/>
      <c r="E83" s="242" t="s">
        <v>179</v>
      </c>
      <c r="F83" s="242"/>
      <c r="G83" s="243">
        <v>1000</v>
      </c>
      <c r="H83" s="244"/>
      <c r="I83" s="245"/>
      <c r="J83" s="246"/>
    </row>
    <row r="84" spans="1:10" s="230" customFormat="1" ht="6" hidden="1" customHeight="1" outlineLevel="1" x14ac:dyDescent="0.25">
      <c r="D84" s="247"/>
      <c r="F84" s="248"/>
      <c r="G84" s="249"/>
      <c r="H84" s="250"/>
      <c r="I84" s="251"/>
      <c r="J84" s="251"/>
    </row>
    <row r="85" spans="1:10" s="230" customFormat="1" ht="30" hidden="1" outlineLevel="1" x14ac:dyDescent="0.25">
      <c r="C85" s="260" t="s">
        <v>267</v>
      </c>
      <c r="D85" s="215" t="s">
        <v>173</v>
      </c>
      <c r="E85" s="261" t="s">
        <v>105</v>
      </c>
      <c r="F85" s="262">
        <v>0.65</v>
      </c>
      <c r="G85" s="263">
        <v>0.8</v>
      </c>
      <c r="H85" s="264">
        <f>IF(G85&lt;F85,0,G85)</f>
        <v>0.8</v>
      </c>
      <c r="I85" s="265">
        <f>1/3</f>
        <v>0.33333333333333331</v>
      </c>
      <c r="J85" s="266">
        <f>H85*I85</f>
        <v>0.26666666666666666</v>
      </c>
    </row>
    <row r="86" spans="1:10" ht="15.75" collapsed="1" thickBot="1" x14ac:dyDescent="0.3">
      <c r="I86" s="115"/>
    </row>
    <row r="87" spans="1:10" s="160" customFormat="1" ht="15.75" thickBot="1" x14ac:dyDescent="0.3">
      <c r="A87" s="165" t="s">
        <v>293</v>
      </c>
      <c r="B87" s="166">
        <v>0.13</v>
      </c>
      <c r="C87" s="165"/>
      <c r="D87" s="165"/>
      <c r="E87" s="165"/>
      <c r="F87" s="164"/>
      <c r="G87" s="163"/>
      <c r="H87" s="162">
        <f>SUM(J89:J105)</f>
        <v>0.44333333333333336</v>
      </c>
      <c r="I87" s="198">
        <f>SUM(I89:I105)</f>
        <v>1</v>
      </c>
      <c r="J87" s="161">
        <f>H87*B87</f>
        <v>5.7633333333333335E-2</v>
      </c>
    </row>
    <row r="88" spans="1:10" ht="6" hidden="1" customHeight="1" outlineLevel="1" x14ac:dyDescent="0.25">
      <c r="F88" s="115"/>
      <c r="G88" s="159"/>
      <c r="H88" s="159"/>
      <c r="J88" s="159"/>
    </row>
    <row r="89" spans="1:10" ht="30" hidden="1" outlineLevel="1" x14ac:dyDescent="0.25">
      <c r="C89" s="219" t="s">
        <v>270</v>
      </c>
      <c r="D89" s="228" t="s">
        <v>271</v>
      </c>
      <c r="E89" s="135" t="s">
        <v>105</v>
      </c>
      <c r="F89" s="226">
        <v>0.8</v>
      </c>
      <c r="G89" s="227">
        <f>G90/G91</f>
        <v>0.83333333333333337</v>
      </c>
      <c r="H89" s="132">
        <f>IF(G89&lt;F89,0,1-(0.4*G89/F89))</f>
        <v>0.58333333333333326</v>
      </c>
      <c r="I89" s="131">
        <v>0.2</v>
      </c>
      <c r="J89" s="130">
        <f>H89*I89</f>
        <v>0.11666666666666665</v>
      </c>
    </row>
    <row r="90" spans="1:10" s="116" customFormat="1" hidden="1" outlineLevel="1" x14ac:dyDescent="0.25">
      <c r="C90" s="129" t="s">
        <v>187</v>
      </c>
      <c r="E90" s="116" t="s">
        <v>179</v>
      </c>
      <c r="F90" s="128"/>
      <c r="G90" s="147">
        <v>25</v>
      </c>
      <c r="H90" s="146"/>
      <c r="I90" s="125"/>
      <c r="J90" s="124"/>
    </row>
    <row r="91" spans="1:10" s="116" customFormat="1" hidden="1" outlineLevel="1" x14ac:dyDescent="0.25">
      <c r="C91" s="123" t="s">
        <v>180</v>
      </c>
      <c r="D91" s="122"/>
      <c r="E91" s="122" t="s">
        <v>179</v>
      </c>
      <c r="F91" s="121"/>
      <c r="G91" s="145">
        <v>30</v>
      </c>
      <c r="H91" s="144"/>
      <c r="I91" s="118"/>
      <c r="J91" s="117"/>
    </row>
    <row r="92" spans="1:10" ht="6" hidden="1" customHeight="1" outlineLevel="1" x14ac:dyDescent="0.25">
      <c r="D92" s="149"/>
      <c r="F92" s="148"/>
      <c r="G92" s="140"/>
      <c r="H92" s="139"/>
      <c r="I92" s="138"/>
      <c r="J92" s="138"/>
    </row>
    <row r="93" spans="1:10" hidden="1" outlineLevel="1" x14ac:dyDescent="0.25">
      <c r="C93" s="136" t="s">
        <v>264</v>
      </c>
      <c r="D93" s="135" t="s">
        <v>5</v>
      </c>
      <c r="E93" s="135" t="s">
        <v>105</v>
      </c>
      <c r="F93" s="226">
        <v>0.05</v>
      </c>
      <c r="G93" s="227">
        <f>G94/G95</f>
        <v>0.1</v>
      </c>
      <c r="H93" s="132">
        <f>IF(G93&gt;F93,0,1-(0.4*G93/F93))</f>
        <v>0</v>
      </c>
      <c r="I93" s="131">
        <v>0.2</v>
      </c>
      <c r="J93" s="130">
        <f>H93*I93</f>
        <v>0</v>
      </c>
    </row>
    <row r="94" spans="1:10" s="116" customFormat="1" hidden="1" outlineLevel="1" x14ac:dyDescent="0.25">
      <c r="C94" s="129" t="s">
        <v>265</v>
      </c>
      <c r="E94" s="116" t="s">
        <v>179</v>
      </c>
      <c r="G94" s="147">
        <v>100</v>
      </c>
      <c r="H94" s="146"/>
      <c r="I94" s="125"/>
      <c r="J94" s="124"/>
    </row>
    <row r="95" spans="1:10" s="116" customFormat="1" hidden="1" outlineLevel="1" x14ac:dyDescent="0.25">
      <c r="C95" s="123" t="s">
        <v>266</v>
      </c>
      <c r="D95" s="122"/>
      <c r="E95" s="122" t="s">
        <v>179</v>
      </c>
      <c r="F95" s="122"/>
      <c r="G95" s="145">
        <v>1000</v>
      </c>
      <c r="H95" s="144"/>
      <c r="I95" s="118"/>
      <c r="J95" s="117"/>
    </row>
    <row r="96" spans="1:10" ht="6" hidden="1" customHeight="1" outlineLevel="1" x14ac:dyDescent="0.25">
      <c r="C96" s="142"/>
      <c r="D96" s="143"/>
      <c r="E96" s="142"/>
      <c r="F96" s="141"/>
      <c r="G96" s="140"/>
      <c r="H96" s="139"/>
      <c r="I96" s="138"/>
      <c r="J96" s="137"/>
    </row>
    <row r="97" spans="3:10" ht="30" hidden="1" outlineLevel="1" x14ac:dyDescent="0.25">
      <c r="C97" s="219" t="s">
        <v>186</v>
      </c>
      <c r="D97" s="228" t="s">
        <v>181</v>
      </c>
      <c r="E97" s="135" t="s">
        <v>105</v>
      </c>
      <c r="F97" s="134">
        <v>0.8</v>
      </c>
      <c r="G97" s="133">
        <f>G98/G99</f>
        <v>0.66666666666666663</v>
      </c>
      <c r="H97" s="132">
        <f>IF(G97&lt;F97,0,G97)</f>
        <v>0</v>
      </c>
      <c r="I97" s="131">
        <v>0.2</v>
      </c>
      <c r="J97" s="130">
        <f>H97*I97</f>
        <v>0</v>
      </c>
    </row>
    <row r="98" spans="3:10" s="116" customFormat="1" hidden="1" outlineLevel="1" x14ac:dyDescent="0.25">
      <c r="C98" s="129" t="s">
        <v>187</v>
      </c>
      <c r="E98" s="116" t="s">
        <v>179</v>
      </c>
      <c r="F98" s="128"/>
      <c r="G98" s="147">
        <v>20</v>
      </c>
      <c r="H98" s="126"/>
      <c r="I98" s="125"/>
      <c r="J98" s="124"/>
    </row>
    <row r="99" spans="3:10" s="116" customFormat="1" hidden="1" outlineLevel="1" x14ac:dyDescent="0.25">
      <c r="C99" s="123" t="s">
        <v>180</v>
      </c>
      <c r="D99" s="122"/>
      <c r="E99" s="122" t="s">
        <v>179</v>
      </c>
      <c r="F99" s="121"/>
      <c r="G99" s="145">
        <v>30</v>
      </c>
      <c r="H99" s="119"/>
      <c r="I99" s="118"/>
      <c r="J99" s="117"/>
    </row>
    <row r="100" spans="3:10" ht="6" hidden="1" customHeight="1" outlineLevel="1" x14ac:dyDescent="0.25">
      <c r="D100" s="149"/>
      <c r="F100" s="148"/>
      <c r="G100" s="140"/>
      <c r="H100" s="139"/>
      <c r="I100" s="138"/>
      <c r="J100" s="138"/>
    </row>
    <row r="101" spans="3:10" hidden="1" outlineLevel="1" x14ac:dyDescent="0.25">
      <c r="C101" s="136" t="s">
        <v>177</v>
      </c>
      <c r="D101" s="135" t="s">
        <v>5</v>
      </c>
      <c r="E101" s="135" t="s">
        <v>105</v>
      </c>
      <c r="F101" s="134">
        <v>0.8</v>
      </c>
      <c r="G101" s="133">
        <f>G102/G103</f>
        <v>0.83333333333333337</v>
      </c>
      <c r="H101" s="132">
        <f>IF(G101&lt;F101,0,G101)</f>
        <v>0.83333333333333337</v>
      </c>
      <c r="I101" s="131">
        <v>0.2</v>
      </c>
      <c r="J101" s="130">
        <f>H101*I101</f>
        <v>0.16666666666666669</v>
      </c>
    </row>
    <row r="102" spans="3:10" s="116" customFormat="1" hidden="1" outlineLevel="1" x14ac:dyDescent="0.25">
      <c r="C102" s="129" t="s">
        <v>178</v>
      </c>
      <c r="E102" s="116" t="s">
        <v>179</v>
      </c>
      <c r="F102" s="128"/>
      <c r="G102" s="147">
        <v>25</v>
      </c>
      <c r="H102" s="126"/>
      <c r="I102" s="125"/>
      <c r="J102" s="124"/>
    </row>
    <row r="103" spans="3:10" s="116" customFormat="1" hidden="1" outlineLevel="1" x14ac:dyDescent="0.25">
      <c r="C103" s="123" t="s">
        <v>180</v>
      </c>
      <c r="D103" s="122"/>
      <c r="E103" s="122" t="s">
        <v>179</v>
      </c>
      <c r="F103" s="121"/>
      <c r="G103" s="145">
        <v>30</v>
      </c>
      <c r="H103" s="119"/>
      <c r="I103" s="118"/>
      <c r="J103" s="117"/>
    </row>
    <row r="104" spans="3:10" ht="6" hidden="1" customHeight="1" outlineLevel="1" x14ac:dyDescent="0.25">
      <c r="C104" s="142"/>
      <c r="D104" s="143"/>
      <c r="E104" s="142"/>
      <c r="F104" s="141"/>
      <c r="G104" s="140"/>
      <c r="H104" s="139"/>
      <c r="I104" s="138"/>
      <c r="J104" s="137"/>
    </row>
    <row r="105" spans="3:10" ht="30" hidden="1" outlineLevel="1" x14ac:dyDescent="0.25">
      <c r="C105" s="229" t="s">
        <v>289</v>
      </c>
      <c r="D105" s="215" t="s">
        <v>173</v>
      </c>
      <c r="E105" s="156" t="s">
        <v>105</v>
      </c>
      <c r="F105" s="155">
        <v>0.65</v>
      </c>
      <c r="G105" s="154">
        <v>0.8</v>
      </c>
      <c r="H105" s="153">
        <f>IF(G105&lt;F105,0,G105)</f>
        <v>0.8</v>
      </c>
      <c r="I105" s="152">
        <v>0.2</v>
      </c>
      <c r="J105" s="151">
        <f>H105*I105</f>
        <v>0.16000000000000003</v>
      </c>
    </row>
    <row r="106" spans="3:10" collapsed="1" x14ac:dyDescent="0.25">
      <c r="I106" s="115"/>
    </row>
    <row r="107" spans="3:10" x14ac:dyDescent="0.25">
      <c r="D107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selection activeCell="A14" sqref="A14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333" t="s">
        <v>1</v>
      </c>
      <c r="E2" s="334"/>
      <c r="F2" s="334"/>
      <c r="G2" s="334"/>
      <c r="H2" s="335"/>
      <c r="I2" s="312">
        <f>(G7*A8)+(G29*A30)+(O29*I30)</f>
        <v>0.75619999999999998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336"/>
      <c r="E3" s="337"/>
      <c r="F3" s="337"/>
      <c r="G3" s="337"/>
      <c r="H3" s="338"/>
      <c r="I3" s="313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39"/>
      <c r="E4" s="340"/>
      <c r="F4" s="340"/>
      <c r="G4" s="340"/>
      <c r="H4" s="341"/>
      <c r="I4" s="314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92" customFormat="1" ht="13.15" customHeight="1" x14ac:dyDescent="0.25">
      <c r="A7" s="107"/>
      <c r="B7" s="275" t="s">
        <v>89</v>
      </c>
      <c r="C7" s="275"/>
      <c r="D7" s="275"/>
      <c r="E7" s="275"/>
      <c r="F7" s="318"/>
      <c r="G7" s="271">
        <f>SUMPRODUCT(F12:F27,G12:G27)</f>
        <v>0.69999999999999984</v>
      </c>
      <c r="H7" s="91"/>
    </row>
    <row r="8" spans="1:15" s="92" customFormat="1" ht="13.15" customHeight="1" x14ac:dyDescent="0.25">
      <c r="A8" s="89">
        <v>0.7</v>
      </c>
      <c r="B8" s="276"/>
      <c r="C8" s="276"/>
      <c r="D8" s="276"/>
      <c r="E8" s="276"/>
      <c r="F8" s="319"/>
      <c r="G8" s="278"/>
      <c r="H8" s="91"/>
    </row>
    <row r="9" spans="1:15" s="92" customFormat="1" ht="13.15" customHeight="1" x14ac:dyDescent="0.25">
      <c r="A9" s="109"/>
      <c r="B9" s="277"/>
      <c r="C9" s="277"/>
      <c r="D9" s="277"/>
      <c r="E9" s="277"/>
      <c r="F9" s="320"/>
      <c r="G9" s="278"/>
      <c r="H9" s="91"/>
    </row>
    <row r="10" spans="1:15" s="111" customFormat="1" ht="13.15" customHeight="1" x14ac:dyDescent="0.25">
      <c r="A10" s="62" t="s">
        <v>16</v>
      </c>
      <c r="B10" s="63"/>
      <c r="C10" s="63"/>
      <c r="D10" s="63"/>
      <c r="E10" s="75" t="s">
        <v>21</v>
      </c>
      <c r="F10" s="75" t="s">
        <v>17</v>
      </c>
      <c r="G10" s="64" t="s">
        <v>9</v>
      </c>
      <c r="H10" s="110"/>
      <c r="I10" s="92"/>
      <c r="J10" s="92"/>
      <c r="K10" s="92"/>
      <c r="L10" s="92"/>
      <c r="M10" s="92"/>
      <c r="N10" s="92"/>
      <c r="O10" s="92"/>
    </row>
    <row r="11" spans="1:15" s="92" customFormat="1" ht="13.15" customHeight="1" x14ac:dyDescent="0.25">
      <c r="A11" s="65"/>
      <c r="B11" s="66"/>
      <c r="C11" s="66"/>
      <c r="D11" s="66"/>
      <c r="E11" s="76"/>
      <c r="F11" s="87"/>
      <c r="G11" s="72"/>
      <c r="H11" s="91"/>
    </row>
    <row r="12" spans="1:15" s="92" customFormat="1" ht="13.15" customHeight="1" x14ac:dyDescent="0.25">
      <c r="A12" s="65" t="s">
        <v>90</v>
      </c>
      <c r="B12" s="83"/>
      <c r="C12" s="66"/>
      <c r="D12" s="66"/>
      <c r="E12" s="77" t="s">
        <v>54</v>
      </c>
      <c r="F12" s="77">
        <v>0.7</v>
      </c>
      <c r="G12" s="73">
        <v>0.2</v>
      </c>
      <c r="H12" s="91"/>
    </row>
    <row r="13" spans="1:15" s="92" customFormat="1" ht="13.15" customHeight="1" x14ac:dyDescent="0.25">
      <c r="A13" s="65"/>
      <c r="B13" s="83"/>
      <c r="C13" s="66"/>
      <c r="D13" s="66"/>
      <c r="E13" s="77"/>
      <c r="F13" s="77"/>
      <c r="G13" s="73"/>
      <c r="H13" s="91"/>
    </row>
    <row r="14" spans="1:15" s="92" customFormat="1" ht="13.15" customHeight="1" x14ac:dyDescent="0.25">
      <c r="A14" s="65" t="s">
        <v>91</v>
      </c>
      <c r="B14" s="83"/>
      <c r="C14" s="66"/>
      <c r="D14" s="66"/>
      <c r="E14" s="77" t="s">
        <v>54</v>
      </c>
      <c r="F14" s="77">
        <v>0.7</v>
      </c>
      <c r="G14" s="73">
        <v>0.2</v>
      </c>
      <c r="H14" s="91"/>
    </row>
    <row r="15" spans="1:15" s="92" customFormat="1" ht="13.15" customHeight="1" x14ac:dyDescent="0.25">
      <c r="A15" s="65" t="s">
        <v>92</v>
      </c>
      <c r="B15" s="83"/>
      <c r="C15" s="66"/>
      <c r="D15" s="66"/>
      <c r="E15" s="77"/>
      <c r="F15" s="77"/>
      <c r="G15" s="73"/>
      <c r="H15" s="91"/>
    </row>
    <row r="16" spans="1:15" s="92" customFormat="1" ht="13.15" customHeight="1" x14ac:dyDescent="0.25">
      <c r="A16" s="65"/>
      <c r="B16" s="83"/>
      <c r="C16" s="66"/>
      <c r="D16" s="66"/>
      <c r="E16" s="77"/>
      <c r="F16" s="77"/>
      <c r="G16" s="73"/>
      <c r="H16" s="91"/>
    </row>
    <row r="17" spans="1:15" s="92" customFormat="1" ht="13.15" customHeight="1" x14ac:dyDescent="0.25">
      <c r="A17" s="65" t="s">
        <v>93</v>
      </c>
      <c r="B17" s="83"/>
      <c r="C17" s="66"/>
      <c r="D17" s="66"/>
      <c r="E17" s="77" t="s">
        <v>54</v>
      </c>
      <c r="F17" s="77">
        <v>0.7</v>
      </c>
      <c r="G17" s="73">
        <v>0.2</v>
      </c>
      <c r="H17" s="91"/>
    </row>
    <row r="18" spans="1:15" s="92" customFormat="1" ht="13.15" customHeight="1" x14ac:dyDescent="0.25">
      <c r="A18" s="65"/>
      <c r="B18" s="83"/>
      <c r="C18" s="66"/>
      <c r="D18" s="66"/>
      <c r="E18" s="77"/>
      <c r="F18" s="77"/>
      <c r="G18" s="73"/>
      <c r="H18" s="91"/>
    </row>
    <row r="19" spans="1:15" s="92" customFormat="1" ht="13.15" customHeight="1" x14ac:dyDescent="0.25">
      <c r="A19" s="65" t="s">
        <v>94</v>
      </c>
      <c r="B19" s="83"/>
      <c r="C19" s="66"/>
      <c r="D19" s="66"/>
      <c r="E19" s="77" t="s">
        <v>54</v>
      </c>
      <c r="F19" s="77">
        <v>0.7</v>
      </c>
      <c r="G19" s="73">
        <v>0.1</v>
      </c>
      <c r="H19" s="91"/>
    </row>
    <row r="20" spans="1:15" s="92" customFormat="1" ht="13.15" customHeight="1" x14ac:dyDescent="0.25">
      <c r="A20" s="65"/>
      <c r="B20" s="83"/>
      <c r="C20" s="66"/>
      <c r="D20" s="66"/>
      <c r="E20" s="77"/>
      <c r="F20" s="77"/>
      <c r="G20" s="73"/>
      <c r="H20" s="91"/>
    </row>
    <row r="21" spans="1:15" s="92" customFormat="1" ht="13.15" customHeight="1" x14ac:dyDescent="0.25">
      <c r="A21" s="65" t="s">
        <v>24</v>
      </c>
      <c r="B21" s="83"/>
      <c r="C21" s="66"/>
      <c r="D21" s="66"/>
      <c r="E21" s="77" t="s">
        <v>54</v>
      </c>
      <c r="F21" s="77">
        <v>0.7</v>
      </c>
      <c r="G21" s="73">
        <v>0.1</v>
      </c>
      <c r="H21" s="91"/>
    </row>
    <row r="22" spans="1:15" s="92" customFormat="1" ht="13.15" customHeight="1" x14ac:dyDescent="0.25">
      <c r="A22" s="65" t="s">
        <v>83</v>
      </c>
      <c r="B22" s="83"/>
      <c r="C22" s="66"/>
      <c r="D22" s="66"/>
      <c r="E22" s="77"/>
      <c r="F22" s="77"/>
      <c r="G22" s="73"/>
      <c r="H22" s="91"/>
    </row>
    <row r="23" spans="1:15" s="92" customFormat="1" ht="13.15" customHeight="1" x14ac:dyDescent="0.25">
      <c r="A23" s="65"/>
      <c r="B23" s="83"/>
      <c r="C23" s="66"/>
      <c r="D23" s="66"/>
      <c r="E23" s="77"/>
      <c r="F23" s="77"/>
      <c r="G23" s="73"/>
      <c r="H23" s="91"/>
    </row>
    <row r="24" spans="1:15" s="92" customFormat="1" ht="13.15" customHeight="1" x14ac:dyDescent="0.25">
      <c r="A24" s="65" t="s">
        <v>22</v>
      </c>
      <c r="B24" s="83"/>
      <c r="C24" s="66"/>
      <c r="D24" s="66"/>
      <c r="E24" s="77" t="s">
        <v>54</v>
      </c>
      <c r="F24" s="77">
        <v>0.7</v>
      </c>
      <c r="G24" s="73">
        <v>0.1</v>
      </c>
      <c r="H24" s="91"/>
    </row>
    <row r="25" spans="1:15" s="92" customFormat="1" ht="13.15" customHeight="1" x14ac:dyDescent="0.25">
      <c r="A25" s="65"/>
      <c r="B25" s="83"/>
      <c r="C25" s="66"/>
      <c r="D25" s="66"/>
      <c r="E25" s="77"/>
      <c r="F25" s="77"/>
      <c r="G25" s="73"/>
      <c r="H25" s="91"/>
    </row>
    <row r="26" spans="1:15" s="92" customFormat="1" ht="13.15" customHeight="1" x14ac:dyDescent="0.25">
      <c r="A26" s="65" t="s">
        <v>95</v>
      </c>
      <c r="B26" s="83"/>
      <c r="C26" s="66"/>
      <c r="D26" s="66"/>
      <c r="E26" s="77" t="s">
        <v>54</v>
      </c>
      <c r="F26" s="77">
        <v>0.7</v>
      </c>
      <c r="G26" s="73">
        <v>0.1</v>
      </c>
      <c r="H26" s="91"/>
    </row>
    <row r="27" spans="1:15" s="92" customFormat="1" ht="13.15" customHeight="1" x14ac:dyDescent="0.25">
      <c r="A27" s="69" t="s">
        <v>96</v>
      </c>
      <c r="B27" s="70"/>
      <c r="C27" s="70"/>
      <c r="D27" s="70"/>
      <c r="E27" s="106"/>
      <c r="F27" s="106"/>
      <c r="G27" s="74"/>
      <c r="H27" s="91"/>
    </row>
    <row r="28" spans="1:15" s="92" customFormat="1" ht="13.15" customHeight="1" x14ac:dyDescent="0.25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s="92" customFormat="1" ht="13.15" customHeight="1" x14ac:dyDescent="0.25">
      <c r="A29" s="107"/>
      <c r="B29" s="275" t="s">
        <v>14</v>
      </c>
      <c r="C29" s="275"/>
      <c r="D29" s="275"/>
      <c r="E29" s="275"/>
      <c r="F29" s="104"/>
      <c r="G29" s="271">
        <f>SUMPRODUCT(F34:F36,G34:G36)</f>
        <v>0.76200000000000001</v>
      </c>
      <c r="H29" s="91"/>
      <c r="I29" s="107"/>
      <c r="J29" s="275" t="s">
        <v>15</v>
      </c>
      <c r="K29" s="275"/>
      <c r="L29" s="275"/>
      <c r="M29" s="275"/>
      <c r="N29" s="104"/>
      <c r="O29" s="271">
        <f>SUMPRODUCT(N34:N37,O34:O37)</f>
        <v>0.95</v>
      </c>
    </row>
    <row r="30" spans="1:15" s="92" customFormat="1" ht="13.15" customHeight="1" x14ac:dyDescent="0.25">
      <c r="A30" s="89">
        <v>0.1</v>
      </c>
      <c r="B30" s="276"/>
      <c r="C30" s="276"/>
      <c r="D30" s="276"/>
      <c r="E30" s="276"/>
      <c r="F30" s="90"/>
      <c r="G30" s="278"/>
      <c r="H30" s="91"/>
      <c r="I30" s="89">
        <v>0.2</v>
      </c>
      <c r="J30" s="276"/>
      <c r="K30" s="276"/>
      <c r="L30" s="276"/>
      <c r="M30" s="276"/>
      <c r="N30" s="90"/>
      <c r="O30" s="278"/>
    </row>
    <row r="31" spans="1:15" s="92" customFormat="1" ht="13.15" customHeight="1" x14ac:dyDescent="0.25">
      <c r="A31" s="109"/>
      <c r="B31" s="277"/>
      <c r="C31" s="277"/>
      <c r="D31" s="277"/>
      <c r="E31" s="277"/>
      <c r="F31" s="105"/>
      <c r="G31" s="278"/>
      <c r="H31" s="91"/>
      <c r="I31" s="109"/>
      <c r="J31" s="277"/>
      <c r="K31" s="277"/>
      <c r="L31" s="277"/>
      <c r="M31" s="277"/>
      <c r="N31" s="105"/>
      <c r="O31" s="278"/>
    </row>
    <row r="32" spans="1:15" s="92" customFormat="1" ht="13.15" customHeight="1" x14ac:dyDescent="0.25">
      <c r="A32" s="62" t="s">
        <v>16</v>
      </c>
      <c r="B32" s="63"/>
      <c r="C32" s="63"/>
      <c r="D32" s="63"/>
      <c r="E32" s="63"/>
      <c r="F32" s="75" t="s">
        <v>17</v>
      </c>
      <c r="G32" s="75" t="s">
        <v>9</v>
      </c>
      <c r="H32" s="91"/>
      <c r="I32" s="62" t="s">
        <v>16</v>
      </c>
      <c r="J32" s="63"/>
      <c r="K32" s="63"/>
      <c r="L32" s="63"/>
      <c r="M32" s="75" t="s">
        <v>21</v>
      </c>
      <c r="N32" s="75" t="s">
        <v>17</v>
      </c>
      <c r="O32" s="64" t="s">
        <v>9</v>
      </c>
    </row>
    <row r="33" spans="1:15" s="92" customFormat="1" ht="8.4499999999999993" customHeight="1" x14ac:dyDescent="0.25">
      <c r="A33" s="65"/>
      <c r="B33" s="66"/>
      <c r="C33" s="66"/>
      <c r="D33" s="66"/>
      <c r="E33" s="66"/>
      <c r="F33" s="76"/>
      <c r="G33" s="76"/>
      <c r="H33" s="91"/>
      <c r="I33" s="65"/>
      <c r="J33" s="83"/>
      <c r="K33" s="66"/>
      <c r="L33" s="66"/>
      <c r="M33" s="79"/>
      <c r="N33" s="77"/>
      <c r="O33" s="73"/>
    </row>
    <row r="34" spans="1:15" s="92" customFormat="1" ht="13.15" customHeight="1" x14ac:dyDescent="0.25">
      <c r="A34" s="65" t="s">
        <v>68</v>
      </c>
      <c r="B34" s="83"/>
      <c r="C34" s="66"/>
      <c r="D34" s="66"/>
      <c r="E34" s="66"/>
      <c r="F34" s="77">
        <v>0.71799999999999997</v>
      </c>
      <c r="G34" s="88">
        <f>2/3</f>
        <v>0.66666666666666663</v>
      </c>
      <c r="H34" s="91"/>
      <c r="I34" s="65" t="s">
        <v>58</v>
      </c>
      <c r="J34" s="83"/>
      <c r="K34" s="66"/>
      <c r="L34" s="66"/>
      <c r="M34" s="79">
        <v>2</v>
      </c>
      <c r="N34" s="77">
        <v>0.9</v>
      </c>
      <c r="O34" s="73">
        <v>0.5</v>
      </c>
    </row>
    <row r="35" spans="1:15" ht="13.15" customHeight="1" x14ac:dyDescent="0.25">
      <c r="A35" s="65"/>
      <c r="B35" s="83"/>
      <c r="C35" s="66"/>
      <c r="D35" s="66"/>
      <c r="E35" s="66"/>
      <c r="F35" s="77"/>
      <c r="G35" s="78"/>
      <c r="H35" s="91"/>
      <c r="I35" s="65"/>
      <c r="J35" s="83"/>
      <c r="K35" s="66"/>
      <c r="L35" s="66"/>
      <c r="M35" s="79"/>
      <c r="N35" s="77"/>
      <c r="O35" s="73"/>
    </row>
    <row r="36" spans="1:15" ht="13.15" customHeight="1" x14ac:dyDescent="0.25">
      <c r="A36" s="65" t="s">
        <v>69</v>
      </c>
      <c r="B36" s="83"/>
      <c r="C36" s="66"/>
      <c r="D36" s="66"/>
      <c r="E36" s="66"/>
      <c r="F36" s="77">
        <v>0.85</v>
      </c>
      <c r="G36" s="78">
        <f>1-G34</f>
        <v>0.33333333333333337</v>
      </c>
      <c r="H36" s="91"/>
      <c r="I36" s="65" t="s">
        <v>59</v>
      </c>
      <c r="J36" s="83"/>
      <c r="K36" s="66"/>
      <c r="L36" s="66"/>
      <c r="M36" s="79">
        <v>0</v>
      </c>
      <c r="N36" s="77">
        <v>1</v>
      </c>
      <c r="O36" s="73">
        <v>0.5</v>
      </c>
    </row>
    <row r="37" spans="1:15" ht="8.4499999999999993" customHeight="1" x14ac:dyDescent="0.25">
      <c r="A37" s="69"/>
      <c r="B37" s="70"/>
      <c r="C37" s="70"/>
      <c r="D37" s="70"/>
      <c r="E37" s="70"/>
      <c r="F37" s="106"/>
      <c r="G37" s="71"/>
      <c r="H37" s="91"/>
      <c r="I37" s="69"/>
      <c r="J37" s="101"/>
      <c r="K37" s="70"/>
      <c r="L37" s="70"/>
      <c r="M37" s="103"/>
      <c r="N37" s="102"/>
      <c r="O37" s="98"/>
    </row>
  </sheetData>
  <mergeCells count="9">
    <mergeCell ref="B29:E31"/>
    <mergeCell ref="G29:G31"/>
    <mergeCell ref="J29:M31"/>
    <mergeCell ref="O29:O31"/>
    <mergeCell ref="D2:H4"/>
    <mergeCell ref="I2:I4"/>
    <mergeCell ref="L2:O3"/>
    <mergeCell ref="B7:F9"/>
    <mergeCell ref="G7:G9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90" zoomScaleNormal="90" workbookViewId="0">
      <selection activeCell="D2" sqref="D2:H4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81" t="s">
        <v>3</v>
      </c>
      <c r="E2" s="282"/>
      <c r="F2" s="282"/>
      <c r="G2" s="282"/>
      <c r="H2" s="283"/>
      <c r="I2" s="271">
        <f>(G7*A8)+(O7*I8)+(G24*A25)+(O24*I25)</f>
        <v>0.82642588235294112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84"/>
      <c r="E3" s="285"/>
      <c r="F3" s="285"/>
      <c r="G3" s="285"/>
      <c r="H3" s="286"/>
      <c r="I3" s="278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287"/>
      <c r="E4" s="288"/>
      <c r="F4" s="288"/>
      <c r="G4" s="288"/>
      <c r="H4" s="289"/>
      <c r="I4" s="290"/>
      <c r="J4" s="11"/>
      <c r="K4" s="12"/>
      <c r="L4" s="17" t="s">
        <v>142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3.15" customHeight="1" x14ac:dyDescent="0.25">
      <c r="A7" s="9"/>
      <c r="B7" s="275" t="s">
        <v>12</v>
      </c>
      <c r="C7" s="275"/>
      <c r="D7" s="275"/>
      <c r="E7" s="275"/>
      <c r="F7" s="8"/>
      <c r="G7" s="271">
        <f>SUMPRODUCT(F12:F20,G12:G20)</f>
        <v>0.89237999999999995</v>
      </c>
      <c r="H7" s="2"/>
      <c r="I7" s="9"/>
      <c r="J7" s="275" t="s">
        <v>13</v>
      </c>
      <c r="K7" s="275"/>
      <c r="L7" s="275"/>
      <c r="M7" s="275"/>
      <c r="N7" s="8"/>
      <c r="O7" s="271">
        <f>O12</f>
        <v>0.72549019607843135</v>
      </c>
    </row>
    <row r="8" spans="1:15" s="92" customFormat="1" ht="13.15" customHeight="1" x14ac:dyDescent="0.25">
      <c r="A8" s="89">
        <f>'Note collective'!B9</f>
        <v>0.25</v>
      </c>
      <c r="B8" s="276"/>
      <c r="C8" s="276"/>
      <c r="D8" s="276"/>
      <c r="E8" s="276"/>
      <c r="F8" s="90"/>
      <c r="G8" s="278"/>
      <c r="H8" s="91"/>
      <c r="I8" s="89">
        <f>'Note collective'!B41</f>
        <v>0.25</v>
      </c>
      <c r="J8" s="276"/>
      <c r="K8" s="276"/>
      <c r="L8" s="276"/>
      <c r="M8" s="276"/>
      <c r="N8" s="90"/>
      <c r="O8" s="278"/>
    </row>
    <row r="9" spans="1:15" ht="13.15" customHeight="1" x14ac:dyDescent="0.25">
      <c r="A9" s="12"/>
      <c r="B9" s="276"/>
      <c r="C9" s="276"/>
      <c r="D9" s="276"/>
      <c r="E9" s="276"/>
      <c r="F9" s="11"/>
      <c r="G9" s="278"/>
      <c r="H9" s="2"/>
      <c r="I9" s="15"/>
      <c r="J9" s="277"/>
      <c r="K9" s="277"/>
      <c r="L9" s="277"/>
      <c r="M9" s="277"/>
      <c r="N9" s="14"/>
      <c r="O9" s="278"/>
    </row>
    <row r="10" spans="1:15" s="58" customFormat="1" ht="13.15" customHeight="1" x14ac:dyDescent="0.25">
      <c r="A10" s="62" t="s">
        <v>16</v>
      </c>
      <c r="B10" s="63"/>
      <c r="C10" s="63"/>
      <c r="D10" s="63"/>
      <c r="E10" s="64"/>
      <c r="F10" s="64" t="s">
        <v>17</v>
      </c>
      <c r="G10" s="64" t="s">
        <v>9</v>
      </c>
      <c r="H10" s="56"/>
      <c r="I10" s="62" t="s">
        <v>16</v>
      </c>
      <c r="J10" s="63"/>
      <c r="K10" s="63"/>
      <c r="L10" s="63"/>
      <c r="M10" s="63"/>
      <c r="N10" s="75" t="s">
        <v>20</v>
      </c>
      <c r="O10" s="75" t="s">
        <v>17</v>
      </c>
    </row>
    <row r="11" spans="1:15" ht="13.15" customHeight="1" x14ac:dyDescent="0.25">
      <c r="A11" s="65"/>
      <c r="B11" s="66"/>
      <c r="C11" s="66"/>
      <c r="D11" s="66"/>
      <c r="E11" s="67"/>
      <c r="F11" s="42"/>
      <c r="G11" s="72"/>
      <c r="H11" s="2"/>
      <c r="I11" s="65"/>
      <c r="J11" s="66"/>
      <c r="K11" s="66"/>
      <c r="L11" s="66"/>
      <c r="M11" s="81"/>
      <c r="N11" s="82"/>
      <c r="O11" s="76"/>
    </row>
    <row r="12" spans="1:15" ht="13.15" customHeight="1" x14ac:dyDescent="0.25">
      <c r="A12" s="65" t="s">
        <v>41</v>
      </c>
      <c r="B12" s="66"/>
      <c r="C12" s="66"/>
      <c r="D12" s="66"/>
      <c r="E12" s="68"/>
      <c r="F12" s="68">
        <f>'Note collective'!H11</f>
        <v>0.64800000000000002</v>
      </c>
      <c r="G12" s="73">
        <f>'Note collective'!I11</f>
        <v>0.3</v>
      </c>
      <c r="H12" s="2"/>
      <c r="I12" s="65" t="s">
        <v>18</v>
      </c>
      <c r="J12" s="83"/>
      <c r="K12" s="66"/>
      <c r="L12" s="66"/>
      <c r="M12" s="81"/>
      <c r="N12" s="84">
        <f>'Note collective'!G43</f>
        <v>4.9019607843137254E-4</v>
      </c>
      <c r="O12" s="291">
        <f>'Note collective'!D53</f>
        <v>0.72549019607843135</v>
      </c>
    </row>
    <row r="13" spans="1:15" ht="13.15" customHeight="1" x14ac:dyDescent="0.25">
      <c r="A13" s="65"/>
      <c r="B13" s="66"/>
      <c r="C13" s="66"/>
      <c r="D13" s="66"/>
      <c r="E13" s="67"/>
      <c r="F13" s="67"/>
      <c r="G13" s="72"/>
      <c r="H13" s="2"/>
      <c r="I13" s="65"/>
      <c r="J13" s="66"/>
      <c r="K13" s="66"/>
      <c r="L13" s="66"/>
      <c r="M13" s="81"/>
      <c r="N13" s="85"/>
      <c r="O13" s="291"/>
    </row>
    <row r="14" spans="1:15" ht="13.15" customHeight="1" x14ac:dyDescent="0.25">
      <c r="A14" s="65" t="s">
        <v>47</v>
      </c>
      <c r="B14" s="66"/>
      <c r="C14" s="66"/>
      <c r="D14" s="66"/>
      <c r="E14" s="68"/>
      <c r="F14" s="68">
        <f>'Note collective'!H13</f>
        <v>1.02</v>
      </c>
      <c r="G14" s="73">
        <f>'Note collective'!I13</f>
        <v>0.3</v>
      </c>
      <c r="H14" s="2"/>
      <c r="I14" s="65" t="s">
        <v>19</v>
      </c>
      <c r="J14" s="83"/>
      <c r="K14" s="66"/>
      <c r="L14" s="66"/>
      <c r="M14" s="81"/>
      <c r="N14" s="84">
        <f>'Note collective'!G47</f>
        <v>2.9411764705882353E-3</v>
      </c>
      <c r="O14" s="291"/>
    </row>
    <row r="15" spans="1:15" ht="13.15" customHeight="1" x14ac:dyDescent="0.25">
      <c r="A15" s="65" t="s">
        <v>38</v>
      </c>
      <c r="B15" s="66"/>
      <c r="C15" s="66"/>
      <c r="D15" s="66"/>
      <c r="E15" s="68"/>
      <c r="F15" s="68"/>
      <c r="G15" s="73"/>
      <c r="H15" s="2"/>
      <c r="I15" s="86"/>
      <c r="J15" s="83"/>
      <c r="K15" s="66"/>
      <c r="L15" s="66"/>
      <c r="M15" s="81"/>
      <c r="N15" s="84"/>
      <c r="O15" s="47"/>
    </row>
    <row r="16" spans="1:15" ht="13.15" customHeight="1" x14ac:dyDescent="0.25">
      <c r="A16" s="65"/>
      <c r="B16" s="66"/>
      <c r="C16" s="66"/>
      <c r="D16" s="66"/>
      <c r="E16" s="67"/>
      <c r="F16" s="67"/>
      <c r="G16" s="72"/>
      <c r="H16" s="2"/>
      <c r="I16" s="65"/>
      <c r="J16" s="66"/>
      <c r="K16" s="66"/>
      <c r="L16" s="66"/>
      <c r="M16" s="66"/>
      <c r="N16" s="87"/>
      <c r="O16" s="48"/>
    </row>
    <row r="17" spans="1:15" ht="13.15" customHeight="1" x14ac:dyDescent="0.25">
      <c r="A17" s="65" t="s">
        <v>36</v>
      </c>
      <c r="B17" s="66"/>
      <c r="C17" s="66"/>
      <c r="D17" s="66"/>
      <c r="E17" s="68"/>
      <c r="F17" s="68">
        <f>'Note collective'!H17</f>
        <v>0.98826666666666663</v>
      </c>
      <c r="G17" s="73">
        <f>'Note collective'!I17</f>
        <v>0.3</v>
      </c>
      <c r="H17" s="2"/>
      <c r="I17" s="65"/>
      <c r="J17" s="66"/>
      <c r="K17" s="66"/>
      <c r="L17" s="66"/>
      <c r="M17" s="66"/>
      <c r="N17" s="87"/>
      <c r="O17" s="48"/>
    </row>
    <row r="18" spans="1:15" ht="13.15" customHeight="1" x14ac:dyDescent="0.25">
      <c r="A18" s="65" t="s">
        <v>37</v>
      </c>
      <c r="B18" s="66"/>
      <c r="C18" s="66"/>
      <c r="D18" s="66"/>
      <c r="E18" s="67"/>
      <c r="F18" s="67"/>
      <c r="G18" s="72"/>
      <c r="H18" s="2"/>
      <c r="I18" s="65"/>
      <c r="J18" s="66"/>
      <c r="K18" s="66"/>
      <c r="L18" s="66"/>
      <c r="M18" s="66"/>
      <c r="N18" s="87"/>
      <c r="O18" s="48"/>
    </row>
    <row r="19" spans="1:15" ht="13.15" customHeight="1" x14ac:dyDescent="0.25">
      <c r="A19" s="65"/>
      <c r="B19" s="66"/>
      <c r="C19" s="66"/>
      <c r="D19" s="66"/>
      <c r="E19" s="68"/>
      <c r="F19" s="68"/>
      <c r="G19" s="73"/>
      <c r="H19" s="2"/>
      <c r="I19" s="40"/>
      <c r="J19" s="41"/>
      <c r="K19" s="41"/>
      <c r="L19" s="41"/>
      <c r="M19" s="41"/>
      <c r="N19" s="48"/>
      <c r="O19" s="48"/>
    </row>
    <row r="20" spans="1:15" ht="13.15" customHeight="1" x14ac:dyDescent="0.25">
      <c r="A20" s="65" t="s">
        <v>39</v>
      </c>
      <c r="B20" s="66"/>
      <c r="C20" s="66"/>
      <c r="D20" s="66"/>
      <c r="E20" s="67"/>
      <c r="F20" s="68">
        <f>'Note collective'!H21</f>
        <v>0.95500000000000007</v>
      </c>
      <c r="G20" s="73">
        <f>'Note collective'!I21</f>
        <v>0.1</v>
      </c>
      <c r="H20" s="2"/>
      <c r="I20" s="40"/>
      <c r="J20" s="41"/>
      <c r="K20" s="41"/>
      <c r="L20" s="41"/>
      <c r="M20" s="41"/>
      <c r="N20" s="48"/>
      <c r="O20" s="48"/>
    </row>
    <row r="21" spans="1:15" ht="13.15" customHeight="1" x14ac:dyDescent="0.25">
      <c r="A21" s="65" t="s">
        <v>40</v>
      </c>
      <c r="B21" s="66"/>
      <c r="C21" s="66"/>
      <c r="D21" s="66"/>
      <c r="E21" s="67"/>
      <c r="F21" s="68"/>
      <c r="G21" s="73"/>
      <c r="H21" s="2"/>
      <c r="I21" s="40"/>
      <c r="J21" s="41"/>
      <c r="K21" s="41"/>
      <c r="L21" s="41"/>
      <c r="M21" s="41"/>
      <c r="N21" s="48"/>
      <c r="O21" s="48"/>
    </row>
    <row r="22" spans="1:15" ht="13.15" customHeight="1" x14ac:dyDescent="0.25">
      <c r="A22" s="69"/>
      <c r="B22" s="70"/>
      <c r="C22" s="70"/>
      <c r="D22" s="70"/>
      <c r="E22" s="71"/>
      <c r="F22" s="71"/>
      <c r="G22" s="74"/>
      <c r="H22" s="2"/>
      <c r="I22" s="44"/>
      <c r="J22" s="45"/>
      <c r="K22" s="45"/>
      <c r="L22" s="45"/>
      <c r="M22" s="45"/>
      <c r="N22" s="49"/>
      <c r="O22" s="49"/>
    </row>
    <row r="23" spans="1:15" ht="13.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3.15" customHeight="1" x14ac:dyDescent="0.25">
      <c r="A24" s="9"/>
      <c r="B24" s="275" t="s">
        <v>14</v>
      </c>
      <c r="C24" s="275"/>
      <c r="D24" s="275"/>
      <c r="E24" s="275"/>
      <c r="F24" s="8"/>
      <c r="G24" s="271">
        <f>SUMPRODUCT(F29:F31,G29:G31)</f>
        <v>0.70199999999999996</v>
      </c>
      <c r="H24" s="2"/>
      <c r="I24" s="9"/>
      <c r="J24" s="275" t="s">
        <v>15</v>
      </c>
      <c r="K24" s="275"/>
      <c r="L24" s="275"/>
      <c r="M24" s="275"/>
      <c r="N24" s="8"/>
      <c r="O24" s="271">
        <f>SUMPRODUCT(N29:N34,O29:O34)</f>
        <v>0.98583333333333334</v>
      </c>
    </row>
    <row r="25" spans="1:15" s="92" customFormat="1" ht="13.15" customHeight="1" x14ac:dyDescent="0.25">
      <c r="A25" s="89">
        <f>'Note collective'!B25</f>
        <v>0.25</v>
      </c>
      <c r="B25" s="276"/>
      <c r="C25" s="276"/>
      <c r="D25" s="276"/>
      <c r="E25" s="276"/>
      <c r="F25" s="90"/>
      <c r="G25" s="278"/>
      <c r="H25" s="91"/>
      <c r="I25" s="89">
        <f>'Note collective'!B31</f>
        <v>0.25</v>
      </c>
      <c r="J25" s="276"/>
      <c r="K25" s="276"/>
      <c r="L25" s="276"/>
      <c r="M25" s="276"/>
      <c r="N25" s="90"/>
      <c r="O25" s="278"/>
    </row>
    <row r="26" spans="1:15" ht="13.15" customHeight="1" x14ac:dyDescent="0.25">
      <c r="A26" s="15"/>
      <c r="B26" s="277"/>
      <c r="C26" s="277"/>
      <c r="D26" s="277"/>
      <c r="E26" s="277"/>
      <c r="F26" s="14"/>
      <c r="G26" s="278"/>
      <c r="H26" s="2"/>
      <c r="I26" s="15"/>
      <c r="J26" s="277"/>
      <c r="K26" s="277"/>
      <c r="L26" s="277"/>
      <c r="M26" s="277"/>
      <c r="N26" s="14"/>
      <c r="O26" s="278"/>
    </row>
    <row r="27" spans="1:15" s="60" customFormat="1" ht="13.15" customHeight="1" x14ac:dyDescent="0.25">
      <c r="A27" s="62" t="s">
        <v>16</v>
      </c>
      <c r="B27" s="63"/>
      <c r="C27" s="63"/>
      <c r="D27" s="63"/>
      <c r="E27" s="63"/>
      <c r="F27" s="75" t="s">
        <v>17</v>
      </c>
      <c r="G27" s="75" t="s">
        <v>9</v>
      </c>
      <c r="H27" s="59"/>
      <c r="I27" s="62" t="s">
        <v>16</v>
      </c>
      <c r="J27" s="63"/>
      <c r="K27" s="63"/>
      <c r="L27" s="63"/>
      <c r="M27" s="196"/>
      <c r="N27" s="75" t="s">
        <v>17</v>
      </c>
      <c r="O27" s="64" t="s">
        <v>9</v>
      </c>
    </row>
    <row r="28" spans="1:15" ht="13.15" customHeight="1" x14ac:dyDescent="0.25">
      <c r="A28" s="65"/>
      <c r="B28" s="66"/>
      <c r="C28" s="66"/>
      <c r="D28" s="66"/>
      <c r="E28" s="66"/>
      <c r="F28" s="76"/>
      <c r="G28" s="76"/>
      <c r="H28" s="2"/>
      <c r="I28" s="65"/>
      <c r="J28" s="66"/>
      <c r="K28" s="66"/>
      <c r="L28" s="66"/>
      <c r="M28" s="67"/>
      <c r="N28" s="76"/>
      <c r="O28" s="72"/>
    </row>
    <row r="29" spans="1:15" ht="13.15" customHeight="1" x14ac:dyDescent="0.25">
      <c r="A29" s="65" t="s">
        <v>26</v>
      </c>
      <c r="B29" s="66"/>
      <c r="C29" s="66"/>
      <c r="D29" s="66"/>
      <c r="E29" s="66"/>
      <c r="F29" s="77">
        <f>'Note collective'!H27</f>
        <v>0.68700000000000006</v>
      </c>
      <c r="G29" s="78">
        <f>'Note collective'!I27</f>
        <v>0.66666666666666663</v>
      </c>
      <c r="H29" s="38"/>
      <c r="I29" s="65" t="s">
        <v>143</v>
      </c>
      <c r="J29" s="83"/>
      <c r="K29" s="66"/>
      <c r="L29" s="66"/>
      <c r="M29" s="67"/>
      <c r="N29" s="77">
        <f>'Note collective'!H33</f>
        <v>0.98666666666666669</v>
      </c>
      <c r="O29" s="197">
        <f>'Note collective'!I33</f>
        <v>0.5</v>
      </c>
    </row>
    <row r="30" spans="1:15" ht="13.15" customHeight="1" x14ac:dyDescent="0.25">
      <c r="A30" s="65"/>
      <c r="B30" s="66"/>
      <c r="C30" s="66"/>
      <c r="D30" s="66"/>
      <c r="E30" s="66"/>
      <c r="F30" s="76"/>
      <c r="G30" s="76"/>
      <c r="H30" s="38"/>
      <c r="I30" s="65"/>
      <c r="J30" s="66"/>
      <c r="K30" s="66"/>
      <c r="L30" s="66"/>
      <c r="M30" s="67"/>
      <c r="N30" s="76"/>
      <c r="O30" s="72"/>
    </row>
    <row r="31" spans="1:15" ht="13.15" customHeight="1" x14ac:dyDescent="0.25">
      <c r="A31" s="65" t="s">
        <v>27</v>
      </c>
      <c r="B31" s="66"/>
      <c r="C31" s="66"/>
      <c r="D31" s="66"/>
      <c r="E31" s="66"/>
      <c r="F31" s="77">
        <f>'Note collective'!H29</f>
        <v>0.73199999999999998</v>
      </c>
      <c r="G31" s="78">
        <f>'Note collective'!I29</f>
        <v>0.33333333333333331</v>
      </c>
      <c r="H31" s="38"/>
      <c r="I31" s="65"/>
      <c r="J31" s="66"/>
      <c r="K31" s="66"/>
      <c r="L31" s="66"/>
      <c r="M31" s="67"/>
      <c r="N31" s="76"/>
      <c r="O31" s="72"/>
    </row>
    <row r="32" spans="1:15" ht="13.15" customHeight="1" x14ac:dyDescent="0.25">
      <c r="A32" s="34"/>
      <c r="B32" s="35"/>
      <c r="C32" s="35"/>
      <c r="D32" s="35"/>
      <c r="E32" s="35"/>
      <c r="F32" s="39"/>
      <c r="G32" s="68"/>
      <c r="H32" s="38"/>
      <c r="I32" s="65" t="s">
        <v>144</v>
      </c>
      <c r="J32" s="66"/>
      <c r="K32" s="66"/>
      <c r="L32" s="66"/>
      <c r="M32" s="67"/>
      <c r="N32" s="77">
        <f>'Note collective'!H37</f>
        <v>0.98499999999999999</v>
      </c>
      <c r="O32" s="197">
        <f>'Note collective'!I37</f>
        <v>0.5</v>
      </c>
    </row>
    <row r="33" spans="1:15" ht="13.15" customHeight="1" x14ac:dyDescent="0.25">
      <c r="A33" s="34"/>
      <c r="B33" s="35"/>
      <c r="C33" s="35"/>
      <c r="D33" s="35"/>
      <c r="E33" s="35"/>
      <c r="F33" s="37"/>
      <c r="G33" s="36"/>
      <c r="H33" s="38"/>
      <c r="I33" s="65"/>
      <c r="J33" s="66"/>
      <c r="K33" s="66"/>
      <c r="L33" s="66"/>
      <c r="M33" s="67"/>
      <c r="N33" s="77"/>
      <c r="O33" s="73"/>
    </row>
    <row r="34" spans="1:15" ht="13.15" customHeight="1" x14ac:dyDescent="0.25">
      <c r="A34" s="18"/>
      <c r="B34" s="19"/>
      <c r="C34" s="19"/>
      <c r="D34" s="19"/>
      <c r="E34" s="19"/>
      <c r="F34" s="29"/>
      <c r="G34" s="32"/>
      <c r="H34" s="2"/>
      <c r="I34" s="65"/>
      <c r="J34" s="66"/>
      <c r="K34" s="66"/>
      <c r="L34" s="66"/>
      <c r="M34" s="67"/>
      <c r="N34" s="29"/>
      <c r="O34" s="72"/>
    </row>
    <row r="35" spans="1:15" ht="13.15" customHeight="1" x14ac:dyDescent="0.25">
      <c r="A35" s="18"/>
      <c r="B35" s="19"/>
      <c r="C35" s="19"/>
      <c r="D35" s="19"/>
      <c r="E35" s="19"/>
      <c r="F35" s="20"/>
      <c r="G35" s="24"/>
      <c r="H35" s="2"/>
      <c r="I35" s="65"/>
      <c r="J35" s="66"/>
      <c r="K35" s="66"/>
      <c r="L35" s="66"/>
      <c r="M35" s="67"/>
      <c r="N35" s="29"/>
      <c r="O35" s="24"/>
    </row>
    <row r="36" spans="1:15" x14ac:dyDescent="0.25">
      <c r="A36" s="25"/>
      <c r="B36" s="26"/>
      <c r="C36" s="26"/>
      <c r="D36" s="26"/>
      <c r="E36" s="26"/>
      <c r="F36" s="27"/>
      <c r="G36" s="28"/>
      <c r="H36" s="2"/>
      <c r="I36" s="69"/>
      <c r="J36" s="70"/>
      <c r="K36" s="70"/>
      <c r="L36" s="70"/>
      <c r="M36" s="71"/>
      <c r="N36" s="33"/>
      <c r="O36" s="28"/>
    </row>
  </sheetData>
  <mergeCells count="12">
    <mergeCell ref="B24:E26"/>
    <mergeCell ref="B7:E9"/>
    <mergeCell ref="G7:G9"/>
    <mergeCell ref="G24:G26"/>
    <mergeCell ref="L2:O3"/>
    <mergeCell ref="D2:H4"/>
    <mergeCell ref="I2:I4"/>
    <mergeCell ref="O12:O14"/>
    <mergeCell ref="O7:O9"/>
    <mergeCell ref="O24:O26"/>
    <mergeCell ref="J7:M9"/>
    <mergeCell ref="J24:M26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85"/>
  <sheetViews>
    <sheetView zoomScale="120" zoomScaleNormal="120" workbookViewId="0">
      <selection activeCell="H11" sqref="H11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268" t="s">
        <v>30</v>
      </c>
      <c r="D2" s="271">
        <f>J9+J19+J25+J45+J59</f>
        <v>0.77892266587794545</v>
      </c>
      <c r="E2" s="175"/>
      <c r="F2" s="177"/>
      <c r="G2" s="274" t="s">
        <v>10</v>
      </c>
      <c r="H2" s="274"/>
      <c r="I2" s="274"/>
      <c r="J2" s="61"/>
    </row>
    <row r="3" spans="1:10" ht="13.15" customHeight="1" x14ac:dyDescent="0.25">
      <c r="A3" s="178"/>
      <c r="B3" s="183">
        <f>B9+B19+B25+B45+B59</f>
        <v>1</v>
      </c>
      <c r="C3" s="269"/>
      <c r="D3" s="272"/>
      <c r="E3" s="175"/>
      <c r="F3" s="177"/>
      <c r="G3" s="274"/>
      <c r="H3" s="274"/>
      <c r="I3" s="274"/>
      <c r="J3" s="61"/>
    </row>
    <row r="4" spans="1:10" ht="13.15" customHeight="1" x14ac:dyDescent="0.25">
      <c r="A4" s="178"/>
      <c r="B4" s="175"/>
      <c r="C4" s="270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12</v>
      </c>
      <c r="B9" s="166">
        <v>0.2</v>
      </c>
      <c r="C9" s="165"/>
      <c r="D9" s="165"/>
      <c r="E9" s="165"/>
      <c r="F9" s="164"/>
      <c r="G9" s="163"/>
      <c r="H9" s="162">
        <f>SUM(J11:J17)</f>
        <v>1.048647342995169</v>
      </c>
      <c r="I9" s="198">
        <f>SUM(I11:I17)</f>
        <v>1</v>
      </c>
      <c r="J9" s="161">
        <f>H9*B9</f>
        <v>0.20972946859903382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145</v>
      </c>
      <c r="D11" s="135" t="s">
        <v>5</v>
      </c>
      <c r="E11" s="135" t="s">
        <v>105</v>
      </c>
      <c r="F11" s="134">
        <v>0.85</v>
      </c>
      <c r="G11" s="150">
        <f>G12/G13</f>
        <v>1.0652173913043479</v>
      </c>
      <c r="H11" s="132">
        <f>IF(G11&lt;F11,0,G11)</f>
        <v>1.0652173913043479</v>
      </c>
      <c r="I11" s="131">
        <v>0.5</v>
      </c>
      <c r="J11" s="130">
        <f>H11*I11</f>
        <v>0.53260869565217395</v>
      </c>
    </row>
    <row r="12" spans="1:10" s="116" customFormat="1" hidden="1" outlineLevel="1" x14ac:dyDescent="0.25">
      <c r="C12" s="129" t="s">
        <v>146</v>
      </c>
      <c r="E12" s="116" t="s">
        <v>102</v>
      </c>
      <c r="G12" s="147">
        <v>245000</v>
      </c>
      <c r="H12" s="146"/>
      <c r="I12" s="125"/>
      <c r="J12" s="124"/>
    </row>
    <row r="13" spans="1:10" s="116" customFormat="1" hidden="1" outlineLevel="1" x14ac:dyDescent="0.25">
      <c r="C13" s="123" t="s">
        <v>147</v>
      </c>
      <c r="D13" s="122"/>
      <c r="E13" s="122" t="s">
        <v>102</v>
      </c>
      <c r="F13" s="122"/>
      <c r="G13" s="145">
        <v>230000</v>
      </c>
      <c r="H13" s="144"/>
      <c r="I13" s="118"/>
      <c r="J13" s="117"/>
    </row>
    <row r="14" spans="1:10" ht="6" hidden="1" customHeight="1" outlineLevel="1" x14ac:dyDescent="0.25">
      <c r="D14" s="149"/>
      <c r="F14" s="148"/>
      <c r="G14" s="140"/>
      <c r="H14" s="139"/>
      <c r="I14" s="138"/>
      <c r="J14" s="138"/>
    </row>
    <row r="15" spans="1:10" hidden="1" outlineLevel="1" x14ac:dyDescent="0.25">
      <c r="C15" s="136" t="s">
        <v>123</v>
      </c>
      <c r="D15" s="135" t="s">
        <v>5</v>
      </c>
      <c r="E15" s="135" t="s">
        <v>105</v>
      </c>
      <c r="F15" s="134">
        <v>0.85</v>
      </c>
      <c r="G15" s="133">
        <f>G16/G17</f>
        <v>1.0320772946859904</v>
      </c>
      <c r="H15" s="132">
        <f>IF(G15&lt;F15,0,G15)</f>
        <v>1.0320772946859904</v>
      </c>
      <c r="I15" s="131">
        <v>0.5</v>
      </c>
      <c r="J15" s="130">
        <f>H15*I15</f>
        <v>0.5160386473429952</v>
      </c>
    </row>
    <row r="16" spans="1:10" s="116" customFormat="1" hidden="1" outlineLevel="1" x14ac:dyDescent="0.25">
      <c r="C16" s="129" t="s">
        <v>148</v>
      </c>
      <c r="E16" s="116" t="s">
        <v>102</v>
      </c>
      <c r="G16" s="147">
        <f>21.8%*G12</f>
        <v>53410</v>
      </c>
      <c r="H16" s="146"/>
      <c r="I16" s="125"/>
      <c r="J16" s="124"/>
    </row>
    <row r="17" spans="1:10" s="116" customFormat="1" hidden="1" outlineLevel="1" x14ac:dyDescent="0.25">
      <c r="C17" s="123" t="s">
        <v>149</v>
      </c>
      <c r="D17" s="122"/>
      <c r="E17" s="122" t="s">
        <v>102</v>
      </c>
      <c r="F17" s="122"/>
      <c r="G17" s="145">
        <f>22.5%*G13</f>
        <v>51750</v>
      </c>
      <c r="H17" s="144"/>
      <c r="I17" s="118"/>
      <c r="J17" s="117"/>
    </row>
    <row r="18" spans="1:10" ht="15.75" collapsed="1" thickBot="1" x14ac:dyDescent="0.3">
      <c r="I18" s="115"/>
    </row>
    <row r="19" spans="1:10" s="160" customFormat="1" ht="15.75" thickBot="1" x14ac:dyDescent="0.3">
      <c r="A19" s="165" t="s">
        <v>14</v>
      </c>
      <c r="B19" s="166">
        <v>0.2</v>
      </c>
      <c r="C19" s="165"/>
      <c r="D19" s="165"/>
      <c r="E19" s="165"/>
      <c r="F19" s="164"/>
      <c r="G19" s="163"/>
      <c r="H19" s="162">
        <f>SUM(J21:J23)</f>
        <v>0.66766666666666663</v>
      </c>
      <c r="I19" s="198">
        <f>SUM(I21:I23)</f>
        <v>1</v>
      </c>
      <c r="J19" s="161">
        <f>H19*B19</f>
        <v>0.13353333333333334</v>
      </c>
    </row>
    <row r="20" spans="1:10" ht="6" hidden="1" customHeight="1" outlineLevel="1" x14ac:dyDescent="0.25">
      <c r="F20" s="115"/>
      <c r="G20" s="159"/>
      <c r="H20" s="159"/>
      <c r="J20" s="159"/>
    </row>
    <row r="21" spans="1:10" ht="30" hidden="1" outlineLevel="1" x14ac:dyDescent="0.25">
      <c r="C21" s="158" t="s">
        <v>150</v>
      </c>
      <c r="D21" s="157" t="s">
        <v>121</v>
      </c>
      <c r="E21" s="156" t="s">
        <v>105</v>
      </c>
      <c r="F21" s="155">
        <v>0.65</v>
      </c>
      <c r="G21" s="154">
        <v>0.65500000000000003</v>
      </c>
      <c r="H21" s="153">
        <f>IF(G21&lt;F21,0,G21)</f>
        <v>0.65500000000000003</v>
      </c>
      <c r="I21" s="152">
        <f>2/3</f>
        <v>0.66666666666666663</v>
      </c>
      <c r="J21" s="151">
        <f>H21*I21</f>
        <v>0.43666666666666665</v>
      </c>
    </row>
    <row r="22" spans="1:10" ht="6" hidden="1" customHeight="1" outlineLevel="1" x14ac:dyDescent="0.25">
      <c r="D22" s="149"/>
      <c r="F22" s="148"/>
      <c r="G22" s="140"/>
      <c r="H22" s="139"/>
      <c r="I22" s="138"/>
      <c r="J22" s="138"/>
    </row>
    <row r="23" spans="1:10" ht="30" hidden="1" outlineLevel="1" x14ac:dyDescent="0.25">
      <c r="C23" s="158" t="s">
        <v>151</v>
      </c>
      <c r="D23" s="157" t="s">
        <v>122</v>
      </c>
      <c r="E23" s="156" t="s">
        <v>105</v>
      </c>
      <c r="F23" s="155">
        <v>0.65</v>
      </c>
      <c r="G23" s="154">
        <v>0.69299999999999995</v>
      </c>
      <c r="H23" s="153">
        <f>IF(G23&lt;F23,0,G23)</f>
        <v>0.69299999999999995</v>
      </c>
      <c r="I23" s="152">
        <f>1/3</f>
        <v>0.33333333333333331</v>
      </c>
      <c r="J23" s="151">
        <f>H23*I23</f>
        <v>0.23099999999999998</v>
      </c>
    </row>
    <row r="24" spans="1:10" ht="15.75" collapsed="1" thickBot="1" x14ac:dyDescent="0.3">
      <c r="I24" s="115"/>
    </row>
    <row r="25" spans="1:10" s="160" customFormat="1" ht="15.75" thickBot="1" x14ac:dyDescent="0.3">
      <c r="A25" s="165" t="s">
        <v>15</v>
      </c>
      <c r="B25" s="166">
        <v>0.2</v>
      </c>
      <c r="C25" s="165"/>
      <c r="D25" s="165"/>
      <c r="E25" s="165"/>
      <c r="F25" s="164"/>
      <c r="G25" s="163"/>
      <c r="H25" s="162">
        <f>SUM(J27:J43)</f>
        <v>0.73928571428571432</v>
      </c>
      <c r="I25" s="198">
        <f>SUM(I27:I43)</f>
        <v>1</v>
      </c>
      <c r="J25" s="161">
        <f>H25*B25</f>
        <v>0.14785714285714288</v>
      </c>
    </row>
    <row r="26" spans="1:10" ht="6" hidden="1" customHeight="1" outlineLevel="1" x14ac:dyDescent="0.25">
      <c r="D26" s="149"/>
      <c r="F26" s="148"/>
      <c r="G26" s="140"/>
      <c r="H26" s="139"/>
      <c r="I26" s="138"/>
      <c r="J26" s="138"/>
    </row>
    <row r="27" spans="1:10" ht="30" hidden="1" outlineLevel="1" x14ac:dyDescent="0.25">
      <c r="C27" s="158" t="s">
        <v>4</v>
      </c>
      <c r="D27" s="215" t="s">
        <v>173</v>
      </c>
      <c r="E27" s="156" t="s">
        <v>105</v>
      </c>
      <c r="F27" s="155">
        <v>0.65</v>
      </c>
      <c r="G27" s="154">
        <v>0.8</v>
      </c>
      <c r="H27" s="153">
        <f>IF(G27&lt;F27,0,G27)</f>
        <v>0.8</v>
      </c>
      <c r="I27" s="152">
        <v>0.2</v>
      </c>
      <c r="J27" s="151">
        <f>H27*I27</f>
        <v>0.16000000000000003</v>
      </c>
    </row>
    <row r="28" spans="1:10" ht="6" hidden="1" customHeight="1" outlineLevel="1" x14ac:dyDescent="0.25">
      <c r="C28" s="142"/>
      <c r="D28" s="143"/>
      <c r="E28" s="142"/>
      <c r="F28" s="141"/>
      <c r="G28" s="140"/>
      <c r="H28" s="139"/>
      <c r="I28" s="138"/>
      <c r="J28" s="137"/>
    </row>
    <row r="29" spans="1:10" hidden="1" outlineLevel="1" x14ac:dyDescent="0.25">
      <c r="C29" s="136" t="s">
        <v>155</v>
      </c>
      <c r="D29" s="135" t="s">
        <v>128</v>
      </c>
      <c r="E29" s="135" t="s">
        <v>105</v>
      </c>
      <c r="F29" s="134">
        <v>0.95</v>
      </c>
      <c r="G29" s="133">
        <f>(G31-G30)/G31</f>
        <v>0.95833333333333337</v>
      </c>
      <c r="H29" s="132">
        <f>IF(G29&lt;F29,0,G29)</f>
        <v>0.95833333333333337</v>
      </c>
      <c r="I29" s="131">
        <v>0.2</v>
      </c>
      <c r="J29" s="130">
        <f>H29*I29</f>
        <v>0.19166666666666668</v>
      </c>
    </row>
    <row r="30" spans="1:10" s="116" customFormat="1" hidden="1" outlineLevel="1" x14ac:dyDescent="0.25">
      <c r="C30" s="129" t="s">
        <v>159</v>
      </c>
      <c r="E30" s="116" t="s">
        <v>135</v>
      </c>
      <c r="F30" s="128"/>
      <c r="G30" s="147">
        <f>0.5*20</f>
        <v>10</v>
      </c>
      <c r="H30" s="126"/>
      <c r="I30" s="125"/>
      <c r="J30" s="124"/>
    </row>
    <row r="31" spans="1:10" s="116" customFormat="1" hidden="1" outlineLevel="1" x14ac:dyDescent="0.25">
      <c r="C31" s="123" t="s">
        <v>158</v>
      </c>
      <c r="D31" s="122"/>
      <c r="E31" s="122" t="s">
        <v>135</v>
      </c>
      <c r="F31" s="121"/>
      <c r="G31" s="145">
        <f>G35*8</f>
        <v>240</v>
      </c>
      <c r="H31" s="119"/>
      <c r="I31" s="118"/>
      <c r="J31" s="117"/>
    </row>
    <row r="32" spans="1:10" ht="6" hidden="1" customHeight="1" outlineLevel="1" x14ac:dyDescent="0.25">
      <c r="C32" s="142"/>
      <c r="D32" s="143"/>
      <c r="E32" s="142"/>
      <c r="F32" s="141"/>
      <c r="G32" s="140"/>
      <c r="H32" s="139"/>
      <c r="I32" s="138"/>
      <c r="J32" s="137"/>
    </row>
    <row r="33" spans="1:10" hidden="1" outlineLevel="1" x14ac:dyDescent="0.25">
      <c r="C33" s="136" t="s">
        <v>154</v>
      </c>
      <c r="D33" s="135" t="s">
        <v>128</v>
      </c>
      <c r="E33" s="135" t="s">
        <v>105</v>
      </c>
      <c r="F33" s="134">
        <v>0.95</v>
      </c>
      <c r="G33" s="133">
        <f>(G35-G34)/G35</f>
        <v>0.96666666666666667</v>
      </c>
      <c r="H33" s="132">
        <f>IF(G33&lt;F33,0,G33)</f>
        <v>0.96666666666666667</v>
      </c>
      <c r="I33" s="131">
        <v>0.2</v>
      </c>
      <c r="J33" s="130">
        <f>H33*I33</f>
        <v>0.19333333333333336</v>
      </c>
    </row>
    <row r="34" spans="1:10" s="116" customFormat="1" hidden="1" outlineLevel="1" x14ac:dyDescent="0.25">
      <c r="C34" s="129" t="s">
        <v>156</v>
      </c>
      <c r="E34" s="116" t="s">
        <v>132</v>
      </c>
      <c r="G34" s="147">
        <v>1</v>
      </c>
      <c r="H34" s="146"/>
      <c r="I34" s="125"/>
      <c r="J34" s="124"/>
    </row>
    <row r="35" spans="1:10" s="116" customFormat="1" hidden="1" outlineLevel="1" x14ac:dyDescent="0.25">
      <c r="C35" s="123" t="s">
        <v>157</v>
      </c>
      <c r="D35" s="122"/>
      <c r="E35" s="122" t="s">
        <v>132</v>
      </c>
      <c r="F35" s="122"/>
      <c r="G35" s="145">
        <f>30</f>
        <v>30</v>
      </c>
      <c r="H35" s="144"/>
      <c r="I35" s="118"/>
      <c r="J35" s="117"/>
    </row>
    <row r="36" spans="1:10" ht="6" hidden="1" customHeight="1" outlineLevel="1" x14ac:dyDescent="0.25">
      <c r="C36" s="142"/>
      <c r="D36" s="143"/>
      <c r="E36" s="142"/>
      <c r="F36" s="141"/>
      <c r="G36" s="140"/>
      <c r="H36" s="139"/>
      <c r="I36" s="138"/>
      <c r="J36" s="137"/>
    </row>
    <row r="37" spans="1:10" hidden="1" outlineLevel="1" x14ac:dyDescent="0.25">
      <c r="C37" s="136" t="s">
        <v>153</v>
      </c>
      <c r="D37" s="135" t="s">
        <v>128</v>
      </c>
      <c r="E37" s="135" t="s">
        <v>105</v>
      </c>
      <c r="F37" s="134">
        <v>0.95</v>
      </c>
      <c r="G37" s="133">
        <f>(G39-G38)/G39</f>
        <v>0.9375</v>
      </c>
      <c r="H37" s="132">
        <f>IF(G37&lt;F37,0,G37)</f>
        <v>0</v>
      </c>
      <c r="I37" s="131">
        <v>0.2</v>
      </c>
      <c r="J37" s="130">
        <f>H37*I37</f>
        <v>0</v>
      </c>
    </row>
    <row r="38" spans="1:10" s="116" customFormat="1" hidden="1" outlineLevel="1" x14ac:dyDescent="0.25">
      <c r="C38" s="129" t="s">
        <v>133</v>
      </c>
      <c r="E38" s="116" t="s">
        <v>135</v>
      </c>
      <c r="F38" s="128"/>
      <c r="G38" s="147">
        <f>0.5*7*30</f>
        <v>105</v>
      </c>
      <c r="H38" s="126"/>
      <c r="I38" s="125"/>
      <c r="J38" s="124"/>
    </row>
    <row r="39" spans="1:10" s="116" customFormat="1" hidden="1" outlineLevel="1" x14ac:dyDescent="0.25">
      <c r="C39" s="123" t="s">
        <v>134</v>
      </c>
      <c r="D39" s="122"/>
      <c r="E39" s="122" t="s">
        <v>135</v>
      </c>
      <c r="F39" s="121"/>
      <c r="G39" s="145">
        <f>G43*8</f>
        <v>1680</v>
      </c>
      <c r="H39" s="119"/>
      <c r="I39" s="118"/>
      <c r="J39" s="117"/>
    </row>
    <row r="40" spans="1:10" ht="6" hidden="1" customHeight="1" outlineLevel="1" x14ac:dyDescent="0.25">
      <c r="C40" s="142"/>
      <c r="D40" s="143"/>
      <c r="E40" s="142"/>
      <c r="F40" s="141"/>
      <c r="G40" s="140"/>
      <c r="H40" s="139"/>
      <c r="I40" s="138"/>
      <c r="J40" s="137"/>
    </row>
    <row r="41" spans="1:10" hidden="1" outlineLevel="1" x14ac:dyDescent="0.25">
      <c r="C41" s="136" t="s">
        <v>152</v>
      </c>
      <c r="D41" s="135" t="s">
        <v>128</v>
      </c>
      <c r="E41" s="135" t="s">
        <v>105</v>
      </c>
      <c r="F41" s="134">
        <v>0.95</v>
      </c>
      <c r="G41" s="133">
        <f>(G43-G42)/G43</f>
        <v>0.97142857142857142</v>
      </c>
      <c r="H41" s="132">
        <f>IF(G41&lt;F41,0,G41)</f>
        <v>0.97142857142857142</v>
      </c>
      <c r="I41" s="131">
        <v>0.2</v>
      </c>
      <c r="J41" s="130">
        <f>H41*I41</f>
        <v>0.19428571428571428</v>
      </c>
    </row>
    <row r="42" spans="1:10" s="116" customFormat="1" hidden="1" outlineLevel="1" x14ac:dyDescent="0.25">
      <c r="C42" s="129" t="s">
        <v>130</v>
      </c>
      <c r="E42" s="116" t="s">
        <v>132</v>
      </c>
      <c r="G42" s="147">
        <v>6</v>
      </c>
      <c r="H42" s="146"/>
      <c r="I42" s="125"/>
      <c r="J42" s="124"/>
    </row>
    <row r="43" spans="1:10" s="116" customFormat="1" hidden="1" outlineLevel="1" x14ac:dyDescent="0.25">
      <c r="C43" s="123" t="s">
        <v>131</v>
      </c>
      <c r="D43" s="122"/>
      <c r="E43" s="122" t="s">
        <v>132</v>
      </c>
      <c r="F43" s="122"/>
      <c r="G43" s="145">
        <f>30*7</f>
        <v>210</v>
      </c>
      <c r="H43" s="144"/>
      <c r="I43" s="118"/>
      <c r="J43" s="117"/>
    </row>
    <row r="44" spans="1:10" ht="15.75" collapsed="1" thickBot="1" x14ac:dyDescent="0.3">
      <c r="I44" s="115"/>
    </row>
    <row r="45" spans="1:10" s="160" customFormat="1" ht="15.75" thickBot="1" x14ac:dyDescent="0.3">
      <c r="A45" s="165" t="s">
        <v>13</v>
      </c>
      <c r="B45" s="166">
        <v>0.2</v>
      </c>
      <c r="C45" s="165"/>
      <c r="D45" s="165"/>
      <c r="E45" s="165"/>
      <c r="F45" s="164"/>
      <c r="G45" s="163"/>
      <c r="H45" s="162">
        <f>D57</f>
        <v>0.64734693877551019</v>
      </c>
      <c r="I45" s="161"/>
      <c r="J45" s="161">
        <f>H45*B45</f>
        <v>0.12946938775510206</v>
      </c>
    </row>
    <row r="46" spans="1:10" ht="6" hidden="1" customHeight="1" outlineLevel="1" x14ac:dyDescent="0.25">
      <c r="D46" s="149"/>
      <c r="F46" s="148"/>
      <c r="G46" s="140"/>
      <c r="H46" s="139"/>
      <c r="I46" s="138"/>
      <c r="J46" s="138"/>
    </row>
    <row r="47" spans="1:10" hidden="1" outlineLevel="1" x14ac:dyDescent="0.25">
      <c r="C47" s="136" t="s">
        <v>160</v>
      </c>
      <c r="D47" s="135" t="s">
        <v>5</v>
      </c>
      <c r="E47" s="135" t="s">
        <v>105</v>
      </c>
      <c r="F47" s="134"/>
      <c r="G47" s="186">
        <f>G48/G49</f>
        <v>3.2653061224489796E-4</v>
      </c>
    </row>
    <row r="48" spans="1:10" s="116" customFormat="1" hidden="1" outlineLevel="1" x14ac:dyDescent="0.25">
      <c r="C48" s="129" t="s">
        <v>137</v>
      </c>
      <c r="E48" s="187" t="s">
        <v>102</v>
      </c>
      <c r="F48" s="187"/>
      <c r="G48" s="189">
        <v>80</v>
      </c>
      <c r="H48" s="114"/>
      <c r="I48" s="114"/>
      <c r="J48" s="114"/>
    </row>
    <row r="49" spans="1:10" s="116" customFormat="1" hidden="1" outlineLevel="1" x14ac:dyDescent="0.25">
      <c r="C49" s="123" t="s">
        <v>138</v>
      </c>
      <c r="D49" s="122"/>
      <c r="E49" s="122" t="s">
        <v>102</v>
      </c>
      <c r="F49" s="122"/>
      <c r="G49" s="190">
        <f>G$12</f>
        <v>245000</v>
      </c>
      <c r="H49" s="114"/>
      <c r="I49" s="114"/>
      <c r="J49" s="114"/>
    </row>
    <row r="50" spans="1:10" ht="6" hidden="1" customHeight="1" outlineLevel="1" x14ac:dyDescent="0.25">
      <c r="C50" s="142"/>
      <c r="D50" s="149"/>
      <c r="E50" s="142"/>
      <c r="F50" s="141"/>
      <c r="G50" s="140"/>
    </row>
    <row r="51" spans="1:10" hidden="1" outlineLevel="1" x14ac:dyDescent="0.25">
      <c r="C51" s="136" t="s">
        <v>161</v>
      </c>
      <c r="D51" s="135" t="s">
        <v>5</v>
      </c>
      <c r="E51" s="135" t="s">
        <v>105</v>
      </c>
      <c r="F51" s="134"/>
      <c r="G51" s="186">
        <f>G52/G53</f>
        <v>4.0816326530612249E-3</v>
      </c>
    </row>
    <row r="52" spans="1:10" s="116" customFormat="1" hidden="1" outlineLevel="1" x14ac:dyDescent="0.25">
      <c r="C52" s="129" t="s">
        <v>139</v>
      </c>
      <c r="D52" s="187"/>
      <c r="E52" s="187" t="s">
        <v>102</v>
      </c>
      <c r="F52" s="188"/>
      <c r="G52" s="189">
        <v>1000</v>
      </c>
      <c r="H52" s="114"/>
      <c r="I52" s="114"/>
      <c r="J52" s="114"/>
    </row>
    <row r="53" spans="1:10" s="116" customFormat="1" hidden="1" outlineLevel="1" x14ac:dyDescent="0.25">
      <c r="C53" s="123" t="s">
        <v>138</v>
      </c>
      <c r="D53" s="122"/>
      <c r="E53" s="122" t="s">
        <v>102</v>
      </c>
      <c r="F53" s="121"/>
      <c r="G53" s="190">
        <f>G$12</f>
        <v>245000</v>
      </c>
      <c r="H53" s="114"/>
      <c r="I53" s="114"/>
      <c r="J53" s="114"/>
    </row>
    <row r="54" spans="1:10" hidden="1" outlineLevel="1" x14ac:dyDescent="0.25">
      <c r="I54" s="115"/>
    </row>
    <row r="55" spans="1:10" hidden="1" outlineLevel="1" x14ac:dyDescent="0.25">
      <c r="C55" s="182" t="s">
        <v>140</v>
      </c>
      <c r="D55" s="192">
        <f>G47+G51</f>
        <v>4.4081632653061231E-3</v>
      </c>
    </row>
    <row r="56" spans="1:10" hidden="1" outlineLevel="1" x14ac:dyDescent="0.25">
      <c r="C56" s="178" t="s">
        <v>141</v>
      </c>
      <c r="D56" s="193">
        <v>5.0000000000000001E-3</v>
      </c>
    </row>
    <row r="57" spans="1:10" hidden="1" outlineLevel="1" x14ac:dyDescent="0.25">
      <c r="C57" s="194" t="s">
        <v>17</v>
      </c>
      <c r="D57" s="195">
        <f>IF(D55&gt;D56,0,1-(0.4*D55/D56))</f>
        <v>0.64734693877551019</v>
      </c>
    </row>
    <row r="58" spans="1:10" ht="15.75" collapsed="1" thickBot="1" x14ac:dyDescent="0.3">
      <c r="D58" s="191"/>
    </row>
    <row r="59" spans="1:10" s="160" customFormat="1" ht="15.75" thickBot="1" x14ac:dyDescent="0.3">
      <c r="A59" s="165" t="s">
        <v>25</v>
      </c>
      <c r="B59" s="166">
        <v>0.2</v>
      </c>
      <c r="C59" s="165"/>
      <c r="D59" s="165"/>
      <c r="E59" s="165"/>
      <c r="F59" s="164" t="s">
        <v>172</v>
      </c>
      <c r="G59" s="163"/>
      <c r="H59" s="162">
        <f>SUM(J61:J83)</f>
        <v>0.79166666666666663</v>
      </c>
      <c r="I59" s="198">
        <f>SUM(I61:I83)</f>
        <v>1</v>
      </c>
      <c r="J59" s="161">
        <f>H59*B59</f>
        <v>0.15833333333333333</v>
      </c>
    </row>
    <row r="60" spans="1:10" ht="6" hidden="1" customHeight="1" outlineLevel="1" x14ac:dyDescent="0.25">
      <c r="F60" s="115"/>
      <c r="G60" s="159"/>
      <c r="H60" s="159"/>
      <c r="J60" s="159"/>
    </row>
    <row r="61" spans="1:10" s="230" customFormat="1" hidden="1" outlineLevel="1" x14ac:dyDescent="0.25">
      <c r="C61" s="231" t="s">
        <v>166</v>
      </c>
      <c r="D61" s="228" t="s">
        <v>5</v>
      </c>
      <c r="E61" s="228" t="s">
        <v>167</v>
      </c>
      <c r="F61" s="216">
        <v>5</v>
      </c>
      <c r="G61" s="232">
        <f>G62/G63*30</f>
        <v>4.7095761381475665</v>
      </c>
      <c r="H61" s="221">
        <f>IF(G61&gt;F61,0,1-(0.4*G61/F61))</f>
        <v>0.62323390894819464</v>
      </c>
      <c r="I61" s="233"/>
      <c r="J61" s="234">
        <f>H61*I61</f>
        <v>0</v>
      </c>
    </row>
    <row r="62" spans="1:10" s="235" customFormat="1" hidden="1" outlineLevel="1" x14ac:dyDescent="0.25">
      <c r="C62" s="236" t="s">
        <v>168</v>
      </c>
      <c r="E62" s="235" t="s">
        <v>102</v>
      </c>
      <c r="G62" s="237">
        <v>30000</v>
      </c>
      <c r="H62" s="238"/>
      <c r="I62" s="239"/>
      <c r="J62" s="240"/>
    </row>
    <row r="63" spans="1:10" s="235" customFormat="1" hidden="1" outlineLevel="1" x14ac:dyDescent="0.25">
      <c r="C63" s="241" t="s">
        <v>169</v>
      </c>
      <c r="D63" s="242"/>
      <c r="E63" s="242" t="s">
        <v>102</v>
      </c>
      <c r="F63" s="242"/>
      <c r="G63" s="243">
        <f>245000*0.78</f>
        <v>191100</v>
      </c>
      <c r="H63" s="244"/>
      <c r="I63" s="245"/>
      <c r="J63" s="246"/>
    </row>
    <row r="64" spans="1:10" s="230" customFormat="1" ht="6" hidden="1" customHeight="1" outlineLevel="1" x14ac:dyDescent="0.25">
      <c r="D64" s="247"/>
      <c r="F64" s="248"/>
      <c r="G64" s="249"/>
      <c r="H64" s="250"/>
      <c r="I64" s="251"/>
      <c r="J64" s="251"/>
    </row>
    <row r="65" spans="3:10" s="230" customFormat="1" hidden="1" outlineLevel="1" x14ac:dyDescent="0.25">
      <c r="C65" s="231" t="s">
        <v>170</v>
      </c>
      <c r="D65" s="228" t="s">
        <v>5</v>
      </c>
      <c r="E65" s="228" t="s">
        <v>105</v>
      </c>
      <c r="F65" s="217">
        <v>0.1</v>
      </c>
      <c r="G65" s="252">
        <f>G66/G67</f>
        <v>0.05</v>
      </c>
      <c r="H65" s="221">
        <f>IF(G65&gt;F65,0,1-(0.4*G65/F65))</f>
        <v>0.79999999999999993</v>
      </c>
      <c r="I65" s="233"/>
      <c r="J65" s="234">
        <f>H65*I65</f>
        <v>0</v>
      </c>
    </row>
    <row r="66" spans="3:10" s="235" customFormat="1" hidden="1" outlineLevel="1" x14ac:dyDescent="0.25">
      <c r="C66" s="236" t="s">
        <v>171</v>
      </c>
      <c r="E66" s="235" t="s">
        <v>102</v>
      </c>
      <c r="G66" s="237">
        <v>1500</v>
      </c>
      <c r="H66" s="238"/>
      <c r="I66" s="239"/>
      <c r="J66" s="240"/>
    </row>
    <row r="67" spans="3:10" s="235" customFormat="1" hidden="1" outlineLevel="1" x14ac:dyDescent="0.25">
      <c r="C67" s="241" t="s">
        <v>168</v>
      </c>
      <c r="D67" s="242"/>
      <c r="E67" s="242" t="s">
        <v>102</v>
      </c>
      <c r="F67" s="242"/>
      <c r="G67" s="253">
        <f>G62</f>
        <v>30000</v>
      </c>
      <c r="H67" s="244"/>
      <c r="I67" s="245"/>
      <c r="J67" s="246"/>
    </row>
    <row r="68" spans="3:10" s="230" customFormat="1" ht="6" hidden="1" customHeight="1" outlineLevel="1" x14ac:dyDescent="0.25">
      <c r="C68" s="254"/>
      <c r="D68" s="255"/>
      <c r="E68" s="254"/>
      <c r="F68" s="256"/>
      <c r="G68" s="249"/>
      <c r="H68" s="250"/>
      <c r="I68" s="251"/>
      <c r="J68" s="257"/>
    </row>
    <row r="69" spans="3:10" hidden="1" outlineLevel="1" x14ac:dyDescent="0.25">
      <c r="C69" s="136" t="s">
        <v>174</v>
      </c>
      <c r="D69" s="135" t="s">
        <v>5</v>
      </c>
      <c r="E69" s="135" t="s">
        <v>105</v>
      </c>
      <c r="F69" s="134">
        <v>0.05</v>
      </c>
      <c r="G69" s="133">
        <f>(G70-G71)/G71</f>
        <v>2.5000000000000001E-2</v>
      </c>
      <c r="H69" s="132">
        <f>IF(OR(G69&gt;F69,G69&lt;-F69),0,1-(0.4*G69/F69))</f>
        <v>0.79999999999999993</v>
      </c>
      <c r="I69" s="131">
        <v>0.25</v>
      </c>
      <c r="J69" s="130">
        <f>H69*I69</f>
        <v>0.19999999999999998</v>
      </c>
    </row>
    <row r="70" spans="3:10" s="116" customFormat="1" hidden="1" outlineLevel="1" x14ac:dyDescent="0.25">
      <c r="C70" s="129" t="s">
        <v>176</v>
      </c>
      <c r="E70" s="116" t="s">
        <v>102</v>
      </c>
      <c r="F70" s="128"/>
      <c r="G70" s="147">
        <v>20500</v>
      </c>
      <c r="H70" s="126"/>
      <c r="I70" s="125"/>
      <c r="J70" s="124"/>
    </row>
    <row r="71" spans="3:10" s="116" customFormat="1" hidden="1" outlineLevel="1" x14ac:dyDescent="0.25">
      <c r="C71" s="123" t="s">
        <v>175</v>
      </c>
      <c r="D71" s="122"/>
      <c r="E71" s="122" t="s">
        <v>102</v>
      </c>
      <c r="F71" s="121"/>
      <c r="G71" s="145">
        <v>20000</v>
      </c>
      <c r="H71" s="119"/>
      <c r="I71" s="118"/>
      <c r="J71" s="117"/>
    </row>
    <row r="72" spans="3:10" ht="6" hidden="1" customHeight="1" outlineLevel="1" x14ac:dyDescent="0.25">
      <c r="C72" s="142"/>
      <c r="D72" s="143"/>
      <c r="E72" s="142"/>
      <c r="F72" s="141"/>
      <c r="G72" s="140"/>
      <c r="H72" s="139"/>
      <c r="I72" s="138"/>
      <c r="J72" s="137"/>
    </row>
    <row r="73" spans="3:10" hidden="1" outlineLevel="1" x14ac:dyDescent="0.25">
      <c r="C73" s="136" t="s">
        <v>177</v>
      </c>
      <c r="D73" s="135" t="s">
        <v>5</v>
      </c>
      <c r="E73" s="135" t="s">
        <v>105</v>
      </c>
      <c r="F73" s="134">
        <v>0.8</v>
      </c>
      <c r="G73" s="133">
        <f>G74/G75</f>
        <v>0.83333333333333337</v>
      </c>
      <c r="H73" s="132">
        <f>IF(G73&lt;F73,0,G73)</f>
        <v>0.83333333333333337</v>
      </c>
      <c r="I73" s="131">
        <v>0.25</v>
      </c>
      <c r="J73" s="130">
        <f>H73*I73</f>
        <v>0.20833333333333334</v>
      </c>
    </row>
    <row r="74" spans="3:10" s="116" customFormat="1" hidden="1" outlineLevel="1" x14ac:dyDescent="0.25">
      <c r="C74" s="129" t="s">
        <v>178</v>
      </c>
      <c r="E74" s="116" t="s">
        <v>179</v>
      </c>
      <c r="F74" s="128"/>
      <c r="G74" s="147">
        <v>25</v>
      </c>
      <c r="H74" s="126"/>
      <c r="I74" s="125"/>
      <c r="J74" s="124"/>
    </row>
    <row r="75" spans="3:10" s="116" customFormat="1" hidden="1" outlineLevel="1" x14ac:dyDescent="0.25">
      <c r="C75" s="123" t="s">
        <v>180</v>
      </c>
      <c r="D75" s="122"/>
      <c r="E75" s="122" t="s">
        <v>179</v>
      </c>
      <c r="F75" s="121"/>
      <c r="G75" s="145">
        <v>30</v>
      </c>
      <c r="H75" s="119"/>
      <c r="I75" s="118"/>
      <c r="J75" s="117"/>
    </row>
    <row r="76" spans="3:10" ht="6" hidden="1" customHeight="1" outlineLevel="1" x14ac:dyDescent="0.25">
      <c r="C76" s="142"/>
      <c r="D76" s="143"/>
      <c r="E76" s="142"/>
      <c r="F76" s="141"/>
      <c r="G76" s="140"/>
      <c r="H76" s="139"/>
      <c r="I76" s="138"/>
      <c r="J76" s="137"/>
    </row>
    <row r="77" spans="3:10" hidden="1" outlineLevel="1" x14ac:dyDescent="0.25">
      <c r="C77" s="136" t="s">
        <v>184</v>
      </c>
      <c r="D77" s="228" t="s">
        <v>277</v>
      </c>
      <c r="E77" s="135" t="s">
        <v>185</v>
      </c>
      <c r="F77" s="213">
        <v>3</v>
      </c>
      <c r="G77" s="218">
        <f>G78-G79</f>
        <v>2</v>
      </c>
      <c r="H77" s="132">
        <f>IF(G77=0,100%,IF(G77=1,90%,IF(G77=2,70%,IF(G77=3,50%,0))))</f>
        <v>0.7</v>
      </c>
      <c r="I77" s="131">
        <v>0.25</v>
      </c>
      <c r="J77" s="130">
        <f>H77*I77</f>
        <v>0.17499999999999999</v>
      </c>
    </row>
    <row r="78" spans="3:10" s="116" customFormat="1" hidden="1" outlineLevel="1" x14ac:dyDescent="0.25">
      <c r="C78" s="129" t="s">
        <v>182</v>
      </c>
      <c r="E78" s="116" t="s">
        <v>179</v>
      </c>
      <c r="F78" s="128"/>
      <c r="G78" s="147">
        <v>14</v>
      </c>
      <c r="H78" s="126"/>
      <c r="I78" s="125"/>
      <c r="J78" s="124"/>
    </row>
    <row r="79" spans="3:10" s="116" customFormat="1" hidden="1" outlineLevel="1" x14ac:dyDescent="0.25">
      <c r="C79" s="123" t="s">
        <v>183</v>
      </c>
      <c r="D79" s="122"/>
      <c r="E79" s="122" t="s">
        <v>179</v>
      </c>
      <c r="F79" s="121"/>
      <c r="G79" s="145">
        <v>12</v>
      </c>
      <c r="H79" s="119"/>
      <c r="I79" s="118"/>
      <c r="J79" s="117"/>
    </row>
    <row r="80" spans="3:10" ht="6" hidden="1" customHeight="1" outlineLevel="1" x14ac:dyDescent="0.25">
      <c r="C80" s="142"/>
      <c r="D80" s="143"/>
      <c r="E80" s="142"/>
      <c r="F80" s="141"/>
      <c r="G80" s="140"/>
      <c r="H80" s="139"/>
      <c r="I80" s="138"/>
      <c r="J80" s="137"/>
    </row>
    <row r="81" spans="3:10" ht="30" hidden="1" outlineLevel="1" x14ac:dyDescent="0.25">
      <c r="C81" s="219" t="s">
        <v>186</v>
      </c>
      <c r="D81" s="228" t="s">
        <v>277</v>
      </c>
      <c r="E81" s="135" t="s">
        <v>105</v>
      </c>
      <c r="F81" s="134">
        <v>0.8</v>
      </c>
      <c r="G81" s="133">
        <f>G82/G83</f>
        <v>0.83333333333333337</v>
      </c>
      <c r="H81" s="132">
        <f>IF(G81&lt;F81,0,G81)</f>
        <v>0.83333333333333337</v>
      </c>
      <c r="I81" s="131">
        <v>0.25</v>
      </c>
      <c r="J81" s="130">
        <f>H81*I81</f>
        <v>0.20833333333333334</v>
      </c>
    </row>
    <row r="82" spans="3:10" s="116" customFormat="1" hidden="1" outlineLevel="1" x14ac:dyDescent="0.25">
      <c r="C82" s="129" t="s">
        <v>187</v>
      </c>
      <c r="E82" s="116" t="s">
        <v>179</v>
      </c>
      <c r="F82" s="128"/>
      <c r="G82" s="147">
        <v>25</v>
      </c>
      <c r="H82" s="126"/>
      <c r="I82" s="125"/>
      <c r="J82" s="124"/>
    </row>
    <row r="83" spans="3:10" s="116" customFormat="1" hidden="1" outlineLevel="1" x14ac:dyDescent="0.25">
      <c r="C83" s="123" t="s">
        <v>180</v>
      </c>
      <c r="D83" s="122"/>
      <c r="E83" s="122" t="s">
        <v>179</v>
      </c>
      <c r="F83" s="121"/>
      <c r="G83" s="145">
        <v>30</v>
      </c>
      <c r="H83" s="119"/>
      <c r="I83" s="118"/>
      <c r="J83" s="117"/>
    </row>
    <row r="84" spans="3:10" collapsed="1" x14ac:dyDescent="0.25">
      <c r="I84" s="115"/>
    </row>
    <row r="85" spans="3:10" x14ac:dyDescent="0.25">
      <c r="D85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selection activeCell="D2" sqref="D2:H4"/>
    </sheetView>
  </sheetViews>
  <sheetFormatPr baseColWidth="10" defaultColWidth="8.85546875" defaultRowHeight="15" x14ac:dyDescent="0.25"/>
  <cols>
    <col min="1" max="4" width="8.85546875" style="1"/>
    <col min="5" max="5" width="7.5703125" style="1" customWidth="1"/>
    <col min="6" max="6" width="8.85546875" style="1"/>
    <col min="7" max="7" width="10.42578125" style="1" bestFit="1" customWidth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81" t="s">
        <v>30</v>
      </c>
      <c r="E2" s="282"/>
      <c r="F2" s="282"/>
      <c r="G2" s="282"/>
      <c r="H2" s="283"/>
      <c r="I2" s="271" t="e">
        <f>(G7*A8)+(O7*I8)+(G23*A24)+(O26*I27)+(G30*A31)</f>
        <v>#REF!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84"/>
      <c r="E3" s="285"/>
      <c r="F3" s="285"/>
      <c r="G3" s="285"/>
      <c r="H3" s="286"/>
      <c r="I3" s="278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287"/>
      <c r="E4" s="288"/>
      <c r="F4" s="288"/>
      <c r="G4" s="288"/>
      <c r="H4" s="289"/>
      <c r="I4" s="290"/>
      <c r="J4" s="11"/>
      <c r="K4" s="12"/>
      <c r="L4" s="17" t="s">
        <v>142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92" customFormat="1" ht="13.15" customHeight="1" x14ac:dyDescent="0.25">
      <c r="A7" s="107"/>
      <c r="B7" s="275" t="s">
        <v>12</v>
      </c>
      <c r="C7" s="275"/>
      <c r="D7" s="275"/>
      <c r="E7" s="275"/>
      <c r="F7" s="104"/>
      <c r="G7" s="271" t="e">
        <f>SUMPRODUCT(F12:F20,G12:G20)</f>
        <v>#REF!</v>
      </c>
      <c r="H7" s="91"/>
      <c r="I7" s="107"/>
      <c r="J7" s="275" t="s">
        <v>25</v>
      </c>
      <c r="K7" s="275"/>
      <c r="L7" s="275"/>
      <c r="M7" s="275"/>
      <c r="N7" s="104"/>
      <c r="O7" s="271">
        <f>SUMPRODUCT(N12:N22,O12:O22)</f>
        <v>0.79166666666666663</v>
      </c>
    </row>
    <row r="8" spans="1:15" s="92" customFormat="1" ht="13.15" customHeight="1" x14ac:dyDescent="0.25">
      <c r="A8" s="89">
        <v>0.2</v>
      </c>
      <c r="B8" s="276"/>
      <c r="C8" s="276"/>
      <c r="D8" s="276"/>
      <c r="E8" s="276"/>
      <c r="F8" s="90"/>
      <c r="G8" s="278"/>
      <c r="H8" s="91"/>
      <c r="I8" s="89">
        <v>0.2</v>
      </c>
      <c r="J8" s="276"/>
      <c r="K8" s="276"/>
      <c r="L8" s="276"/>
      <c r="M8" s="276"/>
      <c r="N8" s="90"/>
      <c r="O8" s="278"/>
    </row>
    <row r="9" spans="1:15" s="92" customFormat="1" ht="13.15" customHeight="1" x14ac:dyDescent="0.25">
      <c r="A9" s="108"/>
      <c r="B9" s="276"/>
      <c r="C9" s="276"/>
      <c r="D9" s="276"/>
      <c r="E9" s="276"/>
      <c r="F9" s="90"/>
      <c r="G9" s="278"/>
      <c r="H9" s="91"/>
      <c r="I9" s="109"/>
      <c r="J9" s="277"/>
      <c r="K9" s="277"/>
      <c r="L9" s="277"/>
      <c r="M9" s="277"/>
      <c r="N9" s="105"/>
      <c r="O9" s="278"/>
    </row>
    <row r="10" spans="1:15" s="111" customFormat="1" ht="13.15" customHeight="1" x14ac:dyDescent="0.25">
      <c r="A10" s="62" t="s">
        <v>16</v>
      </c>
      <c r="B10" s="63"/>
      <c r="C10" s="63"/>
      <c r="D10" s="63"/>
      <c r="E10" s="64"/>
      <c r="F10" s="64" t="s">
        <v>17</v>
      </c>
      <c r="G10" s="64" t="s">
        <v>9</v>
      </c>
      <c r="H10" s="110"/>
      <c r="I10" s="62" t="s">
        <v>16</v>
      </c>
      <c r="J10" s="63"/>
      <c r="K10" s="63"/>
      <c r="L10" s="63"/>
      <c r="M10" s="206"/>
      <c r="N10" s="75" t="s">
        <v>17</v>
      </c>
      <c r="O10" s="64" t="s">
        <v>9</v>
      </c>
    </row>
    <row r="11" spans="1:15" s="92" customFormat="1" ht="9" customHeight="1" x14ac:dyDescent="0.25">
      <c r="A11" s="93"/>
      <c r="B11" s="94"/>
      <c r="C11" s="94"/>
      <c r="D11" s="94"/>
      <c r="E11" s="95"/>
      <c r="F11" s="95"/>
      <c r="G11" s="96"/>
      <c r="H11" s="91"/>
      <c r="I11" s="65"/>
      <c r="J11" s="66"/>
      <c r="K11" s="66"/>
      <c r="L11" s="66"/>
      <c r="M11" s="207"/>
      <c r="N11" s="87"/>
      <c r="O11" s="72"/>
    </row>
    <row r="12" spans="1:15" s="92" customFormat="1" ht="13.15" customHeight="1" x14ac:dyDescent="0.25">
      <c r="A12" s="65" t="s">
        <v>46</v>
      </c>
      <c r="B12" s="66"/>
      <c r="C12" s="66"/>
      <c r="D12" s="66"/>
      <c r="E12" s="68"/>
      <c r="F12" s="68">
        <f>'Chef comptoir'!H11</f>
        <v>1.0652173913043479</v>
      </c>
      <c r="G12" s="199">
        <f>'Chef comptoir'!I11</f>
        <v>0.5</v>
      </c>
      <c r="H12" s="91"/>
      <c r="I12" s="65" t="s">
        <v>97</v>
      </c>
      <c r="J12" s="83"/>
      <c r="K12" s="66"/>
      <c r="L12" s="66"/>
      <c r="M12" s="208"/>
      <c r="N12" s="77">
        <f>'Chef comptoir'!H61</f>
        <v>0.62323390894819464</v>
      </c>
      <c r="O12" s="73">
        <f>'Chef comptoir'!I61</f>
        <v>0</v>
      </c>
    </row>
    <row r="13" spans="1:15" s="92" customFormat="1" ht="13.15" customHeight="1" x14ac:dyDescent="0.25">
      <c r="A13" s="65" t="s">
        <v>38</v>
      </c>
      <c r="B13" s="66"/>
      <c r="C13" s="66"/>
      <c r="D13" s="66"/>
      <c r="E13" s="68"/>
      <c r="F13" s="68"/>
      <c r="G13" s="199"/>
      <c r="H13" s="91"/>
      <c r="I13" s="65"/>
      <c r="J13" s="66"/>
      <c r="K13" s="66"/>
      <c r="L13" s="66"/>
      <c r="M13" s="208"/>
      <c r="N13" s="76"/>
      <c r="O13" s="72"/>
    </row>
    <row r="14" spans="1:15" s="92" customFormat="1" ht="13.15" customHeight="1" x14ac:dyDescent="0.25">
      <c r="A14" s="65"/>
      <c r="B14" s="66"/>
      <c r="C14" s="66"/>
      <c r="D14" s="66"/>
      <c r="E14" s="67"/>
      <c r="F14" s="67"/>
      <c r="G14" s="200"/>
      <c r="H14" s="91"/>
      <c r="I14" s="65" t="s">
        <v>98</v>
      </c>
      <c r="J14" s="83"/>
      <c r="K14" s="66"/>
      <c r="L14" s="66"/>
      <c r="M14" s="208"/>
      <c r="N14" s="77">
        <f>'Chef comptoir'!H65</f>
        <v>0.79999999999999993</v>
      </c>
      <c r="O14" s="73">
        <f>'Chef comptoir'!I65</f>
        <v>0</v>
      </c>
    </row>
    <row r="15" spans="1:15" s="92" customFormat="1" ht="13.15" customHeight="1" x14ac:dyDescent="0.25">
      <c r="A15" s="65" t="s">
        <v>42</v>
      </c>
      <c r="B15" s="66"/>
      <c r="C15" s="66"/>
      <c r="D15" s="66"/>
      <c r="E15" s="68"/>
      <c r="F15" s="68">
        <f>'Chef comptoir'!H15</f>
        <v>1.0320772946859904</v>
      </c>
      <c r="G15" s="199">
        <f>'Chef comptoir'!I15</f>
        <v>0.5</v>
      </c>
      <c r="H15" s="91"/>
      <c r="I15" s="65"/>
      <c r="J15" s="66"/>
      <c r="K15" s="66"/>
      <c r="L15" s="66"/>
      <c r="M15" s="208"/>
      <c r="N15" s="76"/>
      <c r="O15" s="87"/>
    </row>
    <row r="16" spans="1:15" s="92" customFormat="1" ht="13.15" customHeight="1" x14ac:dyDescent="0.25">
      <c r="A16" s="65" t="s">
        <v>37</v>
      </c>
      <c r="B16" s="66"/>
      <c r="C16" s="66"/>
      <c r="D16" s="66"/>
      <c r="E16" s="67"/>
      <c r="F16" s="67"/>
      <c r="G16" s="200"/>
      <c r="H16" s="91"/>
      <c r="I16" s="65" t="s">
        <v>99</v>
      </c>
      <c r="J16" s="83"/>
      <c r="K16" s="66"/>
      <c r="L16" s="66"/>
      <c r="M16" s="208"/>
      <c r="N16" s="77">
        <f>'Chef comptoir'!H69</f>
        <v>0.79999999999999993</v>
      </c>
      <c r="O16" s="73">
        <f>'Chef comptoir'!I69</f>
        <v>0.25</v>
      </c>
    </row>
    <row r="17" spans="1:15" s="92" customFormat="1" ht="13.15" customHeight="1" x14ac:dyDescent="0.25">
      <c r="A17" s="65"/>
      <c r="B17" s="66"/>
      <c r="C17" s="66"/>
      <c r="D17" s="66"/>
      <c r="E17" s="68"/>
      <c r="F17" s="68"/>
      <c r="G17" s="199"/>
      <c r="H17" s="91"/>
      <c r="I17" s="65"/>
      <c r="J17" s="66"/>
      <c r="K17" s="66"/>
      <c r="L17" s="66"/>
      <c r="M17" s="208"/>
      <c r="N17" s="76"/>
      <c r="O17" s="72"/>
    </row>
    <row r="18" spans="1:15" s="92" customFormat="1" ht="13.15" customHeight="1" x14ac:dyDescent="0.25">
      <c r="A18" s="65" t="s">
        <v>43</v>
      </c>
      <c r="B18" s="66"/>
      <c r="C18" s="66"/>
      <c r="D18" s="66"/>
      <c r="E18" s="67"/>
      <c r="F18" s="68" t="e">
        <f>'Chef comptoir'!#REF!</f>
        <v>#REF!</v>
      </c>
      <c r="G18" s="199" t="e">
        <f>'Chef comptoir'!#REF!</f>
        <v>#REF!</v>
      </c>
      <c r="H18" s="91"/>
      <c r="I18" s="65" t="s">
        <v>22</v>
      </c>
      <c r="J18" s="83"/>
      <c r="K18" s="66"/>
      <c r="L18" s="66"/>
      <c r="M18" s="208"/>
      <c r="N18" s="77">
        <f>'Chef comptoir'!H73</f>
        <v>0.83333333333333337</v>
      </c>
      <c r="O18" s="73">
        <f>'Chef comptoir'!I73</f>
        <v>0.25</v>
      </c>
    </row>
    <row r="19" spans="1:15" s="92" customFormat="1" ht="13.15" customHeight="1" x14ac:dyDescent="0.25">
      <c r="A19" s="65" t="s">
        <v>40</v>
      </c>
      <c r="B19" s="66"/>
      <c r="C19" s="66"/>
      <c r="D19" s="66"/>
      <c r="E19" s="68"/>
      <c r="F19" s="68"/>
      <c r="G19" s="73"/>
      <c r="H19" s="91"/>
      <c r="I19" s="65"/>
      <c r="J19" s="66"/>
      <c r="K19" s="66"/>
      <c r="L19" s="66"/>
      <c r="M19" s="208"/>
      <c r="N19" s="76"/>
      <c r="O19" s="87"/>
    </row>
    <row r="20" spans="1:15" s="92" customFormat="1" ht="13.15" customHeight="1" x14ac:dyDescent="0.25">
      <c r="A20" s="65"/>
      <c r="B20" s="66"/>
      <c r="C20" s="66"/>
      <c r="D20" s="66"/>
      <c r="E20" s="67"/>
      <c r="F20" s="68"/>
      <c r="G20" s="73"/>
      <c r="H20" s="91"/>
      <c r="I20" s="65" t="s">
        <v>23</v>
      </c>
      <c r="J20" s="83"/>
      <c r="K20" s="66"/>
      <c r="L20" s="66"/>
      <c r="M20" s="208"/>
      <c r="N20" s="77">
        <f>'Chef comptoir'!H77</f>
        <v>0.7</v>
      </c>
      <c r="O20" s="73">
        <f>'Chef comptoir'!I77</f>
        <v>0.25</v>
      </c>
    </row>
    <row r="21" spans="1:15" s="92" customFormat="1" ht="13.15" customHeight="1" x14ac:dyDescent="0.25">
      <c r="A21" s="69"/>
      <c r="B21" s="70"/>
      <c r="C21" s="70"/>
      <c r="D21" s="70"/>
      <c r="E21" s="71"/>
      <c r="F21" s="97"/>
      <c r="G21" s="98"/>
      <c r="H21" s="91"/>
      <c r="I21" s="65"/>
      <c r="J21" s="66"/>
      <c r="K21" s="66"/>
      <c r="L21" s="66"/>
      <c r="M21" s="208"/>
      <c r="N21" s="76"/>
      <c r="O21" s="72"/>
    </row>
    <row r="22" spans="1:15" s="92" customFormat="1" ht="13.15" customHeight="1" x14ac:dyDescent="0.25">
      <c r="A22" s="91"/>
      <c r="B22" s="91"/>
      <c r="C22" s="91"/>
      <c r="D22" s="91"/>
      <c r="E22" s="91"/>
      <c r="F22" s="91"/>
      <c r="G22" s="91"/>
      <c r="H22" s="91"/>
      <c r="I22" s="65" t="s">
        <v>24</v>
      </c>
      <c r="J22" s="83"/>
      <c r="K22" s="66"/>
      <c r="L22" s="66"/>
      <c r="M22" s="208"/>
      <c r="N22" s="77">
        <f>'Chef comptoir'!H81</f>
        <v>0.83333333333333337</v>
      </c>
      <c r="O22" s="73">
        <f>'Chef comptoir'!I81</f>
        <v>0.25</v>
      </c>
    </row>
    <row r="23" spans="1:15" s="92" customFormat="1" ht="13.15" customHeight="1" x14ac:dyDescent="0.25">
      <c r="A23" s="107"/>
      <c r="B23" s="275" t="s">
        <v>14</v>
      </c>
      <c r="C23" s="275"/>
      <c r="D23" s="275"/>
      <c r="E23" s="275"/>
      <c r="F23" s="104"/>
      <c r="G23" s="271">
        <f>SUMPRODUCT(F27:F28,G27:G28)</f>
        <v>0.66766666666666663</v>
      </c>
      <c r="H23" s="91"/>
      <c r="I23" s="65" t="s">
        <v>83</v>
      </c>
      <c r="J23" s="83"/>
      <c r="K23" s="66"/>
      <c r="L23" s="66"/>
      <c r="M23" s="208"/>
      <c r="N23" s="77"/>
      <c r="O23" s="73"/>
    </row>
    <row r="24" spans="1:15" s="92" customFormat="1" ht="13.15" customHeight="1" x14ac:dyDescent="0.25">
      <c r="A24" s="89">
        <v>0.2</v>
      </c>
      <c r="B24" s="276"/>
      <c r="C24" s="276"/>
      <c r="D24" s="276"/>
      <c r="E24" s="276"/>
      <c r="F24" s="90"/>
      <c r="G24" s="278"/>
      <c r="H24" s="91"/>
      <c r="I24" s="69"/>
      <c r="J24" s="70"/>
      <c r="K24" s="70"/>
      <c r="L24" s="70"/>
      <c r="M24" s="209"/>
      <c r="N24" s="80"/>
      <c r="O24" s="106"/>
    </row>
    <row r="25" spans="1:15" s="92" customFormat="1" ht="13.15" customHeight="1" x14ac:dyDescent="0.25">
      <c r="A25" s="109"/>
      <c r="B25" s="277"/>
      <c r="C25" s="277"/>
      <c r="D25" s="277"/>
      <c r="E25" s="277"/>
      <c r="F25" s="105"/>
      <c r="G25" s="278"/>
      <c r="H25" s="91"/>
    </row>
    <row r="26" spans="1:15" s="92" customFormat="1" ht="13.15" customHeight="1" x14ac:dyDescent="0.25">
      <c r="A26" s="62" t="s">
        <v>16</v>
      </c>
      <c r="B26" s="63"/>
      <c r="C26" s="63"/>
      <c r="D26" s="63"/>
      <c r="E26" s="63"/>
      <c r="F26" s="75" t="s">
        <v>17</v>
      </c>
      <c r="G26" s="75" t="s">
        <v>9</v>
      </c>
      <c r="H26" s="91"/>
      <c r="I26" s="107"/>
      <c r="J26" s="275" t="s">
        <v>15</v>
      </c>
      <c r="K26" s="275"/>
      <c r="L26" s="275"/>
      <c r="M26" s="275"/>
      <c r="N26" s="104"/>
      <c r="O26" s="271">
        <f>SUMPRODUCT(N31:N35,O31:O35)</f>
        <v>0.73928571428571432</v>
      </c>
    </row>
    <row r="27" spans="1:15" s="92" customFormat="1" ht="18" customHeight="1" x14ac:dyDescent="0.25">
      <c r="A27" s="93" t="s">
        <v>31</v>
      </c>
      <c r="B27" s="99"/>
      <c r="C27" s="94"/>
      <c r="D27" s="94"/>
      <c r="E27" s="94"/>
      <c r="F27" s="100">
        <f>'Chef comptoir'!H21</f>
        <v>0.65500000000000003</v>
      </c>
      <c r="G27" s="201">
        <f>'Chef comptoir'!I21</f>
        <v>0.66666666666666663</v>
      </c>
      <c r="H27" s="91"/>
      <c r="I27" s="89">
        <v>0.2</v>
      </c>
      <c r="J27" s="276"/>
      <c r="K27" s="276"/>
      <c r="L27" s="276"/>
      <c r="M27" s="276"/>
      <c r="N27" s="90"/>
      <c r="O27" s="278"/>
    </row>
    <row r="28" spans="1:15" s="92" customFormat="1" ht="18.600000000000001" customHeight="1" x14ac:dyDescent="0.25">
      <c r="A28" s="69" t="s">
        <v>32</v>
      </c>
      <c r="B28" s="101"/>
      <c r="C28" s="70"/>
      <c r="D28" s="70"/>
      <c r="E28" s="97"/>
      <c r="F28" s="102">
        <f>'Chef comptoir'!H23</f>
        <v>0.69299999999999995</v>
      </c>
      <c r="G28" s="202">
        <f>'Chef comptoir'!I23</f>
        <v>0.33333333333333331</v>
      </c>
      <c r="H28" s="91"/>
      <c r="I28" s="109"/>
      <c r="J28" s="277"/>
      <c r="K28" s="277"/>
      <c r="L28" s="277"/>
      <c r="M28" s="277"/>
      <c r="N28" s="105"/>
      <c r="O28" s="278"/>
    </row>
    <row r="29" spans="1:15" s="92" customFormat="1" ht="13.15" customHeight="1" x14ac:dyDescent="0.25">
      <c r="H29" s="91"/>
      <c r="I29" s="205" t="s">
        <v>16</v>
      </c>
      <c r="J29" s="206"/>
      <c r="K29" s="206"/>
      <c r="L29" s="206"/>
      <c r="M29" s="206"/>
      <c r="N29" s="75" t="s">
        <v>17</v>
      </c>
      <c r="O29" s="64" t="s">
        <v>9</v>
      </c>
    </row>
    <row r="30" spans="1:15" s="92" customFormat="1" x14ac:dyDescent="0.25">
      <c r="A30" s="107"/>
      <c r="B30" s="275" t="s">
        <v>13</v>
      </c>
      <c r="C30" s="275"/>
      <c r="D30" s="275"/>
      <c r="E30" s="275"/>
      <c r="F30" s="104"/>
      <c r="G30" s="271">
        <f>G34</f>
        <v>0.64734693877551019</v>
      </c>
      <c r="H30" s="91"/>
      <c r="I30" s="93"/>
      <c r="J30" s="99"/>
      <c r="K30" s="94"/>
      <c r="L30" s="94"/>
      <c r="M30" s="207"/>
      <c r="N30" s="203"/>
      <c r="O30" s="73"/>
    </row>
    <row r="31" spans="1:15" s="92" customFormat="1" ht="13.15" customHeight="1" x14ac:dyDescent="0.25">
      <c r="A31" s="89">
        <v>0.2</v>
      </c>
      <c r="B31" s="276"/>
      <c r="C31" s="276"/>
      <c r="D31" s="276"/>
      <c r="E31" s="276"/>
      <c r="F31" s="90"/>
      <c r="G31" s="278"/>
      <c r="H31" s="91"/>
      <c r="I31" s="65" t="s">
        <v>188</v>
      </c>
      <c r="J31" s="83"/>
      <c r="K31" s="66"/>
      <c r="L31" s="66"/>
      <c r="M31" s="208"/>
      <c r="N31" s="203">
        <f>'Chef comptoir'!H27</f>
        <v>0.8</v>
      </c>
      <c r="O31" s="210">
        <f>'Chef comptoir'!I27</f>
        <v>0.2</v>
      </c>
    </row>
    <row r="32" spans="1:15" s="92" customFormat="1" ht="13.15" customHeight="1" x14ac:dyDescent="0.25">
      <c r="A32" s="109"/>
      <c r="B32" s="277"/>
      <c r="C32" s="277"/>
      <c r="D32" s="277"/>
      <c r="E32" s="277"/>
      <c r="F32" s="105"/>
      <c r="G32" s="278"/>
      <c r="H32" s="91"/>
      <c r="I32" s="65" t="s">
        <v>162</v>
      </c>
      <c r="J32" s="83"/>
      <c r="K32" s="66"/>
      <c r="L32" s="66"/>
      <c r="M32" s="208"/>
      <c r="N32" s="203">
        <f>'Chef comptoir'!H29</f>
        <v>0.95833333333333337</v>
      </c>
      <c r="O32" s="210">
        <f>'Chef comptoir'!I33</f>
        <v>0.2</v>
      </c>
    </row>
    <row r="33" spans="1:15" s="92" customFormat="1" ht="13.15" customHeight="1" x14ac:dyDescent="0.25">
      <c r="A33" s="62" t="s">
        <v>16</v>
      </c>
      <c r="B33" s="63"/>
      <c r="C33" s="63"/>
      <c r="D33" s="63"/>
      <c r="E33" s="63"/>
      <c r="F33" s="75" t="s">
        <v>20</v>
      </c>
      <c r="G33" s="75" t="s">
        <v>17</v>
      </c>
      <c r="H33" s="91"/>
      <c r="I33" s="65" t="s">
        <v>163</v>
      </c>
      <c r="J33" s="83"/>
      <c r="K33" s="66"/>
      <c r="L33" s="66"/>
      <c r="M33" s="208"/>
      <c r="N33" s="203">
        <f>'Chef comptoir'!H33</f>
        <v>0.96666666666666667</v>
      </c>
      <c r="O33" s="210">
        <f>'Chef comptoir'!I33</f>
        <v>0.2</v>
      </c>
    </row>
    <row r="34" spans="1:15" s="92" customFormat="1" ht="18" customHeight="1" x14ac:dyDescent="0.25">
      <c r="A34" s="65" t="s">
        <v>33</v>
      </c>
      <c r="B34" s="83"/>
      <c r="C34" s="66"/>
      <c r="D34" s="66"/>
      <c r="E34" s="66"/>
      <c r="F34" s="84">
        <f>'Chef comptoir'!G47</f>
        <v>3.2653061224489796E-4</v>
      </c>
      <c r="G34" s="292">
        <f>'Chef comptoir'!D57</f>
        <v>0.64734693877551019</v>
      </c>
      <c r="H34" s="91"/>
      <c r="I34" s="65" t="s">
        <v>164</v>
      </c>
      <c r="J34" s="83"/>
      <c r="K34" s="66"/>
      <c r="L34" s="66"/>
      <c r="M34" s="208"/>
      <c r="N34" s="203">
        <f>'Chef comptoir'!H37</f>
        <v>0</v>
      </c>
      <c r="O34" s="210">
        <f>'Chef comptoir'!I37</f>
        <v>0.2</v>
      </c>
    </row>
    <row r="35" spans="1:15" ht="17.45" customHeight="1" x14ac:dyDescent="0.25">
      <c r="A35" s="69" t="s">
        <v>34</v>
      </c>
      <c r="B35" s="101"/>
      <c r="C35" s="70"/>
      <c r="D35" s="70"/>
      <c r="E35" s="97"/>
      <c r="F35" s="212">
        <f>'Chef comptoir'!G51</f>
        <v>4.0816326530612249E-3</v>
      </c>
      <c r="G35" s="293"/>
      <c r="H35" s="2"/>
      <c r="I35" s="69" t="s">
        <v>165</v>
      </c>
      <c r="J35" s="101"/>
      <c r="K35" s="70"/>
      <c r="L35" s="70"/>
      <c r="M35" s="209"/>
      <c r="N35" s="204">
        <f>'Chef comptoir'!H41</f>
        <v>0.97142857142857142</v>
      </c>
      <c r="O35" s="211">
        <f>'Chef comptoir'!I41</f>
        <v>0.2</v>
      </c>
    </row>
    <row r="36" spans="1:15" x14ac:dyDescent="0.25">
      <c r="H36" s="2"/>
    </row>
    <row r="38" spans="1:15" ht="3" customHeight="1" x14ac:dyDescent="0.25"/>
  </sheetData>
  <mergeCells count="14">
    <mergeCell ref="D2:H4"/>
    <mergeCell ref="I2:I4"/>
    <mergeCell ref="L2:O3"/>
    <mergeCell ref="B7:E9"/>
    <mergeCell ref="G7:G9"/>
    <mergeCell ref="J7:M9"/>
    <mergeCell ref="O7:O9"/>
    <mergeCell ref="G34:G35"/>
    <mergeCell ref="J26:M28"/>
    <mergeCell ref="O26:O28"/>
    <mergeCell ref="B23:E25"/>
    <mergeCell ref="G23:G25"/>
    <mergeCell ref="B30:E32"/>
    <mergeCell ref="G30:G32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90" zoomScaleNormal="90" workbookViewId="0">
      <selection activeCell="D2" sqref="D2:H4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94" t="s">
        <v>35</v>
      </c>
      <c r="E2" s="295"/>
      <c r="F2" s="295"/>
      <c r="G2" s="295"/>
      <c r="H2" s="296"/>
      <c r="I2" s="271">
        <f>(G7*A8)+(O7*I8)+(G26*A27)+(O26*I27)</f>
        <v>0.52324999999999999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97"/>
      <c r="E3" s="298"/>
      <c r="F3" s="298"/>
      <c r="G3" s="298"/>
      <c r="H3" s="299"/>
      <c r="I3" s="278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00"/>
      <c r="E4" s="301"/>
      <c r="F4" s="301"/>
      <c r="G4" s="301"/>
      <c r="H4" s="302"/>
      <c r="I4" s="290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92" customFormat="1" ht="13.15" customHeight="1" x14ac:dyDescent="0.25">
      <c r="A7" s="107"/>
      <c r="B7" s="275" t="s">
        <v>12</v>
      </c>
      <c r="C7" s="275"/>
      <c r="D7" s="275"/>
      <c r="E7" s="275"/>
      <c r="F7" s="104"/>
      <c r="G7" s="271">
        <f>SUMPRODUCT(F13:F21,G13:G21)</f>
        <v>0.58099999999999996</v>
      </c>
      <c r="H7" s="91"/>
      <c r="I7" s="107"/>
      <c r="J7" s="275" t="s">
        <v>13</v>
      </c>
      <c r="K7" s="275"/>
      <c r="L7" s="275"/>
      <c r="M7" s="275"/>
      <c r="N7" s="104"/>
      <c r="O7" s="271">
        <f>O13</f>
        <v>0</v>
      </c>
    </row>
    <row r="8" spans="1:15" s="92" customFormat="1" ht="13.15" customHeight="1" x14ac:dyDescent="0.25">
      <c r="A8" s="89">
        <v>0.25</v>
      </c>
      <c r="B8" s="276"/>
      <c r="C8" s="276"/>
      <c r="D8" s="276"/>
      <c r="E8" s="276"/>
      <c r="F8" s="90"/>
      <c r="G8" s="278"/>
      <c r="H8" s="91"/>
      <c r="I8" s="89">
        <v>0.25</v>
      </c>
      <c r="J8" s="276"/>
      <c r="K8" s="276"/>
      <c r="L8" s="276"/>
      <c r="M8" s="276"/>
      <c r="N8" s="90"/>
      <c r="O8" s="278"/>
    </row>
    <row r="9" spans="1:15" s="92" customFormat="1" ht="13.15" customHeight="1" x14ac:dyDescent="0.25">
      <c r="A9" s="108"/>
      <c r="B9" s="276"/>
      <c r="C9" s="276"/>
      <c r="D9" s="276"/>
      <c r="E9" s="276"/>
      <c r="F9" s="90"/>
      <c r="G9" s="278"/>
      <c r="H9" s="91"/>
      <c r="I9" s="109"/>
      <c r="J9" s="277"/>
      <c r="K9" s="277"/>
      <c r="L9" s="277"/>
      <c r="M9" s="277"/>
      <c r="N9" s="105"/>
      <c r="O9" s="278"/>
    </row>
    <row r="10" spans="1:15" s="111" customFormat="1" ht="13.15" customHeight="1" x14ac:dyDescent="0.25">
      <c r="A10" s="62" t="s">
        <v>16</v>
      </c>
      <c r="B10" s="63"/>
      <c r="C10" s="63"/>
      <c r="D10" s="63"/>
      <c r="E10" s="75" t="s">
        <v>21</v>
      </c>
      <c r="F10" s="75" t="s">
        <v>17</v>
      </c>
      <c r="G10" s="64" t="s">
        <v>9</v>
      </c>
      <c r="H10" s="110"/>
      <c r="I10" s="62" t="s">
        <v>16</v>
      </c>
      <c r="J10" s="63"/>
      <c r="K10" s="63"/>
      <c r="L10" s="63"/>
      <c r="M10" s="63"/>
      <c r="N10" s="75" t="s">
        <v>20</v>
      </c>
      <c r="O10" s="75" t="s">
        <v>17</v>
      </c>
    </row>
    <row r="11" spans="1:15" s="92" customFormat="1" ht="13.15" customHeight="1" x14ac:dyDescent="0.25">
      <c r="A11" s="65"/>
      <c r="B11" s="66"/>
      <c r="C11" s="66"/>
      <c r="D11" s="66"/>
      <c r="E11" s="76"/>
      <c r="F11" s="87"/>
      <c r="G11" s="72"/>
      <c r="H11" s="91"/>
      <c r="I11" s="65"/>
      <c r="J11" s="66"/>
      <c r="K11" s="66"/>
      <c r="L11" s="66"/>
      <c r="M11" s="81"/>
      <c r="N11" s="82"/>
      <c r="O11" s="76"/>
    </row>
    <row r="12" spans="1:15" s="92" customFormat="1" ht="13.15" customHeight="1" x14ac:dyDescent="0.25">
      <c r="A12" s="65"/>
      <c r="B12" s="66"/>
      <c r="C12" s="66"/>
      <c r="D12" s="66"/>
      <c r="E12" s="76"/>
      <c r="F12" s="87"/>
      <c r="G12" s="72"/>
      <c r="H12" s="91"/>
      <c r="I12" s="65"/>
      <c r="J12" s="66"/>
      <c r="K12" s="66"/>
      <c r="L12" s="66"/>
      <c r="M12" s="81"/>
      <c r="N12" s="76"/>
      <c r="O12" s="76"/>
    </row>
    <row r="13" spans="1:15" s="92" customFormat="1" ht="13.15" customHeight="1" x14ac:dyDescent="0.25">
      <c r="A13" s="65" t="s">
        <v>48</v>
      </c>
      <c r="B13" s="83"/>
      <c r="C13" s="66"/>
      <c r="D13" s="66"/>
      <c r="E13" s="112">
        <v>0.33300000000000002</v>
      </c>
      <c r="F13" s="112">
        <v>0.8</v>
      </c>
      <c r="G13" s="73">
        <v>0.3</v>
      </c>
      <c r="H13" s="91"/>
      <c r="I13" s="65" t="s">
        <v>33</v>
      </c>
      <c r="J13" s="83"/>
      <c r="K13" s="66"/>
      <c r="L13" s="66"/>
      <c r="M13" s="81"/>
      <c r="N13" s="84">
        <v>5.1000000000000004E-3</v>
      </c>
      <c r="O13" s="291">
        <f>IF(N13+N15&gt;0.5%,0,1-(0.4*(N13+N15)/0.5%))</f>
        <v>0</v>
      </c>
    </row>
    <row r="14" spans="1:15" s="92" customFormat="1" ht="13.15" customHeight="1" x14ac:dyDescent="0.25">
      <c r="A14" s="65" t="s">
        <v>49</v>
      </c>
      <c r="B14" s="83"/>
      <c r="C14" s="66"/>
      <c r="D14" s="66"/>
      <c r="E14" s="79"/>
      <c r="F14" s="112"/>
      <c r="G14" s="73"/>
      <c r="H14" s="91"/>
      <c r="I14" s="65"/>
      <c r="J14" s="66"/>
      <c r="K14" s="66"/>
      <c r="L14" s="66"/>
      <c r="M14" s="81"/>
      <c r="N14" s="85"/>
      <c r="O14" s="291"/>
    </row>
    <row r="15" spans="1:15" s="92" customFormat="1" ht="13.15" customHeight="1" x14ac:dyDescent="0.25">
      <c r="A15" s="65"/>
      <c r="B15" s="83"/>
      <c r="C15" s="66"/>
      <c r="D15" s="66"/>
      <c r="E15" s="112"/>
      <c r="F15" s="112"/>
      <c r="G15" s="73"/>
      <c r="H15" s="91"/>
      <c r="I15" s="65" t="s">
        <v>34</v>
      </c>
      <c r="J15" s="83"/>
      <c r="K15" s="66"/>
      <c r="L15" s="66"/>
      <c r="M15" s="81"/>
      <c r="N15" s="84">
        <v>0</v>
      </c>
      <c r="O15" s="291"/>
    </row>
    <row r="16" spans="1:15" s="92" customFormat="1" ht="13.15" customHeight="1" x14ac:dyDescent="0.25">
      <c r="A16" s="65"/>
      <c r="B16" s="83"/>
      <c r="C16" s="66"/>
      <c r="D16" s="66"/>
      <c r="E16" s="79"/>
      <c r="F16" s="112"/>
      <c r="G16" s="73"/>
      <c r="H16" s="91"/>
      <c r="I16" s="65"/>
      <c r="J16" s="83"/>
      <c r="K16" s="66"/>
      <c r="L16" s="66"/>
      <c r="M16" s="81"/>
      <c r="N16" s="84"/>
      <c r="O16" s="113"/>
    </row>
    <row r="17" spans="1:15" s="92" customFormat="1" ht="13.15" customHeight="1" x14ac:dyDescent="0.25">
      <c r="A17" s="65" t="s">
        <v>50</v>
      </c>
      <c r="B17" s="83"/>
      <c r="C17" s="66"/>
      <c r="D17" s="66"/>
      <c r="E17" s="112">
        <v>0.33300000000000002</v>
      </c>
      <c r="F17" s="112">
        <v>0.8</v>
      </c>
      <c r="G17" s="73">
        <v>0.3</v>
      </c>
      <c r="H17" s="91"/>
      <c r="I17" s="65"/>
      <c r="J17" s="66"/>
      <c r="K17" s="66"/>
      <c r="L17" s="66"/>
      <c r="M17" s="66"/>
      <c r="N17" s="87"/>
      <c r="O17" s="87"/>
    </row>
    <row r="18" spans="1:15" s="92" customFormat="1" ht="13.15" customHeight="1" x14ac:dyDescent="0.25">
      <c r="A18" s="65" t="s">
        <v>51</v>
      </c>
      <c r="B18" s="83"/>
      <c r="C18" s="66"/>
      <c r="D18" s="66"/>
      <c r="E18" s="112"/>
      <c r="F18" s="112"/>
      <c r="G18" s="73"/>
      <c r="H18" s="91"/>
      <c r="I18" s="65"/>
      <c r="J18" s="66"/>
      <c r="K18" s="66"/>
      <c r="L18" s="66"/>
      <c r="M18" s="66"/>
      <c r="N18" s="87"/>
      <c r="O18" s="87"/>
    </row>
    <row r="19" spans="1:15" s="92" customFormat="1" ht="13.15" customHeight="1" x14ac:dyDescent="0.25">
      <c r="A19" s="65"/>
      <c r="B19" s="83"/>
      <c r="C19" s="66"/>
      <c r="D19" s="66"/>
      <c r="E19" s="112"/>
      <c r="F19" s="112"/>
      <c r="G19" s="73"/>
      <c r="H19" s="91"/>
      <c r="I19" s="65"/>
      <c r="J19" s="66"/>
      <c r="K19" s="66"/>
      <c r="L19" s="66"/>
      <c r="M19" s="66"/>
      <c r="N19" s="87"/>
      <c r="O19" s="87"/>
    </row>
    <row r="20" spans="1:15" s="92" customFormat="1" ht="13.15" customHeight="1" x14ac:dyDescent="0.25">
      <c r="A20" s="65"/>
      <c r="B20" s="66"/>
      <c r="C20" s="66"/>
      <c r="D20" s="66"/>
      <c r="E20" s="87"/>
      <c r="F20" s="87"/>
      <c r="G20" s="72"/>
      <c r="H20" s="91"/>
      <c r="I20" s="65"/>
      <c r="J20" s="66"/>
      <c r="K20" s="66"/>
      <c r="L20" s="66"/>
      <c r="M20" s="66"/>
      <c r="N20" s="87"/>
      <c r="O20" s="87"/>
    </row>
    <row r="21" spans="1:15" s="92" customFormat="1" ht="13.15" customHeight="1" x14ac:dyDescent="0.25">
      <c r="A21" s="65" t="s">
        <v>52</v>
      </c>
      <c r="B21" s="83"/>
      <c r="C21" s="66"/>
      <c r="D21" s="66"/>
      <c r="E21" s="112">
        <v>1.01</v>
      </c>
      <c r="F21" s="112">
        <f>E21</f>
        <v>1.01</v>
      </c>
      <c r="G21" s="73">
        <v>0.1</v>
      </c>
      <c r="H21" s="91"/>
      <c r="I21" s="65"/>
      <c r="J21" s="66"/>
      <c r="K21" s="66"/>
      <c r="L21" s="66"/>
      <c r="M21" s="66"/>
      <c r="N21" s="87"/>
      <c r="O21" s="87"/>
    </row>
    <row r="22" spans="1:15" s="92" customFormat="1" ht="13.15" customHeight="1" x14ac:dyDescent="0.25">
      <c r="A22" s="65" t="s">
        <v>53</v>
      </c>
      <c r="B22" s="83"/>
      <c r="C22" s="66"/>
      <c r="D22" s="66"/>
      <c r="E22" s="87"/>
      <c r="F22" s="87"/>
      <c r="G22" s="72"/>
      <c r="H22" s="91"/>
      <c r="I22" s="65"/>
      <c r="J22" s="66"/>
      <c r="K22" s="66"/>
      <c r="L22" s="66"/>
      <c r="M22" s="66"/>
      <c r="N22" s="87"/>
      <c r="O22" s="87"/>
    </row>
    <row r="23" spans="1:15" s="92" customFormat="1" ht="13.15" customHeight="1" x14ac:dyDescent="0.25">
      <c r="A23" s="65"/>
      <c r="B23" s="83"/>
      <c r="C23" s="66"/>
      <c r="D23" s="66"/>
      <c r="E23" s="87"/>
      <c r="F23" s="87"/>
      <c r="G23" s="72"/>
      <c r="H23" s="91"/>
      <c r="I23" s="65"/>
      <c r="J23" s="66"/>
      <c r="K23" s="66"/>
      <c r="L23" s="66"/>
      <c r="M23" s="66"/>
      <c r="N23" s="87"/>
      <c r="O23" s="87"/>
    </row>
    <row r="24" spans="1:15" s="92" customFormat="1" ht="13.15" customHeight="1" x14ac:dyDescent="0.25">
      <c r="A24" s="69"/>
      <c r="B24" s="70"/>
      <c r="C24" s="70"/>
      <c r="D24" s="70"/>
      <c r="E24" s="106"/>
      <c r="F24" s="106"/>
      <c r="G24" s="74"/>
      <c r="H24" s="91"/>
      <c r="I24" s="69"/>
      <c r="J24" s="70"/>
      <c r="K24" s="70"/>
      <c r="L24" s="70"/>
      <c r="M24" s="70"/>
      <c r="N24" s="106"/>
      <c r="O24" s="106"/>
    </row>
    <row r="25" spans="1:15" s="92" customFormat="1" ht="13.15" customHeight="1" x14ac:dyDescent="0.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5" s="92" customFormat="1" ht="13.15" customHeight="1" x14ac:dyDescent="0.25">
      <c r="A26" s="107"/>
      <c r="B26" s="275" t="s">
        <v>14</v>
      </c>
      <c r="C26" s="275"/>
      <c r="D26" s="275"/>
      <c r="E26" s="275"/>
      <c r="F26" s="104"/>
      <c r="G26" s="271">
        <f>SUMPRODUCT(F32:F34,G32:G34)</f>
        <v>0.76200000000000001</v>
      </c>
      <c r="H26" s="91"/>
      <c r="I26" s="107"/>
      <c r="J26" s="275" t="s">
        <v>15</v>
      </c>
      <c r="K26" s="275"/>
      <c r="L26" s="275"/>
      <c r="M26" s="275"/>
      <c r="N26" s="104"/>
      <c r="O26" s="271">
        <f>SUMPRODUCT(N32:N34,O32:O34)</f>
        <v>0.75</v>
      </c>
    </row>
    <row r="27" spans="1:15" s="92" customFormat="1" ht="13.15" customHeight="1" x14ac:dyDescent="0.25">
      <c r="A27" s="89">
        <v>0.25</v>
      </c>
      <c r="B27" s="276"/>
      <c r="C27" s="276"/>
      <c r="D27" s="276"/>
      <c r="E27" s="276"/>
      <c r="F27" s="90"/>
      <c r="G27" s="278"/>
      <c r="H27" s="91"/>
      <c r="I27" s="89">
        <v>0.25</v>
      </c>
      <c r="J27" s="276"/>
      <c r="K27" s="276"/>
      <c r="L27" s="276"/>
      <c r="M27" s="276"/>
      <c r="N27" s="90"/>
      <c r="O27" s="278"/>
    </row>
    <row r="28" spans="1:15" s="92" customFormat="1" ht="13.15" customHeight="1" x14ac:dyDescent="0.25">
      <c r="A28" s="109"/>
      <c r="B28" s="277"/>
      <c r="C28" s="277"/>
      <c r="D28" s="277"/>
      <c r="E28" s="277"/>
      <c r="F28" s="105"/>
      <c r="G28" s="278"/>
      <c r="H28" s="91"/>
      <c r="I28" s="109"/>
      <c r="J28" s="277"/>
      <c r="K28" s="277"/>
      <c r="L28" s="277"/>
      <c r="M28" s="277"/>
      <c r="N28" s="105"/>
      <c r="O28" s="278"/>
    </row>
    <row r="29" spans="1:15" s="92" customFormat="1" ht="13.15" customHeight="1" x14ac:dyDescent="0.25">
      <c r="A29" s="62" t="s">
        <v>16</v>
      </c>
      <c r="B29" s="63"/>
      <c r="C29" s="63"/>
      <c r="D29" s="63"/>
      <c r="E29" s="63"/>
      <c r="F29" s="75" t="s">
        <v>17</v>
      </c>
      <c r="G29" s="75" t="s">
        <v>9</v>
      </c>
      <c r="H29" s="91"/>
      <c r="I29" s="62" t="s">
        <v>16</v>
      </c>
      <c r="J29" s="63"/>
      <c r="K29" s="63"/>
      <c r="L29" s="63"/>
      <c r="M29" s="75" t="s">
        <v>21</v>
      </c>
      <c r="N29" s="75" t="s">
        <v>17</v>
      </c>
      <c r="O29" s="64" t="s">
        <v>9</v>
      </c>
    </row>
    <row r="30" spans="1:15" s="92" customFormat="1" ht="13.15" customHeight="1" x14ac:dyDescent="0.25">
      <c r="A30" s="65"/>
      <c r="B30" s="66"/>
      <c r="C30" s="66"/>
      <c r="D30" s="66"/>
      <c r="E30" s="66"/>
      <c r="F30" s="76"/>
      <c r="G30" s="76"/>
      <c r="H30" s="91"/>
      <c r="I30" s="65"/>
      <c r="J30" s="66"/>
      <c r="K30" s="66"/>
      <c r="L30" s="66"/>
      <c r="M30" s="76"/>
      <c r="N30" s="76"/>
      <c r="O30" s="72"/>
    </row>
    <row r="31" spans="1:15" s="92" customFormat="1" ht="13.15" customHeight="1" x14ac:dyDescent="0.25">
      <c r="A31" s="65"/>
      <c r="B31" s="66"/>
      <c r="C31" s="66"/>
      <c r="D31" s="66"/>
      <c r="E31" s="66"/>
      <c r="F31" s="76"/>
      <c r="G31" s="76"/>
      <c r="H31" s="91"/>
      <c r="I31" s="65"/>
      <c r="J31" s="66"/>
      <c r="K31" s="66"/>
      <c r="L31" s="66"/>
      <c r="M31" s="76"/>
      <c r="N31" s="76"/>
      <c r="O31" s="72"/>
    </row>
    <row r="32" spans="1:15" s="92" customFormat="1" ht="13.15" customHeight="1" x14ac:dyDescent="0.25">
      <c r="A32" s="65" t="s">
        <v>31</v>
      </c>
      <c r="B32" s="83"/>
      <c r="C32" s="66"/>
      <c r="D32" s="66"/>
      <c r="E32" s="66"/>
      <c r="F32" s="77">
        <v>0.71799999999999997</v>
      </c>
      <c r="G32" s="113">
        <f>2/3</f>
        <v>0.66666666666666663</v>
      </c>
      <c r="H32" s="91"/>
      <c r="I32" s="65" t="s">
        <v>44</v>
      </c>
      <c r="J32" s="83"/>
      <c r="K32" s="66"/>
      <c r="L32" s="66"/>
      <c r="M32" s="79">
        <v>6</v>
      </c>
      <c r="N32" s="77">
        <v>0.8</v>
      </c>
      <c r="O32" s="73">
        <v>0.5</v>
      </c>
    </row>
    <row r="33" spans="1:15" s="92" customFormat="1" ht="13.15" customHeight="1" x14ac:dyDescent="0.25">
      <c r="A33" s="65"/>
      <c r="B33" s="83"/>
      <c r="C33" s="66"/>
      <c r="D33" s="66"/>
      <c r="E33" s="66"/>
      <c r="F33" s="77"/>
      <c r="G33" s="113"/>
      <c r="H33" s="91"/>
      <c r="I33" s="65"/>
      <c r="J33" s="83"/>
      <c r="K33" s="66"/>
      <c r="L33" s="66"/>
      <c r="M33" s="79"/>
      <c r="N33" s="76"/>
      <c r="O33" s="72"/>
    </row>
    <row r="34" spans="1:15" s="92" customFormat="1" ht="13.15" customHeight="1" x14ac:dyDescent="0.25">
      <c r="A34" s="65" t="s">
        <v>32</v>
      </c>
      <c r="B34" s="83"/>
      <c r="C34" s="66"/>
      <c r="D34" s="66"/>
      <c r="E34" s="66"/>
      <c r="F34" s="77">
        <v>0.85</v>
      </c>
      <c r="G34" s="113">
        <f>1-G32</f>
        <v>0.33333333333333337</v>
      </c>
      <c r="H34" s="91"/>
      <c r="I34" s="65" t="s">
        <v>45</v>
      </c>
      <c r="J34" s="66"/>
      <c r="K34" s="66"/>
      <c r="L34" s="66"/>
      <c r="M34" s="79">
        <v>2</v>
      </c>
      <c r="N34" s="77">
        <v>0.7</v>
      </c>
      <c r="O34" s="73">
        <v>0.5</v>
      </c>
    </row>
    <row r="35" spans="1:15" s="92" customFormat="1" ht="13.15" customHeight="1" x14ac:dyDescent="0.25">
      <c r="A35" s="65"/>
      <c r="B35" s="66"/>
      <c r="C35" s="66"/>
      <c r="D35" s="66"/>
      <c r="E35" s="66"/>
      <c r="F35" s="87"/>
      <c r="G35" s="67"/>
      <c r="H35" s="91"/>
      <c r="I35" s="65"/>
      <c r="J35" s="66"/>
      <c r="K35" s="66"/>
      <c r="L35" s="66"/>
      <c r="M35" s="79"/>
      <c r="N35" s="76"/>
      <c r="O35" s="72"/>
    </row>
    <row r="36" spans="1:15" s="92" customFormat="1" x14ac:dyDescent="0.25">
      <c r="A36" s="69"/>
      <c r="B36" s="70"/>
      <c r="C36" s="70"/>
      <c r="D36" s="70"/>
      <c r="E36" s="70"/>
      <c r="F36" s="106"/>
      <c r="G36" s="71"/>
      <c r="H36" s="91"/>
      <c r="I36" s="69"/>
      <c r="J36" s="70"/>
      <c r="K36" s="70"/>
      <c r="L36" s="70"/>
      <c r="M36" s="80"/>
      <c r="N36" s="106"/>
      <c r="O36" s="71"/>
    </row>
  </sheetData>
  <mergeCells count="12">
    <mergeCell ref="D2:H4"/>
    <mergeCell ref="I2:I4"/>
    <mergeCell ref="L2:O3"/>
    <mergeCell ref="B7:E9"/>
    <mergeCell ref="G7:G9"/>
    <mergeCell ref="J7:M9"/>
    <mergeCell ref="O7:O9"/>
    <mergeCell ref="O13:O15"/>
    <mergeCell ref="B26:E28"/>
    <mergeCell ref="G26:G28"/>
    <mergeCell ref="J26:M28"/>
    <mergeCell ref="O26:O28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51"/>
  <sheetViews>
    <sheetView zoomScale="120" zoomScaleNormal="120" workbookViewId="0">
      <selection activeCell="D2" sqref="D2:D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303" t="s">
        <v>35</v>
      </c>
      <c r="D2" s="271">
        <f>J9+J19+J25+J37</f>
        <v>0.82770400313971759</v>
      </c>
      <c r="E2" s="175"/>
      <c r="F2" s="177"/>
      <c r="G2" s="274" t="s">
        <v>10</v>
      </c>
      <c r="H2" s="274"/>
      <c r="I2" s="274"/>
      <c r="J2" s="214"/>
    </row>
    <row r="3" spans="1:10" ht="13.15" customHeight="1" x14ac:dyDescent="0.25">
      <c r="A3" s="178"/>
      <c r="B3" s="183">
        <f>B9+B19+B25+B37</f>
        <v>1</v>
      </c>
      <c r="C3" s="304"/>
      <c r="D3" s="272"/>
      <c r="E3" s="175"/>
      <c r="F3" s="177"/>
      <c r="G3" s="274"/>
      <c r="H3" s="274"/>
      <c r="I3" s="274"/>
      <c r="J3" s="214"/>
    </row>
    <row r="4" spans="1:10" ht="13.15" customHeight="1" x14ac:dyDescent="0.25">
      <c r="A4" s="178"/>
      <c r="B4" s="175"/>
      <c r="C4" s="305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12</v>
      </c>
      <c r="B9" s="166">
        <v>0.5</v>
      </c>
      <c r="C9" s="165"/>
      <c r="D9" s="165"/>
      <c r="E9" s="165"/>
      <c r="F9" s="164"/>
      <c r="G9" s="163"/>
      <c r="H9" s="162">
        <f>SUM(J11:J17)</f>
        <v>0.89743589743589747</v>
      </c>
      <c r="I9" s="198">
        <f>SUM(I11:I17)</f>
        <v>1</v>
      </c>
      <c r="J9" s="161">
        <f>H9*B9</f>
        <v>0.44871794871794873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191</v>
      </c>
      <c r="D11" s="135" t="s">
        <v>5</v>
      </c>
      <c r="E11" s="135" t="s">
        <v>105</v>
      </c>
      <c r="F11" s="134">
        <f>G14/(G15*1.5)/G16</f>
        <v>0.66666666666666663</v>
      </c>
      <c r="G11" s="150">
        <f>G17/G12</f>
        <v>0.14285714285714285</v>
      </c>
      <c r="H11" s="132">
        <f>G17/G16</f>
        <v>0.89743589743589747</v>
      </c>
      <c r="I11" s="131">
        <v>1</v>
      </c>
      <c r="J11" s="130">
        <f>H11*I11</f>
        <v>0.89743589743589747</v>
      </c>
    </row>
    <row r="12" spans="1:10" s="116" customFormat="1" hidden="1" outlineLevel="1" x14ac:dyDescent="0.25">
      <c r="C12" s="129" t="s">
        <v>146</v>
      </c>
      <c r="E12" s="116" t="s">
        <v>102</v>
      </c>
      <c r="G12" s="147">
        <v>245000</v>
      </c>
      <c r="H12" s="146"/>
      <c r="I12" s="125"/>
      <c r="J12" s="124"/>
    </row>
    <row r="13" spans="1:10" s="116" customFormat="1" hidden="1" outlineLevel="1" x14ac:dyDescent="0.25">
      <c r="C13" s="129" t="s">
        <v>272</v>
      </c>
      <c r="E13" s="116" t="s">
        <v>102</v>
      </c>
      <c r="G13" s="147">
        <v>50000</v>
      </c>
      <c r="H13" s="146"/>
      <c r="I13" s="125"/>
      <c r="J13" s="124"/>
    </row>
    <row r="14" spans="1:10" s="116" customFormat="1" hidden="1" outlineLevel="1" x14ac:dyDescent="0.25">
      <c r="C14" s="129" t="s">
        <v>273</v>
      </c>
      <c r="E14" s="116" t="s">
        <v>102</v>
      </c>
      <c r="G14" s="258">
        <f>G12-G13</f>
        <v>195000</v>
      </c>
      <c r="H14" s="146"/>
      <c r="I14" s="125"/>
      <c r="J14" s="124"/>
    </row>
    <row r="15" spans="1:10" s="116" customFormat="1" hidden="1" outlineLevel="1" x14ac:dyDescent="0.25">
      <c r="C15" s="129" t="s">
        <v>274</v>
      </c>
      <c r="E15" s="116" t="s">
        <v>185</v>
      </c>
      <c r="G15" s="147">
        <v>5</v>
      </c>
      <c r="H15" s="146"/>
      <c r="I15" s="125"/>
      <c r="J15" s="124"/>
    </row>
    <row r="16" spans="1:10" s="116" customFormat="1" hidden="1" outlineLevel="1" x14ac:dyDescent="0.25">
      <c r="C16" s="129" t="s">
        <v>275</v>
      </c>
      <c r="E16" s="116" t="s">
        <v>102</v>
      </c>
      <c r="G16" s="258">
        <f>G14/G15</f>
        <v>39000</v>
      </c>
      <c r="H16" s="146"/>
      <c r="I16" s="125"/>
      <c r="J16" s="124"/>
    </row>
    <row r="17" spans="1:10" s="116" customFormat="1" hidden="1" outlineLevel="1" x14ac:dyDescent="0.25">
      <c r="C17" s="123" t="s">
        <v>192</v>
      </c>
      <c r="D17" s="122"/>
      <c r="E17" s="122" t="s">
        <v>102</v>
      </c>
      <c r="F17" s="122"/>
      <c r="G17" s="145">
        <v>35000</v>
      </c>
      <c r="H17" s="144"/>
      <c r="I17" s="118"/>
      <c r="J17" s="117"/>
    </row>
    <row r="18" spans="1:10" ht="15.75" collapsed="1" thickBot="1" x14ac:dyDescent="0.3">
      <c r="I18" s="115"/>
    </row>
    <row r="19" spans="1:10" s="160" customFormat="1" ht="15.75" thickBot="1" x14ac:dyDescent="0.3">
      <c r="A19" s="165" t="s">
        <v>14</v>
      </c>
      <c r="B19" s="166">
        <v>0.1</v>
      </c>
      <c r="C19" s="165"/>
      <c r="D19" s="165"/>
      <c r="E19" s="165"/>
      <c r="F19" s="164"/>
      <c r="G19" s="163"/>
      <c r="H19" s="162">
        <f>SUM(J21:J23)</f>
        <v>0.66766666666666663</v>
      </c>
      <c r="I19" s="198">
        <f>SUM(I21:I23)</f>
        <v>1</v>
      </c>
      <c r="J19" s="161">
        <f>H19*B19</f>
        <v>6.6766666666666669E-2</v>
      </c>
    </row>
    <row r="20" spans="1:10" ht="6" hidden="1" customHeight="1" outlineLevel="1" x14ac:dyDescent="0.25">
      <c r="F20" s="115"/>
      <c r="G20" s="159"/>
      <c r="H20" s="159"/>
      <c r="J20" s="159"/>
    </row>
    <row r="21" spans="1:10" ht="30" hidden="1" outlineLevel="1" x14ac:dyDescent="0.25">
      <c r="C21" s="158" t="s">
        <v>150</v>
      </c>
      <c r="D21" s="157" t="s">
        <v>121</v>
      </c>
      <c r="E21" s="156" t="s">
        <v>105</v>
      </c>
      <c r="F21" s="155">
        <v>0.65</v>
      </c>
      <c r="G21" s="154">
        <v>0.65500000000000003</v>
      </c>
      <c r="H21" s="153">
        <f>IF(G21&lt;F21,0,G21)</f>
        <v>0.65500000000000003</v>
      </c>
      <c r="I21" s="152">
        <f>2/3</f>
        <v>0.66666666666666663</v>
      </c>
      <c r="J21" s="151">
        <f>H21*I21</f>
        <v>0.43666666666666665</v>
      </c>
    </row>
    <row r="22" spans="1:10" ht="6" hidden="1" customHeight="1" outlineLevel="1" x14ac:dyDescent="0.25">
      <c r="D22" s="149"/>
      <c r="F22" s="148"/>
      <c r="G22" s="140"/>
      <c r="H22" s="139"/>
      <c r="I22" s="138"/>
      <c r="J22" s="138"/>
    </row>
    <row r="23" spans="1:10" ht="30" hidden="1" outlineLevel="1" x14ac:dyDescent="0.25">
      <c r="C23" s="158" t="s">
        <v>151</v>
      </c>
      <c r="D23" s="157" t="s">
        <v>122</v>
      </c>
      <c r="E23" s="156" t="s">
        <v>105</v>
      </c>
      <c r="F23" s="155">
        <v>0.65</v>
      </c>
      <c r="G23" s="154">
        <v>0.69299999999999995</v>
      </c>
      <c r="H23" s="153">
        <f>IF(G23&lt;F23,0,G23)</f>
        <v>0.69299999999999995</v>
      </c>
      <c r="I23" s="152">
        <f>1/3</f>
        <v>0.33333333333333331</v>
      </c>
      <c r="J23" s="151">
        <f>H23*I23</f>
        <v>0.23099999999999998</v>
      </c>
    </row>
    <row r="24" spans="1:10" ht="15.75" collapsed="1" thickBot="1" x14ac:dyDescent="0.3">
      <c r="I24" s="115"/>
    </row>
    <row r="25" spans="1:10" s="160" customFormat="1" ht="15.75" thickBot="1" x14ac:dyDescent="0.3">
      <c r="A25" s="165" t="s">
        <v>15</v>
      </c>
      <c r="B25" s="166">
        <v>0.2</v>
      </c>
      <c r="C25" s="165"/>
      <c r="D25" s="165"/>
      <c r="E25" s="165"/>
      <c r="F25" s="164"/>
      <c r="G25" s="163"/>
      <c r="H25" s="162">
        <f>SUM(J27:J35)</f>
        <v>0.91375000000000006</v>
      </c>
      <c r="I25" s="198">
        <f>SUM(I27:I35)</f>
        <v>0.99999999999999989</v>
      </c>
      <c r="J25" s="161">
        <f>H25*B25</f>
        <v>0.18275000000000002</v>
      </c>
    </row>
    <row r="26" spans="1:10" ht="6" hidden="1" customHeight="1" outlineLevel="1" x14ac:dyDescent="0.25">
      <c r="D26" s="149"/>
      <c r="F26" s="148"/>
      <c r="G26" s="140"/>
      <c r="H26" s="139"/>
      <c r="I26" s="138"/>
      <c r="J26" s="138"/>
    </row>
    <row r="27" spans="1:10" ht="30" hidden="1" outlineLevel="1" x14ac:dyDescent="0.25">
      <c r="C27" s="158" t="s">
        <v>276</v>
      </c>
      <c r="D27" s="215" t="s">
        <v>173</v>
      </c>
      <c r="E27" s="156" t="s">
        <v>105</v>
      </c>
      <c r="F27" s="155">
        <v>0.65</v>
      </c>
      <c r="G27" s="154">
        <v>0.8</v>
      </c>
      <c r="H27" s="153">
        <f>IF(G27&lt;F27,0,G27)</f>
        <v>0.8</v>
      </c>
      <c r="I27" s="152">
        <v>0.3</v>
      </c>
      <c r="J27" s="151">
        <f>H27*I27</f>
        <v>0.24</v>
      </c>
    </row>
    <row r="28" spans="1:10" ht="6" hidden="1" customHeight="1" outlineLevel="1" x14ac:dyDescent="0.25">
      <c r="C28" s="142"/>
      <c r="D28" s="143"/>
      <c r="E28" s="142"/>
      <c r="F28" s="141"/>
      <c r="G28" s="140"/>
      <c r="H28" s="139"/>
      <c r="I28" s="138"/>
      <c r="J28" s="137"/>
    </row>
    <row r="29" spans="1:10" hidden="1" outlineLevel="1" x14ac:dyDescent="0.25">
      <c r="C29" s="136" t="s">
        <v>189</v>
      </c>
      <c r="D29" s="135" t="s">
        <v>128</v>
      </c>
      <c r="E29" s="135" t="s">
        <v>105</v>
      </c>
      <c r="F29" s="134">
        <v>0.95</v>
      </c>
      <c r="G29" s="133">
        <f>(G31-G30)/G31</f>
        <v>0.95833333333333337</v>
      </c>
      <c r="H29" s="132">
        <f>IF(G29&lt;F29,0,G29)</f>
        <v>0.95833333333333337</v>
      </c>
      <c r="I29" s="131">
        <v>0.35</v>
      </c>
      <c r="J29" s="130">
        <f>H29*I29</f>
        <v>0.33541666666666664</v>
      </c>
    </row>
    <row r="30" spans="1:10" s="116" customFormat="1" hidden="1" outlineLevel="1" x14ac:dyDescent="0.25">
      <c r="C30" s="129" t="s">
        <v>159</v>
      </c>
      <c r="E30" s="116" t="s">
        <v>135</v>
      </c>
      <c r="F30" s="128"/>
      <c r="G30" s="147">
        <f>0.5*20</f>
        <v>10</v>
      </c>
      <c r="H30" s="126"/>
      <c r="I30" s="125"/>
      <c r="J30" s="124"/>
    </row>
    <row r="31" spans="1:10" s="116" customFormat="1" hidden="1" outlineLevel="1" x14ac:dyDescent="0.25">
      <c r="C31" s="123" t="s">
        <v>158</v>
      </c>
      <c r="D31" s="122"/>
      <c r="E31" s="122" t="s">
        <v>135</v>
      </c>
      <c r="F31" s="121"/>
      <c r="G31" s="145">
        <f>G35*8</f>
        <v>240</v>
      </c>
      <c r="H31" s="119"/>
      <c r="I31" s="118"/>
      <c r="J31" s="117"/>
    </row>
    <row r="32" spans="1:10" ht="6" hidden="1" customHeight="1" outlineLevel="1" x14ac:dyDescent="0.25">
      <c r="C32" s="142"/>
      <c r="D32" s="143"/>
      <c r="E32" s="142"/>
      <c r="F32" s="141"/>
      <c r="G32" s="140"/>
      <c r="H32" s="139"/>
      <c r="I32" s="138"/>
      <c r="J32" s="137"/>
    </row>
    <row r="33" spans="1:10" hidden="1" outlineLevel="1" x14ac:dyDescent="0.25">
      <c r="C33" s="136" t="s">
        <v>190</v>
      </c>
      <c r="D33" s="135" t="s">
        <v>128</v>
      </c>
      <c r="E33" s="135" t="s">
        <v>105</v>
      </c>
      <c r="F33" s="134">
        <v>0.95</v>
      </c>
      <c r="G33" s="133">
        <f>(G35-G34)/G35</f>
        <v>0.96666666666666667</v>
      </c>
      <c r="H33" s="132">
        <f>IF(G33&lt;F33,0,G33)</f>
        <v>0.96666666666666667</v>
      </c>
      <c r="I33" s="131">
        <v>0.35</v>
      </c>
      <c r="J33" s="130">
        <f>H33*I33</f>
        <v>0.33833333333333332</v>
      </c>
    </row>
    <row r="34" spans="1:10" s="116" customFormat="1" hidden="1" outlineLevel="1" x14ac:dyDescent="0.25">
      <c r="C34" s="129" t="s">
        <v>156</v>
      </c>
      <c r="E34" s="116" t="s">
        <v>132</v>
      </c>
      <c r="G34" s="147">
        <v>1</v>
      </c>
      <c r="H34" s="146"/>
      <c r="I34" s="125"/>
      <c r="J34" s="124"/>
    </row>
    <row r="35" spans="1:10" s="116" customFormat="1" hidden="1" outlineLevel="1" x14ac:dyDescent="0.25">
      <c r="C35" s="123" t="s">
        <v>157</v>
      </c>
      <c r="D35" s="122"/>
      <c r="E35" s="122" t="s">
        <v>132</v>
      </c>
      <c r="F35" s="122"/>
      <c r="G35" s="145">
        <f>30</f>
        <v>30</v>
      </c>
      <c r="H35" s="144"/>
      <c r="I35" s="118"/>
      <c r="J35" s="117"/>
    </row>
    <row r="36" spans="1:10" ht="15.75" collapsed="1" thickBot="1" x14ac:dyDescent="0.3">
      <c r="I36" s="115"/>
    </row>
    <row r="37" spans="1:10" s="160" customFormat="1" ht="15.75" thickBot="1" x14ac:dyDescent="0.3">
      <c r="A37" s="165" t="s">
        <v>13</v>
      </c>
      <c r="B37" s="166">
        <v>0.2</v>
      </c>
      <c r="C37" s="165"/>
      <c r="D37" s="165"/>
      <c r="E37" s="165"/>
      <c r="F37" s="164"/>
      <c r="G37" s="163"/>
      <c r="H37" s="162">
        <f>D49</f>
        <v>0.64734693877551019</v>
      </c>
      <c r="I37" s="161"/>
      <c r="J37" s="161">
        <f>H37*B37</f>
        <v>0.12946938775510206</v>
      </c>
    </row>
    <row r="38" spans="1:10" ht="6" hidden="1" customHeight="1" outlineLevel="1" x14ac:dyDescent="0.25">
      <c r="D38" s="149"/>
      <c r="F38" s="148"/>
      <c r="G38" s="140"/>
      <c r="H38" s="139"/>
      <c r="I38" s="138"/>
      <c r="J38" s="138"/>
    </row>
    <row r="39" spans="1:10" hidden="1" outlineLevel="1" x14ac:dyDescent="0.25">
      <c r="C39" s="136" t="s">
        <v>160</v>
      </c>
      <c r="D39" s="135" t="s">
        <v>5</v>
      </c>
      <c r="E39" s="135" t="s">
        <v>105</v>
      </c>
      <c r="F39" s="134"/>
      <c r="G39" s="186">
        <f>G40/G41</f>
        <v>3.2653061224489796E-4</v>
      </c>
    </row>
    <row r="40" spans="1:10" s="116" customFormat="1" hidden="1" outlineLevel="1" x14ac:dyDescent="0.25">
      <c r="C40" s="129" t="s">
        <v>137</v>
      </c>
      <c r="E40" s="187" t="s">
        <v>102</v>
      </c>
      <c r="F40" s="187"/>
      <c r="G40" s="189">
        <v>80</v>
      </c>
      <c r="H40" s="114"/>
      <c r="I40" s="114"/>
      <c r="J40" s="114"/>
    </row>
    <row r="41" spans="1:10" s="116" customFormat="1" hidden="1" outlineLevel="1" x14ac:dyDescent="0.25">
      <c r="C41" s="123" t="s">
        <v>138</v>
      </c>
      <c r="D41" s="122"/>
      <c r="E41" s="122" t="s">
        <v>102</v>
      </c>
      <c r="F41" s="122"/>
      <c r="G41" s="190">
        <f>G$12</f>
        <v>245000</v>
      </c>
      <c r="H41" s="114"/>
      <c r="I41" s="114"/>
      <c r="J41" s="114"/>
    </row>
    <row r="42" spans="1:10" ht="6" hidden="1" customHeight="1" outlineLevel="1" x14ac:dyDescent="0.25">
      <c r="C42" s="142"/>
      <c r="D42" s="149"/>
      <c r="E42" s="142"/>
      <c r="F42" s="141"/>
      <c r="G42" s="140"/>
    </row>
    <row r="43" spans="1:10" hidden="1" outlineLevel="1" x14ac:dyDescent="0.25">
      <c r="C43" s="136" t="s">
        <v>161</v>
      </c>
      <c r="D43" s="135" t="s">
        <v>5</v>
      </c>
      <c r="E43" s="135" t="s">
        <v>105</v>
      </c>
      <c r="F43" s="134"/>
      <c r="G43" s="186">
        <f>G44/G45</f>
        <v>4.0816326530612249E-3</v>
      </c>
    </row>
    <row r="44" spans="1:10" s="116" customFormat="1" hidden="1" outlineLevel="1" x14ac:dyDescent="0.25">
      <c r="C44" s="129" t="s">
        <v>139</v>
      </c>
      <c r="D44" s="187"/>
      <c r="E44" s="187" t="s">
        <v>102</v>
      </c>
      <c r="F44" s="188"/>
      <c r="G44" s="189">
        <v>1000</v>
      </c>
      <c r="H44" s="114"/>
      <c r="I44" s="114"/>
      <c r="J44" s="114"/>
    </row>
    <row r="45" spans="1:10" s="116" customFormat="1" hidden="1" outlineLevel="1" x14ac:dyDescent="0.25">
      <c r="C45" s="123" t="s">
        <v>138</v>
      </c>
      <c r="D45" s="122"/>
      <c r="E45" s="122" t="s">
        <v>102</v>
      </c>
      <c r="F45" s="121"/>
      <c r="G45" s="190">
        <f>G$12</f>
        <v>245000</v>
      </c>
      <c r="H45" s="114"/>
      <c r="I45" s="114"/>
      <c r="J45" s="114"/>
    </row>
    <row r="46" spans="1:10" hidden="1" outlineLevel="1" x14ac:dyDescent="0.25">
      <c r="I46" s="115"/>
    </row>
    <row r="47" spans="1:10" hidden="1" outlineLevel="1" x14ac:dyDescent="0.25">
      <c r="C47" s="182" t="s">
        <v>140</v>
      </c>
      <c r="D47" s="192">
        <f>G39+G43</f>
        <v>4.4081632653061231E-3</v>
      </c>
    </row>
    <row r="48" spans="1:10" hidden="1" outlineLevel="1" x14ac:dyDescent="0.25">
      <c r="C48" s="178" t="s">
        <v>141</v>
      </c>
      <c r="D48" s="193">
        <v>5.0000000000000001E-3</v>
      </c>
    </row>
    <row r="49" spans="3:4" hidden="1" outlineLevel="1" x14ac:dyDescent="0.25">
      <c r="C49" s="194" t="s">
        <v>17</v>
      </c>
      <c r="D49" s="195">
        <f>IF(D47&gt;D48,0,1-(0.4*D47/D48))</f>
        <v>0.64734693877551019</v>
      </c>
    </row>
    <row r="50" spans="3:4" collapsed="1" x14ac:dyDescent="0.25">
      <c r="D50" s="191"/>
    </row>
    <row r="51" spans="3:4" x14ac:dyDescent="0.25">
      <c r="D51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81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268" t="s">
        <v>209</v>
      </c>
      <c r="D2" s="271">
        <f>J41+J47+J67+J19+J9</f>
        <v>0.79202691511387169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B41+B47+B67+B19+B9</f>
        <v>1</v>
      </c>
      <c r="C3" s="269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270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12</v>
      </c>
      <c r="B9" s="166">
        <v>0.25</v>
      </c>
      <c r="C9" s="165"/>
      <c r="D9" s="165"/>
      <c r="E9" s="165"/>
      <c r="F9" s="164"/>
      <c r="G9" s="163"/>
      <c r="H9" s="162">
        <f>SUM(J11:J17)</f>
        <v>1.048647342995169</v>
      </c>
      <c r="I9" s="198">
        <f>SUM(I11:I17)</f>
        <v>1</v>
      </c>
      <c r="J9" s="161">
        <f>H9*B9</f>
        <v>0.26216183574879226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278</v>
      </c>
      <c r="D11" s="135" t="s">
        <v>5</v>
      </c>
      <c r="E11" s="135" t="s">
        <v>105</v>
      </c>
      <c r="F11" s="134">
        <v>0.85</v>
      </c>
      <c r="G11" s="150">
        <f>G12/G13</f>
        <v>1.0652173913043479</v>
      </c>
      <c r="H11" s="132">
        <f>IF(G11&lt;F11,0,G11)</f>
        <v>1.0652173913043479</v>
      </c>
      <c r="I11" s="131">
        <v>0.5</v>
      </c>
      <c r="J11" s="130">
        <f>H11*I11</f>
        <v>0.53260869565217395</v>
      </c>
    </row>
    <row r="12" spans="1:10" s="116" customFormat="1" hidden="1" outlineLevel="1" x14ac:dyDescent="0.25">
      <c r="C12" s="129" t="s">
        <v>279</v>
      </c>
      <c r="E12" s="116" t="s">
        <v>102</v>
      </c>
      <c r="G12" s="147">
        <v>245000</v>
      </c>
      <c r="H12" s="146"/>
      <c r="I12" s="125"/>
      <c r="J12" s="124"/>
    </row>
    <row r="13" spans="1:10" s="116" customFormat="1" hidden="1" outlineLevel="1" x14ac:dyDescent="0.25">
      <c r="C13" s="123" t="s">
        <v>280</v>
      </c>
      <c r="D13" s="122"/>
      <c r="E13" s="122" t="s">
        <v>102</v>
      </c>
      <c r="F13" s="122"/>
      <c r="G13" s="145">
        <v>230000</v>
      </c>
      <c r="H13" s="144"/>
      <c r="I13" s="118"/>
      <c r="J13" s="117"/>
    </row>
    <row r="14" spans="1:10" ht="6" hidden="1" customHeight="1" outlineLevel="1" x14ac:dyDescent="0.25">
      <c r="D14" s="149"/>
      <c r="F14" s="148"/>
      <c r="G14" s="140"/>
      <c r="H14" s="139"/>
      <c r="I14" s="138"/>
      <c r="J14" s="138"/>
    </row>
    <row r="15" spans="1:10" hidden="1" outlineLevel="1" x14ac:dyDescent="0.25">
      <c r="C15" s="136" t="s">
        <v>123</v>
      </c>
      <c r="D15" s="135" t="s">
        <v>5</v>
      </c>
      <c r="E15" s="135" t="s">
        <v>105</v>
      </c>
      <c r="F15" s="134">
        <v>0.85</v>
      </c>
      <c r="G15" s="133">
        <f>G16/G17</f>
        <v>1.0320772946859904</v>
      </c>
      <c r="H15" s="132">
        <f>IF(G15&lt;F15,0,G15)</f>
        <v>1.0320772946859904</v>
      </c>
      <c r="I15" s="131">
        <v>0.5</v>
      </c>
      <c r="J15" s="130">
        <f>H15*I15</f>
        <v>0.5160386473429952</v>
      </c>
    </row>
    <row r="16" spans="1:10" s="116" customFormat="1" hidden="1" outlineLevel="1" x14ac:dyDescent="0.25">
      <c r="C16" s="129" t="s">
        <v>281</v>
      </c>
      <c r="E16" s="116" t="s">
        <v>102</v>
      </c>
      <c r="G16" s="147">
        <f>21.8%*G12</f>
        <v>53410</v>
      </c>
      <c r="H16" s="146"/>
      <c r="I16" s="125"/>
      <c r="J16" s="124"/>
    </row>
    <row r="17" spans="1:10" s="116" customFormat="1" hidden="1" outlineLevel="1" x14ac:dyDescent="0.25">
      <c r="C17" s="123" t="s">
        <v>282</v>
      </c>
      <c r="D17" s="122"/>
      <c r="E17" s="122" t="s">
        <v>102</v>
      </c>
      <c r="F17" s="122"/>
      <c r="G17" s="145">
        <f>22.5%*G13</f>
        <v>51750</v>
      </c>
      <c r="H17" s="144"/>
      <c r="I17" s="118"/>
      <c r="J17" s="117"/>
    </row>
    <row r="18" spans="1:10" ht="15.75" collapsed="1" thickBot="1" x14ac:dyDescent="0.3">
      <c r="I18" s="115"/>
    </row>
    <row r="19" spans="1:10" s="160" customFormat="1" ht="15.75" thickBot="1" x14ac:dyDescent="0.3">
      <c r="A19" s="165" t="s">
        <v>193</v>
      </c>
      <c r="B19" s="166">
        <v>0.25</v>
      </c>
      <c r="C19" s="165"/>
      <c r="D19" s="165"/>
      <c r="E19" s="165"/>
      <c r="F19" s="164" t="s">
        <v>172</v>
      </c>
      <c r="G19" s="163"/>
      <c r="H19" s="162">
        <f>SUM(J21:J39)</f>
        <v>0.78888888888888886</v>
      </c>
      <c r="I19" s="198">
        <f>SUM(I21:I39)</f>
        <v>1</v>
      </c>
      <c r="J19" s="161">
        <f>H19*B19</f>
        <v>0.19722222222222222</v>
      </c>
    </row>
    <row r="20" spans="1:10" ht="6" hidden="1" customHeight="1" outlineLevel="1" x14ac:dyDescent="0.25">
      <c r="F20" s="115"/>
      <c r="G20" s="159"/>
      <c r="H20" s="159"/>
      <c r="J20" s="159"/>
    </row>
    <row r="21" spans="1:10" s="230" customFormat="1" hidden="1" outlineLevel="1" x14ac:dyDescent="0.25">
      <c r="C21" s="231" t="s">
        <v>166</v>
      </c>
      <c r="D21" s="228" t="s">
        <v>5</v>
      </c>
      <c r="E21" s="228" t="s">
        <v>167</v>
      </c>
      <c r="F21" s="216">
        <v>5</v>
      </c>
      <c r="G21" s="232">
        <f>G22/G23*30</f>
        <v>4.7095761381475665</v>
      </c>
      <c r="H21" s="221">
        <f>IF(G21&gt;F21,0,1-(0.4*G21/F21))</f>
        <v>0.62323390894819464</v>
      </c>
      <c r="I21" s="233"/>
      <c r="J21" s="234">
        <f>H21*I21</f>
        <v>0</v>
      </c>
    </row>
    <row r="22" spans="1:10" s="235" customFormat="1" hidden="1" outlineLevel="1" x14ac:dyDescent="0.25">
      <c r="C22" s="236" t="s">
        <v>168</v>
      </c>
      <c r="E22" s="235" t="s">
        <v>102</v>
      </c>
      <c r="G22" s="237">
        <v>30000</v>
      </c>
      <c r="H22" s="238"/>
      <c r="I22" s="239"/>
      <c r="J22" s="240"/>
    </row>
    <row r="23" spans="1:10" s="235" customFormat="1" hidden="1" outlineLevel="1" x14ac:dyDescent="0.25">
      <c r="C23" s="241" t="s">
        <v>169</v>
      </c>
      <c r="D23" s="242"/>
      <c r="E23" s="242" t="s">
        <v>102</v>
      </c>
      <c r="F23" s="242"/>
      <c r="G23" s="243">
        <f>245000*0.78</f>
        <v>191100</v>
      </c>
      <c r="H23" s="244"/>
      <c r="I23" s="245"/>
      <c r="J23" s="246"/>
    </row>
    <row r="24" spans="1:10" s="230" customFormat="1" ht="6" hidden="1" customHeight="1" outlineLevel="1" x14ac:dyDescent="0.25">
      <c r="D24" s="247"/>
      <c r="F24" s="248"/>
      <c r="G24" s="249"/>
      <c r="H24" s="250"/>
      <c r="I24" s="251"/>
      <c r="J24" s="251"/>
    </row>
    <row r="25" spans="1:10" s="230" customFormat="1" hidden="1" outlineLevel="1" x14ac:dyDescent="0.25">
      <c r="C25" s="231" t="s">
        <v>170</v>
      </c>
      <c r="D25" s="228" t="s">
        <v>5</v>
      </c>
      <c r="E25" s="228" t="s">
        <v>105</v>
      </c>
      <c r="F25" s="217">
        <v>0.1</v>
      </c>
      <c r="G25" s="252">
        <f>G26/G27</f>
        <v>0.05</v>
      </c>
      <c r="H25" s="221">
        <f>IF(G25&gt;F25,0,1-(0.4*G25/F25))</f>
        <v>0.79999999999999993</v>
      </c>
      <c r="I25" s="233"/>
      <c r="J25" s="234">
        <f>H25*I25</f>
        <v>0</v>
      </c>
    </row>
    <row r="26" spans="1:10" s="235" customFormat="1" hidden="1" outlineLevel="1" x14ac:dyDescent="0.25">
      <c r="C26" s="236" t="s">
        <v>171</v>
      </c>
      <c r="E26" s="235" t="s">
        <v>102</v>
      </c>
      <c r="G26" s="237">
        <v>1500</v>
      </c>
      <c r="H26" s="238"/>
      <c r="I26" s="239"/>
      <c r="J26" s="240"/>
    </row>
    <row r="27" spans="1:10" s="235" customFormat="1" hidden="1" outlineLevel="1" x14ac:dyDescent="0.25">
      <c r="C27" s="241" t="s">
        <v>168</v>
      </c>
      <c r="D27" s="242"/>
      <c r="E27" s="242" t="s">
        <v>102</v>
      </c>
      <c r="F27" s="242"/>
      <c r="G27" s="253">
        <f>G22</f>
        <v>30000</v>
      </c>
      <c r="H27" s="244"/>
      <c r="I27" s="245"/>
      <c r="J27" s="246"/>
    </row>
    <row r="28" spans="1:10" s="230" customFormat="1" ht="6" hidden="1" customHeight="1" outlineLevel="1" x14ac:dyDescent="0.25">
      <c r="C28" s="254"/>
      <c r="D28" s="255"/>
      <c r="E28" s="254"/>
      <c r="F28" s="256"/>
      <c r="G28" s="249"/>
      <c r="H28" s="250"/>
      <c r="I28" s="251"/>
      <c r="J28" s="257"/>
    </row>
    <row r="29" spans="1:10" hidden="1" outlineLevel="1" x14ac:dyDescent="0.25">
      <c r="C29" s="136" t="s">
        <v>177</v>
      </c>
      <c r="D29" s="135" t="s">
        <v>5</v>
      </c>
      <c r="E29" s="135" t="s">
        <v>105</v>
      </c>
      <c r="F29" s="134">
        <v>0.8</v>
      </c>
      <c r="G29" s="133">
        <f>G30/G31</f>
        <v>0.83333333333333337</v>
      </c>
      <c r="H29" s="132">
        <f>IF(G29&lt;F29,0,G29)</f>
        <v>0.83333333333333337</v>
      </c>
      <c r="I29" s="131">
        <f>1/3</f>
        <v>0.33333333333333331</v>
      </c>
      <c r="J29" s="130">
        <f>H29*I29</f>
        <v>0.27777777777777779</v>
      </c>
    </row>
    <row r="30" spans="1:10" s="116" customFormat="1" hidden="1" outlineLevel="1" x14ac:dyDescent="0.25">
      <c r="C30" s="129" t="s">
        <v>178</v>
      </c>
      <c r="E30" s="116" t="s">
        <v>179</v>
      </c>
      <c r="F30" s="128"/>
      <c r="G30" s="147">
        <v>25</v>
      </c>
      <c r="H30" s="126"/>
      <c r="I30" s="125"/>
      <c r="J30" s="124"/>
    </row>
    <row r="31" spans="1:10" s="116" customFormat="1" hidden="1" outlineLevel="1" x14ac:dyDescent="0.25">
      <c r="C31" s="123" t="s">
        <v>180</v>
      </c>
      <c r="D31" s="122"/>
      <c r="E31" s="122" t="s">
        <v>179</v>
      </c>
      <c r="F31" s="121"/>
      <c r="G31" s="145">
        <v>30</v>
      </c>
      <c r="H31" s="119"/>
      <c r="I31" s="118"/>
      <c r="J31" s="117"/>
    </row>
    <row r="32" spans="1:10" ht="6" hidden="1" customHeight="1" outlineLevel="1" x14ac:dyDescent="0.25">
      <c r="C32" s="142"/>
      <c r="D32" s="143"/>
      <c r="E32" s="142"/>
      <c r="F32" s="141"/>
      <c r="G32" s="140"/>
      <c r="H32" s="139"/>
      <c r="I32" s="138"/>
      <c r="J32" s="137"/>
    </row>
    <row r="33" spans="1:10" hidden="1" outlineLevel="1" x14ac:dyDescent="0.25">
      <c r="C33" s="136" t="s">
        <v>184</v>
      </c>
      <c r="D33" s="228" t="s">
        <v>277</v>
      </c>
      <c r="E33" s="135" t="s">
        <v>185</v>
      </c>
      <c r="F33" s="213">
        <v>3</v>
      </c>
      <c r="G33" s="218">
        <f>G34-G35</f>
        <v>2</v>
      </c>
      <c r="H33" s="132">
        <f>IF(G33=0,100%,IF(G33=1,90%,IF(G33=2,70%,IF(G33=3,50%,0))))</f>
        <v>0.7</v>
      </c>
      <c r="I33" s="131">
        <f>1/3</f>
        <v>0.33333333333333331</v>
      </c>
      <c r="J33" s="130">
        <f>H33*I33</f>
        <v>0.23333333333333331</v>
      </c>
    </row>
    <row r="34" spans="1:10" s="116" customFormat="1" hidden="1" outlineLevel="1" x14ac:dyDescent="0.25">
      <c r="C34" s="129" t="s">
        <v>182</v>
      </c>
      <c r="E34" s="116" t="s">
        <v>179</v>
      </c>
      <c r="F34" s="128"/>
      <c r="G34" s="147">
        <v>14</v>
      </c>
      <c r="H34" s="126"/>
      <c r="I34" s="125"/>
      <c r="J34" s="124"/>
    </row>
    <row r="35" spans="1:10" s="116" customFormat="1" hidden="1" outlineLevel="1" x14ac:dyDescent="0.25">
      <c r="C35" s="123" t="s">
        <v>183</v>
      </c>
      <c r="D35" s="122"/>
      <c r="E35" s="122" t="s">
        <v>179</v>
      </c>
      <c r="F35" s="121"/>
      <c r="G35" s="145">
        <v>12</v>
      </c>
      <c r="H35" s="119"/>
      <c r="I35" s="118"/>
      <c r="J35" s="117"/>
    </row>
    <row r="36" spans="1:10" ht="6" hidden="1" customHeight="1" outlineLevel="1" x14ac:dyDescent="0.25">
      <c r="C36" s="142"/>
      <c r="D36" s="143"/>
      <c r="E36" s="142"/>
      <c r="F36" s="141"/>
      <c r="G36" s="140"/>
      <c r="H36" s="139"/>
      <c r="I36" s="138"/>
      <c r="J36" s="137"/>
    </row>
    <row r="37" spans="1:10" ht="30" hidden="1" outlineLevel="1" x14ac:dyDescent="0.25">
      <c r="C37" s="219" t="s">
        <v>186</v>
      </c>
      <c r="D37" s="228" t="s">
        <v>277</v>
      </c>
      <c r="E37" s="135" t="s">
        <v>105</v>
      </c>
      <c r="F37" s="134">
        <v>0.8</v>
      </c>
      <c r="G37" s="133">
        <f>G38/G39</f>
        <v>0.83333333333333337</v>
      </c>
      <c r="H37" s="132">
        <f>IF(G37&lt;F37,0,G37)</f>
        <v>0.83333333333333337</v>
      </c>
      <c r="I37" s="131">
        <f>1/3</f>
        <v>0.33333333333333331</v>
      </c>
      <c r="J37" s="130">
        <f>H37*I37</f>
        <v>0.27777777777777779</v>
      </c>
    </row>
    <row r="38" spans="1:10" s="116" customFormat="1" hidden="1" outlineLevel="1" x14ac:dyDescent="0.25">
      <c r="C38" s="129" t="s">
        <v>187</v>
      </c>
      <c r="E38" s="116" t="s">
        <v>179</v>
      </c>
      <c r="F38" s="128"/>
      <c r="G38" s="147">
        <v>25</v>
      </c>
      <c r="H38" s="126"/>
      <c r="I38" s="125"/>
      <c r="J38" s="124"/>
    </row>
    <row r="39" spans="1:10" s="116" customFormat="1" hidden="1" outlineLevel="1" x14ac:dyDescent="0.25">
      <c r="C39" s="123" t="s">
        <v>180</v>
      </c>
      <c r="D39" s="122"/>
      <c r="E39" s="122" t="s">
        <v>179</v>
      </c>
      <c r="F39" s="121"/>
      <c r="G39" s="145">
        <v>30</v>
      </c>
      <c r="H39" s="119"/>
      <c r="I39" s="118"/>
      <c r="J39" s="117"/>
    </row>
    <row r="40" spans="1:10" ht="15.75" collapsed="1" thickBot="1" x14ac:dyDescent="0.3">
      <c r="I40" s="115"/>
    </row>
    <row r="41" spans="1:10" s="160" customFormat="1" ht="15.75" thickBot="1" x14ac:dyDescent="0.3">
      <c r="A41" s="165" t="s">
        <v>14</v>
      </c>
      <c r="B41" s="166">
        <v>0.15</v>
      </c>
      <c r="C41" s="165"/>
      <c r="D41" s="165"/>
      <c r="E41" s="165"/>
      <c r="F41" s="164"/>
      <c r="G41" s="163"/>
      <c r="H41" s="162">
        <f>SUM(J43:J45)</f>
        <v>0.66766666666666663</v>
      </c>
      <c r="I41" s="198">
        <f>SUM(I43:I45)</f>
        <v>1</v>
      </c>
      <c r="J41" s="161">
        <f>H41*B41</f>
        <v>0.10014999999999999</v>
      </c>
    </row>
    <row r="42" spans="1:10" ht="6" hidden="1" customHeight="1" outlineLevel="1" x14ac:dyDescent="0.25">
      <c r="F42" s="115"/>
      <c r="G42" s="159"/>
      <c r="H42" s="159"/>
      <c r="J42" s="159"/>
    </row>
    <row r="43" spans="1:10" ht="30" hidden="1" outlineLevel="1" x14ac:dyDescent="0.25">
      <c r="C43" s="158" t="s">
        <v>207</v>
      </c>
      <c r="D43" s="157" t="s">
        <v>121</v>
      </c>
      <c r="E43" s="156" t="s">
        <v>105</v>
      </c>
      <c r="F43" s="155">
        <v>0.65</v>
      </c>
      <c r="G43" s="154">
        <v>0.65500000000000003</v>
      </c>
      <c r="H43" s="153">
        <f>IF(G43&lt;F43,0,G43)</f>
        <v>0.65500000000000003</v>
      </c>
      <c r="I43" s="152">
        <f>2/3</f>
        <v>0.66666666666666663</v>
      </c>
      <c r="J43" s="151">
        <f>H43*I43</f>
        <v>0.43666666666666665</v>
      </c>
    </row>
    <row r="44" spans="1:10" ht="6" hidden="1" customHeight="1" outlineLevel="1" x14ac:dyDescent="0.25">
      <c r="D44" s="149"/>
      <c r="F44" s="148"/>
      <c r="G44" s="140"/>
      <c r="H44" s="139"/>
      <c r="I44" s="138"/>
      <c r="J44" s="138"/>
    </row>
    <row r="45" spans="1:10" ht="30" hidden="1" outlineLevel="1" x14ac:dyDescent="0.25">
      <c r="C45" s="158" t="s">
        <v>208</v>
      </c>
      <c r="D45" s="157" t="s">
        <v>122</v>
      </c>
      <c r="E45" s="156" t="s">
        <v>105</v>
      </c>
      <c r="F45" s="155">
        <v>0.65</v>
      </c>
      <c r="G45" s="154">
        <v>0.69299999999999995</v>
      </c>
      <c r="H45" s="153">
        <f>IF(G45&lt;F45,0,G45)</f>
        <v>0.69299999999999995</v>
      </c>
      <c r="I45" s="152">
        <f>1/3</f>
        <v>0.33333333333333331</v>
      </c>
      <c r="J45" s="151">
        <f>H45*I45</f>
        <v>0.23099999999999998</v>
      </c>
    </row>
    <row r="46" spans="1:10" ht="15.75" collapsed="1" thickBot="1" x14ac:dyDescent="0.3">
      <c r="I46" s="115"/>
    </row>
    <row r="47" spans="1:10" s="160" customFormat="1" ht="15.75" thickBot="1" x14ac:dyDescent="0.3">
      <c r="A47" s="165" t="s">
        <v>15</v>
      </c>
      <c r="B47" s="166">
        <v>0.15</v>
      </c>
      <c r="C47" s="165"/>
      <c r="D47" s="165"/>
      <c r="E47" s="165"/>
      <c r="F47" s="164"/>
      <c r="G47" s="163"/>
      <c r="H47" s="162">
        <f>SUM(J49:J65)</f>
        <v>0.73928571428571432</v>
      </c>
      <c r="I47" s="198">
        <f>SUM(I49:I65)</f>
        <v>1</v>
      </c>
      <c r="J47" s="161">
        <f>H47*B47</f>
        <v>0.11089285714285714</v>
      </c>
    </row>
    <row r="48" spans="1:10" ht="6" hidden="1" customHeight="1" outlineLevel="1" x14ac:dyDescent="0.25">
      <c r="D48" s="149"/>
      <c r="F48" s="148"/>
      <c r="G48" s="140"/>
      <c r="H48" s="139"/>
      <c r="I48" s="138"/>
      <c r="J48" s="138"/>
    </row>
    <row r="49" spans="3:10" ht="30" hidden="1" outlineLevel="1" x14ac:dyDescent="0.25">
      <c r="C49" s="158" t="s">
        <v>276</v>
      </c>
      <c r="D49" s="215" t="s">
        <v>173</v>
      </c>
      <c r="E49" s="156" t="s">
        <v>105</v>
      </c>
      <c r="F49" s="155">
        <v>0.65</v>
      </c>
      <c r="G49" s="154">
        <v>0.8</v>
      </c>
      <c r="H49" s="153">
        <f>IF(G49&lt;F49,0,G49)</f>
        <v>0.8</v>
      </c>
      <c r="I49" s="152">
        <v>0.2</v>
      </c>
      <c r="J49" s="151">
        <f>H49*I49</f>
        <v>0.16000000000000003</v>
      </c>
    </row>
    <row r="50" spans="3:10" ht="6" hidden="1" customHeight="1" outlineLevel="1" x14ac:dyDescent="0.25">
      <c r="C50" s="142"/>
      <c r="D50" s="143"/>
      <c r="E50" s="142"/>
      <c r="F50" s="141"/>
      <c r="G50" s="140"/>
      <c r="H50" s="139"/>
      <c r="I50" s="138"/>
      <c r="J50" s="137"/>
    </row>
    <row r="51" spans="3:10" hidden="1" outlineLevel="1" x14ac:dyDescent="0.25">
      <c r="C51" s="136" t="s">
        <v>197</v>
      </c>
      <c r="D51" s="135" t="s">
        <v>128</v>
      </c>
      <c r="E51" s="135" t="s">
        <v>105</v>
      </c>
      <c r="F51" s="134">
        <v>0.95</v>
      </c>
      <c r="G51" s="133">
        <f>(G53-G52)/G53</f>
        <v>0.95833333333333337</v>
      </c>
      <c r="H51" s="132">
        <f>IF(G51&lt;F51,0,G51)</f>
        <v>0.95833333333333337</v>
      </c>
      <c r="I51" s="131">
        <v>0.2</v>
      </c>
      <c r="J51" s="130">
        <f>H51*I51</f>
        <v>0.19166666666666668</v>
      </c>
    </row>
    <row r="52" spans="3:10" s="116" customFormat="1" hidden="1" outlineLevel="1" x14ac:dyDescent="0.25">
      <c r="C52" s="129" t="s">
        <v>198</v>
      </c>
      <c r="E52" s="116" t="s">
        <v>135</v>
      </c>
      <c r="F52" s="128"/>
      <c r="G52" s="147">
        <f>0.5*20</f>
        <v>10</v>
      </c>
      <c r="H52" s="126"/>
      <c r="I52" s="125"/>
      <c r="J52" s="124"/>
    </row>
    <row r="53" spans="3:10" s="116" customFormat="1" hidden="1" outlineLevel="1" x14ac:dyDescent="0.25">
      <c r="C53" s="123" t="s">
        <v>199</v>
      </c>
      <c r="D53" s="122"/>
      <c r="E53" s="122" t="s">
        <v>135</v>
      </c>
      <c r="F53" s="121"/>
      <c r="G53" s="145">
        <f>G57*8</f>
        <v>240</v>
      </c>
      <c r="H53" s="119"/>
      <c r="I53" s="118"/>
      <c r="J53" s="117"/>
    </row>
    <row r="54" spans="3:10" ht="6" hidden="1" customHeight="1" outlineLevel="1" x14ac:dyDescent="0.25">
      <c r="C54" s="142"/>
      <c r="D54" s="143"/>
      <c r="E54" s="142"/>
      <c r="F54" s="141"/>
      <c r="G54" s="140"/>
      <c r="H54" s="139"/>
      <c r="I54" s="138"/>
      <c r="J54" s="137"/>
    </row>
    <row r="55" spans="3:10" hidden="1" outlineLevel="1" x14ac:dyDescent="0.25">
      <c r="C55" s="136" t="s">
        <v>211</v>
      </c>
      <c r="D55" s="135" t="s">
        <v>128</v>
      </c>
      <c r="E55" s="135" t="s">
        <v>105</v>
      </c>
      <c r="F55" s="134">
        <v>0.95</v>
      </c>
      <c r="G55" s="133">
        <f>(G57-G56)/G57</f>
        <v>0.96666666666666667</v>
      </c>
      <c r="H55" s="132">
        <f>IF(G55&lt;F55,0,G55)</f>
        <v>0.96666666666666667</v>
      </c>
      <c r="I55" s="131">
        <v>0.2</v>
      </c>
      <c r="J55" s="130">
        <f>H55*I55</f>
        <v>0.19333333333333336</v>
      </c>
    </row>
    <row r="56" spans="3:10" s="116" customFormat="1" hidden="1" outlineLevel="1" x14ac:dyDescent="0.25">
      <c r="C56" s="129" t="s">
        <v>200</v>
      </c>
      <c r="E56" s="116" t="s">
        <v>132</v>
      </c>
      <c r="G56" s="147">
        <v>1</v>
      </c>
      <c r="H56" s="146"/>
      <c r="I56" s="125"/>
      <c r="J56" s="124"/>
    </row>
    <row r="57" spans="3:10" s="116" customFormat="1" hidden="1" outlineLevel="1" x14ac:dyDescent="0.25">
      <c r="C57" s="123" t="s">
        <v>201</v>
      </c>
      <c r="D57" s="122"/>
      <c r="E57" s="122" t="s">
        <v>132</v>
      </c>
      <c r="F57" s="122"/>
      <c r="G57" s="145">
        <f>30</f>
        <v>30</v>
      </c>
      <c r="H57" s="144"/>
      <c r="I57" s="118"/>
      <c r="J57" s="117"/>
    </row>
    <row r="58" spans="3:10" ht="6" hidden="1" customHeight="1" outlineLevel="1" x14ac:dyDescent="0.25">
      <c r="C58" s="142"/>
      <c r="D58" s="143"/>
      <c r="E58" s="142"/>
      <c r="F58" s="141"/>
      <c r="G58" s="140"/>
      <c r="H58" s="139"/>
      <c r="I58" s="138"/>
      <c r="J58" s="137"/>
    </row>
    <row r="59" spans="3:10" hidden="1" outlineLevel="1" x14ac:dyDescent="0.25">
      <c r="C59" s="136" t="s">
        <v>212</v>
      </c>
      <c r="D59" s="135" t="s">
        <v>128</v>
      </c>
      <c r="E59" s="135" t="s">
        <v>105</v>
      </c>
      <c r="F59" s="134">
        <v>0.95</v>
      </c>
      <c r="G59" s="133">
        <f>(G61-G60)/G61</f>
        <v>0.9375</v>
      </c>
      <c r="H59" s="132">
        <f>IF(G59&lt;F59,0,G59)</f>
        <v>0</v>
      </c>
      <c r="I59" s="131">
        <v>0.2</v>
      </c>
      <c r="J59" s="130">
        <f>H59*I59</f>
        <v>0</v>
      </c>
    </row>
    <row r="60" spans="3:10" s="116" customFormat="1" hidden="1" outlineLevel="1" x14ac:dyDescent="0.25">
      <c r="C60" s="129" t="s">
        <v>202</v>
      </c>
      <c r="E60" s="116" t="s">
        <v>135</v>
      </c>
      <c r="F60" s="128"/>
      <c r="G60" s="147">
        <f>0.5*7*30</f>
        <v>105</v>
      </c>
      <c r="H60" s="126"/>
      <c r="I60" s="125"/>
      <c r="J60" s="124"/>
    </row>
    <row r="61" spans="3:10" s="116" customFormat="1" hidden="1" outlineLevel="1" x14ac:dyDescent="0.25">
      <c r="C61" s="123" t="s">
        <v>203</v>
      </c>
      <c r="D61" s="122"/>
      <c r="E61" s="122" t="s">
        <v>135</v>
      </c>
      <c r="F61" s="121"/>
      <c r="G61" s="145">
        <f>G65*8</f>
        <v>1680</v>
      </c>
      <c r="H61" s="119"/>
      <c r="I61" s="118"/>
      <c r="J61" s="117"/>
    </row>
    <row r="62" spans="3:10" ht="6" hidden="1" customHeight="1" outlineLevel="1" x14ac:dyDescent="0.25">
      <c r="C62" s="142"/>
      <c r="D62" s="143"/>
      <c r="E62" s="142"/>
      <c r="F62" s="141"/>
      <c r="G62" s="140"/>
      <c r="H62" s="139"/>
      <c r="I62" s="138"/>
      <c r="J62" s="137"/>
    </row>
    <row r="63" spans="3:10" hidden="1" outlineLevel="1" x14ac:dyDescent="0.25">
      <c r="C63" s="136" t="s">
        <v>204</v>
      </c>
      <c r="D63" s="135" t="s">
        <v>128</v>
      </c>
      <c r="E63" s="135" t="s">
        <v>105</v>
      </c>
      <c r="F63" s="134">
        <v>0.95</v>
      </c>
      <c r="G63" s="133">
        <f>(G65-G64)/G65</f>
        <v>0.97142857142857142</v>
      </c>
      <c r="H63" s="132">
        <f>IF(G63&lt;F63,0,G63)</f>
        <v>0.97142857142857142</v>
      </c>
      <c r="I63" s="131">
        <v>0.2</v>
      </c>
      <c r="J63" s="130">
        <f>H63*I63</f>
        <v>0.19428571428571428</v>
      </c>
    </row>
    <row r="64" spans="3:10" s="116" customFormat="1" hidden="1" outlineLevel="1" x14ac:dyDescent="0.25">
      <c r="C64" s="129" t="s">
        <v>205</v>
      </c>
      <c r="E64" s="116" t="s">
        <v>132</v>
      </c>
      <c r="G64" s="147">
        <v>6</v>
      </c>
      <c r="H64" s="146"/>
      <c r="I64" s="125"/>
      <c r="J64" s="124"/>
    </row>
    <row r="65" spans="1:10" s="116" customFormat="1" hidden="1" outlineLevel="1" x14ac:dyDescent="0.25">
      <c r="C65" s="123" t="s">
        <v>206</v>
      </c>
      <c r="D65" s="122"/>
      <c r="E65" s="122" t="s">
        <v>132</v>
      </c>
      <c r="F65" s="122"/>
      <c r="G65" s="145">
        <f>30*7</f>
        <v>210</v>
      </c>
      <c r="H65" s="144"/>
      <c r="I65" s="118"/>
      <c r="J65" s="117"/>
    </row>
    <row r="66" spans="1:10" ht="15.75" collapsed="1" thickBot="1" x14ac:dyDescent="0.3">
      <c r="I66" s="115"/>
    </row>
    <row r="67" spans="1:10" s="160" customFormat="1" ht="15.75" thickBot="1" x14ac:dyDescent="0.3">
      <c r="A67" s="165" t="s">
        <v>13</v>
      </c>
      <c r="B67" s="166">
        <v>0.2</v>
      </c>
      <c r="C67" s="165"/>
      <c r="D67" s="165"/>
      <c r="E67" s="165"/>
      <c r="F67" s="164"/>
      <c r="G67" s="163"/>
      <c r="H67" s="162">
        <f>D79</f>
        <v>0.6080000000000001</v>
      </c>
      <c r="I67" s="161"/>
      <c r="J67" s="161">
        <f>H67*B67</f>
        <v>0.12160000000000003</v>
      </c>
    </row>
    <row r="68" spans="1:10" ht="6" hidden="1" customHeight="1" outlineLevel="1" x14ac:dyDescent="0.25">
      <c r="D68" s="149"/>
      <c r="F68" s="148"/>
      <c r="G68" s="140"/>
      <c r="H68" s="139"/>
      <c r="I68" s="138"/>
      <c r="J68" s="138"/>
    </row>
    <row r="69" spans="1:10" hidden="1" outlineLevel="1" x14ac:dyDescent="0.25">
      <c r="C69" s="136" t="s">
        <v>195</v>
      </c>
      <c r="D69" s="135" t="s">
        <v>5</v>
      </c>
      <c r="E69" s="135" t="s">
        <v>105</v>
      </c>
      <c r="F69" s="134"/>
      <c r="G69" s="186">
        <f>G70/G71</f>
        <v>4.0000000000000002E-4</v>
      </c>
    </row>
    <row r="70" spans="1:10" s="116" customFormat="1" hidden="1" outlineLevel="1" x14ac:dyDescent="0.25">
      <c r="C70" s="129" t="s">
        <v>137</v>
      </c>
      <c r="E70" s="187" t="s">
        <v>102</v>
      </c>
      <c r="F70" s="187"/>
      <c r="G70" s="189">
        <v>80</v>
      </c>
      <c r="H70" s="114"/>
      <c r="I70" s="114"/>
      <c r="J70" s="114"/>
    </row>
    <row r="71" spans="1:10" s="116" customFormat="1" hidden="1" outlineLevel="1" x14ac:dyDescent="0.25">
      <c r="C71" s="123" t="s">
        <v>194</v>
      </c>
      <c r="D71" s="122"/>
      <c r="E71" s="122" t="s">
        <v>102</v>
      </c>
      <c r="F71" s="122"/>
      <c r="G71" s="222">
        <v>200000</v>
      </c>
      <c r="H71" s="114"/>
      <c r="I71" s="114"/>
      <c r="J71" s="114"/>
    </row>
    <row r="72" spans="1:10" ht="6" hidden="1" customHeight="1" outlineLevel="1" x14ac:dyDescent="0.25">
      <c r="C72" s="142"/>
      <c r="D72" s="149"/>
      <c r="E72" s="142"/>
      <c r="F72" s="141"/>
      <c r="G72" s="140"/>
    </row>
    <row r="73" spans="1:10" hidden="1" outlineLevel="1" x14ac:dyDescent="0.25">
      <c r="C73" s="136" t="s">
        <v>196</v>
      </c>
      <c r="D73" s="135" t="s">
        <v>5</v>
      </c>
      <c r="E73" s="135" t="s">
        <v>105</v>
      </c>
      <c r="F73" s="134"/>
      <c r="G73" s="186">
        <f>G74/G75</f>
        <v>4.4999999999999997E-3</v>
      </c>
    </row>
    <row r="74" spans="1:10" s="116" customFormat="1" hidden="1" outlineLevel="1" x14ac:dyDescent="0.25">
      <c r="C74" s="129" t="s">
        <v>139</v>
      </c>
      <c r="D74" s="187"/>
      <c r="E74" s="187" t="s">
        <v>102</v>
      </c>
      <c r="F74" s="188"/>
      <c r="G74" s="189">
        <v>900</v>
      </c>
      <c r="H74" s="114"/>
      <c r="I74" s="114"/>
      <c r="J74" s="114"/>
    </row>
    <row r="75" spans="1:10" s="116" customFormat="1" hidden="1" outlineLevel="1" x14ac:dyDescent="0.25">
      <c r="C75" s="123" t="s">
        <v>194</v>
      </c>
      <c r="D75" s="122"/>
      <c r="E75" s="122" t="s">
        <v>102</v>
      </c>
      <c r="F75" s="121"/>
      <c r="G75" s="190">
        <f>G71</f>
        <v>200000</v>
      </c>
      <c r="H75" s="114"/>
      <c r="I75" s="114"/>
      <c r="J75" s="114"/>
    </row>
    <row r="76" spans="1:10" hidden="1" outlineLevel="1" x14ac:dyDescent="0.25">
      <c r="I76" s="115"/>
    </row>
    <row r="77" spans="1:10" hidden="1" outlineLevel="1" x14ac:dyDescent="0.25">
      <c r="C77" s="182" t="s">
        <v>140</v>
      </c>
      <c r="D77" s="192">
        <f>G69+G73</f>
        <v>4.8999999999999998E-3</v>
      </c>
    </row>
    <row r="78" spans="1:10" hidden="1" outlineLevel="1" x14ac:dyDescent="0.25">
      <c r="C78" s="178" t="s">
        <v>141</v>
      </c>
      <c r="D78" s="193">
        <v>5.0000000000000001E-3</v>
      </c>
    </row>
    <row r="79" spans="1:10" hidden="1" outlineLevel="1" x14ac:dyDescent="0.25">
      <c r="C79" s="194" t="s">
        <v>17</v>
      </c>
      <c r="D79" s="195">
        <f>IF(D77&gt;D78,0,1-(0.4*D77/D78))</f>
        <v>0.6080000000000001</v>
      </c>
    </row>
    <row r="80" spans="1:10" collapsed="1" x14ac:dyDescent="0.25">
      <c r="D80" s="191"/>
    </row>
    <row r="81" spans="4:4" x14ac:dyDescent="0.25">
      <c r="D81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" zoomScale="90" zoomScaleNormal="90" workbookViewId="0">
      <selection activeCell="I7" sqref="I7:O21"/>
    </sheetView>
  </sheetViews>
  <sheetFormatPr baseColWidth="10" defaultColWidth="8.85546875" defaultRowHeight="15" x14ac:dyDescent="0.25"/>
  <cols>
    <col min="1" max="7" width="8.85546875" style="1"/>
    <col min="8" max="8" width="5.85546875" style="1" customWidth="1"/>
    <col min="9" max="10" width="8.85546875" style="1"/>
    <col min="11" max="11" width="5.28515625" style="1" customWidth="1"/>
    <col min="12" max="15" width="9.85546875" style="1" customWidth="1"/>
    <col min="16" max="16384" width="8.85546875" style="1"/>
  </cols>
  <sheetData>
    <row r="1" spans="1:15" x14ac:dyDescent="0.25">
      <c r="A1" s="3"/>
      <c r="B1" s="4"/>
      <c r="C1" s="8"/>
      <c r="D1" s="8"/>
      <c r="E1" s="8"/>
      <c r="F1" s="8"/>
      <c r="G1" s="8"/>
      <c r="H1" s="8"/>
      <c r="I1" s="8"/>
      <c r="J1" s="8"/>
      <c r="K1" s="9"/>
      <c r="L1" s="8"/>
      <c r="M1" s="8"/>
      <c r="N1" s="8"/>
      <c r="O1" s="10"/>
    </row>
    <row r="2" spans="1:15" ht="13.15" customHeight="1" x14ac:dyDescent="0.25">
      <c r="A2" s="5"/>
      <c r="B2" s="2"/>
      <c r="C2" s="11"/>
      <c r="D2" s="294" t="s">
        <v>55</v>
      </c>
      <c r="E2" s="295"/>
      <c r="F2" s="295"/>
      <c r="G2" s="295"/>
      <c r="H2" s="296"/>
      <c r="I2" s="271">
        <f>(G7*A8)+(O7*I8)+(G23*A24)+(O23*I24)</f>
        <v>0.76866666666666661</v>
      </c>
      <c r="J2" s="11"/>
      <c r="K2" s="12"/>
      <c r="L2" s="279" t="s">
        <v>10</v>
      </c>
      <c r="M2" s="279"/>
      <c r="N2" s="279"/>
      <c r="O2" s="280"/>
    </row>
    <row r="3" spans="1:15" ht="13.15" customHeight="1" x14ac:dyDescent="0.25">
      <c r="A3" s="5"/>
      <c r="B3" s="2"/>
      <c r="C3" s="11"/>
      <c r="D3" s="297"/>
      <c r="E3" s="298"/>
      <c r="F3" s="298"/>
      <c r="G3" s="298"/>
      <c r="H3" s="299"/>
      <c r="I3" s="278"/>
      <c r="J3" s="11"/>
      <c r="K3" s="12"/>
      <c r="L3" s="279"/>
      <c r="M3" s="279"/>
      <c r="N3" s="279"/>
      <c r="O3" s="280"/>
    </row>
    <row r="4" spans="1:15" ht="13.15" customHeight="1" x14ac:dyDescent="0.25">
      <c r="A4" s="5"/>
      <c r="B4" s="2"/>
      <c r="C4" s="11"/>
      <c r="D4" s="300"/>
      <c r="E4" s="301"/>
      <c r="F4" s="301"/>
      <c r="G4" s="301"/>
      <c r="H4" s="302"/>
      <c r="I4" s="290"/>
      <c r="J4" s="11"/>
      <c r="K4" s="12"/>
      <c r="L4" s="17" t="s">
        <v>11</v>
      </c>
      <c r="M4" s="11"/>
      <c r="N4" s="11"/>
      <c r="O4" s="13"/>
    </row>
    <row r="5" spans="1:15" ht="13.15" customHeight="1" x14ac:dyDescent="0.25">
      <c r="A5" s="6"/>
      <c r="B5" s="7"/>
      <c r="C5" s="14"/>
      <c r="D5" s="14"/>
      <c r="E5" s="14"/>
      <c r="F5" s="14"/>
      <c r="G5" s="14"/>
      <c r="H5" s="14"/>
      <c r="I5" s="14"/>
      <c r="J5" s="14"/>
      <c r="K5" s="15"/>
      <c r="L5" s="14"/>
      <c r="M5" s="14"/>
      <c r="N5" s="14"/>
      <c r="O5" s="16"/>
    </row>
    <row r="6" spans="1:15" ht="13.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92" customFormat="1" ht="13.15" customHeight="1" x14ac:dyDescent="0.25">
      <c r="A7" s="107"/>
      <c r="B7" s="275" t="s">
        <v>25</v>
      </c>
      <c r="C7" s="275"/>
      <c r="D7" s="275"/>
      <c r="E7" s="275"/>
      <c r="F7" s="104"/>
      <c r="G7" s="271">
        <f>SUMPRODUCT(F12:F19,G12:G19)</f>
        <v>0.80766666666666664</v>
      </c>
      <c r="H7" s="91"/>
      <c r="I7" s="107"/>
      <c r="J7" s="275" t="s">
        <v>13</v>
      </c>
      <c r="K7" s="275"/>
      <c r="L7" s="275"/>
      <c r="M7" s="275"/>
      <c r="N7" s="104"/>
      <c r="O7" s="271">
        <f>O13</f>
        <v>0.67999999999999994</v>
      </c>
    </row>
    <row r="8" spans="1:15" s="92" customFormat="1" ht="13.15" customHeight="1" x14ac:dyDescent="0.25">
      <c r="A8" s="89">
        <v>0.25</v>
      </c>
      <c r="B8" s="276"/>
      <c r="C8" s="276"/>
      <c r="D8" s="276"/>
      <c r="E8" s="276"/>
      <c r="F8" s="90"/>
      <c r="G8" s="278"/>
      <c r="H8" s="91"/>
      <c r="I8" s="89">
        <v>0.25</v>
      </c>
      <c r="J8" s="276"/>
      <c r="K8" s="276"/>
      <c r="L8" s="276"/>
      <c r="M8" s="276"/>
      <c r="N8" s="90"/>
      <c r="O8" s="278"/>
    </row>
    <row r="9" spans="1:15" s="92" customFormat="1" ht="13.15" customHeight="1" x14ac:dyDescent="0.25">
      <c r="A9" s="109"/>
      <c r="B9" s="277"/>
      <c r="C9" s="277"/>
      <c r="D9" s="277"/>
      <c r="E9" s="277"/>
      <c r="F9" s="105"/>
      <c r="G9" s="278"/>
      <c r="H9" s="91"/>
      <c r="I9" s="109"/>
      <c r="J9" s="277"/>
      <c r="K9" s="277"/>
      <c r="L9" s="277"/>
      <c r="M9" s="277"/>
      <c r="N9" s="105"/>
      <c r="O9" s="278"/>
    </row>
    <row r="10" spans="1:15" s="111" customFormat="1" ht="13.15" customHeight="1" x14ac:dyDescent="0.25">
      <c r="A10" s="62" t="s">
        <v>16</v>
      </c>
      <c r="B10" s="63"/>
      <c r="C10" s="63"/>
      <c r="D10" s="63"/>
      <c r="E10" s="75" t="s">
        <v>21</v>
      </c>
      <c r="F10" s="75" t="s">
        <v>17</v>
      </c>
      <c r="G10" s="64" t="s">
        <v>9</v>
      </c>
      <c r="H10" s="110"/>
      <c r="I10" s="62" t="s">
        <v>16</v>
      </c>
      <c r="J10" s="63"/>
      <c r="K10" s="63"/>
      <c r="L10" s="63"/>
      <c r="M10" s="63"/>
      <c r="N10" s="75" t="s">
        <v>20</v>
      </c>
      <c r="O10" s="75" t="s">
        <v>17</v>
      </c>
    </row>
    <row r="11" spans="1:15" s="92" customFormat="1" ht="13.15" customHeight="1" x14ac:dyDescent="0.25">
      <c r="A11" s="65"/>
      <c r="B11" s="66"/>
      <c r="C11" s="66"/>
      <c r="D11" s="66"/>
      <c r="E11" s="76"/>
      <c r="F11" s="87"/>
      <c r="G11" s="72"/>
      <c r="H11" s="91"/>
      <c r="I11" s="65"/>
      <c r="J11" s="66"/>
      <c r="K11" s="66"/>
      <c r="L11" s="66"/>
      <c r="M11" s="81"/>
      <c r="N11" s="82"/>
      <c r="O11" s="76"/>
    </row>
    <row r="12" spans="1:15" s="92" customFormat="1" ht="13.15" customHeight="1" x14ac:dyDescent="0.25">
      <c r="A12" s="65" t="s">
        <v>100</v>
      </c>
      <c r="B12" s="83"/>
      <c r="C12" s="66"/>
      <c r="D12" s="66"/>
      <c r="E12" s="77">
        <v>0.64800000000000002</v>
      </c>
      <c r="F12" s="77">
        <v>0.64800000000000002</v>
      </c>
      <c r="G12" s="73">
        <f>1/3</f>
        <v>0.33333333333333331</v>
      </c>
      <c r="H12" s="91"/>
      <c r="I12" s="65"/>
      <c r="J12" s="66"/>
      <c r="K12" s="66"/>
      <c r="L12" s="66"/>
      <c r="M12" s="81"/>
      <c r="N12" s="76"/>
      <c r="O12" s="76"/>
    </row>
    <row r="13" spans="1:15" s="92" customFormat="1" ht="13.15" customHeight="1" x14ac:dyDescent="0.25">
      <c r="A13" s="65"/>
      <c r="B13" s="66"/>
      <c r="C13" s="66"/>
      <c r="D13" s="66"/>
      <c r="E13" s="76"/>
      <c r="F13" s="76"/>
      <c r="G13" s="72"/>
      <c r="H13" s="91"/>
      <c r="I13" s="65" t="s">
        <v>56</v>
      </c>
      <c r="J13" s="83"/>
      <c r="K13" s="66"/>
      <c r="L13" s="66"/>
      <c r="M13" s="81"/>
      <c r="N13" s="84">
        <v>2E-3</v>
      </c>
      <c r="O13" s="291">
        <f>IF(N13+N15&gt;0.5%,0,1-(0.4*(N13+N15)/0.5%))</f>
        <v>0.67999999999999994</v>
      </c>
    </row>
    <row r="14" spans="1:15" s="92" customFormat="1" ht="13.15" customHeight="1" x14ac:dyDescent="0.25">
      <c r="A14" s="65" t="s">
        <v>98</v>
      </c>
      <c r="B14" s="83"/>
      <c r="C14" s="66"/>
      <c r="D14" s="66"/>
      <c r="E14" s="77">
        <v>1.0249999999999999</v>
      </c>
      <c r="F14" s="77">
        <v>1.0249999999999999</v>
      </c>
      <c r="G14" s="73">
        <f>1/3</f>
        <v>0.33333333333333331</v>
      </c>
      <c r="H14" s="91"/>
      <c r="I14" s="65"/>
      <c r="J14" s="66"/>
      <c r="K14" s="66"/>
      <c r="L14" s="66"/>
      <c r="M14" s="81"/>
      <c r="N14" s="85"/>
      <c r="O14" s="291"/>
    </row>
    <row r="15" spans="1:15" s="92" customFormat="1" ht="13.15" customHeight="1" x14ac:dyDescent="0.25">
      <c r="A15" s="65"/>
      <c r="B15" s="66"/>
      <c r="C15" s="66"/>
      <c r="D15" s="66"/>
      <c r="E15" s="76"/>
      <c r="F15" s="76"/>
      <c r="G15" s="87"/>
      <c r="H15" s="91"/>
      <c r="I15" s="65" t="s">
        <v>57</v>
      </c>
      <c r="J15" s="83"/>
      <c r="K15" s="66"/>
      <c r="L15" s="66"/>
      <c r="M15" s="81"/>
      <c r="N15" s="84">
        <v>2E-3</v>
      </c>
      <c r="O15" s="291"/>
    </row>
    <row r="16" spans="1:15" s="92" customFormat="1" ht="13.15" customHeight="1" x14ac:dyDescent="0.25">
      <c r="A16" s="65" t="s">
        <v>22</v>
      </c>
      <c r="B16" s="83"/>
      <c r="C16" s="66"/>
      <c r="D16" s="66"/>
      <c r="E16" s="77" t="s">
        <v>54</v>
      </c>
      <c r="F16" s="77">
        <v>0.75</v>
      </c>
      <c r="G16" s="73">
        <f>1/3</f>
        <v>0.33333333333333331</v>
      </c>
      <c r="H16" s="91"/>
      <c r="I16" s="65"/>
      <c r="J16" s="83"/>
      <c r="K16" s="66"/>
      <c r="L16" s="66"/>
      <c r="M16" s="81"/>
      <c r="N16" s="84"/>
      <c r="O16" s="78"/>
    </row>
    <row r="17" spans="1:15" s="92" customFormat="1" ht="13.15" customHeight="1" x14ac:dyDescent="0.25">
      <c r="A17" s="65"/>
      <c r="B17" s="66"/>
      <c r="C17" s="66"/>
      <c r="D17" s="66"/>
      <c r="E17" s="76"/>
      <c r="F17" s="76"/>
      <c r="G17" s="87"/>
      <c r="H17" s="91"/>
      <c r="I17" s="65"/>
      <c r="J17" s="66"/>
      <c r="K17" s="66"/>
      <c r="L17" s="66"/>
      <c r="M17" s="66"/>
      <c r="N17" s="87"/>
      <c r="O17" s="87"/>
    </row>
    <row r="18" spans="1:15" s="92" customFormat="1" ht="13.15" customHeight="1" x14ac:dyDescent="0.25">
      <c r="A18" s="65"/>
      <c r="B18" s="83"/>
      <c r="C18" s="66"/>
      <c r="D18" s="66"/>
      <c r="E18" s="77"/>
      <c r="F18" s="77"/>
      <c r="G18" s="73"/>
      <c r="H18" s="91"/>
      <c r="I18" s="65"/>
      <c r="J18" s="66"/>
      <c r="K18" s="66"/>
      <c r="L18" s="66"/>
      <c r="M18" s="66"/>
      <c r="N18" s="87"/>
      <c r="O18" s="87"/>
    </row>
    <row r="19" spans="1:15" s="92" customFormat="1" ht="13.15" customHeight="1" x14ac:dyDescent="0.25">
      <c r="A19" s="65"/>
      <c r="B19" s="83"/>
      <c r="C19" s="66"/>
      <c r="D19" s="66"/>
      <c r="E19" s="77"/>
      <c r="F19" s="77"/>
      <c r="G19" s="73"/>
      <c r="H19" s="91"/>
      <c r="I19" s="65"/>
      <c r="J19" s="66"/>
      <c r="K19" s="66"/>
      <c r="L19" s="66"/>
      <c r="M19" s="66"/>
      <c r="N19" s="87"/>
      <c r="O19" s="87"/>
    </row>
    <row r="20" spans="1:15" s="92" customFormat="1" ht="13.15" customHeight="1" x14ac:dyDescent="0.25">
      <c r="A20" s="65"/>
      <c r="B20" s="83"/>
      <c r="C20" s="66"/>
      <c r="D20" s="66"/>
      <c r="E20" s="77"/>
      <c r="F20" s="77"/>
      <c r="G20" s="73"/>
      <c r="H20" s="91"/>
      <c r="I20" s="65"/>
      <c r="J20" s="66"/>
      <c r="K20" s="66"/>
      <c r="L20" s="66"/>
      <c r="M20" s="66"/>
      <c r="N20" s="87"/>
      <c r="O20" s="87"/>
    </row>
    <row r="21" spans="1:15" s="92" customFormat="1" ht="13.15" customHeight="1" x14ac:dyDescent="0.25">
      <c r="A21" s="69"/>
      <c r="B21" s="70"/>
      <c r="C21" s="70"/>
      <c r="D21" s="70"/>
      <c r="E21" s="106"/>
      <c r="F21" s="106"/>
      <c r="G21" s="74"/>
      <c r="H21" s="91"/>
      <c r="I21" s="69"/>
      <c r="J21" s="70"/>
      <c r="K21" s="70"/>
      <c r="L21" s="70"/>
      <c r="M21" s="70"/>
      <c r="N21" s="106"/>
      <c r="O21" s="106"/>
    </row>
    <row r="22" spans="1:15" s="92" customFormat="1" ht="13.15" customHeight="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</row>
    <row r="23" spans="1:15" s="92" customFormat="1" ht="13.15" customHeight="1" x14ac:dyDescent="0.25">
      <c r="A23" s="107"/>
      <c r="B23" s="275" t="s">
        <v>14</v>
      </c>
      <c r="C23" s="275"/>
      <c r="D23" s="275"/>
      <c r="E23" s="275"/>
      <c r="F23" s="104"/>
      <c r="G23" s="271">
        <f>SUMPRODUCT(F29:F32,G29:G32)</f>
        <v>0.76200000000000001</v>
      </c>
      <c r="H23" s="91"/>
      <c r="I23" s="107"/>
      <c r="J23" s="275" t="s">
        <v>15</v>
      </c>
      <c r="K23" s="275"/>
      <c r="L23" s="275"/>
      <c r="M23" s="275"/>
      <c r="N23" s="104"/>
      <c r="O23" s="271">
        <f>SUMPRODUCT(N28:N36,O28:O36)</f>
        <v>0.82499999999999996</v>
      </c>
    </row>
    <row r="24" spans="1:15" s="92" customFormat="1" ht="13.15" customHeight="1" x14ac:dyDescent="0.25">
      <c r="A24" s="89">
        <v>0.25</v>
      </c>
      <c r="B24" s="276"/>
      <c r="C24" s="276"/>
      <c r="D24" s="276"/>
      <c r="E24" s="276"/>
      <c r="F24" s="90"/>
      <c r="G24" s="278"/>
      <c r="H24" s="91"/>
      <c r="I24" s="89">
        <v>0.25</v>
      </c>
      <c r="J24" s="276"/>
      <c r="K24" s="276"/>
      <c r="L24" s="276"/>
      <c r="M24" s="276"/>
      <c r="N24" s="90"/>
      <c r="O24" s="278"/>
    </row>
    <row r="25" spans="1:15" s="92" customFormat="1" ht="13.15" customHeight="1" x14ac:dyDescent="0.25">
      <c r="A25" s="109"/>
      <c r="B25" s="277"/>
      <c r="C25" s="277"/>
      <c r="D25" s="277"/>
      <c r="E25" s="277"/>
      <c r="F25" s="105"/>
      <c r="G25" s="278"/>
      <c r="H25" s="91"/>
      <c r="I25" s="109"/>
      <c r="J25" s="277"/>
      <c r="K25" s="277"/>
      <c r="L25" s="277"/>
      <c r="M25" s="277"/>
      <c r="N25" s="105"/>
      <c r="O25" s="278"/>
    </row>
    <row r="26" spans="1:15" s="92" customFormat="1" ht="13.15" customHeight="1" x14ac:dyDescent="0.25">
      <c r="A26" s="62" t="s">
        <v>16</v>
      </c>
      <c r="B26" s="63"/>
      <c r="C26" s="63"/>
      <c r="D26" s="63"/>
      <c r="E26" s="63"/>
      <c r="F26" s="75" t="s">
        <v>17</v>
      </c>
      <c r="G26" s="75" t="s">
        <v>9</v>
      </c>
      <c r="H26" s="91"/>
      <c r="I26" s="62" t="s">
        <v>16</v>
      </c>
      <c r="J26" s="63"/>
      <c r="K26" s="63"/>
      <c r="L26" s="63"/>
      <c r="M26" s="75" t="s">
        <v>21</v>
      </c>
      <c r="N26" s="75" t="s">
        <v>17</v>
      </c>
      <c r="O26" s="64" t="s">
        <v>9</v>
      </c>
    </row>
    <row r="27" spans="1:15" s="92" customFormat="1" ht="13.15" customHeight="1" x14ac:dyDescent="0.25">
      <c r="A27" s="65"/>
      <c r="B27" s="66"/>
      <c r="C27" s="66"/>
      <c r="D27" s="66"/>
      <c r="E27" s="66"/>
      <c r="F27" s="76"/>
      <c r="G27" s="76"/>
      <c r="H27" s="91"/>
      <c r="I27" s="65"/>
      <c r="J27" s="83"/>
      <c r="K27" s="66"/>
      <c r="L27" s="66"/>
      <c r="M27" s="79"/>
      <c r="N27" s="77"/>
      <c r="O27" s="73"/>
    </row>
    <row r="28" spans="1:15" s="92" customFormat="1" ht="13.15" customHeight="1" x14ac:dyDescent="0.25">
      <c r="A28" s="65"/>
      <c r="B28" s="66"/>
      <c r="C28" s="66"/>
      <c r="D28" s="66"/>
      <c r="E28" s="66"/>
      <c r="F28" s="76"/>
      <c r="G28" s="76"/>
      <c r="H28" s="91"/>
      <c r="I28" s="65" t="s">
        <v>58</v>
      </c>
      <c r="J28" s="83"/>
      <c r="K28" s="66"/>
      <c r="L28" s="66"/>
      <c r="M28" s="79">
        <v>2</v>
      </c>
      <c r="N28" s="77">
        <v>0.9</v>
      </c>
      <c r="O28" s="73">
        <v>0.25</v>
      </c>
    </row>
    <row r="29" spans="1:15" s="92" customFormat="1" ht="13.15" customHeight="1" x14ac:dyDescent="0.25">
      <c r="A29" s="65" t="s">
        <v>101</v>
      </c>
      <c r="B29" s="83"/>
      <c r="C29" s="66"/>
      <c r="D29" s="66"/>
      <c r="E29" s="66"/>
      <c r="F29" s="77">
        <v>0.71799999999999997</v>
      </c>
      <c r="G29" s="78">
        <f>2/3</f>
        <v>0.66666666666666663</v>
      </c>
      <c r="H29" s="91"/>
      <c r="I29" s="65"/>
      <c r="J29" s="83"/>
      <c r="K29" s="66"/>
      <c r="L29" s="66"/>
      <c r="M29" s="79"/>
      <c r="N29" s="77"/>
      <c r="O29" s="73"/>
    </row>
    <row r="30" spans="1:15" s="92" customFormat="1" ht="13.15" customHeight="1" x14ac:dyDescent="0.25">
      <c r="A30" s="65"/>
      <c r="B30" s="83"/>
      <c r="C30" s="66"/>
      <c r="D30" s="66"/>
      <c r="E30" s="66"/>
      <c r="F30" s="77"/>
      <c r="G30" s="78"/>
      <c r="H30" s="91"/>
      <c r="I30" s="65" t="s">
        <v>59</v>
      </c>
      <c r="J30" s="83"/>
      <c r="K30" s="66"/>
      <c r="L30" s="66"/>
      <c r="M30" s="79">
        <v>0</v>
      </c>
      <c r="N30" s="77">
        <v>1</v>
      </c>
      <c r="O30" s="73">
        <v>0.25</v>
      </c>
    </row>
    <row r="31" spans="1:15" s="92" customFormat="1" ht="13.15" customHeight="1" x14ac:dyDescent="0.25">
      <c r="A31" s="65"/>
      <c r="B31" s="83"/>
      <c r="C31" s="66"/>
      <c r="D31" s="66"/>
      <c r="E31" s="66"/>
      <c r="F31" s="77"/>
      <c r="G31" s="78"/>
      <c r="H31" s="91"/>
      <c r="I31" s="65"/>
      <c r="J31" s="83"/>
      <c r="K31" s="66"/>
      <c r="L31" s="66"/>
      <c r="M31" s="79"/>
      <c r="N31" s="77"/>
      <c r="O31" s="73"/>
    </row>
    <row r="32" spans="1:15" s="92" customFormat="1" ht="13.15" customHeight="1" x14ac:dyDescent="0.25">
      <c r="A32" s="65" t="s">
        <v>27</v>
      </c>
      <c r="B32" s="83"/>
      <c r="C32" s="66"/>
      <c r="D32" s="66"/>
      <c r="E32" s="66"/>
      <c r="F32" s="77">
        <v>0.85</v>
      </c>
      <c r="G32" s="78">
        <f>1-G29</f>
        <v>0.33333333333333337</v>
      </c>
      <c r="H32" s="91"/>
      <c r="I32" s="65"/>
      <c r="J32" s="66"/>
      <c r="K32" s="66"/>
      <c r="L32" s="66"/>
      <c r="M32" s="79"/>
      <c r="N32" s="76"/>
      <c r="O32" s="72"/>
    </row>
    <row r="33" spans="1:15" s="92" customFormat="1" ht="13.15" customHeight="1" x14ac:dyDescent="0.25">
      <c r="A33" s="65"/>
      <c r="B33" s="83"/>
      <c r="C33" s="66"/>
      <c r="D33" s="66"/>
      <c r="E33" s="66"/>
      <c r="F33" s="77"/>
      <c r="G33" s="73"/>
      <c r="H33" s="91"/>
      <c r="I33" s="65" t="s">
        <v>28</v>
      </c>
      <c r="J33" s="83"/>
      <c r="K33" s="66"/>
      <c r="L33" s="66"/>
      <c r="M33" s="79">
        <v>11</v>
      </c>
      <c r="N33" s="77">
        <v>0.6</v>
      </c>
      <c r="O33" s="73">
        <v>0.25</v>
      </c>
    </row>
    <row r="34" spans="1:15" s="92" customFormat="1" ht="13.15" customHeight="1" x14ac:dyDescent="0.25">
      <c r="A34" s="65"/>
      <c r="B34" s="83"/>
      <c r="C34" s="66"/>
      <c r="D34" s="66"/>
      <c r="E34" s="66"/>
      <c r="F34" s="77"/>
      <c r="G34" s="73"/>
      <c r="H34" s="91"/>
      <c r="I34" s="65"/>
      <c r="J34" s="83"/>
      <c r="K34" s="66"/>
      <c r="L34" s="66"/>
      <c r="M34" s="79"/>
      <c r="N34" s="77"/>
      <c r="O34" s="73"/>
    </row>
    <row r="35" spans="1:15" ht="13.15" customHeight="1" x14ac:dyDescent="0.25">
      <c r="A35" s="65"/>
      <c r="B35" s="66"/>
      <c r="C35" s="66"/>
      <c r="D35" s="66"/>
      <c r="E35" s="66"/>
      <c r="F35" s="87"/>
      <c r="G35" s="67"/>
      <c r="H35" s="2"/>
      <c r="I35" s="65" t="s">
        <v>29</v>
      </c>
      <c r="J35" s="83"/>
      <c r="K35" s="66"/>
      <c r="L35" s="66"/>
      <c r="M35" s="79">
        <v>4</v>
      </c>
      <c r="N35" s="77">
        <v>0.8</v>
      </c>
      <c r="O35" s="73">
        <v>0.25</v>
      </c>
    </row>
    <row r="36" spans="1:15" x14ac:dyDescent="0.25">
      <c r="A36" s="69"/>
      <c r="B36" s="70"/>
      <c r="C36" s="70"/>
      <c r="D36" s="70"/>
      <c r="E36" s="70"/>
      <c r="F36" s="106"/>
      <c r="G36" s="71"/>
      <c r="H36" s="2"/>
      <c r="I36" s="69"/>
      <c r="J36" s="101"/>
      <c r="K36" s="70"/>
      <c r="L36" s="70"/>
      <c r="M36" s="103"/>
      <c r="N36" s="102"/>
      <c r="O36" s="98"/>
    </row>
  </sheetData>
  <mergeCells count="12">
    <mergeCell ref="D2:H4"/>
    <mergeCell ref="I2:I4"/>
    <mergeCell ref="L2:O3"/>
    <mergeCell ref="B7:E9"/>
    <mergeCell ref="G7:G9"/>
    <mergeCell ref="J7:M9"/>
    <mergeCell ref="O7:O9"/>
    <mergeCell ref="O13:O15"/>
    <mergeCell ref="B23:E25"/>
    <mergeCell ref="G23:G25"/>
    <mergeCell ref="J23:M25"/>
    <mergeCell ref="O23:O25"/>
  </mergeCells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C043"/>
  </sheetPr>
  <dimension ref="A1:J53"/>
  <sheetViews>
    <sheetView zoomScale="120" zoomScaleNormal="120" workbookViewId="0">
      <selection activeCell="C2" sqref="C2:C4"/>
    </sheetView>
  </sheetViews>
  <sheetFormatPr baseColWidth="10" defaultColWidth="8.85546875" defaultRowHeight="15" outlineLevelRow="1" x14ac:dyDescent="0.25"/>
  <cols>
    <col min="1" max="1" width="23.28515625" style="114" customWidth="1"/>
    <col min="2" max="2" width="14.85546875" style="114" bestFit="1" customWidth="1"/>
    <col min="3" max="3" width="38.7109375" style="114" customWidth="1"/>
    <col min="4" max="4" width="18.85546875" style="114" customWidth="1"/>
    <col min="5" max="5" width="11.7109375" style="114" customWidth="1"/>
    <col min="6" max="6" width="8.7109375" style="114" bestFit="1" customWidth="1"/>
    <col min="7" max="7" width="9.5703125" style="114" bestFit="1" customWidth="1"/>
    <col min="8" max="8" width="8.85546875" style="114" customWidth="1"/>
    <col min="9" max="9" width="14.5703125" style="114" customWidth="1"/>
    <col min="10" max="16384" width="8.85546875" style="114"/>
  </cols>
  <sheetData>
    <row r="1" spans="1:10" x14ac:dyDescent="0.25">
      <c r="A1" s="182"/>
      <c r="B1" s="180"/>
      <c r="C1" s="180"/>
      <c r="D1" s="180"/>
      <c r="E1" s="180"/>
      <c r="F1" s="181"/>
      <c r="G1" s="180"/>
      <c r="H1" s="180"/>
      <c r="I1" s="180"/>
      <c r="J1" s="179"/>
    </row>
    <row r="2" spans="1:10" ht="13.15" customHeight="1" x14ac:dyDescent="0.25">
      <c r="A2" s="178"/>
      <c r="B2" s="175"/>
      <c r="C2" s="306" t="s">
        <v>210</v>
      </c>
      <c r="D2" s="271">
        <f>J21+J27+J39+J9</f>
        <v>0.85046612318840586</v>
      </c>
      <c r="E2" s="175"/>
      <c r="F2" s="177"/>
      <c r="G2" s="274" t="s">
        <v>10</v>
      </c>
      <c r="H2" s="274"/>
      <c r="I2" s="274"/>
      <c r="J2" s="220"/>
    </row>
    <row r="3" spans="1:10" ht="13.15" customHeight="1" x14ac:dyDescent="0.25">
      <c r="A3" s="178"/>
      <c r="B3" s="183">
        <f>B21+B27+B39+B9</f>
        <v>1</v>
      </c>
      <c r="C3" s="307"/>
      <c r="D3" s="272"/>
      <c r="E3" s="175"/>
      <c r="F3" s="177"/>
      <c r="G3" s="274"/>
      <c r="H3" s="274"/>
      <c r="I3" s="274"/>
      <c r="J3" s="220"/>
    </row>
    <row r="4" spans="1:10" ht="13.15" customHeight="1" x14ac:dyDescent="0.25">
      <c r="A4" s="178"/>
      <c r="B4" s="175"/>
      <c r="C4" s="308"/>
      <c r="D4" s="273"/>
      <c r="E4" s="175"/>
      <c r="F4" s="177"/>
      <c r="G4" s="176" t="s">
        <v>142</v>
      </c>
      <c r="H4" s="175"/>
      <c r="I4" s="175"/>
      <c r="J4" s="174"/>
    </row>
    <row r="5" spans="1:10" ht="13.15" customHeight="1" x14ac:dyDescent="0.25">
      <c r="A5" s="173"/>
      <c r="B5" s="171"/>
      <c r="C5" s="171"/>
      <c r="D5" s="171"/>
      <c r="E5" s="171"/>
      <c r="F5" s="172"/>
      <c r="G5" s="171"/>
      <c r="H5" s="171"/>
      <c r="I5" s="171"/>
      <c r="J5" s="170"/>
    </row>
    <row r="6" spans="1:10" ht="15.75" thickBot="1" x14ac:dyDescent="0.3"/>
    <row r="7" spans="1:10" s="160" customFormat="1" ht="34.15" customHeight="1" thickBot="1" x14ac:dyDescent="0.3">
      <c r="A7" s="169" t="s">
        <v>118</v>
      </c>
      <c r="B7" s="184" t="s">
        <v>117</v>
      </c>
      <c r="C7" s="169" t="s">
        <v>116</v>
      </c>
      <c r="D7" s="169" t="s">
        <v>115</v>
      </c>
      <c r="E7" s="169" t="s">
        <v>114</v>
      </c>
      <c r="F7" s="184" t="s">
        <v>126</v>
      </c>
      <c r="G7" s="167" t="s">
        <v>21</v>
      </c>
      <c r="H7" s="168" t="s">
        <v>17</v>
      </c>
      <c r="I7" s="184" t="s">
        <v>112</v>
      </c>
      <c r="J7" s="167" t="s">
        <v>111</v>
      </c>
    </row>
    <row r="8" spans="1:10" ht="6" customHeight="1" thickBot="1" x14ac:dyDescent="0.3">
      <c r="F8" s="115"/>
      <c r="G8" s="159"/>
      <c r="H8" s="159"/>
      <c r="J8" s="159"/>
    </row>
    <row r="9" spans="1:10" s="160" customFormat="1" ht="15.75" thickBot="1" x14ac:dyDescent="0.3">
      <c r="A9" s="165" t="s">
        <v>12</v>
      </c>
      <c r="B9" s="166">
        <v>0.55000000000000004</v>
      </c>
      <c r="C9" s="165"/>
      <c r="D9" s="165"/>
      <c r="E9" s="165"/>
      <c r="F9" s="164" t="s">
        <v>172</v>
      </c>
      <c r="G9" s="163"/>
      <c r="H9" s="162">
        <f>SUM(J11:J19)</f>
        <v>0.94918840579710151</v>
      </c>
      <c r="I9" s="198">
        <f>SUM(I11:I19)</f>
        <v>1</v>
      </c>
      <c r="J9" s="161">
        <f>H9*B9</f>
        <v>0.52205362318840587</v>
      </c>
    </row>
    <row r="10" spans="1:10" ht="6" hidden="1" customHeight="1" outlineLevel="1" x14ac:dyDescent="0.25">
      <c r="F10" s="115"/>
      <c r="G10" s="159"/>
      <c r="H10" s="159"/>
      <c r="J10" s="159"/>
    </row>
    <row r="11" spans="1:10" hidden="1" outlineLevel="1" x14ac:dyDescent="0.25">
      <c r="C11" s="136" t="s">
        <v>278</v>
      </c>
      <c r="D11" s="135" t="s">
        <v>5</v>
      </c>
      <c r="E11" s="135" t="s">
        <v>105</v>
      </c>
      <c r="F11" s="134">
        <v>0.85</v>
      </c>
      <c r="G11" s="150">
        <f>G12/G13</f>
        <v>1.0652173913043479</v>
      </c>
      <c r="H11" s="132">
        <f>IF(G11&lt;F11,0,G11)</f>
        <v>1.0652173913043479</v>
      </c>
      <c r="I11" s="131">
        <v>0.3</v>
      </c>
      <c r="J11" s="130">
        <f>H11*I11</f>
        <v>0.31956521739130433</v>
      </c>
    </row>
    <row r="12" spans="1:10" s="116" customFormat="1" hidden="1" outlineLevel="1" x14ac:dyDescent="0.25">
      <c r="C12" s="129" t="s">
        <v>279</v>
      </c>
      <c r="E12" s="116" t="s">
        <v>102</v>
      </c>
      <c r="G12" s="147">
        <v>245000</v>
      </c>
      <c r="H12" s="146"/>
      <c r="I12" s="125"/>
      <c r="J12" s="124"/>
    </row>
    <row r="13" spans="1:10" s="116" customFormat="1" hidden="1" outlineLevel="1" x14ac:dyDescent="0.25">
      <c r="C13" s="123" t="s">
        <v>280</v>
      </c>
      <c r="D13" s="122"/>
      <c r="E13" s="122" t="s">
        <v>102</v>
      </c>
      <c r="F13" s="122"/>
      <c r="G13" s="145">
        <v>230000</v>
      </c>
      <c r="H13" s="144"/>
      <c r="I13" s="118"/>
      <c r="J13" s="117"/>
    </row>
    <row r="14" spans="1:10" ht="6" hidden="1" customHeight="1" outlineLevel="1" x14ac:dyDescent="0.25">
      <c r="D14" s="149"/>
      <c r="F14" s="148"/>
      <c r="G14" s="140"/>
      <c r="H14" s="139"/>
      <c r="I14" s="138"/>
      <c r="J14" s="138"/>
    </row>
    <row r="15" spans="1:10" hidden="1" outlineLevel="1" x14ac:dyDescent="0.25">
      <c r="C15" s="136" t="s">
        <v>123</v>
      </c>
      <c r="D15" s="135" t="s">
        <v>5</v>
      </c>
      <c r="E15" s="135" t="s">
        <v>105</v>
      </c>
      <c r="F15" s="134">
        <v>0.85</v>
      </c>
      <c r="G15" s="133">
        <f>G16/G17</f>
        <v>1.0320772946859904</v>
      </c>
      <c r="H15" s="132">
        <f>IF(G15&lt;F15,0,G15)</f>
        <v>1.0320772946859904</v>
      </c>
      <c r="I15" s="131">
        <v>0.3</v>
      </c>
      <c r="J15" s="130">
        <f>H15*I15</f>
        <v>0.30962318840579711</v>
      </c>
    </row>
    <row r="16" spans="1:10" s="116" customFormat="1" hidden="1" outlineLevel="1" x14ac:dyDescent="0.25">
      <c r="C16" s="129" t="s">
        <v>281</v>
      </c>
      <c r="E16" s="116" t="s">
        <v>102</v>
      </c>
      <c r="G16" s="147">
        <f>21.8%*G12</f>
        <v>53410</v>
      </c>
      <c r="H16" s="146"/>
      <c r="I16" s="125"/>
      <c r="J16" s="124"/>
    </row>
    <row r="17" spans="1:10" s="116" customFormat="1" hidden="1" outlineLevel="1" x14ac:dyDescent="0.25">
      <c r="C17" s="123" t="s">
        <v>282</v>
      </c>
      <c r="D17" s="122"/>
      <c r="E17" s="122" t="s">
        <v>102</v>
      </c>
      <c r="F17" s="122"/>
      <c r="G17" s="145">
        <f>22.5%*G13</f>
        <v>51750</v>
      </c>
      <c r="H17" s="144"/>
      <c r="I17" s="118"/>
      <c r="J17" s="117"/>
    </row>
    <row r="18" spans="1:10" ht="6" hidden="1" customHeight="1" outlineLevel="1" x14ac:dyDescent="0.25">
      <c r="F18" s="115"/>
      <c r="G18" s="159"/>
      <c r="H18" s="159"/>
      <c r="J18" s="159"/>
    </row>
    <row r="19" spans="1:10" ht="45" hidden="1" outlineLevel="1" x14ac:dyDescent="0.25">
      <c r="C19" s="158" t="s">
        <v>283</v>
      </c>
      <c r="D19" s="215" t="s">
        <v>125</v>
      </c>
      <c r="E19" s="156" t="s">
        <v>105</v>
      </c>
      <c r="F19" s="155">
        <v>0.65</v>
      </c>
      <c r="G19" s="154">
        <v>0.8</v>
      </c>
      <c r="H19" s="153">
        <f>IF(G19&lt;F19,0,G19)</f>
        <v>0.8</v>
      </c>
      <c r="I19" s="152">
        <v>0.4</v>
      </c>
      <c r="J19" s="151">
        <f>H19*I19</f>
        <v>0.32000000000000006</v>
      </c>
    </row>
    <row r="20" spans="1:10" ht="15.75" collapsed="1" thickBot="1" x14ac:dyDescent="0.3">
      <c r="I20" s="115"/>
    </row>
    <row r="21" spans="1:10" s="160" customFormat="1" ht="15.75" thickBot="1" x14ac:dyDescent="0.3">
      <c r="A21" s="165" t="s">
        <v>14</v>
      </c>
      <c r="B21" s="166">
        <v>0.15</v>
      </c>
      <c r="C21" s="165"/>
      <c r="D21" s="165"/>
      <c r="E21" s="165"/>
      <c r="F21" s="164"/>
      <c r="G21" s="163"/>
      <c r="H21" s="162">
        <f>SUM(J23:J25)</f>
        <v>0.66766666666666663</v>
      </c>
      <c r="I21" s="198">
        <f>SUM(I23:I25)</f>
        <v>1</v>
      </c>
      <c r="J21" s="161">
        <f>H21*B21</f>
        <v>0.10014999999999999</v>
      </c>
    </row>
    <row r="22" spans="1:10" ht="6" hidden="1" customHeight="1" outlineLevel="1" x14ac:dyDescent="0.25">
      <c r="F22" s="115"/>
      <c r="G22" s="159"/>
      <c r="H22" s="159"/>
      <c r="J22" s="159"/>
    </row>
    <row r="23" spans="1:10" ht="30" hidden="1" outlineLevel="1" x14ac:dyDescent="0.25">
      <c r="C23" s="158" t="s">
        <v>207</v>
      </c>
      <c r="D23" s="157" t="s">
        <v>121</v>
      </c>
      <c r="E23" s="156" t="s">
        <v>105</v>
      </c>
      <c r="F23" s="155">
        <v>0.65</v>
      </c>
      <c r="G23" s="154">
        <v>0.65500000000000003</v>
      </c>
      <c r="H23" s="153">
        <f>IF(G23&lt;F23,0,G23)</f>
        <v>0.65500000000000003</v>
      </c>
      <c r="I23" s="152">
        <f>2/3</f>
        <v>0.66666666666666663</v>
      </c>
      <c r="J23" s="151">
        <f>H23*I23</f>
        <v>0.43666666666666665</v>
      </c>
    </row>
    <row r="24" spans="1:10" ht="6" hidden="1" customHeight="1" outlineLevel="1" x14ac:dyDescent="0.25">
      <c r="D24" s="149"/>
      <c r="F24" s="148"/>
      <c r="G24" s="140"/>
      <c r="H24" s="139"/>
      <c r="I24" s="138"/>
      <c r="J24" s="138"/>
    </row>
    <row r="25" spans="1:10" ht="30" hidden="1" outlineLevel="1" x14ac:dyDescent="0.25">
      <c r="C25" s="158" t="s">
        <v>208</v>
      </c>
      <c r="D25" s="157" t="s">
        <v>122</v>
      </c>
      <c r="E25" s="156" t="s">
        <v>105</v>
      </c>
      <c r="F25" s="155">
        <v>0.65</v>
      </c>
      <c r="G25" s="154">
        <v>0.69299999999999995</v>
      </c>
      <c r="H25" s="153">
        <f>IF(G25&lt;F25,0,G25)</f>
        <v>0.69299999999999995</v>
      </c>
      <c r="I25" s="152">
        <f>1/3</f>
        <v>0.33333333333333331</v>
      </c>
      <c r="J25" s="151">
        <f>H25*I25</f>
        <v>0.23099999999999998</v>
      </c>
    </row>
    <row r="26" spans="1:10" ht="15.75" collapsed="1" thickBot="1" x14ac:dyDescent="0.3">
      <c r="I26" s="115"/>
    </row>
    <row r="27" spans="1:10" s="160" customFormat="1" ht="15.75" thickBot="1" x14ac:dyDescent="0.3">
      <c r="A27" s="165" t="s">
        <v>15</v>
      </c>
      <c r="B27" s="166">
        <v>0.15</v>
      </c>
      <c r="C27" s="165"/>
      <c r="D27" s="165"/>
      <c r="E27" s="165"/>
      <c r="F27" s="164"/>
      <c r="G27" s="163"/>
      <c r="H27" s="162">
        <f>SUM(J29:J37)</f>
        <v>0.91375000000000006</v>
      </c>
      <c r="I27" s="198">
        <f>SUM(I29:I37)</f>
        <v>0.99999999999999989</v>
      </c>
      <c r="J27" s="161">
        <f>H27*B27</f>
        <v>0.1370625</v>
      </c>
    </row>
    <row r="28" spans="1:10" ht="6" hidden="1" customHeight="1" outlineLevel="1" x14ac:dyDescent="0.25">
      <c r="D28" s="149"/>
      <c r="F28" s="148"/>
      <c r="G28" s="140"/>
      <c r="H28" s="139"/>
      <c r="I28" s="138"/>
      <c r="J28" s="138"/>
    </row>
    <row r="29" spans="1:10" ht="30" hidden="1" outlineLevel="1" x14ac:dyDescent="0.25">
      <c r="C29" s="158" t="s">
        <v>276</v>
      </c>
      <c r="D29" s="215" t="s">
        <v>173</v>
      </c>
      <c r="E29" s="156" t="s">
        <v>105</v>
      </c>
      <c r="F29" s="155">
        <v>0.65</v>
      </c>
      <c r="G29" s="154">
        <v>0.8</v>
      </c>
      <c r="H29" s="153">
        <f>IF(G29&lt;F29,0,G29)</f>
        <v>0.8</v>
      </c>
      <c r="I29" s="152">
        <v>0.3</v>
      </c>
      <c r="J29" s="151">
        <f>H29*I29</f>
        <v>0.24</v>
      </c>
    </row>
    <row r="30" spans="1:10" ht="6" hidden="1" customHeight="1" outlineLevel="1" x14ac:dyDescent="0.25">
      <c r="C30" s="142"/>
      <c r="D30" s="143"/>
      <c r="E30" s="142"/>
      <c r="F30" s="141"/>
      <c r="G30" s="140"/>
      <c r="H30" s="139"/>
      <c r="I30" s="138"/>
      <c r="J30" s="137"/>
    </row>
    <row r="31" spans="1:10" hidden="1" outlineLevel="1" x14ac:dyDescent="0.25">
      <c r="C31" s="136" t="s">
        <v>213</v>
      </c>
      <c r="D31" s="135" t="s">
        <v>128</v>
      </c>
      <c r="E31" s="135" t="s">
        <v>105</v>
      </c>
      <c r="F31" s="134">
        <v>0.95</v>
      </c>
      <c r="G31" s="133">
        <f>(G33-G32)/G33</f>
        <v>0.95833333333333337</v>
      </c>
      <c r="H31" s="132">
        <f>IF(G31&lt;F31,0,G31)</f>
        <v>0.95833333333333337</v>
      </c>
      <c r="I31" s="131">
        <v>0.35</v>
      </c>
      <c r="J31" s="130">
        <f>H31*I31</f>
        <v>0.33541666666666664</v>
      </c>
    </row>
    <row r="32" spans="1:10" s="116" customFormat="1" hidden="1" outlineLevel="1" x14ac:dyDescent="0.25">
      <c r="C32" s="129" t="s">
        <v>214</v>
      </c>
      <c r="E32" s="116" t="s">
        <v>135</v>
      </c>
      <c r="F32" s="128"/>
      <c r="G32" s="147">
        <f>0.5*20</f>
        <v>10</v>
      </c>
      <c r="H32" s="126"/>
      <c r="I32" s="125"/>
      <c r="J32" s="124"/>
    </row>
    <row r="33" spans="1:10" s="116" customFormat="1" hidden="1" outlineLevel="1" x14ac:dyDescent="0.25">
      <c r="C33" s="123" t="s">
        <v>215</v>
      </c>
      <c r="D33" s="122"/>
      <c r="E33" s="122" t="s">
        <v>135</v>
      </c>
      <c r="F33" s="121"/>
      <c r="G33" s="145">
        <f>G37*8</f>
        <v>240</v>
      </c>
      <c r="H33" s="119"/>
      <c r="I33" s="118"/>
      <c r="J33" s="117"/>
    </row>
    <row r="34" spans="1:10" ht="6" hidden="1" customHeight="1" outlineLevel="1" x14ac:dyDescent="0.25">
      <c r="C34" s="142"/>
      <c r="D34" s="143"/>
      <c r="E34" s="142"/>
      <c r="F34" s="141"/>
      <c r="G34" s="140"/>
      <c r="H34" s="139"/>
      <c r="I34" s="138"/>
      <c r="J34" s="137"/>
    </row>
    <row r="35" spans="1:10" hidden="1" outlineLevel="1" x14ac:dyDescent="0.25">
      <c r="C35" s="136" t="s">
        <v>218</v>
      </c>
      <c r="D35" s="135" t="s">
        <v>128</v>
      </c>
      <c r="E35" s="135" t="s">
        <v>105</v>
      </c>
      <c r="F35" s="134">
        <v>0.95</v>
      </c>
      <c r="G35" s="133">
        <f>(G37-G36)/G37</f>
        <v>0.96666666666666667</v>
      </c>
      <c r="H35" s="132">
        <f>IF(G35&lt;F35,0,G35)</f>
        <v>0.96666666666666667</v>
      </c>
      <c r="I35" s="131">
        <v>0.35</v>
      </c>
      <c r="J35" s="130">
        <f>H35*I35</f>
        <v>0.33833333333333332</v>
      </c>
    </row>
    <row r="36" spans="1:10" s="116" customFormat="1" hidden="1" outlineLevel="1" x14ac:dyDescent="0.25">
      <c r="C36" s="129" t="s">
        <v>216</v>
      </c>
      <c r="E36" s="116" t="s">
        <v>132</v>
      </c>
      <c r="G36" s="147">
        <v>1</v>
      </c>
      <c r="H36" s="146"/>
      <c r="I36" s="125"/>
      <c r="J36" s="124"/>
    </row>
    <row r="37" spans="1:10" s="116" customFormat="1" hidden="1" outlineLevel="1" x14ac:dyDescent="0.25">
      <c r="C37" s="123" t="s">
        <v>217</v>
      </c>
      <c r="D37" s="122"/>
      <c r="E37" s="122" t="s">
        <v>132</v>
      </c>
      <c r="F37" s="122"/>
      <c r="G37" s="145">
        <f>30</f>
        <v>30</v>
      </c>
      <c r="H37" s="144"/>
      <c r="I37" s="118"/>
      <c r="J37" s="117"/>
    </row>
    <row r="38" spans="1:10" ht="15.75" collapsed="1" thickBot="1" x14ac:dyDescent="0.3">
      <c r="I38" s="115"/>
    </row>
    <row r="39" spans="1:10" s="160" customFormat="1" ht="15.75" thickBot="1" x14ac:dyDescent="0.3">
      <c r="A39" s="165" t="s">
        <v>13</v>
      </c>
      <c r="B39" s="166">
        <v>0.15</v>
      </c>
      <c r="C39" s="165"/>
      <c r="D39" s="165"/>
      <c r="E39" s="165"/>
      <c r="F39" s="164"/>
      <c r="G39" s="163"/>
      <c r="H39" s="162">
        <f>D51</f>
        <v>0.6080000000000001</v>
      </c>
      <c r="I39" s="161"/>
      <c r="J39" s="161">
        <f>H39*B39</f>
        <v>9.1200000000000017E-2</v>
      </c>
    </row>
    <row r="40" spans="1:10" ht="6" hidden="1" customHeight="1" outlineLevel="1" x14ac:dyDescent="0.25">
      <c r="D40" s="149"/>
      <c r="F40" s="148"/>
      <c r="G40" s="140"/>
      <c r="H40" s="139"/>
      <c r="I40" s="138"/>
      <c r="J40" s="138"/>
    </row>
    <row r="41" spans="1:10" hidden="1" outlineLevel="1" x14ac:dyDescent="0.25">
      <c r="C41" s="136" t="s">
        <v>195</v>
      </c>
      <c r="D41" s="135" t="s">
        <v>5</v>
      </c>
      <c r="E41" s="135" t="s">
        <v>105</v>
      </c>
      <c r="F41" s="134"/>
      <c r="G41" s="186">
        <f>G42/G43</f>
        <v>4.0000000000000002E-4</v>
      </c>
    </row>
    <row r="42" spans="1:10" s="116" customFormat="1" hidden="1" outlineLevel="1" x14ac:dyDescent="0.25">
      <c r="C42" s="129" t="s">
        <v>137</v>
      </c>
      <c r="E42" s="187" t="s">
        <v>102</v>
      </c>
      <c r="F42" s="187"/>
      <c r="G42" s="189">
        <v>80</v>
      </c>
      <c r="H42" s="114"/>
      <c r="I42" s="114"/>
      <c r="J42" s="114"/>
    </row>
    <row r="43" spans="1:10" s="116" customFormat="1" hidden="1" outlineLevel="1" x14ac:dyDescent="0.25">
      <c r="C43" s="123" t="s">
        <v>194</v>
      </c>
      <c r="D43" s="122"/>
      <c r="E43" s="122" t="s">
        <v>102</v>
      </c>
      <c r="F43" s="122"/>
      <c r="G43" s="222">
        <v>200000</v>
      </c>
      <c r="H43" s="114"/>
      <c r="I43" s="114"/>
      <c r="J43" s="114"/>
    </row>
    <row r="44" spans="1:10" ht="6" hidden="1" customHeight="1" outlineLevel="1" x14ac:dyDescent="0.25">
      <c r="C44" s="142"/>
      <c r="D44" s="149"/>
      <c r="E44" s="142"/>
      <c r="F44" s="141"/>
      <c r="G44" s="140"/>
    </row>
    <row r="45" spans="1:10" hidden="1" outlineLevel="1" x14ac:dyDescent="0.25">
      <c r="C45" s="136" t="s">
        <v>196</v>
      </c>
      <c r="D45" s="135" t="s">
        <v>5</v>
      </c>
      <c r="E45" s="135" t="s">
        <v>105</v>
      </c>
      <c r="F45" s="134"/>
      <c r="G45" s="186">
        <f>G46/G47</f>
        <v>4.4999999999999997E-3</v>
      </c>
    </row>
    <row r="46" spans="1:10" s="116" customFormat="1" hidden="1" outlineLevel="1" x14ac:dyDescent="0.25">
      <c r="C46" s="129" t="s">
        <v>139</v>
      </c>
      <c r="D46" s="187"/>
      <c r="E46" s="187" t="s">
        <v>102</v>
      </c>
      <c r="F46" s="188"/>
      <c r="G46" s="189">
        <v>900</v>
      </c>
      <c r="H46" s="114"/>
      <c r="I46" s="114"/>
      <c r="J46" s="114"/>
    </row>
    <row r="47" spans="1:10" s="116" customFormat="1" hidden="1" outlineLevel="1" x14ac:dyDescent="0.25">
      <c r="C47" s="123" t="s">
        <v>194</v>
      </c>
      <c r="D47" s="122"/>
      <c r="E47" s="122" t="s">
        <v>102</v>
      </c>
      <c r="F47" s="121"/>
      <c r="G47" s="190">
        <f>G43</f>
        <v>200000</v>
      </c>
      <c r="H47" s="114"/>
      <c r="I47" s="114"/>
      <c r="J47" s="114"/>
    </row>
    <row r="48" spans="1:10" hidden="1" outlineLevel="1" x14ac:dyDescent="0.25">
      <c r="I48" s="115"/>
    </row>
    <row r="49" spans="3:4" hidden="1" outlineLevel="1" x14ac:dyDescent="0.25">
      <c r="C49" s="182" t="s">
        <v>140</v>
      </c>
      <c r="D49" s="192">
        <f>G41+G45</f>
        <v>4.8999999999999998E-3</v>
      </c>
    </row>
    <row r="50" spans="3:4" hidden="1" outlineLevel="1" x14ac:dyDescent="0.25">
      <c r="C50" s="178" t="s">
        <v>141</v>
      </c>
      <c r="D50" s="193">
        <v>5.0000000000000001E-3</v>
      </c>
    </row>
    <row r="51" spans="3:4" hidden="1" outlineLevel="1" x14ac:dyDescent="0.25">
      <c r="C51" s="194" t="s">
        <v>17</v>
      </c>
      <c r="D51" s="195">
        <f>IF(D49&gt;D50,0,1-(0.4*D49/D50))</f>
        <v>0.6080000000000001</v>
      </c>
    </row>
    <row r="52" spans="3:4" collapsed="1" x14ac:dyDescent="0.25">
      <c r="D52" s="191"/>
    </row>
    <row r="53" spans="3:4" x14ac:dyDescent="0.25">
      <c r="D53" s="191"/>
    </row>
  </sheetData>
  <mergeCells count="3">
    <mergeCell ref="C2:C4"/>
    <mergeCell ref="D2:D4"/>
    <mergeCell ref="G2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Note collective</vt:lpstr>
      <vt:lpstr>Fiche Note collective</vt:lpstr>
      <vt:lpstr>Chef comptoir</vt:lpstr>
      <vt:lpstr>Fiche Chef comptoir</vt:lpstr>
      <vt:lpstr>Fiche vendeur comptoir</vt:lpstr>
      <vt:lpstr>Vendeur comptoir</vt:lpstr>
      <vt:lpstr>Chargé stock</vt:lpstr>
      <vt:lpstr>Fiche chargé stock</vt:lpstr>
      <vt:lpstr>ELS</vt:lpstr>
      <vt:lpstr>Fiche ELS</vt:lpstr>
      <vt:lpstr>Chargé financier</vt:lpstr>
      <vt:lpstr>Fiche chargé financier</vt:lpstr>
      <vt:lpstr>Caissier</vt:lpstr>
      <vt:lpstr>Fiche Caissiers</vt:lpstr>
      <vt:lpstr>Chargé achats ext</vt:lpstr>
      <vt:lpstr>Fiche chargé achats ext</vt:lpstr>
      <vt:lpstr>Chargé admin</vt:lpstr>
      <vt:lpstr>Gérant</vt:lpstr>
      <vt:lpstr>Fiche chargé admin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Bedoui</dc:creator>
  <cp:lastModifiedBy>Karim Omrane</cp:lastModifiedBy>
  <cp:lastPrinted>2022-02-24T18:26:33Z</cp:lastPrinted>
  <dcterms:created xsi:type="dcterms:W3CDTF">2022-01-19T11:07:00Z</dcterms:created>
  <dcterms:modified xsi:type="dcterms:W3CDTF">2022-03-24T18:38:11Z</dcterms:modified>
</cp:coreProperties>
</file>